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5" yWindow="4290" windowWidth="15480" windowHeight="1785" tabRatio="944" firstSheet="3" activeTab="9"/>
  </bookViews>
  <sheets>
    <sheet name="INSTRUCCIONES" sheetId="4" r:id="rId1"/>
    <sheet name="ENERO" sheetId="5" r:id="rId2"/>
    <sheet name="FEBRERO" sheetId="6" r:id="rId3"/>
    <sheet name="MARZO" sheetId="7" r:id="rId4"/>
    <sheet name="ABRIL" sheetId="8" r:id="rId5"/>
    <sheet name="MAYO" sheetId="9" r:id="rId6"/>
    <sheet name="JUNIO" sheetId="10" r:id="rId7"/>
    <sheet name="JULIO" sheetId="11" r:id="rId8"/>
    <sheet name="AGOSTO" sheetId="12" r:id="rId9"/>
    <sheet name="SEPTIEMBRE" sheetId="13" r:id="rId10"/>
    <sheet name="OCTUBRE" sheetId="14" r:id="rId11"/>
    <sheet name="NOVIEMBRE" sheetId="15" r:id="rId12"/>
    <sheet name="DICIEMBRE" sheetId="16" r:id="rId13"/>
    <sheet name="Datos para el 2193" sheetId="20" r:id="rId14"/>
    <sheet name="SEGUIMIENTO EQUILIBRIOS" sheetId="19" r:id="rId15"/>
    <sheet name="VERIFICACION MANTENIMIENTO" sheetId="18" r:id="rId16"/>
  </sheets>
  <externalReferences>
    <externalReference r:id="rId17"/>
    <externalReference r:id="rId18"/>
  </externalReferences>
  <definedNames>
    <definedName name="Adiciones_y_modificaciones_gastos_abr">ABRIL!$AL$17:$AM$19,ABRIL!$AL$21:$AM$33,ABRIL!$AL$36:$AM$41,ABRIL!$AL$45:$AM$48,ABRIL!$AL$50:$AM$55,ABRIL!$AL$59:$AM$61,ABRIL!$AL$66:$AM$68,ABRIL!$AL$70:$AM$81,ABRIL!$AL$84:$AM$88,ABRIL!$AL$92:$AM$95,ABRIL!$AL$97:$AM$102,ABRIL!$AL$106:$AM$108,ABRIL!$AL$115:$AM$121,ABRIL!$AL$124:$AM$139,ABRIL!$AL$142:$AM$143,ABRIL!$AL$148:$AM$148,ABRIL!$AL$150:$AM$153,ABRIL!$AL$156:$AM$157,ABRIL!$AL$158:$AM$168,ABRIL!$AL$173:$AM$174,ABRIL!$AL$177:$AM$183,ABRIL!$AL$186:$AM$187,ABRIL!$AL$188:$AM$191,ABRIL!$AL$196:$AM$202,ABRIL!$AL$204:$AM$205,ABRIL!$AL$212:$AM$218,ABRIL!$AL$223:$AM$225,ABRIL!$AL$228:$AM$230,ABRIL!$AL$236:$AM$241,ABRIL!$AL$244:$AM$256</definedName>
    <definedName name="Adiciones_y_modificaciones_gastos_ago">AGOSTO!$AL$17:$AM$19,AGOSTO!$AL$21:$AM$33,AGOSTO!$AL$36:$AM$41,AGOSTO!$AL$45:$AM$48,AGOSTO!$AL$50:$AM$55,AGOSTO!$AL$59:$AM$61,AGOSTO!$AL$66:$AM$68,AGOSTO!$AL$70:$AM$81,AGOSTO!$AL$84:$AM$88,AGOSTO!$AL$92:$AM$95,AGOSTO!$AL$97:$AM$102,AGOSTO!$AL$106:$AM$108,AGOSTO!$AL$115:$AM$121,AGOSTO!$AL$124:$AM$139,AGOSTO!$AL$142:$AM$143,AGOSTO!$AL$148:$AM$148,AGOSTO!$AL$150:$AM$153,AGOSTO!$AL$156:$AM$157,AGOSTO!$AL$158:$AM$168,AGOSTO!$AL$173:$AM$174,AGOSTO!$AL$177:$AM$183,AGOSTO!$AL$186:$AM$187,AGOSTO!$AL$188:$AM$191,AGOSTO!$AL$196:$AM$202,AGOSTO!$AL$204:$AM$205,AGOSTO!$AL$212:$AM$218,AGOSTO!$AL$223:$AM$225,AGOSTO!$AL$228:$AM$230,AGOSTO!$AL$236:$AM$241,AGOSTO!$AL$244:$AM$256</definedName>
    <definedName name="Adiciones_y_modificaciones_gastos_dic">DICIEMBRE!$AL$17:$AM$19,DICIEMBRE!$AL$21:$AM$33,DICIEMBRE!$AL$36:$AM$41,DICIEMBRE!$AL$45:$AM$48,DICIEMBRE!$AL$50:$AM$55,DICIEMBRE!$AL$59:$AM$61,DICIEMBRE!$AL$66:$AM$68,DICIEMBRE!$AL$70:$AM$81,DICIEMBRE!$AL$84:$AM$88,DICIEMBRE!$AL$92:$AM$95,DICIEMBRE!$AL$97:$AM$102,DICIEMBRE!$AL$106:$AM$108,DICIEMBRE!$AL$115:$AM$121,DICIEMBRE!$AL$124:$AM$139,DICIEMBRE!$AL$142:$AM$143,DICIEMBRE!$AL$148:$AM$148,DICIEMBRE!$AL$150:$AM$153,DICIEMBRE!$AL$156:$AM$157,DICIEMBRE!$AL$158:$AM$168,DICIEMBRE!$AL$173:$AM$174,DICIEMBRE!$AL$177:$AM$183,DICIEMBRE!$AL$186:$AM$187,DICIEMBRE!$AL$188:$AM$191,DICIEMBRE!$AL$196:$AM$202,DICIEMBRE!$AL$204:$AM$205,DICIEMBRE!$AL$212:$AM$218,DICIEMBRE!$AL$223:$AM$225,DICIEMBRE!$AL$228:$AM$230,DICIEMBRE!$AL$236:$AM$241,DICIEMBRE!$AL$244:$AM$256</definedName>
    <definedName name="Adiciones_y_modificaciones_gastos_ene">ENERO!$AL$17:$AM$19,ENERO!$AL$21:$AM$33,ENERO!$AL$36:$AM$41,ENERO!$AL$45:$AM$48,ENERO!$AL$50:$AM$55,ENERO!$AL$59:$AM$61,ENERO!$AL$66:$AM$68,ENERO!$AL$70:$AM$81,ENERO!$AL$84:$AM$88,ENERO!$AL$92:$AM$95,ENERO!$AL$97:$AM$102,ENERO!$AL$106:$AM$108,ENERO!$AL$115:$AM$121,ENERO!$AL$124:$AM$139,ENERO!$AL$142:$AM$143,ENERO!$AL$148:$AM$148,ENERO!$AL$150:$AM$153,ENERO!$AL$156:$AM$157,ENERO!$AL$158:$AM$168,ENERO!$AL$173:$AM$174,ENERO!$AL$177:$AM$183,ENERO!$AL$186:$AM$187,ENERO!$AL$188:$AM$191,ENERO!$AL$196:$AM$202,ENERO!$AL$204:$AM$205,ENERO!$AL$212:$AM$218,ENERO!$AL$223:$AM$225,ENERO!$AL$228:$AM$230,ENERO!$AL$236:$AM$241,ENERO!$AL$244:$AM$256</definedName>
    <definedName name="Adiciones_y_modificaciones_gastos_feb">FEBRERO!$AL$17:$AM$19,FEBRERO!$AL$21:$AM$33,FEBRERO!$AL$36:$AM$41,FEBRERO!$AL$45:$AM$48,FEBRERO!$AL$50:$AM$55,FEBRERO!$AL$59:$AM$61,FEBRERO!$AL$66:$AM$68,FEBRERO!$AL$70:$AM$81,FEBRERO!$AL$84:$AM$88,FEBRERO!$AL$92:$AM$95,FEBRERO!$AL$97:$AM$102,FEBRERO!$AL$106:$AM$108,FEBRERO!$AL$115:$AM$121,FEBRERO!$AL$124:$AM$139,FEBRERO!$AL$142:$AM$143,FEBRERO!$AL$148:$AM$148,FEBRERO!$AL$150:$AM$153,FEBRERO!$AL$156:$AM$157,FEBRERO!$AL$158:$AM$168,FEBRERO!$AL$173:$AM$174,FEBRERO!$AL$177:$AM$183,FEBRERO!$AL$186:$AM$187,FEBRERO!$AL$188:$AM$191,FEBRERO!$AL$196:$AM$202,FEBRERO!$AL$204:$AM$205,FEBRERO!$AL$212:$AM$218,FEBRERO!$AL$223:$AM$225,FEBRERO!$AL$228:$AM$230,FEBRERO!$AL$236:$AM$241,FEBRERO!$AL$244:$AM$256</definedName>
    <definedName name="Adiciones_y_modificaciones_gastos_jul">JULIO!$AL$17:$AM$19,JULIO!$AL$21:$AM$33,JULIO!$AL$36:$AM$41,JULIO!$AL$45:$AM$48,JULIO!$AL$50:$AM$55,JULIO!$AL$59:$AM$61,JULIO!$AL$66:$AM$68,JULIO!$AL$70:$AM$81,JULIO!$AL$84:$AM$88,JULIO!$AL$92:$AM$95,JULIO!$AL$97:$AM$102,JULIO!$AL$106:$AM$108,JULIO!$AL$115:$AM$121,JULIO!$AL$124:$AM$139,JULIO!$AL$142:$AM$143,JULIO!$AL$148:$AM$148,JULIO!$AL$150:$AM$153,JULIO!$AL$156:$AM$157,JULIO!$AL$158:$AM$168,JULIO!$AL$173:$AM$174,JULIO!$AL$177:$AM$183,JULIO!$AL$186:$AM$187,JULIO!$AL$188:$AM$191,JULIO!$AL$196:$AM$202,JULIO!$AL$204:$AM$205,JULIO!$AL$212:$AM$218,JULIO!$AL$223:$AM$225,JULIO!$AL$228:$AM$230,JULIO!$AL$236:$AM$241,JULIO!$AL$244:$AM$256</definedName>
    <definedName name="Adiciones_y_modificaciones_gastos_jun">JUNIO!$AL$17:$AM$19,JUNIO!$AL$21:$AM$33,JUNIO!$AL$36:$AM$41,JUNIO!$AL$45:$AM$48,JUNIO!$AL$50:$AM$55,JUNIO!$AL$59:$AM$61,JUNIO!$AL$66:$AM$68,JUNIO!$AL$70:$AM$81,JUNIO!$AL$84:$AM$88,JUNIO!$AL$92:$AM$95,JUNIO!$AL$97:$AM$102,JUNIO!$AL$106:$AM$108,JUNIO!$AL$115:$AM$121,JUNIO!$AL$124:$AM$139,JUNIO!$AL$142:$AM$143,JUNIO!$AL$148:$AM$148,JUNIO!$AL$150:$AM$153,JUNIO!$AL$156:$AM$157,JUNIO!$AL$158:$AM$168,JUNIO!$AL$173:$AM$174,JUNIO!$AL$177:$AM$183,JUNIO!$AL$186:$AM$187,JUNIO!$AL$188:$AM$191,JUNIO!$AL$196:$AM$202,JUNIO!$AL$204:$AM$205,JUNIO!$AL$212:$AM$218,JUNIO!$AL$223:$AM$225,JUNIO!$AL$228:$AM$230,JUNIO!$AL$236:$AM$241,JUNIO!$AL$244:$AM$256</definedName>
    <definedName name="Adiciones_y_modificaciones_gastos_mar">MARZO!$AL$17:$AM$19,MARZO!$AL$21:$AM$33,MARZO!$AL$36:$AM$41,MARZO!$AL$45:$AM$48,MARZO!$AL$50:$AM$55,MARZO!$AL$59:$AM$61,MARZO!$AL$66:$AM$68,MARZO!$AL$70:$AM$81,MARZO!$AL$84:$AM$88,MARZO!$AL$92:$AM$95,MARZO!$AL$97:$AM$102,MARZO!$AL$106:$AM$108,MARZO!$AL$115:$AM$121,MARZO!$AL$124:$AM$139,MARZO!$AL$142:$AM$143,MARZO!$AL$148:$AM$148,MARZO!$AL$150:$AM$153,MARZO!$AL$156:$AM$157,MARZO!$AL$158:$AM$168,MARZO!$AL$173:$AM$174,MARZO!$AL$177:$AM$183,MARZO!$AL$186:$AM$187,MARZO!$AL$188:$AM$191,MARZO!$AL$196:$AM$202,MARZO!$AL$204:$AM$205,MARZO!$AL$212:$AM$218,MARZO!$AL$223:$AM$225,MARZO!$AL$228:$AM$230,MARZO!$AL$236:$AM$241,MARZO!$AL$244:$AM$256</definedName>
    <definedName name="Adiciones_y_modificaciones_gastos_may">MAYO!$AL$17:$AM$19,MAYO!$AL$21:$AM$33,MAYO!$AL$36:$AM$41,MAYO!$AL$45:$AM$48,MAYO!$AL$50:$AM$55,MAYO!$AL$59:$AM$61,MAYO!$AL$66:$AM$68,MAYO!$AL$70:$AM$81,MAYO!$AL$84:$AM$88,MAYO!$AL$92:$AM$95,MAYO!$AL$97:$AM$102,MAYO!$AL$106:$AM$108,MAYO!$AL$115:$AM$121,MAYO!$AL$124:$AM$139,MAYO!$AL$142:$AM$143,MAYO!$AL$148:$AM$148,MAYO!$AL$150:$AM$153,MAYO!$AL$156:$AM$157,MAYO!$AL$158:$AM$168,MAYO!$AL$173:$AM$174,MAYO!$AL$177:$AM$183,MAYO!$AL$186:$AM$187,MAYO!$AL$188:$AM$191,MAYO!$AL$196:$AM$202,MAYO!$AL$204:$AM$205,MAYO!$AL$212:$AM$218,MAYO!$AL$223:$AM$225,MAYO!$AL$228:$AM$230,MAYO!$AL$236:$AM$241,MAYO!$AL$244:$AM$256</definedName>
    <definedName name="Adiciones_y_modificaciones_gastos_nov">NOVIEMBRE!$AL$17:$AM$19,NOVIEMBRE!$AL$21:$AM$33,NOVIEMBRE!$AL$36:$AM$41,NOVIEMBRE!$AL$45:$AM$48,NOVIEMBRE!$AL$50:$AM$55,NOVIEMBRE!$AL$59:$AM$61,NOVIEMBRE!$AL$66:$AM$68,NOVIEMBRE!$AL$70:$AM$81,NOVIEMBRE!$AL$84:$AM$88,NOVIEMBRE!$AL$92:$AM$95,NOVIEMBRE!$AL$97:$AM$102,NOVIEMBRE!$AL$106:$AM$108,NOVIEMBRE!$AL$115:$AM$121,NOVIEMBRE!$AL$124:$AM$139,NOVIEMBRE!$AL$142:$AM$143,NOVIEMBRE!$AL$148:$AM$148,NOVIEMBRE!$AL$150:$AM$153,NOVIEMBRE!$AL$156:$AM$157,NOVIEMBRE!$AL$158:$AM$168,NOVIEMBRE!$AL$173:$AM$174,NOVIEMBRE!$AL$177:$AM$183,NOVIEMBRE!$AL$186:$AM$187,NOVIEMBRE!$AL$188:$AM$191,NOVIEMBRE!$AL$196:$AM$202,NOVIEMBRE!$AL$204:$AM$205,NOVIEMBRE!$AL$212:$AM$218,NOVIEMBRE!$AL$223:$AM$225,NOVIEMBRE!$AL$228:$AM$230,NOVIEMBRE!$AL$236:$AM$241,NOVIEMBRE!$AL$244:$AM$256</definedName>
    <definedName name="Adiciones_y_modificaciones_gastos_oct">OCTUBRE!$AL$17:$AM$19,OCTUBRE!$AL$21:$AM$33,OCTUBRE!$AL$36:$AM$41,OCTUBRE!$AL$45:$AM$48,OCTUBRE!$AL$50:$AM$55,OCTUBRE!$AL$59:$AM$61,OCTUBRE!$AL$66:$AM$68,OCTUBRE!$AL$70:$AM$81,OCTUBRE!$AL$84:$AM$88,OCTUBRE!$AL$92:$AM$95,OCTUBRE!$AL$97:$AM$102,OCTUBRE!$AL$106:$AM$108,OCTUBRE!$AL$115:$AM$121,OCTUBRE!$AL$124:$AM$139,OCTUBRE!$AL$142:$AM$143,OCTUBRE!$AL$148:$AM$148,OCTUBRE!$AL$150:$AM$153,OCTUBRE!$AL$156:$AM$157,OCTUBRE!$AL$158:$AM$168,OCTUBRE!$AL$173:$AM$174,OCTUBRE!$AL$177:$AM$183,OCTUBRE!$AL$186:$AM$187,OCTUBRE!$AL$188:$AM$191,OCTUBRE!$AL$196:$AM$202,OCTUBRE!$AL$204:$AM$205,OCTUBRE!$AL$212:$AM$218,OCTUBRE!$AL$223:$AM$225,OCTUBRE!$AL$228:$AM$230,OCTUBRE!$AL$236:$AM$241,OCTUBRE!$AL$244:$AM$256</definedName>
    <definedName name="Adiciones_y_modificaciones_gastos_sep">SEPTIEMBRE!$AL$17:$AM$19,SEPTIEMBRE!$AL$21:$AM$33,SEPTIEMBRE!$AL$36:$AM$41,SEPTIEMBRE!$AL$45:$AM$48,SEPTIEMBRE!$AL$50:$AM$55,SEPTIEMBRE!$AL$59:$AM$61,SEPTIEMBRE!$AL$66:$AM$68,SEPTIEMBRE!$AL$70:$AM$81,SEPTIEMBRE!$AL$84:$AM$88,SEPTIEMBRE!$AL$92:$AM$95,SEPTIEMBRE!$AL$97:$AM$102,SEPTIEMBRE!$AL$106:$AM$108,SEPTIEMBRE!$AL$115:$AM$121,SEPTIEMBRE!$AL$124:$AM$139,SEPTIEMBRE!$AL$142:$AM$143,SEPTIEMBRE!$AL$148:$AM$148,SEPTIEMBRE!$AL$150:$AM$153,SEPTIEMBRE!$AL$156:$AM$157,SEPTIEMBRE!$AL$158:$AM$168,SEPTIEMBRE!$AL$173:$AM$174,SEPTIEMBRE!$AL$177:$AM$183,SEPTIEMBRE!$AL$186:$AM$187,SEPTIEMBRE!$AL$188:$AM$191,SEPTIEMBRE!$AL$196:$AM$202,SEPTIEMBRE!$AL$204:$AM$205,SEPTIEMBRE!$AL$212:$AM$218,SEPTIEMBRE!$AL$223:$AM$225,SEPTIEMBRE!$AL$228:$AM$230,SEPTIEMBRE!$AL$236:$AM$241,SEPTIEMBRE!$AL$244:$AM$256</definedName>
    <definedName name="Adiciones_y_modificaciones_ingresos_abr">ABRIL!$P$12:$Q$15,ABRIL!$P$23:$Q$25,ABRIL!$P$26:$Q$27,ABRIL!$P$30:$Q$31,ABRIL!$P$33:$Q$34,ABRIL!$P$36:$Q$41,ABRIL!$P$43:$Q$44,ABRIL!$P$46:$Q$47,ABRIL!$P$49:$Q$50,ABRIL!$P$52:$Q$53,ABRIL!$P$55:$Q$56,ABRIL!$P$58:$Q$59,ABRIL!$P$61:$Q$62,ABRIL!$P$64:$Q$65,ABRIL!$P$67:$Q$68,ABRIL!$P$70:$Q$71,ABRIL!$P$73:$Q$74,ABRIL!$P$76:$Q$77,ABRIL!$P$79:$Q$80,ABRIL!$P$82:$Q$83,ABRIL!$P$86:$Q$92,ABRIL!$P$94:$Q$97,ABRIL!$P$100:$Q$106,ABRIL!$P$109:$Q$117</definedName>
    <definedName name="Adiciones_y_modificaciones_ingresos_ago">AGOSTO!$P$12:$Q$15,AGOSTO!$P$23:$Q$24,AGOSTO!$P$26:$Q$27,AGOSTO!$P$30:$Q$31,AGOSTO!$P$33:$Q$34,AGOSTO!$P$36:$Q$41,AGOSTO!$P$43:$Q$44,AGOSTO!$P$46:$Q$47,AGOSTO!$P$49:$Q$50,AGOSTO!$P$52:$Q$53,AGOSTO!$P$55:$Q$56,AGOSTO!$P$58:$Q$59,AGOSTO!$P$61:$Q$62,AGOSTO!$P$64:$Q$65,AGOSTO!$P$67:$Q$68,AGOSTO!$P$70:$Q$71,AGOSTO!$P$73:$Q$74,AGOSTO!$P$76:$Q$77,AGOSTO!$P$79:$Q$80,AGOSTO!$P$82:$Q$83,AGOSTO!$P$86:$Q$92,AGOSTO!$P$94:$Q$97,AGOSTO!$P$100:$Q$106,AGOSTO!$P$109:$Q$117</definedName>
    <definedName name="Adiciones_y_modificaciones_ingresos_dic">DICIEMBRE!$P$12:$Q$15,DICIEMBRE!$P$23:$Q$24,DICIEMBRE!$P$26:$Q$27,DICIEMBRE!$P$30:$Q$31,DICIEMBRE!$P$33:$Q$34,DICIEMBRE!$P$36:$Q$41,DICIEMBRE!$P$43:$Q$44,DICIEMBRE!$P$46:$Q$47,DICIEMBRE!$P$49:$Q$50,DICIEMBRE!$P$52:$Q$53,DICIEMBRE!$P$55:$Q$56,DICIEMBRE!$P$58:$Q$59,DICIEMBRE!$P$61:$Q$62,DICIEMBRE!$P$64:$Q$65,DICIEMBRE!$P$67:$Q$68,DICIEMBRE!$P$70:$Q$71,DICIEMBRE!$P$73:$Q$74,DICIEMBRE!$P$76:$Q$77,DICIEMBRE!$P$79:$Q$80,DICIEMBRE!$P$82:$Q$83,DICIEMBRE!$P$86:$Q$92,DICIEMBRE!$P$94:$Q$97,DICIEMBRE!$P$100:$Q$106,DICIEMBRE!$P$109:$Q$117</definedName>
    <definedName name="Adiciones_y_modificaciones_ingresos_ene">ENERO!$P$12:$Q$15,ENERO!$P$23:$Q$24,ENERO!$P$26:$Q$27,ENERO!$P$30:$Q$31,ENERO!$P$33:$Q$34,ENERO!$P$36:$Q$41,ENERO!$P$43:$Q$44,ENERO!$P$46:$Q$47,ENERO!$P$49:$Q$50,ENERO!$P$52:$Q$53,ENERO!$P$55:$Q$56,ENERO!$P$58:$Q$59,ENERO!$P$61:$Q$62,ENERO!$P$64:$Q$65,ENERO!$P$67:$Q$68,ENERO!$P$70:$Q$71,ENERO!$P$73:$Q$74,ENERO!$P$76:$Q$77,ENERO!$P$79:$Q$80,ENERO!$P$82:$Q$83,ENERO!$P$86:$Q$92,ENERO!$P$94:$Q$97,ENERO!$P$100:$Q$106,ENERO!$P$109:$Q$117</definedName>
    <definedName name="Adiciones_y_modificaciones_ingresos_feb">FEBRERO!$P$12:$Q$15,FEBRERO!$P$23:$Q$24,FEBRERO!$P$26:$Q$27,FEBRERO!$P$30:$Q$31,FEBRERO!$P$33:$Q$34,FEBRERO!$P$36:$Q$41,FEBRERO!$P$43:$Q$44,FEBRERO!$P$46:$Q$47,FEBRERO!$P$49:$Q$50,FEBRERO!$P$52:$Q$53,FEBRERO!$P$55:$Q$56,FEBRERO!$P$58:$Q$59,FEBRERO!$P$61:$Q$62,FEBRERO!$P$64:$Q$65,FEBRERO!$P$67:$Q$68,FEBRERO!$P$70:$Q$71,FEBRERO!$P$73:$Q$74,FEBRERO!$P$76:$Q$77,FEBRERO!$P$79:$Q$80,FEBRERO!$P$82:$Q$83,FEBRERO!$P$86:$Q$92,FEBRERO!$P$94:$Q$97,FEBRERO!$P$100:$Q$106,FEBRERO!$P$109:$Q$117</definedName>
    <definedName name="Adiciones_y_modificaciones_ingresos_jul">JULIO!$P$12:$Q$15,JULIO!$P$23:$Q$24,JULIO!$P$26:$Q$27,JULIO!$P$30:$Q$31,JULIO!$P$33:$Q$34,JULIO!$P$36:$Q$41,JULIO!$P$43:$Q$44,JULIO!$P$46:$Q$47,JULIO!$P$49:$Q$50,JULIO!$P$52:$Q$53,JULIO!$P$55:$Q$56,JULIO!$P$58:$Q$59,JULIO!$P$61:$Q$62,JULIO!$P$64:$Q$65,JULIO!$P$67:$Q$68,JULIO!$P$70:$Q$71,JULIO!$P$73:$Q$74,JULIO!$P$76:$Q$77,JULIO!$P$79:$Q$80,JULIO!$P$82:$Q$83,JULIO!$P$86:$Q$92,JULIO!$P$94:$Q$97,JULIO!$P$100:$Q$106,JULIO!$P$109:$Q$117</definedName>
    <definedName name="Adiciones_y_modificaciones_ingresos_jun">JUNIO!$P$12:$Q$15,JUNIO!$P$23:$Q$24,JUNIO!$P$26:$Q$27,JUNIO!$P$30:$Q$31,JUNIO!$P$33:$Q$34,JUNIO!$P$36:$Q$41,JUNIO!$P$43:$Q$44,JUNIO!$P$46:$Q$47,JUNIO!$P$49:$Q$50,JUNIO!$P$52:$Q$53,JUNIO!$P$55:$Q$56,JUNIO!$P$58:$Q$59,JUNIO!$P$61:$Q$62,JUNIO!$P$64:$Q$65,JUNIO!$P$67:$Q$68,JUNIO!$P$70:$Q$71,JUNIO!$P$73:$Q$74,JUNIO!$P$76:$Q$77,JUNIO!$P$79:$Q$80,JUNIO!$P$82:$Q$83,JUNIO!$P$86:$Q$92,JUNIO!$P$94:$Q$97,JUNIO!$P$100:$Q$106,JUNIO!$P$109:$Q$117</definedName>
    <definedName name="Adiciones_y_modificaciones_ingresos_mar">MARZO!$P$12:$Q$15,MARZO!$P$23:$Q$24,MARZO!$P$26:$Q$27,MARZO!$P$30:$Q$31,MARZO!$P$33:$Q$34,MARZO!$P$36:$Q$41,MARZO!$P$43:$Q$44,MARZO!$P$46:$Q$47,MARZO!$P$49:$Q$50,MARZO!$P$52:$Q$53,MARZO!$P$55:$Q$56,MARZO!$P$58:$Q$59,MARZO!$P$61:$Q$62,MARZO!$P$64:$Q$65,MARZO!$P$67:$Q$68,MARZO!$P$70:$Q$71,MARZO!$P$73:$Q$74,MARZO!$P$76:$Q$77,MARZO!$P$79:$Q$80,MARZO!$P$82:$Q$83,MARZO!$P$86:$Q$92,MARZO!$P$94:$Q$97,MARZO!$P$100:$Q$106,MARZO!$P$109:$Q$117</definedName>
    <definedName name="Adiciones_y_modificaciones_ingresos_may">MAYO!$P$12:$Q$15,MAYO!$P$23:$Q$24,MAYO!$P$26:$Q$27,MAYO!$P$30:$Q$31,MAYO!$P$33:$Q$34,MAYO!$P$36:$Q$41,MAYO!$P$43:$Q$44,MAYO!$P$46:$Q$47,MAYO!$P$49:$Q$50,MAYO!$P$52:$Q$53,MAYO!$P$55:$Q$56,MAYO!$P$58:$Q$59,MAYO!$P$61:$Q$62,MAYO!$P$64:$Q$65,MAYO!$P$67:$Q$68,MAYO!$P$70:$Q$71,MAYO!$P$73:$Q$74,MAYO!$P$76:$Q$77,MAYO!$P$79:$Q$80,MAYO!$P$82:$Q$83,MAYO!$P$86:$Q$92,MAYO!$P$94:$Q$97,MAYO!$P$100:$Q$106,MAYO!$P$109:$Q$117</definedName>
    <definedName name="Adiciones_y_modificaciones_ingresos_nov">NOVIEMBRE!$P$12:$Q$15,NOVIEMBRE!$P$23:$Q$24,NOVIEMBRE!$P$26:$Q$27,NOVIEMBRE!$P$30:$Q$31,NOVIEMBRE!$P$33:$Q$34,NOVIEMBRE!$P$36:$Q$41,NOVIEMBRE!$P$43:$Q$44,NOVIEMBRE!$P$46:$Q$47,NOVIEMBRE!$P$49:$Q$50,NOVIEMBRE!$P$52:$Q$53,NOVIEMBRE!$P$55:$Q$56,NOVIEMBRE!$P$58:$Q$59,NOVIEMBRE!$P$61:$Q$62,NOVIEMBRE!$P$64:$Q$65,NOVIEMBRE!$P$67:$Q$68,NOVIEMBRE!$P$70:$Q$71,NOVIEMBRE!$P$73:$Q$74,NOVIEMBRE!$P$76:$Q$77,NOVIEMBRE!$P$79:$Q$80,NOVIEMBRE!$P$82:$Q$83,NOVIEMBRE!$P$86:$Q$92,NOVIEMBRE!$P$94:$Q$97,NOVIEMBRE!$P$100:$Q$106,NOVIEMBRE!$P$109:$Q$117</definedName>
    <definedName name="Adiciones_y_modificaciones_ingresos_oct">OCTUBRE!$P$12:$Q$15,OCTUBRE!$P$23:$Q$24,OCTUBRE!$P$26:$Q$27,OCTUBRE!$P$30:$Q$31,OCTUBRE!$P$33:$Q$34,OCTUBRE!$P$36:$Q$41,OCTUBRE!$P$43:$Q$44,OCTUBRE!$P$46:$Q$47,OCTUBRE!$P$49:$Q$50,OCTUBRE!$P$52:$Q$53,OCTUBRE!$P$55:$Q$56,OCTUBRE!$P$58:$Q$59,OCTUBRE!$P$61:$Q$62,OCTUBRE!$P$64:$Q$65,OCTUBRE!$P$67:$Q$68,OCTUBRE!$P$70:$Q$71,OCTUBRE!$P$73:$Q$74,OCTUBRE!$P$76:$Q$77,OCTUBRE!$P$79:$Q$80,OCTUBRE!$P$82:$Q$83,OCTUBRE!$P$86:$Q$92,OCTUBRE!$P$94:$Q$97,OCTUBRE!$P$100:$Q$106,OCTUBRE!$P$109:$Q$117</definedName>
    <definedName name="Adiciones_y_modificaciones_ingresos_sep">SEPTIEMBRE!$P$12:$Q$15,SEPTIEMBRE!$P$23:$Q$24,SEPTIEMBRE!$P$26:$Q$27,SEPTIEMBRE!$P$30:$Q$31,SEPTIEMBRE!$P$33:$Q$34,SEPTIEMBRE!$P$36:$Q$41,SEPTIEMBRE!$P$43:$Q$44,SEPTIEMBRE!$P$46:$Q$47,SEPTIEMBRE!$P$49:$Q$50,SEPTIEMBRE!$P$52:$Q$53,SEPTIEMBRE!$P$55:$Q$56,SEPTIEMBRE!$P$58:$Q$59,SEPTIEMBRE!$P$61:$Q$62,SEPTIEMBRE!$P$64:$Q$65,SEPTIEMBRE!$P$67:$Q$68,SEPTIEMBRE!$P$70:$Q$71,SEPTIEMBRE!$P$73:$Q$74,SEPTIEMBRE!$P$76:$Q$77,SEPTIEMBRE!$P$79:$Q$80,SEPTIEMBRE!$P$82:$Q$83,SEPTIEMBRE!$P$86:$Q$92,SEPTIEMBRE!$P$94:$Q$97,SEPTIEMBRE!$P$100:$Q$106,SEPTIEMBRE!$P$109:$Q$117</definedName>
    <definedName name="_xlnm.Print_Area" localSheetId="4">ABRIL!$A$2:$N$130,ABRIL!$S$2:$AJ$259</definedName>
    <definedName name="_xlnm.Print_Area" localSheetId="8">AGOSTO!$A$2:$N$130,AGOSTO!$S$2:$AJ$259</definedName>
    <definedName name="_xlnm.Print_Area" localSheetId="13">'Datos para el 2193'!$B$1:$R$57</definedName>
    <definedName name="_xlnm.Print_Area" localSheetId="12">DICIEMBRE!$A$2:$N$130,DICIEMBRE!$S$2:$AJ$259</definedName>
    <definedName name="_xlnm.Print_Area" localSheetId="1">ENERO!$A$2:$N$130,ENERO!$S$2:$AJ$259</definedName>
    <definedName name="_xlnm.Print_Area" localSheetId="2">FEBRERO!$A$2:$N$130,FEBRERO!$S$2:$AJ$259</definedName>
    <definedName name="_xlnm.Print_Area" localSheetId="7">JULIO!$A$2:$N$130,JULIO!$S$2:$AJ$259</definedName>
    <definedName name="_xlnm.Print_Area" localSheetId="6">JUNIO!$A$2:$N$130,JUNIO!$S$2:$AJ$259</definedName>
    <definedName name="_xlnm.Print_Area" localSheetId="3">MARZO!$A$2:$N$130,MARZO!$S$2:$AJ$259</definedName>
    <definedName name="_xlnm.Print_Area" localSheetId="5">MAYO!$A$2:$N$130,MAYO!$S$2:$AJ$259</definedName>
    <definedName name="_xlnm.Print_Area" localSheetId="11">NOVIEMBRE!$A$2:$N$130,NOVIEMBRE!$S$2:$AJ$259</definedName>
    <definedName name="_xlnm.Print_Area" localSheetId="10">OCTUBRE!$A$2:$N$130,OCTUBRE!$S$2:$AJ$259</definedName>
    <definedName name="_xlnm.Print_Area" localSheetId="14">'SEGUIMIENTO EQUILIBRIOS'!$A$1:$J$18</definedName>
    <definedName name="_xlnm.Print_Area" localSheetId="9">SEPTIEMBRE!$A$2:$N$130,SEPTIEMBRE!$S$2:$AJ$259</definedName>
    <definedName name="_xlnm.Print_Area" localSheetId="15">'VERIFICACION MANTENIMIENTO'!$A$1:$R$14</definedName>
    <definedName name="B" localSheetId="14">[1]CXP!$AJ$1:$AL$128</definedName>
    <definedName name="B">[2]CXP!$AJ$1:$AL$128</definedName>
    <definedName name="Compromisos_abr">ABRIL!$Z$17:$Z$19,ABRIL!$Z$21:$Z$33,ABRIL!$Z$36:$Z$41,ABRIL!$Z$45:$Z$48,ABRIL!$Z$50:$Z$55,ABRIL!$Z$59:$Z$61,ABRIL!$Z$66:$Z$68,ABRIL!$Z$70:$Z$81,ABRIL!$Z$84:$Z$88,ABRIL!$Z$92:$Z$95,ABRIL!$Z$97:$Z$102,ABRIL!$Z$106:$Z$108,ABRIL!$Z$115:$Z$121,ABRIL!$Z$124:$Z$139,ABRIL!$Z$142:$Z$143,ABRIL!$Z$148,ABRIL!$Z$150:$Z$153,ABRIL!$Z$156,ABRIL!$Z$158:$Z$168,ABRIL!$Z$173:$Z$174,ABRIL!$Z$177:$Z$183,ABRIL!$Z$186,ABRIL!$Z$188:$Z$191,ABRIL!$Z$196:$Z$202,ABRIL!$Z$204:$Z$205,ABRIL!$Z$212:$Z$218,ABRIL!$Z$223:$Z$225,ABRIL!$Z$228:$Z$230,ABRIL!$Z$236:$Z$241,ABRIL!$Z$245:$Z$256</definedName>
    <definedName name="Compromisos_ago">AGOSTO!$Z$17:$Z$19,AGOSTO!$Z$21:$Z$33,AGOSTO!$Z$36:$Z$41,AGOSTO!$Z$45:$Z$48,AGOSTO!$Z$50:$Z$55,AGOSTO!$Z$59:$Z$61,AGOSTO!$Z$66:$Z$68,AGOSTO!$Z$70:$Z$81,AGOSTO!$Z$84:$Z$88,AGOSTO!$Z$92:$Z$95,AGOSTO!$Z$97:$Z$102,AGOSTO!$Z$106:$Z$108,AGOSTO!$Z$115:$Z$121,AGOSTO!$Z$124:$Z$139,AGOSTO!$Z$142:$Z$143,AGOSTO!$Z$148,AGOSTO!$Z$150:$Z$153,AGOSTO!$Z$156,AGOSTO!$Z$158:$Z$168,AGOSTO!$Z$173:$Z$174,AGOSTO!$Z$177:$Z$183,AGOSTO!$Z$186,AGOSTO!$Z$188:$Z$191,AGOSTO!$Z$196:$Z$202,AGOSTO!$Z$204:$Z$205,AGOSTO!$Z$212:$Z$218,AGOSTO!$Z$223:$Z$225,AGOSTO!$Z$228:$Z$230,AGOSTO!$Z$236:$Z$241,AGOSTO!$Z$245:$Z$256</definedName>
    <definedName name="Compromisos_dic">DICIEMBRE!$Z$17:$Z$19,DICIEMBRE!$Z$21:$Z$33,DICIEMBRE!$Z$36:$Z$41,DICIEMBRE!$Z$45:$Z$48,DICIEMBRE!$Z$50:$Z$55,DICIEMBRE!$Z$59:$Z$61,DICIEMBRE!$Z$66:$Z$68,DICIEMBRE!$Z$70:$Z$81,DICIEMBRE!$Z$84:$Z$88,DICIEMBRE!$Z$92:$Z$95,DICIEMBRE!$Z$97:$Z$102,DICIEMBRE!$Z$106:$Z$108,DICIEMBRE!$Z$115:$Z$121,DICIEMBRE!$Z$124:$Z$139,DICIEMBRE!$Z$142:$Z$143,DICIEMBRE!$Z$148,DICIEMBRE!$Z$150:$Z$153,DICIEMBRE!$Z$156,DICIEMBRE!$Z$158:$Z$168,DICIEMBRE!$Z$173:$Z$174,DICIEMBRE!$Z$177:$Z$183,DICIEMBRE!$Z$186,DICIEMBRE!$Z$188:$Z$191,DICIEMBRE!$Z$196:$Z$202,DICIEMBRE!$Z$204:$Z$205,DICIEMBRE!$Z$212:$Z$218,DICIEMBRE!$Z$223:$Z$225,DICIEMBRE!$Z$228:$Z$230,DICIEMBRE!$Z$236:$Z$241,DICIEMBRE!$Z$245:$Z$256</definedName>
    <definedName name="Compromisos_ene">ENERO!$Z$17:$Z$19,ENERO!$Z$21:$Z$33,ENERO!$Z$36:$Z$41,ENERO!$Z$45:$Z$48,ENERO!$Z$50:$Z$55,ENERO!$Z$59:$Z$61,ENERO!$Z$66:$Z$68,ENERO!$Z$70:$Z$81,ENERO!$Z$84:$Z$88,ENERO!$Z$92:$Z$95,ENERO!$Z$97:$Z$102,ENERO!$Z$106:$Z$108,ENERO!$Z$115:$Z$121,ENERO!$Z$124:$Z$139,ENERO!$Z$142:$Z$143,ENERO!$Z$148,ENERO!$Z$150:$Z$153,ENERO!$Z$156,ENERO!$Z$158:$Z$168,ENERO!$Z$173:$Z$174,ENERO!$Z$177:$Z$183,ENERO!$Z$186,ENERO!$Z$188:$Z$191,ENERO!$Z$196:$Z$202,ENERO!$Z$204:$Z$205,ENERO!$Z$212:$Z$218,ENERO!$Z$223:$Z$225,ENERO!$Z$228:$Z$230,ENERO!$Z$236:$Z$241,ENERO!$Z$245:$Z$256</definedName>
    <definedName name="Compromisos_feb">FEBRERO!$Z$17:$Z$19,FEBRERO!$Z$21:$Z$33,FEBRERO!$Z$36:$Z$41,FEBRERO!$Z$45:$Z$48,FEBRERO!$Z$50:$Z$55,FEBRERO!$Z$59:$Z$61,FEBRERO!$Z$66:$Z$68,FEBRERO!$Z$70:$Z$81,FEBRERO!$Z$84:$Z$88,FEBRERO!$Z$92:$Z$95,FEBRERO!$Z$97:$Z$102,FEBRERO!$Z$106:$Z$108,FEBRERO!$Z$115:$Z$121,FEBRERO!$Z$124:$Z$139,FEBRERO!$Z$142:$Z$143,FEBRERO!$Z$148,FEBRERO!$Z$150:$Z$153,FEBRERO!$Z$156,FEBRERO!$Z$158:$Z$168,FEBRERO!$Z$173:$Z$174,FEBRERO!$Z$177:$Z$183,FEBRERO!$Z$186,FEBRERO!$Z$188:$Z$191,FEBRERO!$Z$196:$Z$202,FEBRERO!$Z$204:$Z$205,FEBRERO!$Z$212:$Z$218,FEBRERO!$Z$223:$Z$225,FEBRERO!$Z$228:$Z$230,FEBRERO!$Z$236:$Z$241,FEBRERO!$Z$245:$Z$256</definedName>
    <definedName name="Compromisos_jul">JULIO!$Z$17:$Z$19,JULIO!$Z$21:$Z$33,JULIO!$Z$36:$Z$41,JULIO!$Z$45:$Z$48,JULIO!$Z$50:$Z$55,JULIO!$Z$59:$Z$61,JULIO!$Z$66:$Z$68,JULIO!$Z$70:$Z$81,JULIO!$Z$84:$Z$88,JULIO!$Z$92:$Z$95,JULIO!$Z$97:$Z$102,JULIO!$Z$106:$Z$108,JULIO!$Z$115:$Z$121,JULIO!$Z$124:$Z$139,JULIO!$Z$142:$Z$143,JULIO!$Z$148,JULIO!$Z$150:$Z$153,JULIO!$Z$156,JULIO!$Z$158:$Z$168,JULIO!$Z$173:$Z$174,JULIO!$Z$177:$Z$183,JULIO!$Z$186,JULIO!$Z$188:$Z$191,JULIO!$Z$196:$Z$202,JULIO!$Z$204:$Z$205,JULIO!$Z$212:$Z$218,JULIO!$Z$223:$Z$225,JULIO!$Z$228:$Z$230,JULIO!$Z$236:$Z$241,JULIO!$Z$245:$Z$256</definedName>
    <definedName name="Compromisos_jun">JUNIO!$Z$17:$Z$19,JUNIO!$Z$21:$Z$33,JUNIO!$Z$36:$Z$41,JUNIO!$Z$45:$Z$48,JUNIO!$Z$50:$Z$55,JUNIO!$Z$59:$Z$61,JUNIO!$Z$66:$Z$68,JUNIO!$Z$70:$Z$81,JUNIO!$Z$84:$Z$88,JUNIO!$Z$92:$Z$95,JUNIO!$Z$97:$Z$102,JUNIO!$Z$106:$Z$108,JUNIO!$Z$115:$Z$121,JUNIO!$Z$124:$Z$139,JUNIO!$Z$142:$Z$143,JUNIO!$Z$148,JUNIO!$Z$150:$Z$153,JUNIO!$Z$156,JUNIO!$Z$158:$Z$168,JUNIO!$Z$173:$Z$174,JUNIO!$Z$177:$Z$183,JUNIO!$Z$186,JUNIO!$Z$188:$Z$191,JUNIO!$Z$196:$Z$202,JUNIO!$Z$204:$Z$205,JUNIO!$Z$212:$Z$218,JUNIO!$Z$223:$Z$225,JUNIO!$Z$228:$Z$230,JUNIO!$Z$236:$Z$241,JUNIO!$Z$245:$Z$256</definedName>
    <definedName name="Compromisos_mar">MARZO!$Z$17:$Z$19,MARZO!$Z$21:$Z$33,MARZO!$Z$36:$Z$41,MARZO!$Z$45:$Z$48,MARZO!$Z$50:$Z$55,MARZO!$Z$59:$Z$61,MARZO!$Z$66:$Z$68,MARZO!$Z$70:$Z$81,MARZO!$Z$84:$Z$88,MARZO!$Z$92:$Z$95,MARZO!$Z$97:$Z$102,MARZO!$Z$106:$Z$108,MARZO!$Z$115:$Z$121,MARZO!$Z$124:$Z$139,MARZO!$Z$142:$Z$143,MARZO!$Z$148,MARZO!$Z$150:$Z$153,MARZO!$Z$156,MARZO!$Z$158:$Z$168,MARZO!$Z$173:$Z$174,MARZO!$Z$177:$Z$183,MARZO!$Z$186,MARZO!$Z$188:$Z$191,MARZO!$Z$196:$Z$202,MARZO!$Z$204:$Z$205,MARZO!$Z$212:$Z$218,MARZO!$Z$223:$Z$225,MARZO!$Z$228:$Z$230,MARZO!$Z$236:$Z$241,MARZO!$Z$245:$Z$256</definedName>
    <definedName name="Compromisos_may">MAYO!$Z$17:$Z$19,MAYO!$Z$21:$Z$33,MAYO!$Z$36:$Z$41,MAYO!$Z$45:$Z$48,MAYO!$Z$50:$Z$55,MAYO!$Z$59:$Z$61,MAYO!$Z$66:$Z$68,MAYO!$Z$70:$Z$81,MAYO!$Z$84:$Z$88,MAYO!$Z$92:$Z$95,MAYO!$Z$97:$Z$102,MAYO!$Z$106:$Z$108,MAYO!$Z$115:$Z$121,MAYO!$Z$124:$Z$139,MAYO!$Z$142:$Z$143,MAYO!$Z$148,MAYO!$Z$150:$Z$153,MAYO!$Z$156,MAYO!$Z$158:$Z$168,MAYO!$Z$173:$Z$174,MAYO!$Z$177:$Z$183,MAYO!$Z$186,MAYO!$Z$188:$Z$191,MAYO!$Z$196:$Z$202,MAYO!$Z$204:$Z$205,MAYO!$Z$212:$Z$218,MAYO!$Z$223:$Z$225,MAYO!$Z$228:$Z$230,MAYO!$Z$236:$Z$241,MAYO!$Z$245:$Z$256</definedName>
    <definedName name="Compromisos_nov">NOVIEMBRE!$Z$17:$Z$19,NOVIEMBRE!$Z$21:$Z$33,NOVIEMBRE!$Z$36:$Z$41,NOVIEMBRE!$Z$45:$Z$48,NOVIEMBRE!$Z$50:$Z$55,NOVIEMBRE!$Z$59:$Z$61,NOVIEMBRE!$Z$66:$Z$68,NOVIEMBRE!$Z$70:$Z$81,NOVIEMBRE!$Z$84:$Z$88,NOVIEMBRE!$Z$92:$Z$95,NOVIEMBRE!$Z$97:$Z$102,NOVIEMBRE!$Z$106:$Z$108,NOVIEMBRE!$Z$115:$Z$121,NOVIEMBRE!$Z$124:$Z$139,NOVIEMBRE!$Z$142:$Z$143,NOVIEMBRE!$Z$148,NOVIEMBRE!$Z$150:$Z$153,NOVIEMBRE!$Z$156,NOVIEMBRE!$Z$158:$Z$168,NOVIEMBRE!$Z$173:$Z$174,NOVIEMBRE!$Z$177:$Z$183,NOVIEMBRE!$Z$186,NOVIEMBRE!$Z$188:$Z$191,NOVIEMBRE!$Z$196:$Z$202,NOVIEMBRE!$Z$204:$Z$205,NOVIEMBRE!$Z$212:$Z$218,NOVIEMBRE!$Z$223:$Z$225,NOVIEMBRE!$Z$228:$Z$230,NOVIEMBRE!$Z$236:$Z$241,NOVIEMBRE!$Z$245:$Z$256</definedName>
    <definedName name="Compromisos_oct">OCTUBRE!$Z$17:$Z$19,OCTUBRE!$Z$21:$Z$33,OCTUBRE!$Z$36:$Z$41,OCTUBRE!$Z$45:$Z$48,OCTUBRE!$Z$50:$Z$55,OCTUBRE!$Z$59:$Z$61,OCTUBRE!$Z$66:$Z$68,OCTUBRE!$Z$70:$Z$81,OCTUBRE!$Z$84:$Z$88,OCTUBRE!$Z$92:$Z$95,OCTUBRE!$Z$97:$Z$102,OCTUBRE!$Z$106:$Z$108,OCTUBRE!$Z$115:$Z$121,OCTUBRE!$Z$124:$Z$139,OCTUBRE!$Z$142:$Z$143,OCTUBRE!$Z$148,OCTUBRE!$Z$150:$Z$153,OCTUBRE!$Z$156,OCTUBRE!$Z$158:$Z$168,OCTUBRE!$Z$173:$Z$174,OCTUBRE!$Z$177:$Z$183,OCTUBRE!$Z$186,OCTUBRE!$Z$188:$Z$191,OCTUBRE!$Z$196:$Z$202,OCTUBRE!$Z$204:$Z$205,OCTUBRE!$Z$212:$Z$218,OCTUBRE!$Z$223:$Z$225,OCTUBRE!$Z$228:$Z$230,OCTUBRE!$Z$236:$Z$241,OCTUBRE!$Z$245:$Z$256</definedName>
    <definedName name="Compromisos_sep">SEPTIEMBRE!$Z$17:$Z$19,SEPTIEMBRE!$Z$21:$Z$33,SEPTIEMBRE!$Z$36:$Z$41,SEPTIEMBRE!$Z$45:$Z$48,SEPTIEMBRE!$Z$50:$Z$55,SEPTIEMBRE!$Z$59:$Z$61,SEPTIEMBRE!$Z$66:$Z$68,SEPTIEMBRE!$Z$70:$Z$81,SEPTIEMBRE!$Z$84:$Z$88,SEPTIEMBRE!$Z$92:$Z$95,SEPTIEMBRE!$Z$97:$Z$102,SEPTIEMBRE!$Z$106:$Z$108,SEPTIEMBRE!$Z$115:$Z$121,SEPTIEMBRE!$Z$124:$Z$139,SEPTIEMBRE!$Z$142:$Z$143,SEPTIEMBRE!$Z$148,SEPTIEMBRE!$Z$150:$Z$153,SEPTIEMBRE!$Z$156,SEPTIEMBRE!$Z$158:$Z$168,SEPTIEMBRE!$Z$173:$Z$174,SEPTIEMBRE!$Z$177:$Z$183,SEPTIEMBRE!$Z$186,SEPTIEMBRE!$Z$188:$Z$191,SEPTIEMBRE!$Z$196:$Z$202,SEPTIEMBRE!$Z$204:$Z$205,SEPTIEMBRE!$Z$212:$Z$218,SEPTIEMBRE!$Z$223:$Z$225,SEPTIEMBRE!$Z$228:$Z$230,SEPTIEMBRE!$Z$236:$Z$241,SEPTIEMBRE!$Z$245:$Z$256</definedName>
    <definedName name="Obligaciones_abr">ABRIL!$AC$17:$AC$19,ABRIL!$AC$21:$AC$33,ABRIL!$AC$36:$AC$41,ABRIL!$AC$45:$AC$48,ABRIL!$AC$50:$AC$55,ABRIL!$AC$59:$AC$61,ABRIL!$AC$66:$AC$68,ABRIL!$AC$70:$AC$81,ABRIL!$AC$84:$AC$88,ABRIL!$AC$92:$AC$95,ABRIL!$AC$97:$AC$102,ABRIL!$AC$106:$AC$108,ABRIL!$AC$115:$AC$121,ABRIL!$AC$124:$AC$139,ABRIL!$AC$142:$AC$143,ABRIL!$AC$148,ABRIL!$AC$150:$AC$153,ABRIL!$AC$156,ABRIL!$AC$158:$AC$168,ABRIL!$AC$173:$AC$174,ABRIL!$AC$177:$AC$183,ABRIL!$AC$186,ABRIL!$AC$188:$AC$191,ABRIL!$AC$196:$AC$202,ABRIL!$AC$204:$AC$205,ABRIL!$AC$212:$AC$218,ABRIL!$AC$223:$AC$225,ABRIL!$AC$228:$AC$230,ABRIL!$AC$236:$AC$241,ABRIL!$AC$245:$AC$256</definedName>
    <definedName name="Obligaciones_ago">AGOSTO!$Z$17:$Z$19,AGOSTO!$Z$21:$Z$33,AGOSTO!$Z$36:$Z$41,AGOSTO!$Z$45:$Z$48,AGOSTO!$Z$50:$Z$55,AGOSTO!$Z$59:$Z$61,AGOSTO!$Z$66:$Z$68,AGOSTO!$Z$70:$Z$81,AGOSTO!$Z$84:$Z$88,AGOSTO!$Z$92:$Z$95,AGOSTO!$Z$97:$Z$102,AGOSTO!$Z$106:$Z$108,AGOSTO!$Z$115:$Z$121,AGOSTO!$Z$124:$Z$138,AGOSTO!$Z$138,AGOSTO!$Z$139,AGOSTO!$Z$142:$Z$143,AGOSTO!$Z$148,AGOSTO!$Z$150:$Z$153,AGOSTO!$Z$156,AGOSTO!$Z$158:$Z$168,AGOSTO!$Z$173:$Z$174,AGOSTO!$Z$177:$Z$183,AGOSTO!$Z$186,AGOSTO!$Z$188:$Z$191,AGOSTO!$Z$196:$Z$202,AGOSTO!$Z$204:$Z$205,AGOSTO!$Z$212:$Z$218,AGOSTO!$Z$223:$Z$225,AGOSTO!$Z$228:$Z$230,AGOSTO!$Z$236:$Z$241,AGOSTO!$Z$245:$Z$256</definedName>
    <definedName name="Obligaciones_dic">DICIEMBRE!$AC$17:$AC$19,DICIEMBRE!$AC$21:$AC$33,DICIEMBRE!$AC$36:$AC$41,DICIEMBRE!$AC$45:$AC$48,DICIEMBRE!$AC$50:$AC$55,DICIEMBRE!$AC$59:$AC$61,DICIEMBRE!$AC$66:$AC$68,DICIEMBRE!$AC$70:$AC$81,DICIEMBRE!$AC$84:$AC$88,DICIEMBRE!$AC$92:$AC$95,DICIEMBRE!$AC$97:$AC$102,DICIEMBRE!$AC$106:$AC$108,DICIEMBRE!$AC$115:$AC$121,DICIEMBRE!$AC$124:$AC$139,DICIEMBRE!$AC$142:$AC$143,DICIEMBRE!$AC$148,DICIEMBRE!$AC$150:$AC$153,DICIEMBRE!$AC$156,DICIEMBRE!$AC$158:$AC$168,DICIEMBRE!$AC$173:$AC$174,DICIEMBRE!$AC$177:$AC$183,DICIEMBRE!$AC$186,DICIEMBRE!$AC$188:$AC$191,DICIEMBRE!$AC$196:$AC$202,DICIEMBRE!$AC$204:$AC$205,DICIEMBRE!$AC$212:$AC$218,DICIEMBRE!$AC$223:$AC$225,DICIEMBRE!$AC$228:$AC$230,DICIEMBRE!$AC$236:$AC$241,DICIEMBRE!$AC$245:$AC$256</definedName>
    <definedName name="Obligaciones_ene">ENERO!$AC$17:$AC$19,ENERO!$AC$21:$AC$33,ENERO!$AC$36:$AC$41,ENERO!$AC$45:$AC$48,ENERO!$AC$50:$AC$55,ENERO!$AC$59:$AC$61,ENERO!$AC$66:$AC$68,ENERO!$AC$70:$AC$81,ENERO!$AC$84:$AC$88,ENERO!$AC$92:$AC$95,ENERO!$AC$97:$AC$102,ENERO!$AC$106:$AC$108,ENERO!$AC$115:$AC$121,ENERO!$AC$124:$AC$139,ENERO!$AC$142:$AC$143,ENERO!$AC$148,ENERO!$AC$150:$AC$153,ENERO!$AC$156,ENERO!$AC$158:$AC$168,ENERO!$AC$173:$AC$174,ENERO!$AC$177:$AC$183,ENERO!$AC$186,ENERO!$AC$188:$AC$191,ENERO!$AC$196:$AC$202,ENERO!$AC$204:$AC$205,ENERO!$AC$212:$AC$218,ENERO!$AC$223:$AC$225,ENERO!$AC$228:$AC$230,ENERO!$AC$236:$AC$241,ENERO!$AC$245:$AC$256</definedName>
    <definedName name="Obligaciones_feb">FEBRERO!$AC$17:$AC$19,FEBRERO!$AC$21:$AC$33,FEBRERO!$AC$36:$AC$41,FEBRERO!$AC$45:$AC$48,FEBRERO!$AC$50:$AC$55,FEBRERO!$AC$59:$AC$61,FEBRERO!$AC$66:$AC$68,FEBRERO!$AC$70:$AC$81,FEBRERO!$AC$84:$AC$88,FEBRERO!$AC$92:$AC$95,FEBRERO!$AC$97:$AC$102,FEBRERO!$AC$106:$AC$108,FEBRERO!$AC$115:$AC$121,FEBRERO!$AC$124:$AC$139,FEBRERO!$AC$142:$AC$143,FEBRERO!$AC$148,FEBRERO!$AC$150:$AC$153,FEBRERO!$AC$156,FEBRERO!$AC$158:$AC$168,FEBRERO!$AC$173:$AC$174,FEBRERO!$AC$177:$AC$183,FEBRERO!$AC$186,FEBRERO!$AC$188:$AC$191,FEBRERO!$AC$196:$AC$202,FEBRERO!$AC$204:$AC$205,FEBRERO!$AC$212:$AC$218,FEBRERO!$AC$223:$AC$225,FEBRERO!$AC$228:$AC$230,FEBRERO!$AC$236:$AC$241,FEBRERO!$AC$245:$AC$256</definedName>
    <definedName name="Obligaciones_jul">JULIO!$AC$17:$AC$19,JULIO!$AC$21:$AC$33,JULIO!$AC$36:$AC$41,JULIO!$AC$45:$AC$48,JULIO!$AC$50:$AC$55,JULIO!$AC$59:$AC$61,JULIO!$AC$66:$AC$68,JULIO!$AC$70:$AC$81,JULIO!$AC$84:$AC$88,JULIO!$AC$92:$AC$95,JULIO!$AC$97:$AC$102,JULIO!$AC$106:$AC$108,JULIO!$AC$115:$AC$121,JULIO!$AC$124:$AC$139,JULIO!$AC$142:$AC$143,JULIO!$AC$148,JULIO!$AC$150:$AC$153,JULIO!$AC$156,JULIO!$AC$158:$AC$168,JULIO!$AC$173:$AC$174,JULIO!$AC$177:$AC$183,JULIO!$AC$186,JULIO!$AC$188:$AC$191,JULIO!$AC$196:$AC$202,JULIO!$AC$204:$AC$205,JULIO!$AC$212:$AC$218,JULIO!$AC$223:$AC$225,JULIO!$AC$228:$AC$230,JULIO!$AC$236:$AC$241,JULIO!$AC$245:$AC$256</definedName>
    <definedName name="Obligaciones_jun">JUNIO!$AC$17:$AC$19,JUNIO!$AC$21:$AC$33,JUNIO!$AC$36:$AC$41,JUNIO!$AC$45:$AC$48,JUNIO!$AC$50:$AC$55,JUNIO!$AC$59:$AC$61,JUNIO!$AC$66:$AC$68,JUNIO!$AC$70:$AC$81,JUNIO!$AC$84:$AC$88,JUNIO!$AC$92:$AC$95,JUNIO!$AC$97:$AC$102,JUNIO!$AC$106:$AC$108,JUNIO!$AC$115:$AC$121,JUNIO!$AC$124:$AC$139,JUNIO!$AC$142:$AC$143,JUNIO!$AC$148,JUNIO!$AC$150:$AC$153,JUNIO!$AC$156,JUNIO!$AC$158:$AC$168,JUNIO!$AC$173:$AC$174,JUNIO!$AC$177:$AC$183,JUNIO!$AC$186,JUNIO!$AC$188:$AC$191,JUNIO!$AC$196:$AC$202,JUNIO!$AC$204:$AC$205,JUNIO!$AC$212:$AC$218,JUNIO!$AC$223:$AC$225,JUNIO!$AC$228:$AC$230,JUNIO!$AC$236:$AC$241,JUNIO!$AC$245:$AC$256</definedName>
    <definedName name="Obligaciones_mar">MARZO!$AC$17:$AC$19,MARZO!$AC$21:$AC$33,MARZO!$AC$36:$AC$41,MARZO!$AC$45:$AC$48,MARZO!$AC$50:$AC$55,MARZO!$AC$59:$AC$61,MARZO!$AC$66:$AC$68,MARZO!$AC$70:$AC$81,MARZO!$AC$84:$AC$88,MARZO!$AC$92:$AC$95,MARZO!$AC$97:$AC$102,MARZO!$AC$106:$AC$108,MARZO!$AC$115:$AC$121,MARZO!$AC$124:$AC$139,MARZO!$AC$142:$AC$143,MARZO!$AC$148,MARZO!$AC$150:$AC$153,MARZO!$AC$156,MARZO!$AC$158:$AC$168,MARZO!$AC$173:$AC$174,MARZO!$AC$177:$AC$183,MARZO!$AC$186,MARZO!$AC$188:$AC$191,MARZO!$AC$196:$AC$202,MARZO!$AC$204:$AC$205,MARZO!$AC$212:$AC$218,MARZO!$AC$223:$AC$225,MARZO!$AC$228:$AC$230,MARZO!$AC$236:$AC$241,MARZO!$AC$245:$AC$256</definedName>
    <definedName name="Obligaciones_may">MAYO!$AC$17:$AC$19,MAYO!$AC$21:$AC$33,MAYO!$AC$36:$AC$41,MAYO!$AC$45:$AC$48,MAYO!$AC$50:$AC$55,MAYO!$AC$59:$AC$61,MAYO!$AC$66:$AC$68,MAYO!$AC$70:$AC$81,MAYO!$AC$84:$AC$88,MAYO!$AC$92:$AC$95,MAYO!$AC$97:$AC$102,MAYO!$AC$106:$AC$108,MAYO!$AC$115:$AC$121,MAYO!$AC$124:$AC$139,MAYO!$AC$142:$AC$143,MAYO!$AC$148,MAYO!$AC$150:$AC$153,MAYO!$AC$156,MAYO!$AC$158:$AC$168,MAYO!$AC$173:$AC$174,MAYO!$AC$177:$AC$183,MAYO!$AC$186,MAYO!$AC$188:$AC$191,MAYO!$AC$196:$AC$202,MAYO!$AC$204:$AC$205,MAYO!$AC$212:$AC$218,MAYO!$AC$223:$AC$225,MAYO!$AC$228:$AC$230,MAYO!$AC$236:$AC$241,MAYO!$AC$245:$AC$256</definedName>
    <definedName name="Obligaciones_nov">NOVIEMBRE!$AC$17:$AC$19,NOVIEMBRE!$AC$21:$AC$33,NOVIEMBRE!$AC$36:$AC$41,NOVIEMBRE!$AC$45:$AC$48,NOVIEMBRE!$AC$50:$AC$55,NOVIEMBRE!$AC$59:$AC$61,NOVIEMBRE!$AC$66:$AC$68,NOVIEMBRE!$AC$70:$AC$81,NOVIEMBRE!$AC$84:$AC$88,NOVIEMBRE!$AC$92:$AC$95,NOVIEMBRE!$AC$97:$AC$102,NOVIEMBRE!$AC$106:$AC$108,NOVIEMBRE!$AC$115:$AC$121,NOVIEMBRE!$AC$124:$AC$139,NOVIEMBRE!$AC$142:$AC$143,NOVIEMBRE!$AC$148,NOVIEMBRE!$AC$150:$AC$153,NOVIEMBRE!$AC$156,NOVIEMBRE!$AC$158:$AC$168,NOVIEMBRE!$AC$173:$AC$174,NOVIEMBRE!$AC$177:$AC$183,NOVIEMBRE!$AC$186,NOVIEMBRE!$AC$188:$AC$191,NOVIEMBRE!$AC$196:$AC$202,NOVIEMBRE!$AC$204:$AC$205,NOVIEMBRE!$AC$212:$AC$218,NOVIEMBRE!$AC$223:$AC$225,NOVIEMBRE!$AC$228:$AC$230,NOVIEMBRE!$AC$236:$AC$241,NOVIEMBRE!$AC$245:$AC$256</definedName>
    <definedName name="Obligaciones_oct">OCTUBRE!$AC$17:$AC$19,OCTUBRE!$AC$21:$AC$33,OCTUBRE!$AC$36:$AC$41,OCTUBRE!$AC$45:$AC$48,OCTUBRE!$AC$50:$AC$55,OCTUBRE!$AC$59:$AC$61,OCTUBRE!$AC$66:$AC$68,OCTUBRE!$AC$70:$AC$81,OCTUBRE!$AC$84:$AC$88,OCTUBRE!$AC$92:$AC$95,OCTUBRE!$AC$97:$AC$102,OCTUBRE!$AC$106:$AC$108,OCTUBRE!$AC$115:$AC$121,OCTUBRE!$AC$124:$AC$139,OCTUBRE!$AC$142:$AC$143,OCTUBRE!$AC$148,OCTUBRE!$AC$150:$AC$153,OCTUBRE!$AC$156,OCTUBRE!$AC$158:$AC$168,OCTUBRE!$AC$173:$AC$174,OCTUBRE!$AC$177:$AC$183,OCTUBRE!$AC$186,OCTUBRE!$AC$188:$AC$191,OCTUBRE!$AC$196:$AC$202,OCTUBRE!$AC$204:$AC$205,OCTUBRE!$AC$212:$AC$218,OCTUBRE!$AC$223:$AC$225,OCTUBRE!$AC$228:$AC$230,OCTUBRE!$AC$236:$AC$241,OCTUBRE!$AC$245:$AC$256</definedName>
    <definedName name="Obligaciones_sep">SEPTIEMBRE!$AC$17:$AC$19,SEPTIEMBRE!$AC$21:$AC$33,SEPTIEMBRE!$AC$36:$AC$41,SEPTIEMBRE!$AC$45:$AC$48,SEPTIEMBRE!$AC$50:$AC$55,SEPTIEMBRE!$AC$59:$AC$61,SEPTIEMBRE!$AC$66:$AC$68,SEPTIEMBRE!$AC$70:$AC$81,SEPTIEMBRE!$AC$84:$AC$88,SEPTIEMBRE!$AC$92:$AC$95,SEPTIEMBRE!$AC$97:$AC$102,SEPTIEMBRE!$AC$106:$AC$108,SEPTIEMBRE!$AC$115:$AC$121,SEPTIEMBRE!$AC$124:$AC$139,SEPTIEMBRE!$AC$142:$AC$143,SEPTIEMBRE!$AC$148,SEPTIEMBRE!$AC$150:$AC$153,SEPTIEMBRE!$AC$156,SEPTIEMBRE!$AC$158:$AC$168,SEPTIEMBRE!$AC$173:$AC$174,SEPTIEMBRE!$AC$177:$AC$183,SEPTIEMBRE!$AC$186,SEPTIEMBRE!$AC$188:$AC$191,SEPTIEMBRE!$AC$196:$AC$202,SEPTIEMBRE!$AC$204:$AC$205,SEPTIEMBRE!$AC$212:$AC$218,SEPTIEMBRE!$AC$223:$AC$225,SEPTIEMBRE!$AC$228:$AC$230,SEPTIEMBRE!$AC$236:$AC$241,SEPTIEMBRE!$AC$245:$AC$256</definedName>
    <definedName name="Pagos_abr">ABRIL!$AF$17:$AF$19,ABRIL!$AF$21:$AF$33,ABRIL!$AF$36:$AF$41,ABRIL!$AF$45:$AF$48,ABRIL!$AF$50:$AF$55,ABRIL!$AF$59:$AF$61,ABRIL!$AF$66:$AF$68,ABRIL!$AF$70:$AF$81,ABRIL!$AF$84:$AF$88,ABRIL!$AF$92:$AF$95,ABRIL!$AF$97:$AF$102,ABRIL!$AF$106:$AF$108,ABRIL!$AF$115:$AF$121,ABRIL!$AF$124:$AF$139,ABRIL!$AF$142:$AF$143,ABRIL!$AF$148,ABRIL!$AF$150:$AF$153,ABRIL!$AF$156,ABRIL!$AF$158:$AF$168,ABRIL!$AF$173:$AF$174,ABRIL!$AF$177:$AF$183,ABRIL!$AF$186,ABRIL!$AF$188:$AF$191,ABRIL!$AF$196:$AF$202,ABRIL!$AF$204:$AF$205,ABRIL!$AF$212:$AF$218,ABRIL!$AF$223:$AF$225,ABRIL!$AF$228:$AF$230,ABRIL!$AF$236:$AF$241,ABRIL!$AF$245:$AF$256</definedName>
    <definedName name="Pagos_ago">AGOSTO!$AF$17:$AF$19,AGOSTO!$AF$21:$AF$33,AGOSTO!$AF$36:$AF$41,AGOSTO!$AF$45:$AF$48,AGOSTO!$AF$50:$AF$55,AGOSTO!$AF$59:$AF$61,AGOSTO!$AF$66:$AF$68,AGOSTO!$AF$70:$AF$81,AGOSTO!$AF$84:$AF$88,AGOSTO!$AF$92:$AF$95,AGOSTO!$AF$97:$AF$102,AGOSTO!$AF$106:$AF$108,AGOSTO!$AF$115:$AF$121,AGOSTO!$AF$124:$AF$139,AGOSTO!$AF$142:$AF$143,AGOSTO!$AF$148,AGOSTO!$AF$150:$AF$153,AGOSTO!$AF$156,AGOSTO!$AF$158:$AF$168,AGOSTO!$AF$173:$AF$174,AGOSTO!$AF$177:$AF$183,AGOSTO!$AF$186,AGOSTO!$AF$188:$AF$191,AGOSTO!$AF$196:$AF$202,AGOSTO!$AF$204:$AF$205,AGOSTO!$AF$212:$AF$218,AGOSTO!$AF$223:$AF$225,AGOSTO!$AF$228:$AF$230,AGOSTO!$AF$236:$AF$241,AGOSTO!$AF$245:$AF$256</definedName>
    <definedName name="Pagos_dic">DICIEMBRE!$AF$17:$AF$19,DICIEMBRE!$AF$21:$AF$33,DICIEMBRE!$AF$36:$AF$41,DICIEMBRE!$AF$45:$AF$48,DICIEMBRE!$AF$50:$AF$55,DICIEMBRE!$AF$59:$AF$61,DICIEMBRE!$AF$66:$AF$68,DICIEMBRE!$AF$70:$AF$81,DICIEMBRE!$AF$84:$AF$88,DICIEMBRE!$AF$92:$AF$95,DICIEMBRE!$AF$97:$AF$102,DICIEMBRE!$AF$106:$AF$108,DICIEMBRE!$AF$115:$AF$121,DICIEMBRE!$AF$124:$AF$139,DICIEMBRE!$AF$142:$AF$143,DICIEMBRE!$AF$148,DICIEMBRE!$AF$150:$AF$153,DICIEMBRE!$AF$156,DICIEMBRE!$AF$158:$AF$168,DICIEMBRE!$AF$173:$AF$174,DICIEMBRE!$AF$177:$AF$183,DICIEMBRE!$AF$186,DICIEMBRE!$AF$188:$AF$191,DICIEMBRE!$AF$196:$AF$202,DICIEMBRE!$AF$204:$AF$205,DICIEMBRE!$AF$212:$AF$218,DICIEMBRE!$AF$223:$AF$225,DICIEMBRE!$AF$228:$AF$230,DICIEMBRE!$AF$236:$AF$241,DICIEMBRE!$AF$245:$AF$256</definedName>
    <definedName name="Pagos_ene">ENERO!$AF$17:$AF$19,ENERO!$AF$21:$AF$33,ENERO!$AF$36:$AF$41,ENERO!$AF$45:$AF$48,ENERO!$AF$50:$AF$55,ENERO!$AF$59:$AF$61,ENERO!$AF$66:$AF$68,ENERO!$AF$70:$AF$81,ENERO!$AF$84:$AF$88,ENERO!$AF$92:$AF$95,ENERO!$AF$97:$AF$102,ENERO!$AF$106:$AF$108,ENERO!$AF$115:$AF$121,ENERO!$AF$124:$AF$139,ENERO!$AF$142:$AF$143,ENERO!$AF$148,ENERO!$AF$150:$AF$153,ENERO!$AF$156,ENERO!$AF$158:$AF$168,ENERO!$AF$173:$AF$174,ENERO!$AF$177:$AF$183,ENERO!$AF$186,ENERO!$AF$188:$AF$191,ENERO!$AF$196:$AF$202,ENERO!$AF$204:$AF$205,ENERO!$AF$212:$AF$218,ENERO!$AF$223:$AF$225,ENERO!$AF$228:$AF$230,ENERO!$AF$236:$AF$241,ENERO!$AF$245:$AF$256</definedName>
    <definedName name="Pagos_feb">FEBRERO!$AF$17:$AF$19,FEBRERO!$AF$21:$AF$33,FEBRERO!$AF$36:$AF$41,FEBRERO!$AF$45:$AF$48,FEBRERO!$AF$50:$AF$55,FEBRERO!$AF$59:$AF$61,FEBRERO!$AF$66:$AF$68,FEBRERO!$AF$70:$AF$81,FEBRERO!$AF$84:$AF$88,FEBRERO!$AF$92:$AF$95,FEBRERO!$AF$97:$AF$102,FEBRERO!$AF$106:$AF$108,FEBRERO!$AF$115:$AF$121,FEBRERO!$AF$124:$AF$139,FEBRERO!$AF$142:$AF$143,FEBRERO!$AF$148,FEBRERO!$AF$150:$AF$153,FEBRERO!$AF$156,FEBRERO!$AF$158:$AF$168,FEBRERO!$AF$173:$AF$174,FEBRERO!$AF$177:$AF$183,FEBRERO!$AF$186,FEBRERO!$AF$188:$AF$191,FEBRERO!$AF$196:$AF$202,FEBRERO!$AF$204:$AF$205,FEBRERO!$AF$212:$AF$218,FEBRERO!$AF$223:$AF$225,FEBRERO!$AF$228:$AF$230,FEBRERO!$AF$236:$AF$241,FEBRERO!$AF$245:$AF$256</definedName>
    <definedName name="Pagos_jul">JULIO!$AF$17:$AF$19,JULIO!$AF$21:$AF$33,JULIO!$AF$36:$AF$41,JULIO!$AF$45:$AF$48,JULIO!$AF$50:$AF$55,JULIO!$AF$59:$AF$61,JULIO!$AF$66:$AF$68,JULIO!$AF$70:$AF$81,JULIO!$AF$84:$AF$88,JULIO!$AF$92:$AF$95,JULIO!$AF$97:$AF$102,JULIO!$AF$106:$AF$108,JULIO!$AF$115:$AF$121,JULIO!$AF$124:$AF$139,JULIO!$AF$142:$AF$143,JULIO!$AF$148,JULIO!$AF$150:$AF$153,JULIO!$AF$156,JULIO!$AF$158:$AF$168,JULIO!$AF$173:$AF$174,JULIO!$AF$177:$AF$183,JULIO!$AF$186,JULIO!$AF$188:$AF$191,JULIO!$AF$196:$AF$202,JULIO!$AF$204:$AF$205,JULIO!$AF$212:$AF$218,JULIO!$AF$223:$AF$225,JULIO!$AF$228:$AF$230,JULIO!$AF$236:$AF$241,JULIO!$AF$245:$AF$256</definedName>
    <definedName name="Pagos_jun">JUNIO!$AF$17:$AF$19,JUNIO!$AF$21:$AF$33,JUNIO!$AF$36:$AF$41,JUNIO!$AF$45:$AF$48,JUNIO!$AF$50:$AF$55,JUNIO!$AF$59:$AF$61,JUNIO!$AF$66:$AF$68,JUNIO!$AF$70:$AF$81,JUNIO!$AF$84:$AF$88,JUNIO!$AF$92:$AF$95,JUNIO!$AF$97:$AF$102,JUNIO!$AF$106:$AF$108,JUNIO!$AF$115:$AF$121,JUNIO!$AF$124:$AF$139,JUNIO!$AF$142:$AF$143,JUNIO!$AF$148,JUNIO!$AF$150:$AF$153,JUNIO!$AF$156,JUNIO!$AF$158:$AF$168,JUNIO!$AF$173:$AF$174,JUNIO!$AF$177:$AF$183,JUNIO!$AF$186,JUNIO!$AF$188:$AF$191,JUNIO!$AF$196:$AF$202,JUNIO!$AF$204:$AF$205,JUNIO!$AF$212:$AF$218,JUNIO!$AF$223:$AF$225,JUNIO!$AF$228:$AF$230,JUNIO!$AF$236:$AF$241,JUNIO!$AF$245:$AF$256</definedName>
    <definedName name="Pagos_mar">MARZO!$AF$17:$AF$19,MARZO!$AF$21:$AF$33,MARZO!$AF$36:$AF$41,MARZO!$AF$45:$AF$48,MARZO!$AF$50:$AF$55,MARZO!$AF$59:$AF$61,MARZO!$AF$66:$AF$68,MARZO!$AF$70:$AF$81,MARZO!$AF$84:$AF$88,MARZO!$AF$92:$AF$95,MARZO!$AF$97:$AF$102,MARZO!$AF$106:$AF$108,MARZO!$AF$115:$AF$121,MARZO!$AF$124:$AF$139,MARZO!$AF$142:$AF$143,MARZO!$AF$148,MARZO!$AF$150:$AF$153,MARZO!$AF$156,MARZO!$AF$158:$AF$168,MARZO!$AF$173:$AF$174,MARZO!$AF$177:$AF$183,MARZO!$AF$186,MARZO!$AF$188:$AF$191,MARZO!$AF$196:$AF$202,MARZO!$AF$204:$AF$205,MARZO!$AF$212:$AF$218,MARZO!$AF$223:$AF$225,MARZO!$AF$228:$AF$230,MARZO!$AF$236:$AF$241,MARZO!$AF$245:$AF$256</definedName>
    <definedName name="Pagos_may">MAYO!$AF$17:$AF$19,MAYO!$AF$21:$AF$33,MAYO!$AF$36:$AF$41,MAYO!$AF$45:$AF$48,MAYO!$AF$50:$AF$55,MAYO!$AF$59:$AF$61,MAYO!$AF$66:$AF$68,MAYO!$AF$70:$AF$81,MAYO!$AF$84:$AF$88,MAYO!$AF$92:$AF$95,MAYO!$AF$97:$AF$102,MAYO!$AF$106:$AF$108,MAYO!$AF$115:$AF$121,MAYO!$AF$124:$AF$139,MAYO!$AF$142:$AF$143,MAYO!$AF$148,MAYO!$AF$150:$AF$153,MAYO!$AF$156,MAYO!$AF$158:$AF$168,MAYO!$AF$173:$AF$174,MAYO!$AF$177:$AF$183,MAYO!$AF$186,MAYO!$AF$188:$AF$191,MAYO!$AF$196:$AF$202,MAYO!$AF$204:$AF$205,MAYO!$AF$212:$AF$218,MAYO!$AF$223:$AF$225,MAYO!$AF$228:$AF$230,MAYO!$AF$236:$AF$241,MAYO!$AF$245:$AF$256</definedName>
    <definedName name="Pagos_nov">NOVIEMBRE!$AF$17:$AF$19,NOVIEMBRE!$AF$21:$AF$33,NOVIEMBRE!$AF$36:$AF$41,NOVIEMBRE!$AF$45:$AF$48,NOVIEMBRE!$AF$50:$AF$55,NOVIEMBRE!$AF$59:$AF$61,NOVIEMBRE!$AF$66:$AF$68,NOVIEMBRE!$AF$70:$AF$81,NOVIEMBRE!$AF$84:$AF$88,NOVIEMBRE!$AF$92:$AF$95,NOVIEMBRE!$AF$97:$AF$102,NOVIEMBRE!$AF$106:$AF$108,NOVIEMBRE!$AF$115:$AF$121,NOVIEMBRE!$AF$124:$AF$139,NOVIEMBRE!$AF$142:$AF$143,NOVIEMBRE!$AF$148,NOVIEMBRE!$AF$150:$AF$153,NOVIEMBRE!$AF$156,NOVIEMBRE!$AF$158:$AF$168,NOVIEMBRE!$AF$173:$AF$174,NOVIEMBRE!$AF$177:$AF$183,NOVIEMBRE!$AF$186,NOVIEMBRE!$AF$188:$AF$191,NOVIEMBRE!$AF$196:$AF$202,NOVIEMBRE!$AF$204:$AF$205,NOVIEMBRE!$AF$212:$AF$218,NOVIEMBRE!$AF$223:$AF$225,NOVIEMBRE!$AF$228:$AF$230,NOVIEMBRE!$AF$236:$AF$241,NOVIEMBRE!$AF$245:$AF$256</definedName>
    <definedName name="Pagos_oct">OCTUBRE!$AF$17:$AF$19,OCTUBRE!$AF$21:$AF$33,OCTUBRE!$AF$36:$AF$41,OCTUBRE!$AF$45:$AF$48,OCTUBRE!$AF$50:$AF$55,OCTUBRE!$AF$59:$AF$61,OCTUBRE!$AF$66:$AF$68,OCTUBRE!$AF$70:$AF$81,OCTUBRE!$AF$84:$AF$88,OCTUBRE!$AF$92:$AF$95,OCTUBRE!$AF$97:$AF$102,OCTUBRE!$AF$106:$AF$108,OCTUBRE!$AF$115:$AF$121,OCTUBRE!$AF$124:$AF$139,OCTUBRE!$AF$142:$AF$143,OCTUBRE!$AF$148,OCTUBRE!$AF$150:$AF$153,OCTUBRE!$AF$156,OCTUBRE!$AF$158:$AF$168,OCTUBRE!$AF$173:$AF$174,OCTUBRE!$AF$177:$AF$183,OCTUBRE!$AF$186,OCTUBRE!$AF$188:$AF$191,OCTUBRE!$AF$196:$AF$202,OCTUBRE!$AF$204:$AF$205,OCTUBRE!$AF$212:$AF$218,OCTUBRE!$AF$223:$AF$225,OCTUBRE!$AF$228:$AF$230,OCTUBRE!$AF$236:$AF$241,OCTUBRE!$AF$245:$AF$256</definedName>
    <definedName name="Pagos_sep">SEPTIEMBRE!$AF$17:$AF$19,SEPTIEMBRE!$AF$21:$AF$33,SEPTIEMBRE!$AF$36:$AF$41,SEPTIEMBRE!$AF$45:$AF$48,SEPTIEMBRE!$AF$50:$AF$55,SEPTIEMBRE!$AF$59:$AF$61,SEPTIEMBRE!$AF$66:$AF$68,SEPTIEMBRE!$AF$70:$AF$81,SEPTIEMBRE!$AF$84:$AF$88,SEPTIEMBRE!$AF$92:$AF$95,SEPTIEMBRE!$AF$97:$AF$102,SEPTIEMBRE!$AF$106:$AF$108,SEPTIEMBRE!$AF$115:$AF$121,SEPTIEMBRE!$AF$124:$AF$139,SEPTIEMBRE!$AF$142:$AF$143,SEPTIEMBRE!$AF$148,SEPTIEMBRE!$AF$150:$AF$153,SEPTIEMBRE!$AF$156,SEPTIEMBRE!$AF$158:$AF$168,SEPTIEMBRE!$AF$173:$AF$174,SEPTIEMBRE!$AF$177:$AF$183,SEPTIEMBRE!$AF$186,SEPTIEMBRE!$AF$188:$AF$191,SEPTIEMBRE!$AF$196:$AF$202,SEPTIEMBRE!$AF$204:$AF$205,SEPTIEMBRE!$AF$212:$AF$218,SEPTIEMBRE!$AF$223:$AF$225,SEPTIEMBRE!$AF$228:$AF$230,SEPTIEMBRE!$AF$236:$AF$241,SEPTIEMBRE!$AF$245:$AF$256</definedName>
    <definedName name="Presupuesto_inicial_gastos">ENERO!$U$17:$U$19,ENERO!$U$21:$U$33,ENERO!$U$36:$U$41,ENERO!$U$45:$U$48,ENERO!$U$50:$U$56,ENERO!$U$59:$U$61,ENERO!$U$66:$U$68,ENERO!$U$70:$U$81,ENERO!$U$84:$U$88,ENERO!$U$92:$U$95,ENERO!$U$97:$U$102,ENERO!$U$106:$U$108,ENERO!$U$115:$U$121,ENERO!$U$124:$U$139,ENERO!$U$142:$U$143,ENERO!$U$148,ENERO!$U$150:$U$153,ENERO!$U$156,ENERO!$U$158:$U$168,ENERO!$U$173:$U$174,ENERO!$U$177:$U$183,ENERO!$U$186,ENERO!$U$188:$U$191,ENERO!$U$196:$U$202,ENERO!$U$204:$U$205,ENERO!$U$212:$U$218,ENERO!$U$223:$U$225,ENERO!$U$228:$U$230,ENERO!$U$236:$U$241,ENERO!$U$245:$U$256</definedName>
    <definedName name="Presupuesto_inicial_ingresos">ENERO!$C$12:$C$15,ENERO!$C$23:$C$24,ENERO!$C$26:$C$27,ENERO!$C$30:$C$31,ENERO!$C$33:$C$34,ENERO!$C$36:$C$41,ENERO!$C$43:$C$44,ENERO!$C$46:$C$47,ENERO!$C$49:$C$50,ENERO!$C$52:$C$53,ENERO!$C$55:$C$56,ENERO!$C$58:$C$59,ENERO!$C$61:$C$62,ENERO!$C$64:$C$65,ENERO!$C$67:$C$68,ENERO!$C$70:$C$71,ENERO!$C$73:$C$74,ENERO!$C$76:$C$77,ENERO!$C$79:$C$80,ENERO!$C$82:$C$83,ENERO!$C$86:$C$92,ENERO!$C$94:$C$97,ENERO!$C$100:$C$106,ENERO!$C$109:$C$117</definedName>
    <definedName name="Recaudos_abr">ABRIL!$K$109:$K$117,ABRIL!$K$100:$K$106,ABRIL!$K$93:$K$97,ABRIL!$K$86:$K$92,ABRIL!$K$82:$K$83,ABRIL!$K$79:$K$80,ABRIL!$K$76:$K$77,ABRIL!$K$73:$K$74,ABRIL!$K$70:$K$71,ABRIL!$K$67:$K$68,ABRIL!$K$64:$K$65,ABRIL!$K$61:$K$62,ABRIL!$K$58:$K$59,ABRIL!$K$55:$K$56,ABRIL!$K$52:$K$53,ABRIL!$K$49:$K$50,ABRIL!$K$46:$K$47,ABRIL!$K$43:$K$44,ABRIL!$K$36:$K$41,ABRIL!$K$33:$K$34,ABRIL!$K$30:$K$31,ABRIL!$K$26:$K$27,ABRIL!$K$23:$K$24</definedName>
    <definedName name="Recaudos_ago">AGOSTO!$K$109:$K$117,AGOSTO!$K$100:$K$106,AGOSTO!$K$93:$K$97,AGOSTO!$K$86:$K$92,AGOSTO!$K$82:$K$83,AGOSTO!$K$79:$K$80,AGOSTO!$K$76:$K$77,AGOSTO!$K$73:$K$74,AGOSTO!$K$70:$K$71,AGOSTO!$K$67:$K$68,AGOSTO!$K$64:$K$65,AGOSTO!$K$61:$K$62,AGOSTO!$K$58:$K$59,AGOSTO!$K$55:$K$56,AGOSTO!$K$52:$K$53,AGOSTO!$K$49:$K$50,AGOSTO!$K$46:$K$47,AGOSTO!$K$43:$K$44,AGOSTO!$K$36:$K$41,AGOSTO!$K$33:$K$34,AGOSTO!$K$30:$K$31,AGOSTO!$K$26:$K$27,AGOSTO!$K$23:$K$24</definedName>
    <definedName name="Recaudos_dic">DICIEMBRE!$K$109:$K$117,DICIEMBRE!$K$100:$K$106,DICIEMBRE!$K$93:$K$97,DICIEMBRE!$K$86:$K$92,DICIEMBRE!$K$82:$K$83,DICIEMBRE!$K$79:$K$80,DICIEMBRE!$K$76:$K$77,DICIEMBRE!$K$73:$K$74,DICIEMBRE!$K$70:$K$71,DICIEMBRE!$K$67:$K$68,DICIEMBRE!$K$64:$K$65,DICIEMBRE!$K$61:$K$62,DICIEMBRE!$K$58:$K$59,DICIEMBRE!$K$55:$K$56,DICIEMBRE!$K$52:$K$53,DICIEMBRE!$K$49:$K$50,DICIEMBRE!$K$46:$K$47,DICIEMBRE!$K$43:$K$44,DICIEMBRE!$K$36:$K$41,DICIEMBRE!$K$33:$K$34,DICIEMBRE!$K$30:$K$31,DICIEMBRE!$K$26:$K$27,DICIEMBRE!$K$23:$K$24</definedName>
    <definedName name="Recaudos_ene">ENERO!$K$109:$K$117,ENERO!$K$100:$K$106,ENERO!$K$93:$K$97,ENERO!$K$86:$K$92,ENERO!$K$82:$K$83,ENERO!$K$79:$K$80,ENERO!$K$76:$K$77,ENERO!$K$73:$K$74,ENERO!$K$70:$K$71,ENERO!$K$67:$K$68,ENERO!$K$64:$K$65,ENERO!$K$61:$K$62,ENERO!$K$58:$K$59,ENERO!$K$55:$K$56,ENERO!$K$52:$K$53,ENERO!$K$49:$K$50,ENERO!$K$46:$K$47,ENERO!$K$43:$K$44,ENERO!$K$36:$K$41,ENERO!$K$33:$K$34,ENERO!$K$30:$K$31,ENERO!$K$26:$K$27,ENERO!$K$23:$K$24</definedName>
    <definedName name="Recaudos_feb">FEBRERO!$K$109:$K$117,FEBRERO!$K$100:$K$106,FEBRERO!$K$93:$K$97,FEBRERO!$K$86:$K$92,FEBRERO!$K$82:$K$83,FEBRERO!$K$79:$K$80,FEBRERO!$K$76:$K$77,FEBRERO!$K$73:$K$74,FEBRERO!$K$70:$K$71,FEBRERO!$K$67:$K$68,FEBRERO!$K$64:$K$65,FEBRERO!$K$61:$K$62,FEBRERO!$K$58:$K$59,FEBRERO!$K$55:$K$56,FEBRERO!$K$52:$K$53,FEBRERO!$K$49:$K$50,FEBRERO!$K$46:$K$47,FEBRERO!$K$43:$K$44,FEBRERO!$K$36:$K$41,FEBRERO!$K$33:$K$34,FEBRERO!$K$30:$K$31,FEBRERO!$K$26:$K$27,FEBRERO!$K$23:$K$24</definedName>
    <definedName name="Recaudos_jul">JULIO!$K$109:$K$117,JULIO!$K$100:$K$106,JULIO!$K$93:$K$97,JULIO!$K$86:$K$92,JULIO!$K$82:$K$83,JULIO!$K$79:$K$80,JULIO!$K$76:$K$77,JULIO!$K$73:$K$74,JULIO!$K$70:$K$71,JULIO!$K$67:$K$68,JULIO!$K$64:$K$65,JULIO!$K$61:$K$62,JULIO!$K$58:$K$59,JULIO!$K$55:$K$56,JULIO!$K$52:$K$53,JULIO!$K$49:$K$50,JULIO!$K$46:$K$47,JULIO!$K$43:$K$44,JULIO!$K$36:$K$41,JULIO!$K$33:$K$34,JULIO!$K$30:$K$31,JULIO!$K$26:$K$27,JULIO!$K$23:$K$24</definedName>
    <definedName name="Recaudos_jun">JUNIO!$K$109:$K$117,JUNIO!$K$100:$K$106,JUNIO!$K$93:$K$97,JUNIO!$K$86:$K$92,JUNIO!$K$82:$K$83,JUNIO!$K$79:$K$80,JUNIO!$K$76:$K$77,JUNIO!$K$73:$K$74,JUNIO!$K$70:$K$71,JUNIO!$K$67:$K$68,JUNIO!$K$64:$K$65,JUNIO!$K$61:$K$62,JUNIO!$K$58:$K$59,JUNIO!$K$55:$K$56,JUNIO!$K$52:$K$53,JUNIO!$K$49:$K$50,JUNIO!$K$46:$K$47,JUNIO!$K$43:$K$44,JUNIO!$K$36:$K$41,JUNIO!$K$33:$K$34,JUNIO!$K$30:$K$31,JUNIO!$K$26:$K$27,JUNIO!$K$23:$K$24</definedName>
    <definedName name="Recaudos_mar">MARZO!$K$109:$K$117,MARZO!$K$100:$K$106,MARZO!$K$93:$K$97,MARZO!$K$86:$K$92,MARZO!$K$82:$K$83,MARZO!$K$79:$K$80,MARZO!$K$76:$K$77,MARZO!$K$73:$K$74,MARZO!$K$70:$K$71,MARZO!$K$67:$K$68,MARZO!$K$64:$K$65,MARZO!$K$61:$K$62,MARZO!$K$58:$K$59,MARZO!$K$55:$K$56,MARZO!$K$52:$K$53,MARZO!$K$49:$K$50,MARZO!$K$46:$K$47,MARZO!$K$43:$K$44,MARZO!$K$36:$K$41,MARZO!$K$33:$K$34,MARZO!$K$30:$K$31,MARZO!$K$26:$K$27,MARZO!$K$23:$K$24</definedName>
    <definedName name="Recaudos_may">MAYO!$K$109:$K$117,MAYO!$K$100:$K$106,MAYO!$K$93:$K$97,MAYO!$K$86:$K$92,MAYO!$K$82:$K$83,MAYO!$K$79:$K$80,MAYO!$K$76:$K$77,MAYO!$K$73:$K$74,MAYO!$K$70:$K$71,MAYO!$K$67:$K$68,MAYO!$K$64:$K$65,MAYO!$K$61:$K$62,MAYO!$K$58:$K$59,MAYO!$K$55:$K$56,MAYO!$K$52:$K$53,MAYO!$K$49:$K$50,MAYO!$K$46:$K$47,MAYO!$K$43:$K$44,MAYO!$K$36:$K$41,MAYO!$K$33:$K$34,MAYO!$K$30:$K$31,MAYO!$K$26:$K$27,MAYO!$K$23:$K$24</definedName>
    <definedName name="Recaudos_nov">NOVIEMBRE!$K$109:$K$117,NOVIEMBRE!$K$100:$K$106,NOVIEMBRE!$K$93:$K$97,NOVIEMBRE!$K$86:$K$92,NOVIEMBRE!$K$82:$K$83,NOVIEMBRE!$K$79:$K$80,NOVIEMBRE!$K$76:$K$77,NOVIEMBRE!$K$73:$K$74,NOVIEMBRE!$K$70:$K$71,NOVIEMBRE!$K$67:$K$68,NOVIEMBRE!$K$64:$K$65,NOVIEMBRE!$K$61:$K$62,NOVIEMBRE!$K$58:$K$59,NOVIEMBRE!$K$55:$K$56,NOVIEMBRE!$K$52:$K$53,NOVIEMBRE!$K$49:$K$50,NOVIEMBRE!$K$46:$K$47,NOVIEMBRE!$K$43:$K$44,NOVIEMBRE!$K$36:$K$41,NOVIEMBRE!$K$33:$K$34,NOVIEMBRE!$K$30:$K$31,NOVIEMBRE!$K$26:$K$27,NOVIEMBRE!$K$23:$K$24</definedName>
    <definedName name="Recaudos_oct">OCTUBRE!$K$109:$K$117,OCTUBRE!$K$100:$K$106,OCTUBRE!$K$93:$K$97,OCTUBRE!$K$86:$K$92,OCTUBRE!$K$82:$K$83,OCTUBRE!$K$79:$K$80,OCTUBRE!$K$76:$K$77,OCTUBRE!$K$73:$K$74,OCTUBRE!$K$70:$K$71,OCTUBRE!$K$67:$K$68,OCTUBRE!$K$64:$K$65,OCTUBRE!$K$61:$K$62,OCTUBRE!$K$58:$K$59,OCTUBRE!$K$55:$K$56,OCTUBRE!$K$52:$K$53,OCTUBRE!$K$49:$K$50,OCTUBRE!$K$46:$K$47,OCTUBRE!$K$43:$K$44,OCTUBRE!$K$36:$K$41,OCTUBRE!$K$33:$K$34,OCTUBRE!$K$30:$K$31,OCTUBRE!$K$26:$K$27,OCTUBRE!$K$23:$K$24</definedName>
    <definedName name="Recaudos_sep">SEPTIEMBRE!$K$109:$K$117,SEPTIEMBRE!$K$100:$K$106,SEPTIEMBRE!$K$93:$K$97,SEPTIEMBRE!$K$86:$K$92,SEPTIEMBRE!$K$82:$K$83,SEPTIEMBRE!$K$79:$K$80,SEPTIEMBRE!$K$76:$K$77,SEPTIEMBRE!$K$73:$K$74,SEPTIEMBRE!$K$70:$K$71,SEPTIEMBRE!$K$67:$K$68,SEPTIEMBRE!$K$64:$K$65,SEPTIEMBRE!$K$61:$K$62,SEPTIEMBRE!$K$58:$K$59,SEPTIEMBRE!$K$55:$K$56,SEPTIEMBRE!$K$52:$K$53,SEPTIEMBRE!$K$49:$K$50,SEPTIEMBRE!$K$46:$K$47,SEPTIEMBRE!$K$43:$K$44,SEPTIEMBRE!$K$36:$K$41,SEPTIEMBRE!$K$33:$K$34,SEPTIEMBRE!$K$30:$K$31,SEPTIEMBRE!$K$26:$K$27,SEPTIEMBRE!$K$23:$K$24</definedName>
    <definedName name="Reconocimiento_dispon_inicial_ene">ENERO!$H$12:$H$15</definedName>
    <definedName name="Reconocimiento_dispon_inicial_feb">FEBRERO!$H$12:$H$15</definedName>
    <definedName name="Reconocimiento_dispon_inicial_mar">MARZO!$H$12:$H$15</definedName>
    <definedName name="Reconocimientos_abr">ABRIL!$H$23:$H$24,ABRIL!$H$26:$H$27,ABRIL!$H$30:$H$31,ABRIL!$H$33:$H$34,ABRIL!$H$36:$H$41,ABRIL!$H$43:$H$44,ABRIL!$H$46:$H$47,ABRIL!$H$49:$H$50,ABRIL!$H$52:$H$53,ABRIL!$H$55:$H$56,ABRIL!$H$58:$H$59,ABRIL!$H$61:$H$62,ABRIL!$H$64:$H$65,ABRIL!$H$67:$H$68,ABRIL!$H$70:$H$71,ABRIL!$H$73:$H$74,ABRIL!$H$76:$H$77,ABRIL!$H$79:$H$80,ABRIL!$H$82:$H$83,ABRIL!$H$86:$H$92,ABRIL!$H$94:$H$97,ABRIL!$H$100:$H$106,ABRIL!$H$109:$H$117</definedName>
    <definedName name="Reconocimientos_ago">AGOSTO!$H$23:$H$24,AGOSTO!$H$26:$H$27,AGOSTO!$H$30:$H$31,AGOSTO!$H$33:$H$34,AGOSTO!$H$36:$H$41,AGOSTO!$H$43:$H$44,AGOSTO!$H$46:$H$47,AGOSTO!$H$49:$H$50,AGOSTO!$H$52:$H$53,AGOSTO!$H$55:$H$56,AGOSTO!$H$58:$H$59,AGOSTO!$H$61:$H$62,AGOSTO!$H$64:$H$65,AGOSTO!$H$67:$H$68,AGOSTO!$H$70:$H$71,AGOSTO!$H$73:$H$74,AGOSTO!$H$76:$H$77,AGOSTO!$H$79:$H$80,AGOSTO!$H$82:$H$83,AGOSTO!$H$86:$H$92,AGOSTO!$H$94:$H$97,AGOSTO!$H$100:$H$106,AGOSTO!$H$109:$H$117</definedName>
    <definedName name="Reconocimientos_dic">DICIEMBRE!$H$23:$H$24,DICIEMBRE!$H$26:$H$27,DICIEMBRE!$H$30:$H$31,DICIEMBRE!$H$33:$H$34,DICIEMBRE!$H$36:$H$41,DICIEMBRE!$H$43:$H$44,DICIEMBRE!$H$46:$H$47,DICIEMBRE!$H$49:$H$50,DICIEMBRE!$H$52:$H$53,DICIEMBRE!$H$55:$H$56,DICIEMBRE!$H$58:$H$59,DICIEMBRE!$H$61:$H$62,DICIEMBRE!$H$64:$H$65,DICIEMBRE!$H$67:$H$68,DICIEMBRE!$H$70:$H$71,DICIEMBRE!$H$73:$H$74,DICIEMBRE!$H$76:$H$77,DICIEMBRE!$H$79:$H$80,DICIEMBRE!$H$82:$H$83,DICIEMBRE!$H$86:$H$92,DICIEMBRE!$H$94:$H$97,DICIEMBRE!$H$100:$H$106,DICIEMBRE!$H$109:$H$117</definedName>
    <definedName name="Reconocimientos_ene">ENERO!$H$23:$H$24,ENERO!$H$26:$H$27,ENERO!$H$30:$H$31,ENERO!$H$33:$H$34,ENERO!$H$36:$H$41,ENERO!$H$43:$H$44,ENERO!$H$46:$H$47,ENERO!$H$49:$H$50,ENERO!$H$52:$H$53,ENERO!$H$55:$H$56,ENERO!$H$58:$H$59,ENERO!$H$61:$H$62,ENERO!$H$64:$H$65,ENERO!$H$67:$H$68,ENERO!$H$70:$H$71,ENERO!$H$73:$H$74,ENERO!$H$76:$H$77,ENERO!$H$79:$H$80,ENERO!$H$82:$H$83,ENERO!$H$86:$H$92,ENERO!$H$94:$H$97,ENERO!$H$100:$H$106,ENERO!$H$109:$H$117</definedName>
    <definedName name="Reconocimientos_feb">FEBRERO!$H$23:$H$24,FEBRERO!$H$26:$H$27,FEBRERO!$H$30:$H$31,FEBRERO!$H$33:$H$34,FEBRERO!$H$36:$H$41,FEBRERO!$H$43:$H$44,FEBRERO!$H$46:$H$47,FEBRERO!$H$49:$H$50,FEBRERO!$H$52:$H$53,FEBRERO!$H$55:$H$56,FEBRERO!$H$58:$H$59,FEBRERO!$H$61:$H$62,FEBRERO!$H$64:$H$65,FEBRERO!$H$67:$H$68,FEBRERO!$H$70:$H$71,FEBRERO!$H$73:$H$74,FEBRERO!$H$76:$H$77,FEBRERO!$H$79:$H$80,FEBRERO!$H$82:$H$83,FEBRERO!$H$86:$H$92,FEBRERO!$H$94:$H$97,FEBRERO!$H$100:$H$106,FEBRERO!$H$109:$H$117</definedName>
    <definedName name="Reconocimientos_jul">JULIO!$H$23:$H$24,JULIO!$H$26:$H$27,JULIO!$H$30:$H$31,JULIO!$H$33:$H$34,JULIO!$H$36:$H$41,JULIO!$H$43:$H$44,JULIO!$H$46:$H$47,JULIO!$H$49:$H$50,JULIO!$H$52:$H$53,JULIO!$H$55:$H$56,JULIO!$H$58:$H$59,JULIO!$H$61:$H$62,JULIO!$H$64:$H$65,JULIO!$H$67:$H$68,JULIO!$H$70:$H$71,JULIO!$H$73:$H$74,JULIO!$H$76:$H$77,JULIO!$H$79:$H$80,JULIO!$H$82:$H$83,JULIO!$H$86:$H$92,JULIO!$H$94:$H$97,JULIO!$H$100:$H$106,JULIO!$H$109:$H$117</definedName>
    <definedName name="Reconocimientos_jun">JUNIO!$H$23:$H$24,JUNIO!$H$26:$H$27,JUNIO!$H$30:$H$31,JUNIO!$H$33:$H$34,JUNIO!$H$36:$H$41,JUNIO!$H$43:$H$44,JUNIO!$H$46:$H$47,JUNIO!$H$49:$H$50,JUNIO!$H$52:$H$53,JUNIO!$H$55:$H$56,JUNIO!$H$58:$H$59,JUNIO!$H$61:$H$62,JUNIO!$H$64:$H$65,JUNIO!$H$67:$H$68,JUNIO!$H$70:$H$71,JUNIO!$H$73:$H$74,JUNIO!$H$76:$H$77,JUNIO!$H$79:$H$80,JUNIO!$H$82:$H$83,JUNIO!$H$86:$H$92,JUNIO!$H$94:$H$97,JUNIO!$H$100:$H$106,JUNIO!$H$109:$H$117</definedName>
    <definedName name="Reconocimientos_mar">MARZO!$H$23:$H$24,MARZO!$H$26:$H$27,MARZO!$H$30:$H$31,MARZO!$H$33:$H$34,MARZO!$H$36:$H$41,MARZO!$H$43:$H$44,MARZO!$H$46:$H$47,MARZO!$H$49:$H$50,MARZO!$H$52:$H$53,MARZO!$H$55:$H$56,MARZO!$H$58:$H$59,MARZO!$H$61:$H$62,MARZO!$H$64:$H$65,MARZO!$H$67:$H$68,MARZO!$H$70:$H$71,MARZO!$H$73:$H$74,MARZO!$H$76:$H$77,MARZO!$H$79:$H$80,MARZO!$H$82:$H$83,MARZO!$H$86:$H$92,MARZO!$H$94:$H$97,MARZO!$H$100:$H$106,MARZO!$H$109:$H$117</definedName>
    <definedName name="Reconocimientos_may">MAYO!$H$23:$H$24,MAYO!$H$26:$H$27,MAYO!$H$30:$H$31,MAYO!$H$33:$H$34,MAYO!$H$36:$H$41,MAYO!$H$43:$H$44,MAYO!$H$46:$H$47,MAYO!$H$49:$H$50,MAYO!$H$52:$H$53,MAYO!$H$55:$H$56,MAYO!$H$58:$H$59,MAYO!$H$61:$H$62,MAYO!$H$64:$H$65,MAYO!$H$67:$H$68,MAYO!$H$70:$H$71,MAYO!$H$73:$H$74,MAYO!$H$76:$H$77,MAYO!$H$79:$H$80,MAYO!$H$82:$H$83,MAYO!$H$86:$H$92,MAYO!$H$94:$H$97,MAYO!$H$100:$H$106,MAYO!$H$109:$H$117</definedName>
    <definedName name="Reconocimientos_nov">NOVIEMBRE!$H$23:$H$24,NOVIEMBRE!$H$26:$H$27,NOVIEMBRE!$H$30:$H$31,NOVIEMBRE!$H$33:$H$34,NOVIEMBRE!$H$36:$H$41,NOVIEMBRE!$H$43:$H$44,NOVIEMBRE!$H$46:$H$47,NOVIEMBRE!$H$49:$H$50,NOVIEMBRE!$H$52:$H$53,NOVIEMBRE!$H$55:$H$56,NOVIEMBRE!$H$58:$H$59,NOVIEMBRE!$H$61:$H$62,NOVIEMBRE!$H$64:$H$65,NOVIEMBRE!$H$67:$H$68,NOVIEMBRE!$H$70:$H$71,NOVIEMBRE!$H$73:$H$74,NOVIEMBRE!$H$76:$H$77,NOVIEMBRE!$H$79:$H$80,NOVIEMBRE!$H$82:$H$83,NOVIEMBRE!$H$86:$H$92,NOVIEMBRE!$H$94:$H$97,NOVIEMBRE!$H$100:$H$106,NOVIEMBRE!$H$109:$H$117</definedName>
    <definedName name="Reconocimientos_oct">OCTUBRE!$H$23:$H$24,OCTUBRE!$H$26:$H$27,OCTUBRE!$H$30:$H$31,OCTUBRE!$H$33:$H$34,OCTUBRE!$H$36:$H$41,OCTUBRE!$H$43:$H$44,OCTUBRE!$H$46:$H$47,OCTUBRE!$H$49:$H$50,OCTUBRE!$H$52:$H$53,OCTUBRE!$H$55:$H$56,OCTUBRE!$H$58:$H$59,OCTUBRE!$H$61:$H$62,OCTUBRE!$H$64:$H$65,OCTUBRE!$H$67:$H$68,OCTUBRE!$H$70:$H$71,OCTUBRE!$H$73:$H$74,OCTUBRE!$H$76:$H$77,OCTUBRE!$H$79:$H$80,OCTUBRE!$H$82:$H$83,OCTUBRE!$H$86:$H$92,OCTUBRE!$H$94:$H$97,OCTUBRE!$H$100:$H$106,OCTUBRE!$H$109:$H$117</definedName>
    <definedName name="Reconocimientos_sep">SEPTIEMBRE!$H$23:$H$24,SEPTIEMBRE!$H$26:$H$27,SEPTIEMBRE!$H$30:$H$31,SEPTIEMBRE!$H$33:$H$34,SEPTIEMBRE!$H$36:$H$41,SEPTIEMBRE!$H$43:$H$44,SEPTIEMBRE!$H$46:$H$47,SEPTIEMBRE!$H$49:$H$50,SEPTIEMBRE!$H$52:$H$53,SEPTIEMBRE!$H$55:$H$56,SEPTIEMBRE!$H$58:$H$59,SEPTIEMBRE!$H$61:$H$62,SEPTIEMBRE!$H$64:$H$65,SEPTIEMBRE!$H$67:$H$68,SEPTIEMBRE!$H$70:$H$71,SEPTIEMBRE!$H$73:$H$74,SEPTIEMBRE!$H$76:$H$77,SEPTIEMBRE!$H$79:$H$80,SEPTIEMBRE!$H$82:$H$83,SEPTIEMBRE!$H$86:$H$92,SEPTIEMBRE!$H$94:$H$97,SEPTIEMBRE!$H$100:$H$106,SEPTIEMBRE!$H$109:$H$117</definedName>
    <definedName name="_xlnm.Print_Titles" localSheetId="4">ABRIL!$2:$6</definedName>
    <definedName name="_xlnm.Print_Titles" localSheetId="8">AGOSTO!$2:$6</definedName>
    <definedName name="_xlnm.Print_Titles" localSheetId="12">DICIEMBRE!$2:$6</definedName>
    <definedName name="_xlnm.Print_Titles" localSheetId="1">ENERO!$2:$6</definedName>
    <definedName name="_xlnm.Print_Titles" localSheetId="2">FEBRERO!$2:$6</definedName>
    <definedName name="_xlnm.Print_Titles" localSheetId="7">JULIO!$2:$6</definedName>
    <definedName name="_xlnm.Print_Titles" localSheetId="6">JUNIO!$2:$6</definedName>
    <definedName name="_xlnm.Print_Titles" localSheetId="3">MARZO!$2:$6</definedName>
    <definedName name="_xlnm.Print_Titles" localSheetId="5">MAYO!$2:$6</definedName>
    <definedName name="_xlnm.Print_Titles" localSheetId="11">NOVIEMBRE!$2:$6</definedName>
    <definedName name="_xlnm.Print_Titles" localSheetId="10">OCTUBRE!$2:$6</definedName>
    <definedName name="_xlnm.Print_Titles" localSheetId="9">SEPTIEMBRE!$2:$6</definedName>
  </definedNames>
  <calcPr calcId="144525"/>
</workbook>
</file>

<file path=xl/calcChain.xml><?xml version="1.0" encoding="utf-8"?>
<calcChain xmlns="http://schemas.openxmlformats.org/spreadsheetml/2006/main">
  <c r="H26" i="13" l="1"/>
  <c r="H27" i="13" l="1"/>
  <c r="K27" i="13"/>
  <c r="K122" i="13"/>
  <c r="H122" i="13"/>
  <c r="K38" i="13" l="1"/>
  <c r="AC173" i="13" l="1"/>
  <c r="AC164" i="13"/>
  <c r="AF27" i="13" l="1"/>
  <c r="AF18" i="13"/>
  <c r="AF17" i="13"/>
  <c r="AC197" i="13"/>
  <c r="AC67" i="13"/>
  <c r="Z151" i="11"/>
  <c r="AM115" i="8" l="1"/>
  <c r="Q123" i="8"/>
  <c r="C124" i="9" l="1"/>
  <c r="C123" i="9"/>
  <c r="C122" i="9"/>
  <c r="C121" i="9"/>
  <c r="C120" i="9"/>
  <c r="C119" i="9"/>
  <c r="C118" i="9"/>
  <c r="C117" i="9"/>
  <c r="C116" i="9"/>
  <c r="C115" i="9"/>
  <c r="H26" i="7" l="1"/>
  <c r="K26" i="7"/>
  <c r="H64" i="7"/>
  <c r="K38" i="5" l="1"/>
  <c r="BE20" i="16"/>
  <c r="BE20" i="15"/>
  <c r="BE20" i="14"/>
  <c r="O24" i="20" s="1"/>
  <c r="BE20" i="13"/>
  <c r="BE20" i="12"/>
  <c r="BE20" i="11"/>
  <c r="BE20" i="10"/>
  <c r="K24" i="20" s="1"/>
  <c r="BE20" i="9"/>
  <c r="BE20" i="8"/>
  <c r="BE20" i="6"/>
  <c r="BE20" i="5"/>
  <c r="E9" i="20"/>
  <c r="Q22" i="20"/>
  <c r="P22" i="20"/>
  <c r="O22" i="20"/>
  <c r="N22" i="20"/>
  <c r="M22" i="20"/>
  <c r="L22" i="20"/>
  <c r="K22" i="20"/>
  <c r="J22" i="20"/>
  <c r="I22" i="20"/>
  <c r="H22" i="20"/>
  <c r="G22" i="20"/>
  <c r="F22" i="20"/>
  <c r="Q20" i="20"/>
  <c r="P20" i="20"/>
  <c r="O20" i="20"/>
  <c r="N20" i="20"/>
  <c r="M20" i="20"/>
  <c r="L20" i="20"/>
  <c r="K20" i="20"/>
  <c r="J20" i="20"/>
  <c r="I20" i="20"/>
  <c r="H20" i="20"/>
  <c r="G20" i="20"/>
  <c r="F20" i="20"/>
  <c r="Q19" i="20"/>
  <c r="P19" i="20"/>
  <c r="O19" i="20"/>
  <c r="N19" i="20"/>
  <c r="M19" i="20"/>
  <c r="L19" i="20"/>
  <c r="K19" i="20"/>
  <c r="J19" i="20"/>
  <c r="I19" i="20"/>
  <c r="H19" i="20"/>
  <c r="G19" i="20"/>
  <c r="F19" i="20"/>
  <c r="BE19" i="15"/>
  <c r="BE18" i="15"/>
  <c r="BE17" i="15"/>
  <c r="P17" i="20" s="1"/>
  <c r="BE19" i="14"/>
  <c r="BE18" i="14"/>
  <c r="BE17" i="14"/>
  <c r="BE19" i="13"/>
  <c r="N23" i="20" s="1"/>
  <c r="BE18" i="13"/>
  <c r="BE17" i="13"/>
  <c r="BE19" i="12"/>
  <c r="BE18" i="12"/>
  <c r="BE17" i="12"/>
  <c r="BE19" i="11"/>
  <c r="BE18" i="11"/>
  <c r="BE17" i="11"/>
  <c r="L17" i="20" s="1"/>
  <c r="BE19" i="10"/>
  <c r="BE18" i="10"/>
  <c r="BE17" i="10"/>
  <c r="BE19" i="9"/>
  <c r="J23" i="20" s="1"/>
  <c r="BE18" i="9"/>
  <c r="BE17" i="9"/>
  <c r="BE19" i="8"/>
  <c r="BE18" i="8"/>
  <c r="BE17" i="8"/>
  <c r="BE20" i="7"/>
  <c r="BE19" i="7"/>
  <c r="BE18" i="7"/>
  <c r="BE17" i="7"/>
  <c r="BE19" i="6"/>
  <c r="BE18" i="6"/>
  <c r="BE17" i="6"/>
  <c r="G17" i="20" s="1"/>
  <c r="BE19" i="5"/>
  <c r="BE18" i="5"/>
  <c r="BE17" i="5"/>
  <c r="BE18" i="16"/>
  <c r="BE19" i="16"/>
  <c r="BE17" i="16"/>
  <c r="Q21" i="20"/>
  <c r="P21" i="20"/>
  <c r="O21" i="20"/>
  <c r="N21" i="20"/>
  <c r="M21" i="20"/>
  <c r="L21" i="20"/>
  <c r="K21" i="20"/>
  <c r="J21" i="20"/>
  <c r="I21" i="20"/>
  <c r="H21" i="20"/>
  <c r="G21" i="20"/>
  <c r="F21" i="20"/>
  <c r="Q18" i="20"/>
  <c r="P18" i="20"/>
  <c r="O18" i="20"/>
  <c r="N18" i="20"/>
  <c r="M18" i="20"/>
  <c r="L18" i="20"/>
  <c r="K18" i="20"/>
  <c r="J18" i="20"/>
  <c r="I18" i="20"/>
  <c r="H18" i="20"/>
  <c r="G18" i="20"/>
  <c r="F18" i="20"/>
  <c r="C124" i="16"/>
  <c r="C123" i="16"/>
  <c r="C122" i="16"/>
  <c r="C121" i="16"/>
  <c r="C120" i="16"/>
  <c r="C119" i="16"/>
  <c r="C118" i="16"/>
  <c r="C117" i="16"/>
  <c r="C116" i="16"/>
  <c r="C115" i="16"/>
  <c r="C111" i="16"/>
  <c r="C110" i="16"/>
  <c r="C109" i="16"/>
  <c r="C108" i="16"/>
  <c r="C107" i="16"/>
  <c r="C106" i="16"/>
  <c r="C105" i="16"/>
  <c r="C102" i="16"/>
  <c r="C101" i="16"/>
  <c r="C100" i="16"/>
  <c r="C99" i="16"/>
  <c r="C98" i="16"/>
  <c r="C97" i="16"/>
  <c r="C96" i="16"/>
  <c r="C95" i="16"/>
  <c r="C92" i="16"/>
  <c r="C91" i="16"/>
  <c r="C90" i="16"/>
  <c r="C89" i="16"/>
  <c r="C88" i="16"/>
  <c r="C87" i="16"/>
  <c r="C86" i="16"/>
  <c r="C102" i="15"/>
  <c r="C101" i="15"/>
  <c r="C100" i="15"/>
  <c r="C99" i="15"/>
  <c r="C98" i="15"/>
  <c r="C97" i="15"/>
  <c r="C96" i="15"/>
  <c r="C95" i="15"/>
  <c r="C92" i="15"/>
  <c r="C91" i="15"/>
  <c r="C90" i="15"/>
  <c r="C89" i="15"/>
  <c r="C88" i="15"/>
  <c r="C87" i="15"/>
  <c r="C86" i="15"/>
  <c r="C124" i="15"/>
  <c r="C123" i="15"/>
  <c r="C122" i="15"/>
  <c r="C121" i="15"/>
  <c r="C120" i="15"/>
  <c r="C119" i="15"/>
  <c r="C118" i="15"/>
  <c r="C117" i="15"/>
  <c r="C116" i="15"/>
  <c r="C115" i="15"/>
  <c r="C111" i="15"/>
  <c r="C110" i="15"/>
  <c r="C109" i="15"/>
  <c r="C108" i="15"/>
  <c r="C107" i="15"/>
  <c r="C106" i="15"/>
  <c r="C105" i="15"/>
  <c r="C124" i="14"/>
  <c r="C123" i="14"/>
  <c r="C122" i="14"/>
  <c r="C121" i="14"/>
  <c r="C120" i="14"/>
  <c r="C119" i="14"/>
  <c r="C118" i="14"/>
  <c r="C117" i="14"/>
  <c r="C116" i="14"/>
  <c r="C115" i="14"/>
  <c r="C111" i="14"/>
  <c r="C110" i="14"/>
  <c r="C109" i="14"/>
  <c r="C108" i="14"/>
  <c r="C107" i="14"/>
  <c r="C106" i="14"/>
  <c r="C105" i="14"/>
  <c r="C102" i="14"/>
  <c r="C101" i="14"/>
  <c r="C100" i="14"/>
  <c r="C99" i="14"/>
  <c r="C98" i="14"/>
  <c r="C97" i="14"/>
  <c r="C96" i="14"/>
  <c r="C95" i="14"/>
  <c r="C92" i="14"/>
  <c r="C91" i="14"/>
  <c r="C90" i="14"/>
  <c r="C89" i="14"/>
  <c r="C88" i="14"/>
  <c r="C87" i="14"/>
  <c r="C86" i="14"/>
  <c r="O126" i="13"/>
  <c r="C124" i="13"/>
  <c r="C123" i="13"/>
  <c r="C122" i="13"/>
  <c r="C121" i="13"/>
  <c r="C120" i="13"/>
  <c r="C119" i="13"/>
  <c r="C118" i="13"/>
  <c r="C117" i="13"/>
  <c r="C116" i="13"/>
  <c r="C115" i="13"/>
  <c r="C111" i="13"/>
  <c r="C110" i="13"/>
  <c r="C109" i="13"/>
  <c r="C108" i="13"/>
  <c r="C107" i="13"/>
  <c r="C106" i="13"/>
  <c r="C105" i="13"/>
  <c r="C102" i="13"/>
  <c r="C101" i="13"/>
  <c r="C100" i="13"/>
  <c r="C99" i="13"/>
  <c r="C98" i="13"/>
  <c r="C97" i="13"/>
  <c r="C96" i="13"/>
  <c r="C95" i="13"/>
  <c r="C92" i="13"/>
  <c r="C91" i="13"/>
  <c r="C90" i="13"/>
  <c r="C89" i="13"/>
  <c r="C88" i="13"/>
  <c r="C87" i="13"/>
  <c r="C86" i="13"/>
  <c r="C124" i="12"/>
  <c r="C123" i="12"/>
  <c r="C122" i="12"/>
  <c r="C121" i="12"/>
  <c r="C120" i="12"/>
  <c r="C119" i="12"/>
  <c r="C118" i="12"/>
  <c r="C117" i="12"/>
  <c r="C116" i="12"/>
  <c r="C115" i="12"/>
  <c r="C111" i="12"/>
  <c r="C110" i="12"/>
  <c r="C109" i="12"/>
  <c r="C108" i="12"/>
  <c r="C107" i="12"/>
  <c r="C106" i="12"/>
  <c r="C105" i="12"/>
  <c r="C102" i="12"/>
  <c r="C101" i="12"/>
  <c r="C100" i="12"/>
  <c r="C99" i="12"/>
  <c r="C98" i="12"/>
  <c r="C97" i="12"/>
  <c r="C96" i="12"/>
  <c r="C95" i="12"/>
  <c r="C92" i="12"/>
  <c r="C91" i="12"/>
  <c r="C90" i="12"/>
  <c r="C89" i="12"/>
  <c r="C88" i="12"/>
  <c r="C87" i="12"/>
  <c r="C86" i="12"/>
  <c r="C124" i="11"/>
  <c r="C123" i="11"/>
  <c r="C122" i="11"/>
  <c r="C121" i="11"/>
  <c r="C120" i="11"/>
  <c r="C119" i="11"/>
  <c r="C118" i="11"/>
  <c r="C117" i="11"/>
  <c r="C116" i="11"/>
  <c r="C115" i="11"/>
  <c r="C111" i="11"/>
  <c r="C110" i="11"/>
  <c r="C109" i="11"/>
  <c r="C108" i="11"/>
  <c r="C107" i="11"/>
  <c r="C106" i="11"/>
  <c r="C105" i="11"/>
  <c r="C102" i="11"/>
  <c r="C101" i="11"/>
  <c r="C100" i="11"/>
  <c r="C99" i="11"/>
  <c r="C98" i="11"/>
  <c r="C97" i="11"/>
  <c r="C96" i="11"/>
  <c r="C95" i="11"/>
  <c r="C92" i="11"/>
  <c r="C91" i="11"/>
  <c r="C90" i="11"/>
  <c r="C89" i="11"/>
  <c r="C88" i="11"/>
  <c r="C87" i="11"/>
  <c r="C86" i="11"/>
  <c r="C124" i="10"/>
  <c r="C123" i="10"/>
  <c r="C122" i="10"/>
  <c r="C121" i="10"/>
  <c r="C120" i="10"/>
  <c r="C119" i="10"/>
  <c r="C118" i="10"/>
  <c r="C117" i="10"/>
  <c r="C116" i="10"/>
  <c r="C115" i="10"/>
  <c r="C111" i="10"/>
  <c r="C110" i="10"/>
  <c r="C109" i="10"/>
  <c r="C108" i="10"/>
  <c r="C107" i="10"/>
  <c r="C106" i="10"/>
  <c r="C105" i="10"/>
  <c r="C102" i="10"/>
  <c r="C101" i="10"/>
  <c r="C100" i="10"/>
  <c r="C99" i="10"/>
  <c r="C98" i="10"/>
  <c r="C97" i="10"/>
  <c r="C96" i="10"/>
  <c r="C95" i="10"/>
  <c r="C92" i="10"/>
  <c r="C91" i="10"/>
  <c r="C90" i="10"/>
  <c r="C89" i="10"/>
  <c r="C88" i="10"/>
  <c r="C87" i="10"/>
  <c r="C86" i="10"/>
  <c r="C111" i="9"/>
  <c r="C110" i="9"/>
  <c r="C109" i="9"/>
  <c r="C108" i="9"/>
  <c r="C107" i="9"/>
  <c r="C106" i="9"/>
  <c r="C105" i="9"/>
  <c r="C102" i="9"/>
  <c r="C101" i="9"/>
  <c r="C100" i="9"/>
  <c r="C99" i="9"/>
  <c r="C98" i="9"/>
  <c r="C97" i="9"/>
  <c r="C96" i="9"/>
  <c r="C95" i="9"/>
  <c r="C92" i="9"/>
  <c r="C91" i="9"/>
  <c r="C90" i="9"/>
  <c r="C89" i="9"/>
  <c r="C88" i="9"/>
  <c r="C87" i="9"/>
  <c r="C86" i="9"/>
  <c r="C124" i="8"/>
  <c r="C123" i="8"/>
  <c r="C122" i="8"/>
  <c r="C121" i="8"/>
  <c r="C120" i="8"/>
  <c r="C119" i="8"/>
  <c r="C118" i="8"/>
  <c r="C117" i="8"/>
  <c r="C116" i="8"/>
  <c r="C115" i="8"/>
  <c r="C111" i="8"/>
  <c r="C110" i="8"/>
  <c r="C109" i="8"/>
  <c r="C108" i="8"/>
  <c r="C107" i="8"/>
  <c r="C106" i="8"/>
  <c r="C105" i="8"/>
  <c r="C102" i="8"/>
  <c r="C101" i="8"/>
  <c r="C100" i="8"/>
  <c r="C99" i="8"/>
  <c r="C98" i="8"/>
  <c r="C97" i="8"/>
  <c r="C96" i="8"/>
  <c r="C95" i="8"/>
  <c r="C92" i="8"/>
  <c r="C91" i="8"/>
  <c r="C90" i="8"/>
  <c r="C89" i="8"/>
  <c r="C88" i="8"/>
  <c r="C87" i="8"/>
  <c r="C86" i="8"/>
  <c r="C124" i="7"/>
  <c r="C123" i="7"/>
  <c r="C122" i="7"/>
  <c r="C121" i="7"/>
  <c r="C120" i="7"/>
  <c r="C119" i="7"/>
  <c r="C118" i="7"/>
  <c r="C117" i="7"/>
  <c r="C116" i="7"/>
  <c r="C115" i="7"/>
  <c r="C111" i="7"/>
  <c r="C110" i="7"/>
  <c r="C109" i="7"/>
  <c r="C108" i="7"/>
  <c r="C107" i="7"/>
  <c r="C106" i="7"/>
  <c r="C105" i="7"/>
  <c r="C102" i="7"/>
  <c r="C101" i="7"/>
  <c r="C99" i="7"/>
  <c r="C98" i="7"/>
  <c r="C97" i="7"/>
  <c r="C96" i="7"/>
  <c r="C95" i="7"/>
  <c r="C92" i="7"/>
  <c r="C91" i="7"/>
  <c r="C90" i="7"/>
  <c r="C89" i="7"/>
  <c r="C88" i="7"/>
  <c r="C87" i="7"/>
  <c r="C86" i="7"/>
  <c r="C111" i="6"/>
  <c r="C110" i="6"/>
  <c r="C109" i="6"/>
  <c r="C108" i="6"/>
  <c r="C107" i="6"/>
  <c r="C106" i="6"/>
  <c r="C105" i="6"/>
  <c r="C102" i="6"/>
  <c r="C101" i="6"/>
  <c r="C100" i="6"/>
  <c r="C99" i="6"/>
  <c r="C98" i="6"/>
  <c r="C97" i="6"/>
  <c r="C96" i="6"/>
  <c r="C95" i="6"/>
  <c r="C92" i="6"/>
  <c r="C91" i="6"/>
  <c r="C90" i="6"/>
  <c r="C89" i="6"/>
  <c r="C88" i="6"/>
  <c r="C87" i="6"/>
  <c r="C86" i="6"/>
  <c r="E26" i="20"/>
  <c r="C124" i="6"/>
  <c r="C123" i="6"/>
  <c r="C122" i="6"/>
  <c r="C121" i="6"/>
  <c r="C120" i="6"/>
  <c r="C119" i="6"/>
  <c r="C118" i="6"/>
  <c r="C117" i="6"/>
  <c r="C116" i="6"/>
  <c r="C115" i="6"/>
  <c r="B84" i="6"/>
  <c r="B84" i="7" s="1"/>
  <c r="B84" i="8" s="1"/>
  <c r="B84" i="9" s="1"/>
  <c r="B84" i="10" s="1"/>
  <c r="B84" i="11" s="1"/>
  <c r="B84" i="12" s="1"/>
  <c r="B84" i="13" s="1"/>
  <c r="B84" i="14" s="1"/>
  <c r="B84" i="15" s="1"/>
  <c r="B84" i="16" s="1"/>
  <c r="A84" i="6"/>
  <c r="A84" i="7" s="1"/>
  <c r="A84" i="8" s="1"/>
  <c r="A84" i="9" s="1"/>
  <c r="A84" i="10" s="1"/>
  <c r="A84" i="11" s="1"/>
  <c r="A84" i="12" s="1"/>
  <c r="A84" i="13" s="1"/>
  <c r="A84" i="14" s="1"/>
  <c r="A84" i="15" s="1"/>
  <c r="A84" i="16" s="1"/>
  <c r="B124" i="6"/>
  <c r="B124" i="7" s="1"/>
  <c r="B124" i="8" s="1"/>
  <c r="B124" i="9" s="1"/>
  <c r="B124" i="10" s="1"/>
  <c r="B124" i="11" s="1"/>
  <c r="B124" i="12" s="1"/>
  <c r="B124" i="13" s="1"/>
  <c r="B124" i="14" s="1"/>
  <c r="B124" i="15" s="1"/>
  <c r="B124" i="16" s="1"/>
  <c r="A124" i="6"/>
  <c r="A124" i="7" s="1"/>
  <c r="A124" i="8" s="1"/>
  <c r="A124" i="9" s="1"/>
  <c r="A124" i="10" s="1"/>
  <c r="A124" i="11" s="1"/>
  <c r="A124" i="12" s="1"/>
  <c r="A124" i="13" s="1"/>
  <c r="A124" i="14" s="1"/>
  <c r="A124" i="15" s="1"/>
  <c r="A124" i="16" s="1"/>
  <c r="B123" i="6"/>
  <c r="B123" i="7" s="1"/>
  <c r="B123" i="8" s="1"/>
  <c r="B123" i="9" s="1"/>
  <c r="B123" i="10" s="1"/>
  <c r="B123" i="11" s="1"/>
  <c r="B123" i="12" s="1"/>
  <c r="B123" i="13" s="1"/>
  <c r="B123" i="14" s="1"/>
  <c r="B123" i="15" s="1"/>
  <c r="B123" i="16" s="1"/>
  <c r="A123" i="6"/>
  <c r="A123" i="7" s="1"/>
  <c r="A123" i="8" s="1"/>
  <c r="A123" i="9" s="1"/>
  <c r="A123" i="10" s="1"/>
  <c r="A123" i="11" s="1"/>
  <c r="A123" i="12" s="1"/>
  <c r="A123" i="13" s="1"/>
  <c r="A123" i="14" s="1"/>
  <c r="A123" i="15" s="1"/>
  <c r="A123" i="16" s="1"/>
  <c r="A122" i="6"/>
  <c r="A122" i="7" s="1"/>
  <c r="A122" i="8" s="1"/>
  <c r="A122" i="9" s="1"/>
  <c r="A122" i="10" s="1"/>
  <c r="A122" i="11" s="1"/>
  <c r="A122" i="12" s="1"/>
  <c r="A122" i="13" s="1"/>
  <c r="A122" i="14" s="1"/>
  <c r="A122" i="15" s="1"/>
  <c r="A122" i="16" s="1"/>
  <c r="B121" i="6"/>
  <c r="B121" i="7" s="1"/>
  <c r="B121" i="8" s="1"/>
  <c r="B121" i="9" s="1"/>
  <c r="B121" i="10" s="1"/>
  <c r="B121" i="11" s="1"/>
  <c r="B121" i="12" s="1"/>
  <c r="B121" i="13" s="1"/>
  <c r="B121" i="14" s="1"/>
  <c r="B121" i="15" s="1"/>
  <c r="B121" i="16" s="1"/>
  <c r="A121" i="6"/>
  <c r="A121" i="7" s="1"/>
  <c r="A121" i="8" s="1"/>
  <c r="A121" i="9" s="1"/>
  <c r="A121" i="10" s="1"/>
  <c r="A121" i="11" s="1"/>
  <c r="A121" i="12" s="1"/>
  <c r="A121" i="13" s="1"/>
  <c r="A121" i="14" s="1"/>
  <c r="A121" i="15" s="1"/>
  <c r="A121" i="16" s="1"/>
  <c r="B120" i="6"/>
  <c r="B120" i="7" s="1"/>
  <c r="B120" i="8" s="1"/>
  <c r="B120" i="9" s="1"/>
  <c r="B120" i="10" s="1"/>
  <c r="B120" i="11" s="1"/>
  <c r="B120" i="12" s="1"/>
  <c r="B120" i="13" s="1"/>
  <c r="B120" i="14" s="1"/>
  <c r="B120" i="15" s="1"/>
  <c r="B120" i="16" s="1"/>
  <c r="A120" i="6"/>
  <c r="A120" i="7" s="1"/>
  <c r="A120" i="8" s="1"/>
  <c r="A120" i="9" s="1"/>
  <c r="A120" i="10" s="1"/>
  <c r="A120" i="11" s="1"/>
  <c r="A120" i="12" s="1"/>
  <c r="A120" i="13" s="1"/>
  <c r="A120" i="14" s="1"/>
  <c r="A120" i="15" s="1"/>
  <c r="A120" i="16" s="1"/>
  <c r="B119" i="6"/>
  <c r="B119" i="7" s="1"/>
  <c r="B119" i="8" s="1"/>
  <c r="B119" i="9" s="1"/>
  <c r="B119" i="10" s="1"/>
  <c r="B119" i="11" s="1"/>
  <c r="B119" i="12" s="1"/>
  <c r="B119" i="13" s="1"/>
  <c r="B119" i="14" s="1"/>
  <c r="B119" i="15" s="1"/>
  <c r="B119" i="16" s="1"/>
  <c r="A119" i="6"/>
  <c r="A119" i="7" s="1"/>
  <c r="A119" i="8" s="1"/>
  <c r="A119" i="9" s="1"/>
  <c r="A119" i="10" s="1"/>
  <c r="A119" i="11" s="1"/>
  <c r="A119" i="12" s="1"/>
  <c r="A119" i="13" s="1"/>
  <c r="A119" i="14" s="1"/>
  <c r="A119" i="15" s="1"/>
  <c r="A119" i="16" s="1"/>
  <c r="B118" i="6"/>
  <c r="B118" i="7" s="1"/>
  <c r="B118" i="8" s="1"/>
  <c r="B118" i="9" s="1"/>
  <c r="B118" i="10" s="1"/>
  <c r="B118" i="11" s="1"/>
  <c r="B118" i="12" s="1"/>
  <c r="B118" i="13" s="1"/>
  <c r="B118" i="14" s="1"/>
  <c r="B118" i="15" s="1"/>
  <c r="B118" i="16" s="1"/>
  <c r="A118" i="6"/>
  <c r="A118" i="7" s="1"/>
  <c r="A118" i="8" s="1"/>
  <c r="A118" i="9" s="1"/>
  <c r="A118" i="10" s="1"/>
  <c r="A118" i="11" s="1"/>
  <c r="A118" i="12" s="1"/>
  <c r="A118" i="13" s="1"/>
  <c r="A118" i="14" s="1"/>
  <c r="A118" i="15" s="1"/>
  <c r="A118" i="16" s="1"/>
  <c r="B117" i="6"/>
  <c r="B117" i="7" s="1"/>
  <c r="B117" i="8" s="1"/>
  <c r="B117" i="9" s="1"/>
  <c r="B117" i="10" s="1"/>
  <c r="B117" i="11" s="1"/>
  <c r="B117" i="12" s="1"/>
  <c r="B117" i="13" s="1"/>
  <c r="B117" i="14" s="1"/>
  <c r="B117" i="15" s="1"/>
  <c r="B117" i="16" s="1"/>
  <c r="A117" i="6"/>
  <c r="A117" i="7" s="1"/>
  <c r="A117" i="8" s="1"/>
  <c r="A117" i="9" s="1"/>
  <c r="A117" i="10" s="1"/>
  <c r="A117" i="11" s="1"/>
  <c r="A117" i="12" s="1"/>
  <c r="A117" i="13" s="1"/>
  <c r="A117" i="14" s="1"/>
  <c r="A117" i="15" s="1"/>
  <c r="A117" i="16" s="1"/>
  <c r="B116" i="6"/>
  <c r="B116" i="7" s="1"/>
  <c r="B116" i="8" s="1"/>
  <c r="B116" i="9" s="1"/>
  <c r="B116" i="10" s="1"/>
  <c r="B116" i="11" s="1"/>
  <c r="B116" i="12" s="1"/>
  <c r="B116" i="13" s="1"/>
  <c r="B116" i="14" s="1"/>
  <c r="B116" i="15" s="1"/>
  <c r="B116" i="16" s="1"/>
  <c r="A116" i="6"/>
  <c r="A116" i="7" s="1"/>
  <c r="A116" i="8" s="1"/>
  <c r="A116" i="9" s="1"/>
  <c r="A116" i="10" s="1"/>
  <c r="A116" i="11" s="1"/>
  <c r="A116" i="12" s="1"/>
  <c r="A116" i="13" s="1"/>
  <c r="A116" i="14" s="1"/>
  <c r="A116" i="15" s="1"/>
  <c r="A116" i="16" s="1"/>
  <c r="B115" i="6"/>
  <c r="B115" i="7" s="1"/>
  <c r="B115" i="8" s="1"/>
  <c r="B115" i="9" s="1"/>
  <c r="B115" i="10" s="1"/>
  <c r="B115" i="11" s="1"/>
  <c r="B115" i="12" s="1"/>
  <c r="B115" i="13" s="1"/>
  <c r="B115" i="14" s="1"/>
  <c r="B115" i="15" s="1"/>
  <c r="B115" i="16" s="1"/>
  <c r="A115" i="6"/>
  <c r="A115" i="7" s="1"/>
  <c r="A115" i="8" s="1"/>
  <c r="A115" i="9" s="1"/>
  <c r="A115" i="10" s="1"/>
  <c r="A115" i="11" s="1"/>
  <c r="A115" i="12" s="1"/>
  <c r="A115" i="13" s="1"/>
  <c r="A115" i="14" s="1"/>
  <c r="A115" i="15" s="1"/>
  <c r="A115" i="16" s="1"/>
  <c r="B114" i="6"/>
  <c r="B114" i="7" s="1"/>
  <c r="B114" i="8" s="1"/>
  <c r="B114" i="9" s="1"/>
  <c r="B114" i="10" s="1"/>
  <c r="B114" i="11" s="1"/>
  <c r="B114" i="12" s="1"/>
  <c r="B114" i="13" s="1"/>
  <c r="B114" i="14" s="1"/>
  <c r="B114" i="15" s="1"/>
  <c r="B114" i="16" s="1"/>
  <c r="A114" i="6"/>
  <c r="A114" i="7" s="1"/>
  <c r="A114" i="8" s="1"/>
  <c r="A114" i="9" s="1"/>
  <c r="A114" i="10" s="1"/>
  <c r="A114" i="11" s="1"/>
  <c r="A114" i="12" s="1"/>
  <c r="A114" i="13" s="1"/>
  <c r="A114" i="14" s="1"/>
  <c r="A114" i="15" s="1"/>
  <c r="A114" i="16" s="1"/>
  <c r="B113" i="6"/>
  <c r="B113" i="7" s="1"/>
  <c r="B113" i="8" s="1"/>
  <c r="B113" i="9" s="1"/>
  <c r="B113" i="10" s="1"/>
  <c r="B113" i="11" s="1"/>
  <c r="B113" i="12" s="1"/>
  <c r="B113" i="13" s="1"/>
  <c r="B113" i="14" s="1"/>
  <c r="B113" i="15" s="1"/>
  <c r="B113" i="16" s="1"/>
  <c r="A113" i="6"/>
  <c r="A113" i="7" s="1"/>
  <c r="A113" i="8" s="1"/>
  <c r="A113" i="9" s="1"/>
  <c r="A113" i="10" s="1"/>
  <c r="A113" i="11" s="1"/>
  <c r="A113" i="12" s="1"/>
  <c r="A113" i="13" s="1"/>
  <c r="A113" i="14" s="1"/>
  <c r="A113" i="15" s="1"/>
  <c r="A113" i="16" s="1"/>
  <c r="B112" i="6"/>
  <c r="B112" i="7" s="1"/>
  <c r="B112" i="8" s="1"/>
  <c r="B112" i="9" s="1"/>
  <c r="B112" i="10" s="1"/>
  <c r="B112" i="11" s="1"/>
  <c r="B112" i="12" s="1"/>
  <c r="B112" i="13" s="1"/>
  <c r="B112" i="14" s="1"/>
  <c r="B112" i="15" s="1"/>
  <c r="B112" i="16" s="1"/>
  <c r="A112" i="6"/>
  <c r="A112" i="7" s="1"/>
  <c r="A112" i="8" s="1"/>
  <c r="A112" i="9" s="1"/>
  <c r="A112" i="10" s="1"/>
  <c r="A112" i="11" s="1"/>
  <c r="A112" i="12" s="1"/>
  <c r="A112" i="13" s="1"/>
  <c r="A112" i="14" s="1"/>
  <c r="A112" i="15" s="1"/>
  <c r="A112" i="16" s="1"/>
  <c r="B111" i="6"/>
  <c r="B111" i="7" s="1"/>
  <c r="B111" i="8" s="1"/>
  <c r="B111" i="9" s="1"/>
  <c r="B111" i="10" s="1"/>
  <c r="B111" i="11" s="1"/>
  <c r="B111" i="12" s="1"/>
  <c r="B111" i="13" s="1"/>
  <c r="B111" i="14" s="1"/>
  <c r="B111" i="15" s="1"/>
  <c r="B111" i="16" s="1"/>
  <c r="A111" i="6"/>
  <c r="A111" i="7" s="1"/>
  <c r="A111" i="8" s="1"/>
  <c r="A111" i="9" s="1"/>
  <c r="A111" i="10" s="1"/>
  <c r="A111" i="11" s="1"/>
  <c r="A111" i="12" s="1"/>
  <c r="A111" i="13" s="1"/>
  <c r="A111" i="14" s="1"/>
  <c r="A111" i="15" s="1"/>
  <c r="A111" i="16" s="1"/>
  <c r="B110" i="6"/>
  <c r="B110" i="7" s="1"/>
  <c r="B110" i="8" s="1"/>
  <c r="B110" i="9" s="1"/>
  <c r="B110" i="10" s="1"/>
  <c r="B110" i="11" s="1"/>
  <c r="B110" i="12" s="1"/>
  <c r="B110" i="13" s="1"/>
  <c r="B110" i="14" s="1"/>
  <c r="B110" i="15" s="1"/>
  <c r="B110" i="16" s="1"/>
  <c r="A110" i="6"/>
  <c r="A110" i="7" s="1"/>
  <c r="A110" i="8" s="1"/>
  <c r="A110" i="9" s="1"/>
  <c r="A110" i="10" s="1"/>
  <c r="A110" i="11" s="1"/>
  <c r="A110" i="12" s="1"/>
  <c r="A110" i="13" s="1"/>
  <c r="A110" i="14" s="1"/>
  <c r="A110" i="15" s="1"/>
  <c r="A110" i="16" s="1"/>
  <c r="B109" i="6"/>
  <c r="B109" i="7" s="1"/>
  <c r="B109" i="8" s="1"/>
  <c r="B109" i="9" s="1"/>
  <c r="B109" i="10" s="1"/>
  <c r="B109" i="11" s="1"/>
  <c r="B109" i="12" s="1"/>
  <c r="B109" i="13" s="1"/>
  <c r="B109" i="14" s="1"/>
  <c r="B109" i="15" s="1"/>
  <c r="B109" i="16" s="1"/>
  <c r="A109" i="6"/>
  <c r="A109" i="7" s="1"/>
  <c r="A109" i="8" s="1"/>
  <c r="A109" i="9" s="1"/>
  <c r="A109" i="10" s="1"/>
  <c r="A109" i="11" s="1"/>
  <c r="A109" i="12" s="1"/>
  <c r="A109" i="13" s="1"/>
  <c r="A109" i="14" s="1"/>
  <c r="A109" i="15" s="1"/>
  <c r="A109" i="16" s="1"/>
  <c r="B108" i="6"/>
  <c r="B108" i="7" s="1"/>
  <c r="B108" i="8" s="1"/>
  <c r="B108" i="9" s="1"/>
  <c r="B108" i="10" s="1"/>
  <c r="B108" i="11" s="1"/>
  <c r="B108" i="12" s="1"/>
  <c r="B108" i="13" s="1"/>
  <c r="B108" i="14" s="1"/>
  <c r="B108" i="15" s="1"/>
  <c r="B108" i="16" s="1"/>
  <c r="A108" i="6"/>
  <c r="A108" i="7" s="1"/>
  <c r="A108" i="8" s="1"/>
  <c r="A108" i="9" s="1"/>
  <c r="A108" i="10" s="1"/>
  <c r="A108" i="11" s="1"/>
  <c r="A108" i="12" s="1"/>
  <c r="A108" i="13" s="1"/>
  <c r="A108" i="14" s="1"/>
  <c r="A108" i="15" s="1"/>
  <c r="A108" i="16" s="1"/>
  <c r="B107" i="6"/>
  <c r="B107" i="7" s="1"/>
  <c r="B107" i="8" s="1"/>
  <c r="B107" i="9" s="1"/>
  <c r="B107" i="10" s="1"/>
  <c r="B107" i="11" s="1"/>
  <c r="B107" i="12" s="1"/>
  <c r="B107" i="13" s="1"/>
  <c r="B107" i="14" s="1"/>
  <c r="B107" i="15" s="1"/>
  <c r="B107" i="16" s="1"/>
  <c r="A107" i="6"/>
  <c r="A107" i="7" s="1"/>
  <c r="A107" i="8" s="1"/>
  <c r="A107" i="9" s="1"/>
  <c r="A107" i="10" s="1"/>
  <c r="A107" i="11" s="1"/>
  <c r="A107" i="12" s="1"/>
  <c r="A107" i="13" s="1"/>
  <c r="A107" i="14" s="1"/>
  <c r="A107" i="15" s="1"/>
  <c r="A107" i="16" s="1"/>
  <c r="B106" i="6"/>
  <c r="B106" i="7" s="1"/>
  <c r="B106" i="8" s="1"/>
  <c r="B106" i="9" s="1"/>
  <c r="B106" i="10" s="1"/>
  <c r="B106" i="11" s="1"/>
  <c r="B106" i="12" s="1"/>
  <c r="B106" i="13" s="1"/>
  <c r="B106" i="14" s="1"/>
  <c r="B106" i="15" s="1"/>
  <c r="B106" i="16" s="1"/>
  <c r="A106" i="6"/>
  <c r="A106" i="7" s="1"/>
  <c r="A106" i="8" s="1"/>
  <c r="A106" i="9" s="1"/>
  <c r="A106" i="10" s="1"/>
  <c r="A106" i="11" s="1"/>
  <c r="A106" i="12" s="1"/>
  <c r="A106" i="13" s="1"/>
  <c r="A106" i="14" s="1"/>
  <c r="A106" i="15" s="1"/>
  <c r="A106" i="16" s="1"/>
  <c r="B105" i="6"/>
  <c r="B105" i="7" s="1"/>
  <c r="B105" i="8" s="1"/>
  <c r="B105" i="9" s="1"/>
  <c r="B105" i="10" s="1"/>
  <c r="B105" i="11" s="1"/>
  <c r="B105" i="12" s="1"/>
  <c r="B105" i="13" s="1"/>
  <c r="B105" i="14" s="1"/>
  <c r="B105" i="15" s="1"/>
  <c r="B105" i="16" s="1"/>
  <c r="A105" i="6"/>
  <c r="A105" i="7" s="1"/>
  <c r="A105" i="8" s="1"/>
  <c r="A105" i="9" s="1"/>
  <c r="A105" i="10" s="1"/>
  <c r="A105" i="11" s="1"/>
  <c r="A105" i="12" s="1"/>
  <c r="A105" i="13" s="1"/>
  <c r="A105" i="14" s="1"/>
  <c r="A105" i="15" s="1"/>
  <c r="A105" i="16" s="1"/>
  <c r="B104" i="6"/>
  <c r="B104" i="7" s="1"/>
  <c r="B104" i="8" s="1"/>
  <c r="B104" i="9" s="1"/>
  <c r="B104" i="10" s="1"/>
  <c r="B104" i="11" s="1"/>
  <c r="B104" i="12" s="1"/>
  <c r="B104" i="13" s="1"/>
  <c r="B104" i="14" s="1"/>
  <c r="B104" i="15" s="1"/>
  <c r="B104" i="16" s="1"/>
  <c r="A104" i="6"/>
  <c r="A104" i="7" s="1"/>
  <c r="A104" i="8" s="1"/>
  <c r="A104" i="9" s="1"/>
  <c r="A104" i="10" s="1"/>
  <c r="A104" i="11" s="1"/>
  <c r="A104" i="12" s="1"/>
  <c r="A104" i="13" s="1"/>
  <c r="A104" i="14" s="1"/>
  <c r="A104" i="15" s="1"/>
  <c r="A104" i="16" s="1"/>
  <c r="B103" i="6"/>
  <c r="B103" i="7" s="1"/>
  <c r="B103" i="8" s="1"/>
  <c r="B103" i="9" s="1"/>
  <c r="B103" i="10" s="1"/>
  <c r="B103" i="11" s="1"/>
  <c r="B103" i="12" s="1"/>
  <c r="B103" i="13" s="1"/>
  <c r="B103" i="14" s="1"/>
  <c r="B103" i="15" s="1"/>
  <c r="B103" i="16" s="1"/>
  <c r="A103" i="6"/>
  <c r="A103" i="7" s="1"/>
  <c r="A103" i="8" s="1"/>
  <c r="A103" i="9" s="1"/>
  <c r="A103" i="10" s="1"/>
  <c r="A103" i="11" s="1"/>
  <c r="A103" i="12" s="1"/>
  <c r="A103" i="13" s="1"/>
  <c r="A103" i="14" s="1"/>
  <c r="A103" i="15" s="1"/>
  <c r="A103" i="16" s="1"/>
  <c r="B102" i="6"/>
  <c r="B102" i="7" s="1"/>
  <c r="B102" i="8" s="1"/>
  <c r="B102" i="9" s="1"/>
  <c r="B102" i="10" s="1"/>
  <c r="B102" i="11" s="1"/>
  <c r="B102" i="12" s="1"/>
  <c r="B102" i="13" s="1"/>
  <c r="B102" i="14" s="1"/>
  <c r="B102" i="15" s="1"/>
  <c r="B102" i="16" s="1"/>
  <c r="A102" i="6"/>
  <c r="A102" i="7" s="1"/>
  <c r="A102" i="8" s="1"/>
  <c r="A102" i="9" s="1"/>
  <c r="A102" i="10" s="1"/>
  <c r="A102" i="11" s="1"/>
  <c r="A102" i="12" s="1"/>
  <c r="A102" i="13" s="1"/>
  <c r="A102" i="14" s="1"/>
  <c r="A102" i="15" s="1"/>
  <c r="A102" i="16" s="1"/>
  <c r="B101" i="6"/>
  <c r="B101" i="7" s="1"/>
  <c r="B101" i="8" s="1"/>
  <c r="B101" i="9" s="1"/>
  <c r="B101" i="10" s="1"/>
  <c r="B101" i="11" s="1"/>
  <c r="B101" i="12" s="1"/>
  <c r="B101" i="13" s="1"/>
  <c r="B101" i="14" s="1"/>
  <c r="B101" i="15" s="1"/>
  <c r="B101" i="16" s="1"/>
  <c r="A101" i="6"/>
  <c r="A101" i="7" s="1"/>
  <c r="A101" i="8" s="1"/>
  <c r="A101" i="9" s="1"/>
  <c r="A101" i="10" s="1"/>
  <c r="A101" i="11" s="1"/>
  <c r="A101" i="12" s="1"/>
  <c r="A101" i="13" s="1"/>
  <c r="A101" i="14" s="1"/>
  <c r="A101" i="15" s="1"/>
  <c r="A101" i="16" s="1"/>
  <c r="B100" i="6"/>
  <c r="B100" i="7" s="1"/>
  <c r="B100" i="8" s="1"/>
  <c r="B100" i="9" s="1"/>
  <c r="B100" i="10" s="1"/>
  <c r="B100" i="11" s="1"/>
  <c r="B100" i="12" s="1"/>
  <c r="B100" i="13" s="1"/>
  <c r="B100" i="14" s="1"/>
  <c r="B100" i="15" s="1"/>
  <c r="B100" i="16" s="1"/>
  <c r="A100" i="6"/>
  <c r="A100" i="7" s="1"/>
  <c r="A100" i="8" s="1"/>
  <c r="A100" i="9" s="1"/>
  <c r="A100" i="10" s="1"/>
  <c r="A100" i="11" s="1"/>
  <c r="A100" i="12" s="1"/>
  <c r="A100" i="13" s="1"/>
  <c r="A100" i="14" s="1"/>
  <c r="A100" i="15" s="1"/>
  <c r="A100" i="16" s="1"/>
  <c r="B99" i="6"/>
  <c r="B99" i="7" s="1"/>
  <c r="B99" i="8" s="1"/>
  <c r="B99" i="9" s="1"/>
  <c r="B99" i="10" s="1"/>
  <c r="B99" i="11" s="1"/>
  <c r="B99" i="12" s="1"/>
  <c r="B99" i="13" s="1"/>
  <c r="B99" i="14" s="1"/>
  <c r="B99" i="15" s="1"/>
  <c r="B99" i="16" s="1"/>
  <c r="A99" i="6"/>
  <c r="A99" i="7" s="1"/>
  <c r="A99" i="8" s="1"/>
  <c r="A99" i="9" s="1"/>
  <c r="A99" i="10" s="1"/>
  <c r="A99" i="11" s="1"/>
  <c r="A99" i="12" s="1"/>
  <c r="A99" i="13" s="1"/>
  <c r="A99" i="14" s="1"/>
  <c r="A99" i="15" s="1"/>
  <c r="A99" i="16" s="1"/>
  <c r="B98" i="6"/>
  <c r="B98" i="7" s="1"/>
  <c r="B98" i="8" s="1"/>
  <c r="B98" i="9" s="1"/>
  <c r="B98" i="10" s="1"/>
  <c r="B98" i="11" s="1"/>
  <c r="B98" i="12" s="1"/>
  <c r="B98" i="13" s="1"/>
  <c r="B98" i="14" s="1"/>
  <c r="B98" i="15" s="1"/>
  <c r="B98" i="16" s="1"/>
  <c r="A98" i="6"/>
  <c r="A98" i="7" s="1"/>
  <c r="A98" i="8" s="1"/>
  <c r="A98" i="9" s="1"/>
  <c r="A98" i="10" s="1"/>
  <c r="A98" i="11" s="1"/>
  <c r="A98" i="12" s="1"/>
  <c r="A98" i="13" s="1"/>
  <c r="A98" i="14" s="1"/>
  <c r="A98" i="15" s="1"/>
  <c r="A98" i="16" s="1"/>
  <c r="B97" i="6"/>
  <c r="B97" i="7" s="1"/>
  <c r="B97" i="8" s="1"/>
  <c r="B97" i="9" s="1"/>
  <c r="B97" i="10" s="1"/>
  <c r="B97" i="11" s="1"/>
  <c r="B97" i="12" s="1"/>
  <c r="B97" i="13" s="1"/>
  <c r="B97" i="14" s="1"/>
  <c r="B97" i="15" s="1"/>
  <c r="B97" i="16" s="1"/>
  <c r="A97" i="6"/>
  <c r="A97" i="7" s="1"/>
  <c r="A97" i="8" s="1"/>
  <c r="A97" i="9" s="1"/>
  <c r="A97" i="10" s="1"/>
  <c r="A97" i="11" s="1"/>
  <c r="A97" i="12" s="1"/>
  <c r="A97" i="13" s="1"/>
  <c r="A97" i="14" s="1"/>
  <c r="A97" i="15" s="1"/>
  <c r="A97" i="16" s="1"/>
  <c r="B96" i="6"/>
  <c r="B96" i="7" s="1"/>
  <c r="B96" i="8" s="1"/>
  <c r="B96" i="9" s="1"/>
  <c r="B96" i="10" s="1"/>
  <c r="B96" i="11" s="1"/>
  <c r="B96" i="12" s="1"/>
  <c r="B96" i="13" s="1"/>
  <c r="B96" i="14" s="1"/>
  <c r="B96" i="15" s="1"/>
  <c r="B96" i="16" s="1"/>
  <c r="A96" i="6"/>
  <c r="A96" i="7" s="1"/>
  <c r="A96" i="8" s="1"/>
  <c r="A96" i="9" s="1"/>
  <c r="A96" i="10" s="1"/>
  <c r="A96" i="11" s="1"/>
  <c r="A96" i="12" s="1"/>
  <c r="A96" i="13" s="1"/>
  <c r="A96" i="14" s="1"/>
  <c r="A96" i="15" s="1"/>
  <c r="A96" i="16" s="1"/>
  <c r="B95" i="6"/>
  <c r="B95" i="7" s="1"/>
  <c r="B95" i="8" s="1"/>
  <c r="B95" i="9" s="1"/>
  <c r="B95" i="10" s="1"/>
  <c r="B95" i="11" s="1"/>
  <c r="B95" i="12" s="1"/>
  <c r="B95" i="13" s="1"/>
  <c r="B95" i="14" s="1"/>
  <c r="B95" i="15" s="1"/>
  <c r="B95" i="16" s="1"/>
  <c r="A95" i="6"/>
  <c r="A95" i="7" s="1"/>
  <c r="A95" i="8" s="1"/>
  <c r="A95" i="9" s="1"/>
  <c r="A95" i="10" s="1"/>
  <c r="A95" i="11" s="1"/>
  <c r="A95" i="12" s="1"/>
  <c r="A95" i="13" s="1"/>
  <c r="A95" i="14" s="1"/>
  <c r="A95" i="15" s="1"/>
  <c r="A95" i="16" s="1"/>
  <c r="B94" i="6"/>
  <c r="B94" i="7" s="1"/>
  <c r="B94" i="8" s="1"/>
  <c r="B94" i="9" s="1"/>
  <c r="B94" i="10" s="1"/>
  <c r="B94" i="11" s="1"/>
  <c r="B94" i="12" s="1"/>
  <c r="B94" i="13" s="1"/>
  <c r="B94" i="14" s="1"/>
  <c r="B94" i="15" s="1"/>
  <c r="B94" i="16" s="1"/>
  <c r="A94" i="6"/>
  <c r="A94" i="7" s="1"/>
  <c r="A94" i="8" s="1"/>
  <c r="A94" i="9" s="1"/>
  <c r="A94" i="10" s="1"/>
  <c r="A94" i="11" s="1"/>
  <c r="A94" i="12" s="1"/>
  <c r="A94" i="13" s="1"/>
  <c r="A94" i="14" s="1"/>
  <c r="A94" i="15" s="1"/>
  <c r="A94" i="16" s="1"/>
  <c r="B93" i="6"/>
  <c r="B93" i="7" s="1"/>
  <c r="B93" i="8" s="1"/>
  <c r="B93" i="9" s="1"/>
  <c r="B93" i="10" s="1"/>
  <c r="B93" i="11" s="1"/>
  <c r="B93" i="12" s="1"/>
  <c r="B93" i="13" s="1"/>
  <c r="B93" i="14" s="1"/>
  <c r="B93" i="15" s="1"/>
  <c r="B93" i="16" s="1"/>
  <c r="A93" i="6"/>
  <c r="A93" i="7" s="1"/>
  <c r="A93" i="8" s="1"/>
  <c r="A93" i="9" s="1"/>
  <c r="A93" i="10" s="1"/>
  <c r="A93" i="11" s="1"/>
  <c r="A93" i="12" s="1"/>
  <c r="A93" i="13" s="1"/>
  <c r="A93" i="14" s="1"/>
  <c r="A93" i="15" s="1"/>
  <c r="A93" i="16" s="1"/>
  <c r="B92" i="6"/>
  <c r="B92" i="7" s="1"/>
  <c r="B92" i="8" s="1"/>
  <c r="B92" i="9" s="1"/>
  <c r="B92" i="10" s="1"/>
  <c r="B92" i="11" s="1"/>
  <c r="B92" i="12" s="1"/>
  <c r="B92" i="13" s="1"/>
  <c r="B92" i="14" s="1"/>
  <c r="B92" i="15" s="1"/>
  <c r="B92" i="16" s="1"/>
  <c r="A92" i="6"/>
  <c r="A92" i="7" s="1"/>
  <c r="A92" i="8" s="1"/>
  <c r="A92" i="9" s="1"/>
  <c r="A92" i="10" s="1"/>
  <c r="A92" i="11" s="1"/>
  <c r="A92" i="12" s="1"/>
  <c r="A92" i="13" s="1"/>
  <c r="A92" i="14" s="1"/>
  <c r="A92" i="15" s="1"/>
  <c r="A92" i="16" s="1"/>
  <c r="B91" i="6"/>
  <c r="B91" i="7" s="1"/>
  <c r="B91" i="8" s="1"/>
  <c r="B91" i="9" s="1"/>
  <c r="B91" i="10" s="1"/>
  <c r="B91" i="11" s="1"/>
  <c r="B91" i="12" s="1"/>
  <c r="B91" i="13" s="1"/>
  <c r="B91" i="14" s="1"/>
  <c r="B91" i="15" s="1"/>
  <c r="B91" i="16" s="1"/>
  <c r="A91" i="6"/>
  <c r="A91" i="7" s="1"/>
  <c r="A91" i="8" s="1"/>
  <c r="A91" i="9" s="1"/>
  <c r="A91" i="10" s="1"/>
  <c r="A91" i="11" s="1"/>
  <c r="A91" i="12" s="1"/>
  <c r="A91" i="13" s="1"/>
  <c r="A91" i="14" s="1"/>
  <c r="A91" i="15" s="1"/>
  <c r="A91" i="16" s="1"/>
  <c r="B90" i="6"/>
  <c r="B90" i="7" s="1"/>
  <c r="B90" i="8" s="1"/>
  <c r="B90" i="9" s="1"/>
  <c r="B90" i="10" s="1"/>
  <c r="B90" i="11" s="1"/>
  <c r="B90" i="12" s="1"/>
  <c r="B90" i="13" s="1"/>
  <c r="B90" i="14" s="1"/>
  <c r="B90" i="15" s="1"/>
  <c r="B90" i="16" s="1"/>
  <c r="A90" i="6"/>
  <c r="A90" i="7" s="1"/>
  <c r="A90" i="8" s="1"/>
  <c r="A90" i="9" s="1"/>
  <c r="A90" i="10" s="1"/>
  <c r="A90" i="11" s="1"/>
  <c r="A90" i="12" s="1"/>
  <c r="A90" i="13" s="1"/>
  <c r="A90" i="14" s="1"/>
  <c r="A90" i="15" s="1"/>
  <c r="A90" i="16" s="1"/>
  <c r="B89" i="6"/>
  <c r="B89" i="7" s="1"/>
  <c r="B89" i="8" s="1"/>
  <c r="B89" i="9" s="1"/>
  <c r="B89" i="10" s="1"/>
  <c r="B89" i="11" s="1"/>
  <c r="B89" i="12" s="1"/>
  <c r="B89" i="13" s="1"/>
  <c r="B89" i="14" s="1"/>
  <c r="B89" i="15" s="1"/>
  <c r="B89" i="16" s="1"/>
  <c r="A89" i="6"/>
  <c r="A89" i="7" s="1"/>
  <c r="A89" i="8" s="1"/>
  <c r="A89" i="9" s="1"/>
  <c r="A89" i="10" s="1"/>
  <c r="A89" i="11" s="1"/>
  <c r="A89" i="12" s="1"/>
  <c r="A89" i="13" s="1"/>
  <c r="A89" i="14" s="1"/>
  <c r="A89" i="15" s="1"/>
  <c r="A89" i="16" s="1"/>
  <c r="B88" i="6"/>
  <c r="B88" i="7" s="1"/>
  <c r="B88" i="8" s="1"/>
  <c r="B88" i="9" s="1"/>
  <c r="B88" i="10" s="1"/>
  <c r="B88" i="11" s="1"/>
  <c r="B88" i="12" s="1"/>
  <c r="B88" i="13" s="1"/>
  <c r="B88" i="14" s="1"/>
  <c r="B88" i="15" s="1"/>
  <c r="B88" i="16" s="1"/>
  <c r="A88" i="6"/>
  <c r="A88" i="7" s="1"/>
  <c r="A88" i="8" s="1"/>
  <c r="A88" i="9" s="1"/>
  <c r="A88" i="10" s="1"/>
  <c r="A88" i="11" s="1"/>
  <c r="A88" i="12" s="1"/>
  <c r="A88" i="13" s="1"/>
  <c r="A88" i="14" s="1"/>
  <c r="A88" i="15" s="1"/>
  <c r="A88" i="16" s="1"/>
  <c r="B87" i="6"/>
  <c r="B87" i="7" s="1"/>
  <c r="B87" i="8" s="1"/>
  <c r="B87" i="9" s="1"/>
  <c r="B87" i="10" s="1"/>
  <c r="B87" i="11" s="1"/>
  <c r="B87" i="12" s="1"/>
  <c r="B87" i="13" s="1"/>
  <c r="B87" i="14" s="1"/>
  <c r="B87" i="15" s="1"/>
  <c r="B87" i="16" s="1"/>
  <c r="A87" i="6"/>
  <c r="A87" i="7" s="1"/>
  <c r="A87" i="8" s="1"/>
  <c r="A87" i="9" s="1"/>
  <c r="A87" i="10" s="1"/>
  <c r="A87" i="11" s="1"/>
  <c r="A87" i="12" s="1"/>
  <c r="A87" i="13" s="1"/>
  <c r="A87" i="14" s="1"/>
  <c r="A87" i="15" s="1"/>
  <c r="A87" i="16" s="1"/>
  <c r="B86" i="6"/>
  <c r="B86" i="7" s="1"/>
  <c r="B86" i="8" s="1"/>
  <c r="B86" i="9" s="1"/>
  <c r="B86" i="10" s="1"/>
  <c r="B86" i="11" s="1"/>
  <c r="B86" i="12" s="1"/>
  <c r="B86" i="13" s="1"/>
  <c r="B86" i="14" s="1"/>
  <c r="B86" i="15" s="1"/>
  <c r="B86" i="16" s="1"/>
  <c r="A86" i="6"/>
  <c r="A86" i="7" s="1"/>
  <c r="A86" i="8" s="1"/>
  <c r="A86" i="9" s="1"/>
  <c r="A86" i="10" s="1"/>
  <c r="A86" i="11" s="1"/>
  <c r="A86" i="12" s="1"/>
  <c r="A86" i="13" s="1"/>
  <c r="A86" i="14" s="1"/>
  <c r="A86" i="15" s="1"/>
  <c r="A86" i="16" s="1"/>
  <c r="B85" i="6"/>
  <c r="B85" i="7" s="1"/>
  <c r="B85" i="8" s="1"/>
  <c r="B85" i="9" s="1"/>
  <c r="B85" i="10" s="1"/>
  <c r="B85" i="11" s="1"/>
  <c r="B85" i="12" s="1"/>
  <c r="B85" i="13" s="1"/>
  <c r="B85" i="14" s="1"/>
  <c r="B85" i="15" s="1"/>
  <c r="B85" i="16" s="1"/>
  <c r="A85" i="6"/>
  <c r="A85" i="7" s="1"/>
  <c r="A85" i="8" s="1"/>
  <c r="A85" i="9" s="1"/>
  <c r="A85" i="10" s="1"/>
  <c r="A85" i="11" s="1"/>
  <c r="A85" i="12" s="1"/>
  <c r="A85" i="13" s="1"/>
  <c r="A85" i="14" s="1"/>
  <c r="A85" i="15" s="1"/>
  <c r="A85" i="16" s="1"/>
  <c r="Q113" i="16"/>
  <c r="P113" i="16"/>
  <c r="K113" i="16"/>
  <c r="H113" i="16"/>
  <c r="Q104" i="16"/>
  <c r="P104" i="16"/>
  <c r="K104" i="16"/>
  <c r="H104" i="16"/>
  <c r="Q94" i="16"/>
  <c r="P94" i="16"/>
  <c r="K94" i="16"/>
  <c r="H94" i="16"/>
  <c r="Q85" i="16"/>
  <c r="P85" i="16"/>
  <c r="K85" i="16"/>
  <c r="H85" i="16"/>
  <c r="Q113" i="15"/>
  <c r="P113" i="15"/>
  <c r="K113" i="15"/>
  <c r="H113" i="15"/>
  <c r="Q104" i="15"/>
  <c r="P104" i="15"/>
  <c r="K104" i="15"/>
  <c r="H104" i="15"/>
  <c r="Q94" i="15"/>
  <c r="P94" i="15"/>
  <c r="K94" i="15"/>
  <c r="H94" i="15"/>
  <c r="Q85" i="15"/>
  <c r="P85" i="15"/>
  <c r="K85" i="15"/>
  <c r="H85" i="15"/>
  <c r="Q113" i="14"/>
  <c r="P113" i="14"/>
  <c r="K113" i="14"/>
  <c r="H113" i="14"/>
  <c r="Q104" i="14"/>
  <c r="P104" i="14"/>
  <c r="K104" i="14"/>
  <c r="H104" i="14"/>
  <c r="Q94" i="14"/>
  <c r="P94" i="14"/>
  <c r="K94" i="14"/>
  <c r="H94" i="14"/>
  <c r="Q85" i="14"/>
  <c r="P85" i="14"/>
  <c r="K85" i="14"/>
  <c r="H85" i="14"/>
  <c r="Q113" i="13"/>
  <c r="P113" i="13"/>
  <c r="K113" i="13"/>
  <c r="H113" i="13"/>
  <c r="Q104" i="13"/>
  <c r="P104" i="13"/>
  <c r="K104" i="13"/>
  <c r="H104" i="13"/>
  <c r="Q94" i="13"/>
  <c r="P94" i="13"/>
  <c r="K94" i="13"/>
  <c r="H94" i="13"/>
  <c r="Q85" i="13"/>
  <c r="P85" i="13"/>
  <c r="K85" i="13"/>
  <c r="H85" i="13"/>
  <c r="Q113" i="12"/>
  <c r="P113" i="12"/>
  <c r="K113" i="12"/>
  <c r="H113" i="12"/>
  <c r="Q104" i="12"/>
  <c r="P104" i="12"/>
  <c r="K104" i="12"/>
  <c r="H104" i="12"/>
  <c r="Q94" i="12"/>
  <c r="P94" i="12"/>
  <c r="K94" i="12"/>
  <c r="H94" i="12"/>
  <c r="Q85" i="12"/>
  <c r="P85" i="12"/>
  <c r="K85" i="12"/>
  <c r="H85" i="12"/>
  <c r="Q113" i="11"/>
  <c r="P113" i="11"/>
  <c r="K113" i="11"/>
  <c r="H113" i="11"/>
  <c r="Q104" i="11"/>
  <c r="P104" i="11"/>
  <c r="K104" i="11"/>
  <c r="H104" i="11"/>
  <c r="Q94" i="11"/>
  <c r="P94" i="11"/>
  <c r="K94" i="11"/>
  <c r="H94" i="11"/>
  <c r="Q85" i="11"/>
  <c r="P85" i="11"/>
  <c r="K85" i="11"/>
  <c r="H85" i="11"/>
  <c r="Q113" i="10"/>
  <c r="P113" i="10"/>
  <c r="K113" i="10"/>
  <c r="H113" i="10"/>
  <c r="Q104" i="10"/>
  <c r="P104" i="10"/>
  <c r="K104" i="10"/>
  <c r="H104" i="10"/>
  <c r="Q94" i="10"/>
  <c r="P94" i="10"/>
  <c r="K94" i="10"/>
  <c r="H94" i="10"/>
  <c r="Q85" i="10"/>
  <c r="P85" i="10"/>
  <c r="K85" i="10"/>
  <c r="H85" i="10"/>
  <c r="Q113" i="9"/>
  <c r="P113" i="9"/>
  <c r="K113" i="9"/>
  <c r="H113" i="9"/>
  <c r="C113" i="9"/>
  <c r="Q104" i="9"/>
  <c r="P104" i="9"/>
  <c r="K104" i="9"/>
  <c r="H104" i="9"/>
  <c r="Q94" i="9"/>
  <c r="P94" i="9"/>
  <c r="K94" i="9"/>
  <c r="H94" i="9"/>
  <c r="Q85" i="9"/>
  <c r="P85" i="9"/>
  <c r="K85" i="9"/>
  <c r="H85" i="9"/>
  <c r="Q113" i="8"/>
  <c r="P113" i="8"/>
  <c r="K113" i="8"/>
  <c r="H113" i="8"/>
  <c r="Q104" i="8"/>
  <c r="P104" i="8"/>
  <c r="K104" i="8"/>
  <c r="H104" i="8"/>
  <c r="Q94" i="8"/>
  <c r="P94" i="8"/>
  <c r="K94" i="8"/>
  <c r="H94" i="8"/>
  <c r="Q85" i="8"/>
  <c r="P85" i="8"/>
  <c r="K85" i="8"/>
  <c r="H85" i="8"/>
  <c r="Q113" i="7"/>
  <c r="P113" i="7"/>
  <c r="K113" i="7"/>
  <c r="H113" i="7"/>
  <c r="Q104" i="7"/>
  <c r="P104" i="7"/>
  <c r="K104" i="7"/>
  <c r="H104" i="7"/>
  <c r="Q94" i="7"/>
  <c r="P94" i="7"/>
  <c r="K94" i="7"/>
  <c r="H94" i="7"/>
  <c r="Q85" i="7"/>
  <c r="P85" i="7"/>
  <c r="K85" i="7"/>
  <c r="H85" i="7"/>
  <c r="Q113" i="6"/>
  <c r="P113" i="6"/>
  <c r="K113" i="6"/>
  <c r="H113" i="6"/>
  <c r="Q104" i="6"/>
  <c r="P104" i="6"/>
  <c r="K104" i="6"/>
  <c r="H104" i="6"/>
  <c r="Q94" i="6"/>
  <c r="P94" i="6"/>
  <c r="K94" i="6"/>
  <c r="H94" i="6"/>
  <c r="Q85" i="6"/>
  <c r="P85" i="6"/>
  <c r="K85" i="6"/>
  <c r="H85" i="6"/>
  <c r="B122" i="5"/>
  <c r="B122" i="6" s="1"/>
  <c r="B122" i="7" s="1"/>
  <c r="B122" i="8" s="1"/>
  <c r="B122" i="9" s="1"/>
  <c r="B122" i="10" s="1"/>
  <c r="B122" i="11" s="1"/>
  <c r="B122" i="12" s="1"/>
  <c r="B122" i="13" s="1"/>
  <c r="B122" i="14" s="1"/>
  <c r="B122" i="15" s="1"/>
  <c r="B122" i="16" s="1"/>
  <c r="Q113" i="5"/>
  <c r="P113" i="5"/>
  <c r="K113" i="5"/>
  <c r="J113" i="5"/>
  <c r="H113" i="5"/>
  <c r="G113" i="5"/>
  <c r="C113" i="5"/>
  <c r="L122" i="5"/>
  <c r="J122" i="6" s="1"/>
  <c r="L122" i="6" s="1"/>
  <c r="J122" i="7" s="1"/>
  <c r="L122" i="7" s="1"/>
  <c r="J122" i="8" s="1"/>
  <c r="L122" i="8" s="1"/>
  <c r="J122" i="9" s="1"/>
  <c r="L122" i="9" s="1"/>
  <c r="J122" i="10" s="1"/>
  <c r="I122" i="5"/>
  <c r="G122" i="6" s="1"/>
  <c r="I122" i="6" s="1"/>
  <c r="E122" i="5"/>
  <c r="E122" i="6" s="1"/>
  <c r="E122" i="7" s="1"/>
  <c r="E122" i="8" s="1"/>
  <c r="E122" i="9" s="1"/>
  <c r="E122" i="10" s="1"/>
  <c r="D122" i="5"/>
  <c r="D122" i="6" s="1"/>
  <c r="Q104" i="5"/>
  <c r="P104" i="5"/>
  <c r="G104" i="5"/>
  <c r="H104" i="5"/>
  <c r="J104" i="5"/>
  <c r="K104" i="5"/>
  <c r="C104" i="5"/>
  <c r="L111" i="5"/>
  <c r="J111" i="6" s="1"/>
  <c r="L111" i="6" s="1"/>
  <c r="I111" i="5"/>
  <c r="G111" i="6" s="1"/>
  <c r="I111" i="6" s="1"/>
  <c r="G111" i="7" s="1"/>
  <c r="I111" i="7" s="1"/>
  <c r="E111" i="5"/>
  <c r="E111" i="6" s="1"/>
  <c r="E111" i="7" s="1"/>
  <c r="E111" i="8" s="1"/>
  <c r="E111" i="9" s="1"/>
  <c r="E111" i="10" s="1"/>
  <c r="E111" i="11" s="1"/>
  <c r="E111" i="12" s="1"/>
  <c r="E111" i="13" s="1"/>
  <c r="E111" i="14" s="1"/>
  <c r="E111" i="15" s="1"/>
  <c r="E111" i="16" s="1"/>
  <c r="D111" i="5"/>
  <c r="L110" i="5"/>
  <c r="J110" i="6" s="1"/>
  <c r="L110" i="6" s="1"/>
  <c r="J110" i="7" s="1"/>
  <c r="L110" i="7" s="1"/>
  <c r="I110" i="5"/>
  <c r="G110" i="6" s="1"/>
  <c r="I110" i="6" s="1"/>
  <c r="E110" i="5"/>
  <c r="D110" i="5"/>
  <c r="D110" i="6" s="1"/>
  <c r="L109" i="5"/>
  <c r="J109" i="6" s="1"/>
  <c r="L109" i="6" s="1"/>
  <c r="J109" i="7" s="1"/>
  <c r="L109" i="7" s="1"/>
  <c r="J109" i="8" s="1"/>
  <c r="L109" i="8" s="1"/>
  <c r="J109" i="9" s="1"/>
  <c r="L109" i="9" s="1"/>
  <c r="J109" i="10" s="1"/>
  <c r="L109" i="10" s="1"/>
  <c r="J109" i="11" s="1"/>
  <c r="L109" i="11" s="1"/>
  <c r="J109" i="12" s="1"/>
  <c r="L109" i="12" s="1"/>
  <c r="J109" i="13" s="1"/>
  <c r="L109" i="13" s="1"/>
  <c r="I109" i="5"/>
  <c r="G109" i="6" s="1"/>
  <c r="I109" i="6" s="1"/>
  <c r="G109" i="7" s="1"/>
  <c r="I109" i="7" s="1"/>
  <c r="G109" i="8" s="1"/>
  <c r="I109" i="8" s="1"/>
  <c r="G109" i="9" s="1"/>
  <c r="I109" i="9" s="1"/>
  <c r="E109" i="5"/>
  <c r="E109" i="6" s="1"/>
  <c r="E109" i="7" s="1"/>
  <c r="E109" i="8" s="1"/>
  <c r="E109" i="9" s="1"/>
  <c r="E109" i="10" s="1"/>
  <c r="E109" i="11" s="1"/>
  <c r="E109" i="12" s="1"/>
  <c r="E109" i="13" s="1"/>
  <c r="E109" i="14" s="1"/>
  <c r="E109" i="15" s="1"/>
  <c r="E109" i="16" s="1"/>
  <c r="D109" i="5"/>
  <c r="D109" i="6" s="1"/>
  <c r="D109" i="7" s="1"/>
  <c r="D109" i="8" s="1"/>
  <c r="D109" i="9" s="1"/>
  <c r="D109" i="10" s="1"/>
  <c r="D109" i="11" s="1"/>
  <c r="L108" i="5"/>
  <c r="J108" i="6" s="1"/>
  <c r="L108" i="6" s="1"/>
  <c r="J108" i="7" s="1"/>
  <c r="L108" i="7" s="1"/>
  <c r="J108" i="8" s="1"/>
  <c r="L108" i="8" s="1"/>
  <c r="J108" i="9" s="1"/>
  <c r="L108" i="9" s="1"/>
  <c r="J108" i="10" s="1"/>
  <c r="L108" i="10" s="1"/>
  <c r="J108" i="11" s="1"/>
  <c r="L108" i="11" s="1"/>
  <c r="J108" i="12" s="1"/>
  <c r="L108" i="12" s="1"/>
  <c r="J108" i="13" s="1"/>
  <c r="L108" i="13" s="1"/>
  <c r="J108" i="14" s="1"/>
  <c r="L108" i="14" s="1"/>
  <c r="J108" i="15" s="1"/>
  <c r="L108" i="15" s="1"/>
  <c r="J108" i="16" s="1"/>
  <c r="L108" i="16" s="1"/>
  <c r="I108" i="5"/>
  <c r="E108" i="5"/>
  <c r="E108" i="6" s="1"/>
  <c r="E108" i="7" s="1"/>
  <c r="D108" i="5"/>
  <c r="L107" i="5"/>
  <c r="J107" i="6" s="1"/>
  <c r="L107" i="6" s="1"/>
  <c r="J107" i="7" s="1"/>
  <c r="L107" i="7" s="1"/>
  <c r="J107" i="8" s="1"/>
  <c r="L107" i="8" s="1"/>
  <c r="J107" i="9" s="1"/>
  <c r="L107" i="9" s="1"/>
  <c r="J107" i="10" s="1"/>
  <c r="L107" i="10" s="1"/>
  <c r="J107" i="11" s="1"/>
  <c r="L107" i="11" s="1"/>
  <c r="J107" i="12" s="1"/>
  <c r="L107" i="12" s="1"/>
  <c r="J107" i="13" s="1"/>
  <c r="L107" i="13" s="1"/>
  <c r="J107" i="14" s="1"/>
  <c r="L107" i="14" s="1"/>
  <c r="J107" i="15" s="1"/>
  <c r="L107" i="15" s="1"/>
  <c r="J107" i="16" s="1"/>
  <c r="L107" i="16" s="1"/>
  <c r="I107" i="5"/>
  <c r="G107" i="6" s="1"/>
  <c r="I107" i="6" s="1"/>
  <c r="G107" i="7" s="1"/>
  <c r="I107" i="7" s="1"/>
  <c r="G107" i="8" s="1"/>
  <c r="I107" i="8" s="1"/>
  <c r="G107" i="9" s="1"/>
  <c r="I107" i="9" s="1"/>
  <c r="G107" i="10" s="1"/>
  <c r="I107" i="10" s="1"/>
  <c r="G107" i="11" s="1"/>
  <c r="I107" i="11" s="1"/>
  <c r="G107" i="12" s="1"/>
  <c r="I107" i="12" s="1"/>
  <c r="G107" i="13" s="1"/>
  <c r="I107" i="13" s="1"/>
  <c r="G107" i="14" s="1"/>
  <c r="I107" i="14" s="1"/>
  <c r="G107" i="15" s="1"/>
  <c r="I107" i="15" s="1"/>
  <c r="G107" i="16" s="1"/>
  <c r="I107" i="16" s="1"/>
  <c r="E107" i="5"/>
  <c r="E107" i="6" s="1"/>
  <c r="E107" i="7" s="1"/>
  <c r="E107" i="8" s="1"/>
  <c r="E107" i="9" s="1"/>
  <c r="E107" i="10" s="1"/>
  <c r="E107" i="11" s="1"/>
  <c r="E107" i="12" s="1"/>
  <c r="E107" i="13" s="1"/>
  <c r="E107" i="14" s="1"/>
  <c r="E107" i="15" s="1"/>
  <c r="E107" i="16" s="1"/>
  <c r="D107" i="5"/>
  <c r="D107" i="6" s="1"/>
  <c r="L106" i="5"/>
  <c r="J106" i="6" s="1"/>
  <c r="L106" i="6" s="1"/>
  <c r="J106" i="7" s="1"/>
  <c r="L106" i="7" s="1"/>
  <c r="J106" i="8" s="1"/>
  <c r="L106" i="8" s="1"/>
  <c r="J106" i="9" s="1"/>
  <c r="L106" i="9" s="1"/>
  <c r="J106" i="10" s="1"/>
  <c r="L106" i="10" s="1"/>
  <c r="J106" i="11" s="1"/>
  <c r="L106" i="11" s="1"/>
  <c r="J106" i="12" s="1"/>
  <c r="L106" i="12" s="1"/>
  <c r="J106" i="13" s="1"/>
  <c r="L106" i="13" s="1"/>
  <c r="J106" i="14" s="1"/>
  <c r="L106" i="14" s="1"/>
  <c r="J106" i="15" s="1"/>
  <c r="L106" i="15" s="1"/>
  <c r="J106" i="16" s="1"/>
  <c r="L106" i="16" s="1"/>
  <c r="I106" i="5"/>
  <c r="G106" i="6" s="1"/>
  <c r="E106" i="5"/>
  <c r="E106" i="6" s="1"/>
  <c r="D106" i="5"/>
  <c r="L105" i="5"/>
  <c r="J105" i="6" s="1"/>
  <c r="I105" i="5"/>
  <c r="E105" i="5"/>
  <c r="E105" i="6" s="1"/>
  <c r="E105" i="7" s="1"/>
  <c r="D105" i="5"/>
  <c r="Q94" i="5"/>
  <c r="P94" i="5"/>
  <c r="L96" i="5"/>
  <c r="J96" i="6" s="1"/>
  <c r="L96" i="6" s="1"/>
  <c r="J96" i="7" s="1"/>
  <c r="L96" i="7" s="1"/>
  <c r="J96" i="8" s="1"/>
  <c r="L96" i="8" s="1"/>
  <c r="J96" i="9" s="1"/>
  <c r="L96" i="9" s="1"/>
  <c r="J96" i="10" s="1"/>
  <c r="L96" i="10" s="1"/>
  <c r="J96" i="11" s="1"/>
  <c r="L96" i="11" s="1"/>
  <c r="J96" i="12" s="1"/>
  <c r="L96" i="12" s="1"/>
  <c r="J96" i="13" s="1"/>
  <c r="L96" i="13" s="1"/>
  <c r="J96" i="14" s="1"/>
  <c r="L96" i="14" s="1"/>
  <c r="J96" i="15" s="1"/>
  <c r="L96" i="15" s="1"/>
  <c r="J96" i="16" s="1"/>
  <c r="L96" i="16" s="1"/>
  <c r="L97" i="5"/>
  <c r="J97" i="6" s="1"/>
  <c r="L97" i="6" s="1"/>
  <c r="J97" i="7" s="1"/>
  <c r="L97" i="7" s="1"/>
  <c r="J97" i="8" s="1"/>
  <c r="L97" i="8" s="1"/>
  <c r="J97" i="9" s="1"/>
  <c r="L97" i="9" s="1"/>
  <c r="L98" i="5"/>
  <c r="J98" i="6" s="1"/>
  <c r="L98" i="6" s="1"/>
  <c r="J98" i="7" s="1"/>
  <c r="L98" i="7" s="1"/>
  <c r="J98" i="8" s="1"/>
  <c r="L98" i="8" s="1"/>
  <c r="J98" i="9" s="1"/>
  <c r="L98" i="9" s="1"/>
  <c r="J98" i="10" s="1"/>
  <c r="L98" i="10" s="1"/>
  <c r="J98" i="11" s="1"/>
  <c r="L98" i="11" s="1"/>
  <c r="J98" i="12" s="1"/>
  <c r="L98" i="12" s="1"/>
  <c r="J98" i="13" s="1"/>
  <c r="L98" i="13" s="1"/>
  <c r="J98" i="14" s="1"/>
  <c r="L98" i="14" s="1"/>
  <c r="J98" i="15" s="1"/>
  <c r="L98" i="15" s="1"/>
  <c r="J98" i="16" s="1"/>
  <c r="L98" i="16" s="1"/>
  <c r="L99" i="5"/>
  <c r="J99" i="6" s="1"/>
  <c r="L99" i="6" s="1"/>
  <c r="J99" i="7" s="1"/>
  <c r="L99" i="7" s="1"/>
  <c r="J99" i="8" s="1"/>
  <c r="L99" i="8" s="1"/>
  <c r="J99" i="9" s="1"/>
  <c r="L99" i="9" s="1"/>
  <c r="J99" i="10" s="1"/>
  <c r="L99" i="10" s="1"/>
  <c r="J99" i="11" s="1"/>
  <c r="L99" i="11" s="1"/>
  <c r="J99" i="12" s="1"/>
  <c r="L99" i="12" s="1"/>
  <c r="J99" i="13" s="1"/>
  <c r="L99" i="13" s="1"/>
  <c r="J99" i="14" s="1"/>
  <c r="L99" i="14" s="1"/>
  <c r="J99" i="15" s="1"/>
  <c r="L99" i="15" s="1"/>
  <c r="J99" i="16" s="1"/>
  <c r="L99" i="16" s="1"/>
  <c r="L100" i="5"/>
  <c r="J100" i="6" s="1"/>
  <c r="L100" i="6" s="1"/>
  <c r="J100" i="7" s="1"/>
  <c r="L100" i="7" s="1"/>
  <c r="J100" i="8" s="1"/>
  <c r="L100" i="8" s="1"/>
  <c r="J100" i="9" s="1"/>
  <c r="L100" i="9" s="1"/>
  <c r="L101" i="5"/>
  <c r="J101" i="6" s="1"/>
  <c r="L101" i="6" s="1"/>
  <c r="L102" i="5"/>
  <c r="J102" i="6" s="1"/>
  <c r="L102" i="6" s="1"/>
  <c r="J102" i="7" s="1"/>
  <c r="L102" i="7" s="1"/>
  <c r="J102" i="8" s="1"/>
  <c r="L102" i="8" s="1"/>
  <c r="J102" i="9" s="1"/>
  <c r="L102" i="9" s="1"/>
  <c r="J102" i="10" s="1"/>
  <c r="L102" i="10" s="1"/>
  <c r="J102" i="11" s="1"/>
  <c r="L102" i="11" s="1"/>
  <c r="J102" i="12" s="1"/>
  <c r="L102" i="12" s="1"/>
  <c r="J102" i="13" s="1"/>
  <c r="L102" i="13" s="1"/>
  <c r="J102" i="14" s="1"/>
  <c r="L102" i="14" s="1"/>
  <c r="J102" i="15" s="1"/>
  <c r="L102" i="15" s="1"/>
  <c r="J102" i="16" s="1"/>
  <c r="L102" i="16" s="1"/>
  <c r="I96" i="5"/>
  <c r="G96" i="6" s="1"/>
  <c r="I97" i="5"/>
  <c r="G97" i="6" s="1"/>
  <c r="I97" i="6" s="1"/>
  <c r="G97" i="7" s="1"/>
  <c r="I98" i="5"/>
  <c r="G98" i="6" s="1"/>
  <c r="I98" i="6" s="1"/>
  <c r="I99" i="5"/>
  <c r="G99" i="6" s="1"/>
  <c r="I99" i="6" s="1"/>
  <c r="G99" i="7" s="1"/>
  <c r="I99" i="7" s="1"/>
  <c r="G99" i="8" s="1"/>
  <c r="I99" i="8" s="1"/>
  <c r="G99" i="9" s="1"/>
  <c r="I99" i="9" s="1"/>
  <c r="G99" i="10" s="1"/>
  <c r="I99" i="10" s="1"/>
  <c r="G99" i="11" s="1"/>
  <c r="I99" i="11" s="1"/>
  <c r="G99" i="12" s="1"/>
  <c r="I99" i="12" s="1"/>
  <c r="G99" i="13" s="1"/>
  <c r="I99" i="13" s="1"/>
  <c r="G99" i="14" s="1"/>
  <c r="I99" i="14" s="1"/>
  <c r="G99" i="15" s="1"/>
  <c r="I99" i="15" s="1"/>
  <c r="G99" i="16" s="1"/>
  <c r="I99" i="16" s="1"/>
  <c r="D21" i="20" s="1"/>
  <c r="I100" i="5"/>
  <c r="G100" i="6" s="1"/>
  <c r="I100" i="6" s="1"/>
  <c r="G100" i="7" s="1"/>
  <c r="I100" i="7" s="1"/>
  <c r="G100" i="8" s="1"/>
  <c r="I100" i="8" s="1"/>
  <c r="G100" i="9" s="1"/>
  <c r="I100" i="9" s="1"/>
  <c r="G100" i="10" s="1"/>
  <c r="I100" i="10" s="1"/>
  <c r="G100" i="11" s="1"/>
  <c r="I100" i="11" s="1"/>
  <c r="G100" i="12" s="1"/>
  <c r="I100" i="12" s="1"/>
  <c r="G100" i="13" s="1"/>
  <c r="I100" i="13" s="1"/>
  <c r="G100" i="14" s="1"/>
  <c r="I100" i="14" s="1"/>
  <c r="G100" i="15" s="1"/>
  <c r="I100" i="15" s="1"/>
  <c r="G100" i="16" s="1"/>
  <c r="I100" i="16" s="1"/>
  <c r="D22" i="20" s="1"/>
  <c r="I101" i="5"/>
  <c r="G101" i="6" s="1"/>
  <c r="I101" i="6" s="1"/>
  <c r="I102" i="5"/>
  <c r="G102" i="6" s="1"/>
  <c r="I102" i="6" s="1"/>
  <c r="G102" i="7" s="1"/>
  <c r="I102" i="7" s="1"/>
  <c r="G102" i="8" s="1"/>
  <c r="I102" i="8" s="1"/>
  <c r="G102" i="9" s="1"/>
  <c r="I102" i="9" s="1"/>
  <c r="G102" i="10" s="1"/>
  <c r="I102" i="10" s="1"/>
  <c r="G102" i="11" s="1"/>
  <c r="I102" i="11" s="1"/>
  <c r="G102" i="12" s="1"/>
  <c r="I102" i="12" s="1"/>
  <c r="G102" i="13" s="1"/>
  <c r="I102" i="13" s="1"/>
  <c r="G102" i="14" s="1"/>
  <c r="I102" i="14" s="1"/>
  <c r="G102" i="15" s="1"/>
  <c r="I102" i="15" s="1"/>
  <c r="G102" i="16" s="1"/>
  <c r="I102" i="16" s="1"/>
  <c r="E96" i="5"/>
  <c r="E96" i="6" s="1"/>
  <c r="E96" i="7" s="1"/>
  <c r="E96" i="8" s="1"/>
  <c r="E96" i="9" s="1"/>
  <c r="E96" i="10" s="1"/>
  <c r="E96" i="11" s="1"/>
  <c r="E96" i="12" s="1"/>
  <c r="E96" i="13" s="1"/>
  <c r="E96" i="14" s="1"/>
  <c r="E96" i="15" s="1"/>
  <c r="E96" i="16" s="1"/>
  <c r="E97" i="5"/>
  <c r="E97" i="6" s="1"/>
  <c r="E97" i="7" s="1"/>
  <c r="E97" i="8" s="1"/>
  <c r="E97" i="9" s="1"/>
  <c r="E97" i="10" s="1"/>
  <c r="E97" i="11" s="1"/>
  <c r="E97" i="12" s="1"/>
  <c r="E97" i="13" s="1"/>
  <c r="E97" i="14" s="1"/>
  <c r="E97" i="15" s="1"/>
  <c r="E97" i="16" s="1"/>
  <c r="E98" i="5"/>
  <c r="E98" i="6" s="1"/>
  <c r="E98" i="7" s="1"/>
  <c r="E98" i="8" s="1"/>
  <c r="E98" i="9" s="1"/>
  <c r="E98" i="10" s="1"/>
  <c r="E98" i="11" s="1"/>
  <c r="E98" i="12" s="1"/>
  <c r="E98" i="13" s="1"/>
  <c r="E98" i="14" s="1"/>
  <c r="E98" i="15" s="1"/>
  <c r="E98" i="16" s="1"/>
  <c r="E99" i="5"/>
  <c r="E99" i="6" s="1"/>
  <c r="E99" i="7" s="1"/>
  <c r="E99" i="8" s="1"/>
  <c r="E99" i="9" s="1"/>
  <c r="E99" i="10" s="1"/>
  <c r="E99" i="11" s="1"/>
  <c r="E99" i="12" s="1"/>
  <c r="E99" i="13" s="1"/>
  <c r="E99" i="14" s="1"/>
  <c r="E99" i="15" s="1"/>
  <c r="E99" i="16" s="1"/>
  <c r="E100" i="5"/>
  <c r="E100" i="6" s="1"/>
  <c r="E100" i="7" s="1"/>
  <c r="E100" i="8" s="1"/>
  <c r="E100" i="9" s="1"/>
  <c r="E100" i="10" s="1"/>
  <c r="E100" i="11" s="1"/>
  <c r="E100" i="12" s="1"/>
  <c r="E100" i="13" s="1"/>
  <c r="E100" i="14" s="1"/>
  <c r="E100" i="15" s="1"/>
  <c r="E100" i="16" s="1"/>
  <c r="E101" i="5"/>
  <c r="E101" i="6" s="1"/>
  <c r="E101" i="7" s="1"/>
  <c r="E102" i="5"/>
  <c r="E102" i="6" s="1"/>
  <c r="E102" i="7" s="1"/>
  <c r="E102" i="8" s="1"/>
  <c r="E102" i="9" s="1"/>
  <c r="E102" i="10" s="1"/>
  <c r="E102" i="11" s="1"/>
  <c r="E102" i="12" s="1"/>
  <c r="E102" i="13" s="1"/>
  <c r="E102" i="14" s="1"/>
  <c r="E102" i="15" s="1"/>
  <c r="E102" i="16" s="1"/>
  <c r="D96" i="5"/>
  <c r="D96" i="6" s="1"/>
  <c r="D96" i="7" s="1"/>
  <c r="D97" i="5"/>
  <c r="D98" i="5"/>
  <c r="D98" i="6" s="1"/>
  <c r="D98" i="7" s="1"/>
  <c r="D98" i="8" s="1"/>
  <c r="D99" i="5"/>
  <c r="D99" i="6" s="1"/>
  <c r="D99" i="7" s="1"/>
  <c r="D100" i="5"/>
  <c r="D100" i="6" s="1"/>
  <c r="D100" i="7" s="1"/>
  <c r="D100" i="8" s="1"/>
  <c r="D100" i="9" s="1"/>
  <c r="D101" i="5"/>
  <c r="D102" i="5"/>
  <c r="D102" i="6" s="1"/>
  <c r="G94" i="5"/>
  <c r="H94" i="5"/>
  <c r="J94" i="5"/>
  <c r="K94" i="5"/>
  <c r="C94" i="5"/>
  <c r="L95" i="5"/>
  <c r="I95" i="5"/>
  <c r="G95" i="6" s="1"/>
  <c r="I95" i="6" s="1"/>
  <c r="E95" i="5"/>
  <c r="D95" i="5"/>
  <c r="D95" i="6" s="1"/>
  <c r="D115" i="5"/>
  <c r="D115" i="6" s="1"/>
  <c r="D115" i="7" s="1"/>
  <c r="E115" i="5"/>
  <c r="I115" i="5"/>
  <c r="L115" i="5"/>
  <c r="J115" i="6" s="1"/>
  <c r="L115" i="6" s="1"/>
  <c r="D116" i="5"/>
  <c r="D116" i="6" s="1"/>
  <c r="D116" i="7" s="1"/>
  <c r="D116" i="8" s="1"/>
  <c r="D116" i="9" s="1"/>
  <c r="E116" i="5"/>
  <c r="I116" i="5"/>
  <c r="G116" i="6" s="1"/>
  <c r="I116" i="6" s="1"/>
  <c r="G116" i="7" s="1"/>
  <c r="I116" i="7" s="1"/>
  <c r="G116" i="8" s="1"/>
  <c r="I116" i="8" s="1"/>
  <c r="G116" i="9" s="1"/>
  <c r="I116" i="9" s="1"/>
  <c r="G116" i="10" s="1"/>
  <c r="I116" i="10" s="1"/>
  <c r="G116" i="11" s="1"/>
  <c r="I116" i="11" s="1"/>
  <c r="G116" i="12" s="1"/>
  <c r="I116" i="12" s="1"/>
  <c r="G116" i="13" s="1"/>
  <c r="I116" i="13" s="1"/>
  <c r="G116" i="14" s="1"/>
  <c r="I116" i="14" s="1"/>
  <c r="G116" i="15" s="1"/>
  <c r="I116" i="15" s="1"/>
  <c r="G116" i="16" s="1"/>
  <c r="I116" i="16" s="1"/>
  <c r="L116" i="5"/>
  <c r="J116" i="6" s="1"/>
  <c r="L116" i="6" s="1"/>
  <c r="J116" i="7" s="1"/>
  <c r="L116" i="7" s="1"/>
  <c r="J116" i="8" s="1"/>
  <c r="L116" i="8" s="1"/>
  <c r="J116" i="9" s="1"/>
  <c r="L116" i="9" s="1"/>
  <c r="J116" i="10" s="1"/>
  <c r="L116" i="10" s="1"/>
  <c r="J116" i="11" s="1"/>
  <c r="L116" i="11" s="1"/>
  <c r="J116" i="12" s="1"/>
  <c r="L116" i="12" s="1"/>
  <c r="J116" i="13" s="1"/>
  <c r="L116" i="13" s="1"/>
  <c r="J116" i="14" s="1"/>
  <c r="L116" i="14" s="1"/>
  <c r="J116" i="15" s="1"/>
  <c r="L116" i="15" s="1"/>
  <c r="J116" i="16" s="1"/>
  <c r="L116" i="16" s="1"/>
  <c r="D117" i="5"/>
  <c r="E117" i="5"/>
  <c r="E117" i="6" s="1"/>
  <c r="E117" i="7" s="1"/>
  <c r="E117" i="8" s="1"/>
  <c r="E117" i="9" s="1"/>
  <c r="E117" i="10" s="1"/>
  <c r="E117" i="11" s="1"/>
  <c r="E117" i="12" s="1"/>
  <c r="E117" i="13" s="1"/>
  <c r="E117" i="14" s="1"/>
  <c r="E117" i="15" s="1"/>
  <c r="E117" i="16" s="1"/>
  <c r="I117" i="5"/>
  <c r="G117" i="6" s="1"/>
  <c r="I117" i="6" s="1"/>
  <c r="G117" i="7" s="1"/>
  <c r="I117" i="7" s="1"/>
  <c r="G117" i="8" s="1"/>
  <c r="I117" i="8" s="1"/>
  <c r="G117" i="9" s="1"/>
  <c r="I117" i="9" s="1"/>
  <c r="G117" i="10" s="1"/>
  <c r="I117" i="10" s="1"/>
  <c r="L117" i="5"/>
  <c r="J117" i="6" s="1"/>
  <c r="L117" i="6" s="1"/>
  <c r="J117" i="7" s="1"/>
  <c r="L117" i="7" s="1"/>
  <c r="J117" i="8" s="1"/>
  <c r="L117" i="8" s="1"/>
  <c r="J117" i="9" s="1"/>
  <c r="L117" i="9" s="1"/>
  <c r="J117" i="10" s="1"/>
  <c r="L117" i="10" s="1"/>
  <c r="J117" i="11" s="1"/>
  <c r="L117" i="11" s="1"/>
  <c r="J117" i="12" s="1"/>
  <c r="L117" i="12" s="1"/>
  <c r="J117" i="13" s="1"/>
  <c r="L117" i="13" s="1"/>
  <c r="J117" i="14" s="1"/>
  <c r="L117" i="14" s="1"/>
  <c r="D118" i="5"/>
  <c r="D118" i="6" s="1"/>
  <c r="E118" i="5"/>
  <c r="I118" i="5"/>
  <c r="G118" i="6" s="1"/>
  <c r="L118" i="5"/>
  <c r="J118" i="6" s="1"/>
  <c r="L118" i="6" s="1"/>
  <c r="J118" i="7" s="1"/>
  <c r="L118" i="7" s="1"/>
  <c r="J118" i="8" s="1"/>
  <c r="L118" i="8" s="1"/>
  <c r="J118" i="9" s="1"/>
  <c r="L118" i="9" s="1"/>
  <c r="J118" i="10" s="1"/>
  <c r="L118" i="10" s="1"/>
  <c r="J118" i="11" s="1"/>
  <c r="L118" i="11" s="1"/>
  <c r="D119" i="5"/>
  <c r="D119" i="6" s="1"/>
  <c r="E119" i="5"/>
  <c r="E119" i="6" s="1"/>
  <c r="E119" i="7" s="1"/>
  <c r="E119" i="8" s="1"/>
  <c r="E119" i="9" s="1"/>
  <c r="I119" i="5"/>
  <c r="G119" i="6" s="1"/>
  <c r="I119" i="6" s="1"/>
  <c r="G119" i="7" s="1"/>
  <c r="I119" i="7" s="1"/>
  <c r="G119" i="8" s="1"/>
  <c r="I119" i="8" s="1"/>
  <c r="G119" i="9" s="1"/>
  <c r="I119" i="9" s="1"/>
  <c r="L119" i="5"/>
  <c r="D120" i="5"/>
  <c r="E120" i="5"/>
  <c r="E120" i="6" s="1"/>
  <c r="E120" i="7" s="1"/>
  <c r="E120" i="8" s="1"/>
  <c r="E120" i="9" s="1"/>
  <c r="E120" i="10" s="1"/>
  <c r="E120" i="11" s="1"/>
  <c r="I120" i="5"/>
  <c r="L120" i="5"/>
  <c r="J120" i="6" s="1"/>
  <c r="L120" i="6" s="1"/>
  <c r="J120" i="7" s="1"/>
  <c r="L120" i="7" s="1"/>
  <c r="J120" i="8" s="1"/>
  <c r="L120" i="8" s="1"/>
  <c r="J120" i="9" s="1"/>
  <c r="L120" i="9" s="1"/>
  <c r="J120" i="10" s="1"/>
  <c r="L120" i="10" s="1"/>
  <c r="J120" i="11" s="1"/>
  <c r="L120" i="11" s="1"/>
  <c r="J120" i="12" s="1"/>
  <c r="L120" i="12" s="1"/>
  <c r="J120" i="13" s="1"/>
  <c r="L120" i="13" s="1"/>
  <c r="J120" i="14" s="1"/>
  <c r="L120" i="14" s="1"/>
  <c r="J120" i="15" s="1"/>
  <c r="L120" i="15" s="1"/>
  <c r="J120" i="16" s="1"/>
  <c r="L120" i="16" s="1"/>
  <c r="D121" i="5"/>
  <c r="E121" i="5"/>
  <c r="E121" i="6" s="1"/>
  <c r="E121" i="7" s="1"/>
  <c r="E121" i="8" s="1"/>
  <c r="E121" i="9" s="1"/>
  <c r="E121" i="10" s="1"/>
  <c r="E121" i="11" s="1"/>
  <c r="E121" i="12" s="1"/>
  <c r="E121" i="13" s="1"/>
  <c r="E121" i="14" s="1"/>
  <c r="E121" i="15" s="1"/>
  <c r="E121" i="16" s="1"/>
  <c r="I121" i="5"/>
  <c r="G121" i="6" s="1"/>
  <c r="I121" i="6" s="1"/>
  <c r="G121" i="7" s="1"/>
  <c r="I121" i="7" s="1"/>
  <c r="G121" i="8" s="1"/>
  <c r="I121" i="8" s="1"/>
  <c r="G121" i="9" s="1"/>
  <c r="I121" i="9" s="1"/>
  <c r="G121" i="10" s="1"/>
  <c r="I121" i="10" s="1"/>
  <c r="G121" i="11" s="1"/>
  <c r="I121" i="11" s="1"/>
  <c r="G121" i="12" s="1"/>
  <c r="I121" i="12" s="1"/>
  <c r="G121" i="13" s="1"/>
  <c r="I121" i="13" s="1"/>
  <c r="G121" i="14" s="1"/>
  <c r="I121" i="14" s="1"/>
  <c r="G121" i="15" s="1"/>
  <c r="I121" i="15" s="1"/>
  <c r="G121" i="16" s="1"/>
  <c r="I121" i="16" s="1"/>
  <c r="L121" i="5"/>
  <c r="J121" i="6" s="1"/>
  <c r="L121" i="6" s="1"/>
  <c r="J121" i="7" s="1"/>
  <c r="L121" i="7" s="1"/>
  <c r="J121" i="8" s="1"/>
  <c r="L121" i="8" s="1"/>
  <c r="J121" i="9" s="1"/>
  <c r="L121" i="9" s="1"/>
  <c r="J121" i="10" s="1"/>
  <c r="L121" i="10" s="1"/>
  <c r="J121" i="11" s="1"/>
  <c r="L121" i="11" s="1"/>
  <c r="J121" i="12" s="1"/>
  <c r="L121" i="12" s="1"/>
  <c r="J121" i="13" s="1"/>
  <c r="L121" i="13" s="1"/>
  <c r="J121" i="14" s="1"/>
  <c r="L121" i="14" s="1"/>
  <c r="J121" i="15" s="1"/>
  <c r="L121" i="15" s="1"/>
  <c r="J121" i="16" s="1"/>
  <c r="L121" i="16" s="1"/>
  <c r="D123" i="5"/>
  <c r="E123" i="5"/>
  <c r="E123" i="6" s="1"/>
  <c r="E123" i="7" s="1"/>
  <c r="E123" i="8" s="1"/>
  <c r="E123" i="9" s="1"/>
  <c r="E123" i="10" s="1"/>
  <c r="E123" i="11" s="1"/>
  <c r="E123" i="12" s="1"/>
  <c r="E123" i="13" s="1"/>
  <c r="E123" i="14" s="1"/>
  <c r="E123" i="15" s="1"/>
  <c r="E123" i="16" s="1"/>
  <c r="I123" i="5"/>
  <c r="G123" i="6" s="1"/>
  <c r="I123" i="6" s="1"/>
  <c r="G123" i="7" s="1"/>
  <c r="I123" i="7" s="1"/>
  <c r="G123" i="8" s="1"/>
  <c r="I123" i="8" s="1"/>
  <c r="G123" i="9" s="1"/>
  <c r="I123" i="9" s="1"/>
  <c r="G123" i="10" s="1"/>
  <c r="I123" i="10" s="1"/>
  <c r="G123" i="11" s="1"/>
  <c r="I123" i="11" s="1"/>
  <c r="G123" i="12" s="1"/>
  <c r="I123" i="12" s="1"/>
  <c r="G123" i="13" s="1"/>
  <c r="I123" i="13" s="1"/>
  <c r="G123" i="14" s="1"/>
  <c r="I123" i="14" s="1"/>
  <c r="G123" i="15" s="1"/>
  <c r="I123" i="15" s="1"/>
  <c r="G123" i="16" s="1"/>
  <c r="I123" i="16" s="1"/>
  <c r="L123" i="5"/>
  <c r="J123" i="6" s="1"/>
  <c r="L123" i="6" s="1"/>
  <c r="J123" i="7" s="1"/>
  <c r="L123" i="7" s="1"/>
  <c r="J123" i="8" s="1"/>
  <c r="L123" i="8" s="1"/>
  <c r="J123" i="9" s="1"/>
  <c r="L123" i="9" s="1"/>
  <c r="D124" i="5"/>
  <c r="D124" i="6" s="1"/>
  <c r="D124" i="7" s="1"/>
  <c r="D124" i="8" s="1"/>
  <c r="D124" i="9" s="1"/>
  <c r="E124" i="5"/>
  <c r="E124" i="6" s="1"/>
  <c r="I124" i="5"/>
  <c r="G124" i="6" s="1"/>
  <c r="I124" i="6" s="1"/>
  <c r="G124" i="7" s="1"/>
  <c r="I124" i="7" s="1"/>
  <c r="G124" i="8" s="1"/>
  <c r="I124" i="8" s="1"/>
  <c r="G124" i="9" s="1"/>
  <c r="I124" i="9" s="1"/>
  <c r="G124" i="10" s="1"/>
  <c r="I124" i="10" s="1"/>
  <c r="G124" i="11" s="1"/>
  <c r="I124" i="11" s="1"/>
  <c r="G124" i="12" s="1"/>
  <c r="I124" i="12" s="1"/>
  <c r="G124" i="13" s="1"/>
  <c r="I124" i="13" s="1"/>
  <c r="G124" i="14" s="1"/>
  <c r="I124" i="14" s="1"/>
  <c r="G124" i="15" s="1"/>
  <c r="I124" i="15" s="1"/>
  <c r="G124" i="16" s="1"/>
  <c r="I124" i="16" s="1"/>
  <c r="L124" i="5"/>
  <c r="J124" i="6" s="1"/>
  <c r="L124" i="6" s="1"/>
  <c r="J124" i="7" s="1"/>
  <c r="L124" i="7" s="1"/>
  <c r="J124" i="8" s="1"/>
  <c r="L124" i="8" s="1"/>
  <c r="J124" i="9" s="1"/>
  <c r="L124" i="9" s="1"/>
  <c r="J124" i="10" s="1"/>
  <c r="L124" i="10" s="1"/>
  <c r="J124" i="11" s="1"/>
  <c r="L124" i="11" s="1"/>
  <c r="J124" i="12" s="1"/>
  <c r="L124" i="12" s="1"/>
  <c r="J124" i="13" s="1"/>
  <c r="L124" i="13" s="1"/>
  <c r="J124" i="14" s="1"/>
  <c r="L124" i="14" s="1"/>
  <c r="J124" i="15" s="1"/>
  <c r="L124" i="15" s="1"/>
  <c r="J124" i="16" s="1"/>
  <c r="L124" i="16" s="1"/>
  <c r="Q85" i="5"/>
  <c r="P85" i="5"/>
  <c r="K85" i="5"/>
  <c r="J85" i="5"/>
  <c r="H85" i="5"/>
  <c r="G85" i="5"/>
  <c r="C85" i="5"/>
  <c r="L92" i="5"/>
  <c r="J92" i="6" s="1"/>
  <c r="L92" i="6" s="1"/>
  <c r="J92" i="7" s="1"/>
  <c r="L92" i="7" s="1"/>
  <c r="J92" i="8" s="1"/>
  <c r="L92" i="8" s="1"/>
  <c r="J92" i="9" s="1"/>
  <c r="L92" i="9" s="1"/>
  <c r="J92" i="10" s="1"/>
  <c r="L92" i="10" s="1"/>
  <c r="J92" i="11" s="1"/>
  <c r="L92" i="11" s="1"/>
  <c r="J92" i="12" s="1"/>
  <c r="L92" i="12" s="1"/>
  <c r="J92" i="13" s="1"/>
  <c r="L92" i="13" s="1"/>
  <c r="J92" i="14" s="1"/>
  <c r="L92" i="14" s="1"/>
  <c r="J92" i="15" s="1"/>
  <c r="L92" i="15" s="1"/>
  <c r="J92" i="16" s="1"/>
  <c r="L92" i="16" s="1"/>
  <c r="I92" i="5"/>
  <c r="G92" i="6" s="1"/>
  <c r="I92" i="6" s="1"/>
  <c r="G92" i="7" s="1"/>
  <c r="I92" i="7" s="1"/>
  <c r="G92" i="8" s="1"/>
  <c r="I92" i="8" s="1"/>
  <c r="G92" i="9" s="1"/>
  <c r="I92" i="9" s="1"/>
  <c r="G92" i="10" s="1"/>
  <c r="I92" i="10" s="1"/>
  <c r="G92" i="11" s="1"/>
  <c r="I92" i="11" s="1"/>
  <c r="G92" i="12" s="1"/>
  <c r="I92" i="12" s="1"/>
  <c r="G92" i="13" s="1"/>
  <c r="I92" i="13" s="1"/>
  <c r="G92" i="14" s="1"/>
  <c r="I92" i="14" s="1"/>
  <c r="G92" i="15" s="1"/>
  <c r="I92" i="15" s="1"/>
  <c r="G92" i="16" s="1"/>
  <c r="I92" i="16" s="1"/>
  <c r="E92" i="5"/>
  <c r="E92" i="6" s="1"/>
  <c r="E92" i="7" s="1"/>
  <c r="E92" i="8" s="1"/>
  <c r="E92" i="9" s="1"/>
  <c r="E92" i="10" s="1"/>
  <c r="E92" i="11" s="1"/>
  <c r="E92" i="12" s="1"/>
  <c r="E92" i="13" s="1"/>
  <c r="E92" i="14" s="1"/>
  <c r="E92" i="15" s="1"/>
  <c r="E92" i="16" s="1"/>
  <c r="D92" i="5"/>
  <c r="L91" i="5"/>
  <c r="J91" i="6" s="1"/>
  <c r="L91" i="6" s="1"/>
  <c r="J91" i="7" s="1"/>
  <c r="L91" i="7" s="1"/>
  <c r="J91" i="8" s="1"/>
  <c r="L91" i="8" s="1"/>
  <c r="J91" i="9" s="1"/>
  <c r="L91" i="9" s="1"/>
  <c r="J91" i="10" s="1"/>
  <c r="L91" i="10" s="1"/>
  <c r="J91" i="11" s="1"/>
  <c r="L91" i="11" s="1"/>
  <c r="J91" i="12" s="1"/>
  <c r="L91" i="12" s="1"/>
  <c r="J91" i="13" s="1"/>
  <c r="L91" i="13" s="1"/>
  <c r="J91" i="14" s="1"/>
  <c r="L91" i="14" s="1"/>
  <c r="J91" i="15" s="1"/>
  <c r="L91" i="15" s="1"/>
  <c r="J91" i="16" s="1"/>
  <c r="L91" i="16" s="1"/>
  <c r="I91" i="5"/>
  <c r="G91" i="6" s="1"/>
  <c r="I91" i="6" s="1"/>
  <c r="G91" i="7" s="1"/>
  <c r="I91" i="7" s="1"/>
  <c r="G91" i="8" s="1"/>
  <c r="I91" i="8" s="1"/>
  <c r="G91" i="9" s="1"/>
  <c r="I91" i="9" s="1"/>
  <c r="G91" i="10" s="1"/>
  <c r="I91" i="10" s="1"/>
  <c r="G91" i="11" s="1"/>
  <c r="I91" i="11" s="1"/>
  <c r="G91" i="12" s="1"/>
  <c r="I91" i="12" s="1"/>
  <c r="G91" i="13" s="1"/>
  <c r="I91" i="13" s="1"/>
  <c r="G91" i="14" s="1"/>
  <c r="I91" i="14" s="1"/>
  <c r="G91" i="15" s="1"/>
  <c r="I91" i="15" s="1"/>
  <c r="G91" i="16" s="1"/>
  <c r="I91" i="16" s="1"/>
  <c r="E91" i="5"/>
  <c r="D91" i="5"/>
  <c r="D91" i="6" s="1"/>
  <c r="D91" i="7" s="1"/>
  <c r="D91" i="8" s="1"/>
  <c r="D91" i="9" s="1"/>
  <c r="D91" i="10" s="1"/>
  <c r="L90" i="5"/>
  <c r="J90" i="6" s="1"/>
  <c r="L90" i="6" s="1"/>
  <c r="J90" i="7" s="1"/>
  <c r="L90" i="7" s="1"/>
  <c r="J90" i="8" s="1"/>
  <c r="L90" i="8" s="1"/>
  <c r="J90" i="9" s="1"/>
  <c r="L90" i="9" s="1"/>
  <c r="J90" i="10" s="1"/>
  <c r="L90" i="10" s="1"/>
  <c r="J90" i="11" s="1"/>
  <c r="L90" i="11" s="1"/>
  <c r="J90" i="12" s="1"/>
  <c r="L90" i="12" s="1"/>
  <c r="J90" i="13" s="1"/>
  <c r="L90" i="13" s="1"/>
  <c r="J90" i="14" s="1"/>
  <c r="L90" i="14" s="1"/>
  <c r="J90" i="15" s="1"/>
  <c r="L90" i="15" s="1"/>
  <c r="J90" i="16" s="1"/>
  <c r="L90" i="16" s="1"/>
  <c r="AS13" i="16" s="1"/>
  <c r="I90" i="5"/>
  <c r="E90" i="5"/>
  <c r="E90" i="6" s="1"/>
  <c r="E90" i="7" s="1"/>
  <c r="E90" i="8" s="1"/>
  <c r="E90" i="9" s="1"/>
  <c r="E90" i="10" s="1"/>
  <c r="E90" i="11" s="1"/>
  <c r="E90" i="12" s="1"/>
  <c r="E90" i="13" s="1"/>
  <c r="E90" i="14" s="1"/>
  <c r="E90" i="15" s="1"/>
  <c r="E90" i="16" s="1"/>
  <c r="D90" i="5"/>
  <c r="L89" i="5"/>
  <c r="J89" i="6" s="1"/>
  <c r="L89" i="6" s="1"/>
  <c r="J89" i="7" s="1"/>
  <c r="L89" i="7" s="1"/>
  <c r="J89" i="8" s="1"/>
  <c r="L89" i="8" s="1"/>
  <c r="J89" i="9" s="1"/>
  <c r="L89" i="9" s="1"/>
  <c r="J89" i="10" s="1"/>
  <c r="L89" i="10" s="1"/>
  <c r="J89" i="11" s="1"/>
  <c r="L89" i="11" s="1"/>
  <c r="J89" i="12" s="1"/>
  <c r="L89" i="12" s="1"/>
  <c r="J89" i="13" s="1"/>
  <c r="L89" i="13" s="1"/>
  <c r="J89" i="14" s="1"/>
  <c r="L89" i="14" s="1"/>
  <c r="J89" i="15" s="1"/>
  <c r="L89" i="15" s="1"/>
  <c r="J89" i="16" s="1"/>
  <c r="L89" i="16" s="1"/>
  <c r="AX12" i="16" s="1"/>
  <c r="I89" i="5"/>
  <c r="G89" i="6" s="1"/>
  <c r="I89" i="6" s="1"/>
  <c r="G89" i="7" s="1"/>
  <c r="I89" i="7" s="1"/>
  <c r="G89" i="8" s="1"/>
  <c r="I89" i="8" s="1"/>
  <c r="G89" i="9" s="1"/>
  <c r="I89" i="9" s="1"/>
  <c r="G89" i="10" s="1"/>
  <c r="I89" i="10" s="1"/>
  <c r="G89" i="11" s="1"/>
  <c r="I89" i="11" s="1"/>
  <c r="G89" i="12" s="1"/>
  <c r="I89" i="12" s="1"/>
  <c r="G89" i="13" s="1"/>
  <c r="I89" i="13" s="1"/>
  <c r="G89" i="14" s="1"/>
  <c r="I89" i="14" s="1"/>
  <c r="G89" i="15" s="1"/>
  <c r="I89" i="15" s="1"/>
  <c r="G89" i="16" s="1"/>
  <c r="I89" i="16" s="1"/>
  <c r="E89" i="5"/>
  <c r="E89" i="6" s="1"/>
  <c r="E89" i="7" s="1"/>
  <c r="E89" i="8" s="1"/>
  <c r="E89" i="9" s="1"/>
  <c r="E89" i="10" s="1"/>
  <c r="E89" i="11" s="1"/>
  <c r="E89" i="12" s="1"/>
  <c r="E89" i="13" s="1"/>
  <c r="E89" i="14" s="1"/>
  <c r="E89" i="15" s="1"/>
  <c r="E89" i="16" s="1"/>
  <c r="D89" i="5"/>
  <c r="L88" i="5"/>
  <c r="J88" i="6" s="1"/>
  <c r="L88" i="6" s="1"/>
  <c r="J88" i="7" s="1"/>
  <c r="L88" i="7" s="1"/>
  <c r="J88" i="8" s="1"/>
  <c r="L88" i="8" s="1"/>
  <c r="AX11" i="8" s="1"/>
  <c r="I88" i="5"/>
  <c r="G88" i="6" s="1"/>
  <c r="I88" i="6" s="1"/>
  <c r="G88" i="7" s="1"/>
  <c r="I88" i="7" s="1"/>
  <c r="G88" i="8" s="1"/>
  <c r="I88" i="8" s="1"/>
  <c r="G88" i="9" s="1"/>
  <c r="I88" i="9" s="1"/>
  <c r="E88" i="5"/>
  <c r="E88" i="6" s="1"/>
  <c r="E88" i="7" s="1"/>
  <c r="E88" i="8" s="1"/>
  <c r="E88" i="9" s="1"/>
  <c r="E88" i="10" s="1"/>
  <c r="E88" i="11" s="1"/>
  <c r="E88" i="12" s="1"/>
  <c r="E88" i="13" s="1"/>
  <c r="E88" i="14" s="1"/>
  <c r="E88" i="15" s="1"/>
  <c r="E88" i="16" s="1"/>
  <c r="D88" i="5"/>
  <c r="L87" i="5"/>
  <c r="J87" i="6" s="1"/>
  <c r="I87" i="5"/>
  <c r="G87" i="6" s="1"/>
  <c r="I87" i="6" s="1"/>
  <c r="G87" i="7" s="1"/>
  <c r="I87" i="7" s="1"/>
  <c r="G87" i="8" s="1"/>
  <c r="I87" i="8" s="1"/>
  <c r="G87" i="9" s="1"/>
  <c r="I87" i="9" s="1"/>
  <c r="G87" i="10" s="1"/>
  <c r="I87" i="10" s="1"/>
  <c r="G87" i="11" s="1"/>
  <c r="I87" i="11" s="1"/>
  <c r="G87" i="12" s="1"/>
  <c r="I87" i="12" s="1"/>
  <c r="G87" i="13" s="1"/>
  <c r="I87" i="13" s="1"/>
  <c r="G87" i="14" s="1"/>
  <c r="I87" i="14" s="1"/>
  <c r="G87" i="15" s="1"/>
  <c r="I87" i="15" s="1"/>
  <c r="G87" i="16" s="1"/>
  <c r="I87" i="16" s="1"/>
  <c r="E87" i="5"/>
  <c r="E87" i="6" s="1"/>
  <c r="E87" i="7" s="1"/>
  <c r="D87" i="5"/>
  <c r="L86" i="5"/>
  <c r="I86" i="5"/>
  <c r="E86" i="5"/>
  <c r="D86" i="5"/>
  <c r="C38" i="16"/>
  <c r="C39" i="16"/>
  <c r="C40" i="16"/>
  <c r="C41" i="16"/>
  <c r="C38" i="15"/>
  <c r="C39" i="15"/>
  <c r="C40" i="15"/>
  <c r="C38" i="14"/>
  <c r="C39" i="14"/>
  <c r="C40" i="14"/>
  <c r="C41" i="14"/>
  <c r="C38" i="13"/>
  <c r="C39" i="13"/>
  <c r="C40" i="13"/>
  <c r="C41" i="13"/>
  <c r="C38" i="12"/>
  <c r="C39" i="12"/>
  <c r="C40" i="12"/>
  <c r="C41" i="12"/>
  <c r="C38" i="11"/>
  <c r="C39" i="11"/>
  <c r="C40" i="11"/>
  <c r="C41" i="11"/>
  <c r="C38" i="10"/>
  <c r="C39" i="10"/>
  <c r="C40" i="10"/>
  <c r="C41" i="10"/>
  <c r="C38" i="9"/>
  <c r="C39" i="9"/>
  <c r="C40" i="9"/>
  <c r="C41" i="9"/>
  <c r="C38" i="8"/>
  <c r="C39" i="8"/>
  <c r="C40" i="8"/>
  <c r="C38" i="7"/>
  <c r="C39" i="7"/>
  <c r="C40" i="7"/>
  <c r="BE13" i="6"/>
  <c r="C38" i="6"/>
  <c r="C39" i="6"/>
  <c r="C40" i="6"/>
  <c r="B38" i="6"/>
  <c r="B38" i="7" s="1"/>
  <c r="B38" i="8" s="1"/>
  <c r="B38" i="9" s="1"/>
  <c r="B38" i="10" s="1"/>
  <c r="B38" i="11" s="1"/>
  <c r="B38" i="12" s="1"/>
  <c r="B38" i="13" s="1"/>
  <c r="B38" i="14" s="1"/>
  <c r="B38" i="15" s="1"/>
  <c r="B38" i="16" s="1"/>
  <c r="B39" i="6"/>
  <c r="B39" i="7" s="1"/>
  <c r="B39" i="8" s="1"/>
  <c r="B39" i="9" s="1"/>
  <c r="B39" i="10" s="1"/>
  <c r="B39" i="11" s="1"/>
  <c r="B39" i="12" s="1"/>
  <c r="B39" i="13" s="1"/>
  <c r="B39" i="14" s="1"/>
  <c r="B39" i="15" s="1"/>
  <c r="B39" i="16" s="1"/>
  <c r="B40" i="6"/>
  <c r="B40" i="7" s="1"/>
  <c r="B40" i="8" s="1"/>
  <c r="B40" i="9" s="1"/>
  <c r="B40" i="10" s="1"/>
  <c r="B40" i="11" s="1"/>
  <c r="B40" i="12" s="1"/>
  <c r="B40" i="13" s="1"/>
  <c r="B40" i="14" s="1"/>
  <c r="B40" i="15" s="1"/>
  <c r="B40" i="16" s="1"/>
  <c r="A40" i="6"/>
  <c r="A40" i="7" s="1"/>
  <c r="A40" i="8" s="1"/>
  <c r="A40" i="9" s="1"/>
  <c r="A40" i="10" s="1"/>
  <c r="A40" i="11" s="1"/>
  <c r="A40" i="12" s="1"/>
  <c r="A40" i="13" s="1"/>
  <c r="A40" i="14" s="1"/>
  <c r="A40" i="15" s="1"/>
  <c r="A40" i="16" s="1"/>
  <c r="A38" i="6"/>
  <c r="A38" i="7" s="1"/>
  <c r="A38" i="8" s="1"/>
  <c r="A38" i="9" s="1"/>
  <c r="A38" i="10" s="1"/>
  <c r="A38" i="11" s="1"/>
  <c r="A38" i="12" s="1"/>
  <c r="A39" i="6"/>
  <c r="A39" i="7" s="1"/>
  <c r="A39" i="8" s="1"/>
  <c r="A39" i="9" s="1"/>
  <c r="A39" i="10" s="1"/>
  <c r="A39" i="11" s="1"/>
  <c r="A39" i="12" s="1"/>
  <c r="A39" i="13" s="1"/>
  <c r="A39" i="14" s="1"/>
  <c r="A39" i="15" s="1"/>
  <c r="A39" i="16" s="1"/>
  <c r="L39" i="5"/>
  <c r="J39" i="6" s="1"/>
  <c r="L39" i="6" s="1"/>
  <c r="J39" i="7" s="1"/>
  <c r="L39" i="7" s="1"/>
  <c r="L40" i="5"/>
  <c r="J40" i="6" s="1"/>
  <c r="L40" i="6" s="1"/>
  <c r="J40" i="7" s="1"/>
  <c r="L40" i="7" s="1"/>
  <c r="J40" i="8" s="1"/>
  <c r="L40" i="8" s="1"/>
  <c r="J40" i="9" s="1"/>
  <c r="L40" i="9" s="1"/>
  <c r="J40" i="10" s="1"/>
  <c r="L40" i="10" s="1"/>
  <c r="J40" i="11" s="1"/>
  <c r="L40" i="11" s="1"/>
  <c r="J40" i="12" s="1"/>
  <c r="L40" i="12" s="1"/>
  <c r="J40" i="13" s="1"/>
  <c r="L40" i="13" s="1"/>
  <c r="J40" i="14" s="1"/>
  <c r="L40" i="14" s="1"/>
  <c r="J40" i="15" s="1"/>
  <c r="L40" i="15" s="1"/>
  <c r="J40" i="16" s="1"/>
  <c r="L40" i="16" s="1"/>
  <c r="I38" i="5"/>
  <c r="G38" i="6" s="1"/>
  <c r="I38" i="6" s="1"/>
  <c r="G38" i="7" s="1"/>
  <c r="I38" i="7" s="1"/>
  <c r="G38" i="8" s="1"/>
  <c r="I38" i="8" s="1"/>
  <c r="G38" i="9" s="1"/>
  <c r="I38" i="9" s="1"/>
  <c r="G38" i="10" s="1"/>
  <c r="I38" i="10" s="1"/>
  <c r="G38" i="11" s="1"/>
  <c r="I38" i="11" s="1"/>
  <c r="G38" i="12" s="1"/>
  <c r="I38" i="12" s="1"/>
  <c r="G38" i="13" s="1"/>
  <c r="I38" i="13" s="1"/>
  <c r="G38" i="14" s="1"/>
  <c r="I38" i="14" s="1"/>
  <c r="G38" i="15" s="1"/>
  <c r="I38" i="15" s="1"/>
  <c r="G38" i="16" s="1"/>
  <c r="I38" i="16" s="1"/>
  <c r="I39" i="5"/>
  <c r="G39" i="6" s="1"/>
  <c r="I39" i="6" s="1"/>
  <c r="G39" i="7" s="1"/>
  <c r="I39" i="7" s="1"/>
  <c r="G39" i="8" s="1"/>
  <c r="I39" i="8" s="1"/>
  <c r="G39" i="9" s="1"/>
  <c r="I39" i="9" s="1"/>
  <c r="G39" i="10" s="1"/>
  <c r="I39" i="10" s="1"/>
  <c r="G39" i="11" s="1"/>
  <c r="I39" i="11" s="1"/>
  <c r="G39" i="12" s="1"/>
  <c r="I39" i="12" s="1"/>
  <c r="G39" i="13" s="1"/>
  <c r="I39" i="13" s="1"/>
  <c r="G39" i="14" s="1"/>
  <c r="I39" i="14" s="1"/>
  <c r="G39" i="15" s="1"/>
  <c r="I39" i="15" s="1"/>
  <c r="G39" i="16" s="1"/>
  <c r="I39" i="16" s="1"/>
  <c r="I40" i="5"/>
  <c r="E38" i="5"/>
  <c r="E38" i="6" s="1"/>
  <c r="E38" i="7" s="1"/>
  <c r="E38" i="8" s="1"/>
  <c r="E38" i="9" s="1"/>
  <c r="E38" i="10" s="1"/>
  <c r="E38" i="11" s="1"/>
  <c r="E38" i="12" s="1"/>
  <c r="E38" i="13" s="1"/>
  <c r="E38" i="14" s="1"/>
  <c r="E38" i="15" s="1"/>
  <c r="E38" i="16" s="1"/>
  <c r="E39" i="5"/>
  <c r="E39" i="6" s="1"/>
  <c r="E39" i="7" s="1"/>
  <c r="E39" i="8" s="1"/>
  <c r="E39" i="9" s="1"/>
  <c r="E39" i="10" s="1"/>
  <c r="E39" i="11" s="1"/>
  <c r="E39" i="12" s="1"/>
  <c r="E39" i="13" s="1"/>
  <c r="E39" i="14" s="1"/>
  <c r="E39" i="15" s="1"/>
  <c r="E39" i="16" s="1"/>
  <c r="E40" i="5"/>
  <c r="E40" i="6" s="1"/>
  <c r="E40" i="7" s="1"/>
  <c r="E40" i="8" s="1"/>
  <c r="E40" i="9" s="1"/>
  <c r="E40" i="10" s="1"/>
  <c r="E40" i="11" s="1"/>
  <c r="E40" i="12" s="1"/>
  <c r="E40" i="13" s="1"/>
  <c r="E40" i="14" s="1"/>
  <c r="E40" i="15" s="1"/>
  <c r="E40" i="16" s="1"/>
  <c r="D38" i="5"/>
  <c r="D39" i="5"/>
  <c r="D39" i="6" s="1"/>
  <c r="D39" i="7" s="1"/>
  <c r="D40" i="5"/>
  <c r="K15" i="10"/>
  <c r="K14" i="10"/>
  <c r="K13" i="10"/>
  <c r="K12" i="10"/>
  <c r="K15" i="9"/>
  <c r="K14" i="9"/>
  <c r="K13" i="9"/>
  <c r="K12" i="9"/>
  <c r="K15" i="8"/>
  <c r="K14" i="8"/>
  <c r="K13" i="8"/>
  <c r="K12" i="8"/>
  <c r="F45" i="20"/>
  <c r="G45" i="20"/>
  <c r="H45" i="20"/>
  <c r="I45" i="20"/>
  <c r="J45" i="20"/>
  <c r="K45" i="20"/>
  <c r="L45" i="20"/>
  <c r="M45" i="20"/>
  <c r="N45" i="20"/>
  <c r="O45" i="20"/>
  <c r="P45" i="20"/>
  <c r="Q45" i="20"/>
  <c r="E45" i="20"/>
  <c r="D45" i="20"/>
  <c r="C45" i="20"/>
  <c r="BM3" i="16"/>
  <c r="BG3" i="16"/>
  <c r="BB3" i="16"/>
  <c r="BM3" i="15"/>
  <c r="BG3" i="15"/>
  <c r="BB3" i="15"/>
  <c r="BM3" i="14"/>
  <c r="BG3" i="14"/>
  <c r="BB3" i="14"/>
  <c r="BM3" i="13"/>
  <c r="BG3" i="13"/>
  <c r="BB3" i="13"/>
  <c r="BM3" i="12"/>
  <c r="BG3" i="12"/>
  <c r="BB3" i="12"/>
  <c r="BM3" i="11"/>
  <c r="BG3" i="11"/>
  <c r="BB3" i="11"/>
  <c r="BB3" i="10"/>
  <c r="BG3" i="10"/>
  <c r="BM3" i="10"/>
  <c r="BM3" i="9"/>
  <c r="BG3" i="9"/>
  <c r="BB3" i="9"/>
  <c r="BG3" i="7"/>
  <c r="BM3" i="6"/>
  <c r="BG3" i="8"/>
  <c r="BM3" i="8"/>
  <c r="BB3" i="8"/>
  <c r="BM3" i="7"/>
  <c r="BB3" i="7"/>
  <c r="BG3" i="6"/>
  <c r="BB3" i="6"/>
  <c r="BB3" i="5"/>
  <c r="BM3" i="5"/>
  <c r="BG3" i="5"/>
  <c r="A2" i="18"/>
  <c r="A2" i="19"/>
  <c r="B3" i="20"/>
  <c r="Q29" i="20"/>
  <c r="P29" i="20"/>
  <c r="O29" i="20"/>
  <c r="N29" i="20"/>
  <c r="M29" i="20"/>
  <c r="L29" i="20"/>
  <c r="K29" i="20"/>
  <c r="J29" i="20"/>
  <c r="I29" i="20"/>
  <c r="H29" i="20"/>
  <c r="G29" i="20"/>
  <c r="F29" i="20"/>
  <c r="H2" i="20"/>
  <c r="K1" i="20"/>
  <c r="AT11" i="6"/>
  <c r="T209" i="10"/>
  <c r="T209" i="11" s="1"/>
  <c r="T209" i="12" s="1"/>
  <c r="T106" i="6"/>
  <c r="T106" i="7" s="1"/>
  <c r="T106" i="8" s="1"/>
  <c r="T106" i="9" s="1"/>
  <c r="T106" i="10" s="1"/>
  <c r="T106" i="11" s="1"/>
  <c r="T106" i="12" s="1"/>
  <c r="T106" i="13" s="1"/>
  <c r="T106" i="14" s="1"/>
  <c r="T106" i="15" s="1"/>
  <c r="T106" i="16" s="1"/>
  <c r="T107" i="6"/>
  <c r="T107" i="7" s="1"/>
  <c r="T107" i="8" s="1"/>
  <c r="T107" i="9" s="1"/>
  <c r="T107" i="10" s="1"/>
  <c r="T107" i="11" s="1"/>
  <c r="T107" i="12" s="1"/>
  <c r="T107" i="13" s="1"/>
  <c r="T107" i="14" s="1"/>
  <c r="T107" i="15" s="1"/>
  <c r="T107" i="16" s="1"/>
  <c r="T59" i="6"/>
  <c r="T59" i="7" s="1"/>
  <c r="T60" i="6"/>
  <c r="T60" i="7" s="1"/>
  <c r="T60" i="8" s="1"/>
  <c r="T60" i="9" s="1"/>
  <c r="T60" i="10" s="1"/>
  <c r="T60" i="11" s="1"/>
  <c r="T60" i="12" s="1"/>
  <c r="T60" i="13" s="1"/>
  <c r="T60" i="14" s="1"/>
  <c r="T60" i="15" s="1"/>
  <c r="T60" i="16" s="1"/>
  <c r="T209" i="6"/>
  <c r="T209" i="7" s="1"/>
  <c r="T209" i="8" s="1"/>
  <c r="T188" i="6"/>
  <c r="T188" i="7" s="1"/>
  <c r="T188" i="8" s="1"/>
  <c r="T188" i="9" s="1"/>
  <c r="T188" i="10" s="1"/>
  <c r="T188" i="11" s="1"/>
  <c r="T188" i="12" s="1"/>
  <c r="T188" i="13" s="1"/>
  <c r="T188" i="14" s="1"/>
  <c r="T188" i="15" s="1"/>
  <c r="T188" i="16" s="1"/>
  <c r="T189" i="6"/>
  <c r="T189" i="7" s="1"/>
  <c r="T189" i="8" s="1"/>
  <c r="T189" i="9" s="1"/>
  <c r="T189" i="10" s="1"/>
  <c r="T189" i="11" s="1"/>
  <c r="T189" i="12" s="1"/>
  <c r="T189" i="13" s="1"/>
  <c r="T189" i="14" s="1"/>
  <c r="T189" i="15" s="1"/>
  <c r="T189" i="16" s="1"/>
  <c r="T190" i="6"/>
  <c r="T190" i="7" s="1"/>
  <c r="T190" i="8" s="1"/>
  <c r="T190" i="9" s="1"/>
  <c r="T190" i="10" s="1"/>
  <c r="T190" i="11" s="1"/>
  <c r="T190" i="12" s="1"/>
  <c r="T190" i="13" s="1"/>
  <c r="T190" i="14" s="1"/>
  <c r="T190" i="15" s="1"/>
  <c r="T190" i="16" s="1"/>
  <c r="T150" i="6"/>
  <c r="T150" i="7" s="1"/>
  <c r="T150" i="8" s="1"/>
  <c r="T150" i="9" s="1"/>
  <c r="T150" i="10" s="1"/>
  <c r="T150" i="11" s="1"/>
  <c r="T150" i="12" s="1"/>
  <c r="T150" i="13" s="1"/>
  <c r="T150" i="14" s="1"/>
  <c r="T150" i="15" s="1"/>
  <c r="T150" i="16" s="1"/>
  <c r="T151" i="6"/>
  <c r="T151" i="7" s="1"/>
  <c r="T151" i="8" s="1"/>
  <c r="T151" i="9" s="1"/>
  <c r="T151" i="10" s="1"/>
  <c r="T151" i="11" s="1"/>
  <c r="T151" i="12" s="1"/>
  <c r="T151" i="13" s="1"/>
  <c r="T151" i="14" s="1"/>
  <c r="T151" i="15" s="1"/>
  <c r="T151" i="16" s="1"/>
  <c r="T152" i="6"/>
  <c r="T152" i="7" s="1"/>
  <c r="T152" i="8" s="1"/>
  <c r="T152" i="9" s="1"/>
  <c r="T152" i="10" s="1"/>
  <c r="T152" i="11" s="1"/>
  <c r="T152" i="12" s="1"/>
  <c r="T152" i="13" s="1"/>
  <c r="T152" i="14" s="1"/>
  <c r="T152" i="15" s="1"/>
  <c r="T152" i="16" s="1"/>
  <c r="U172" i="5"/>
  <c r="B2" i="8"/>
  <c r="D12" i="5"/>
  <c r="D13" i="5"/>
  <c r="D13" i="6" s="1"/>
  <c r="D13" i="7" s="1"/>
  <c r="D13" i="8" s="1"/>
  <c r="D14" i="5"/>
  <c r="D14" i="6" s="1"/>
  <c r="D14" i="7" s="1"/>
  <c r="D14" i="8" s="1"/>
  <c r="D14" i="9" s="1"/>
  <c r="D14" i="10" s="1"/>
  <c r="D14" i="11" s="1"/>
  <c r="D14" i="12" s="1"/>
  <c r="D14" i="13" s="1"/>
  <c r="D14" i="14" s="1"/>
  <c r="D14" i="15" s="1"/>
  <c r="D14" i="16" s="1"/>
  <c r="D15" i="5"/>
  <c r="D15" i="6" s="1"/>
  <c r="D15" i="7" s="1"/>
  <c r="D23" i="5"/>
  <c r="D24" i="5"/>
  <c r="D24" i="6" s="1"/>
  <c r="D26" i="5"/>
  <c r="D27" i="5"/>
  <c r="D30" i="5"/>
  <c r="D31" i="5"/>
  <c r="D31" i="6" s="1"/>
  <c r="D31" i="7" s="1"/>
  <c r="D33" i="5"/>
  <c r="D34" i="5"/>
  <c r="D34" i="6" s="1"/>
  <c r="D34" i="7" s="1"/>
  <c r="D34" i="8" s="1"/>
  <c r="D34" i="9" s="1"/>
  <c r="D34" i="10" s="1"/>
  <c r="D36" i="5"/>
  <c r="D37" i="5"/>
  <c r="D37" i="6" s="1"/>
  <c r="D37" i="7" s="1"/>
  <c r="D41" i="5"/>
  <c r="D43" i="5"/>
  <c r="D43" i="6" s="1"/>
  <c r="D44" i="5"/>
  <c r="D46" i="5"/>
  <c r="D46" i="6" s="1"/>
  <c r="D46" i="7" s="1"/>
  <c r="D47" i="5"/>
  <c r="D49" i="5"/>
  <c r="D50" i="5"/>
  <c r="D52" i="5"/>
  <c r="D52" i="6" s="1"/>
  <c r="D52" i="7" s="1"/>
  <c r="D52" i="8" s="1"/>
  <c r="D52" i="9" s="1"/>
  <c r="D53" i="5"/>
  <c r="D55" i="5"/>
  <c r="D56" i="5"/>
  <c r="D58" i="5"/>
  <c r="D58" i="6" s="1"/>
  <c r="D58" i="7" s="1"/>
  <c r="D58" i="8" s="1"/>
  <c r="D58" i="9" s="1"/>
  <c r="D58" i="10" s="1"/>
  <c r="D58" i="11" s="1"/>
  <c r="D58" i="12" s="1"/>
  <c r="D58" i="13" s="1"/>
  <c r="D58" i="14" s="1"/>
  <c r="D58" i="15" s="1"/>
  <c r="D58" i="16" s="1"/>
  <c r="D59" i="5"/>
  <c r="D61" i="5"/>
  <c r="D61" i="6" s="1"/>
  <c r="D61" i="7" s="1"/>
  <c r="D61" i="8" s="1"/>
  <c r="D61" i="9" s="1"/>
  <c r="D61" i="10" s="1"/>
  <c r="D61" i="11" s="1"/>
  <c r="D61" i="12" s="1"/>
  <c r="D61" i="13" s="1"/>
  <c r="D61" i="14" s="1"/>
  <c r="D61" i="15" s="1"/>
  <c r="D61" i="16" s="1"/>
  <c r="D62" i="5"/>
  <c r="D62" i="6" s="1"/>
  <c r="D64" i="5"/>
  <c r="D64" i="6" s="1"/>
  <c r="D64" i="7" s="1"/>
  <c r="D64" i="8" s="1"/>
  <c r="D65" i="5"/>
  <c r="D65" i="6" s="1"/>
  <c r="D65" i="7" s="1"/>
  <c r="D65" i="8" s="1"/>
  <c r="D65" i="9" s="1"/>
  <c r="D65" i="10" s="1"/>
  <c r="D65" i="11" s="1"/>
  <c r="D65" i="12" s="1"/>
  <c r="D65" i="13" s="1"/>
  <c r="D65" i="14" s="1"/>
  <c r="D65" i="15" s="1"/>
  <c r="D65" i="16" s="1"/>
  <c r="D67" i="5"/>
  <c r="D67" i="6" s="1"/>
  <c r="D67" i="7" s="1"/>
  <c r="D67" i="8" s="1"/>
  <c r="D67" i="9" s="1"/>
  <c r="D67" i="10" s="1"/>
  <c r="D67" i="11" s="1"/>
  <c r="D67" i="12" s="1"/>
  <c r="D67" i="13" s="1"/>
  <c r="D67" i="14" s="1"/>
  <c r="D67" i="15" s="1"/>
  <c r="D67" i="16" s="1"/>
  <c r="D68" i="5"/>
  <c r="D68" i="6" s="1"/>
  <c r="D70" i="5"/>
  <c r="D70" i="6" s="1"/>
  <c r="D70" i="7" s="1"/>
  <c r="D71" i="5"/>
  <c r="D73" i="5"/>
  <c r="D73" i="6" s="1"/>
  <c r="D73" i="7" s="1"/>
  <c r="D73" i="8" s="1"/>
  <c r="D73" i="9" s="1"/>
  <c r="D73" i="10" s="1"/>
  <c r="D73" i="11" s="1"/>
  <c r="D73" i="12" s="1"/>
  <c r="D73" i="13" s="1"/>
  <c r="D73" i="14" s="1"/>
  <c r="D73" i="15" s="1"/>
  <c r="D73" i="16" s="1"/>
  <c r="D74" i="5"/>
  <c r="D76" i="5"/>
  <c r="D77" i="5"/>
  <c r="D79" i="5"/>
  <c r="D79" i="6" s="1"/>
  <c r="D79" i="7" s="1"/>
  <c r="D79" i="8" s="1"/>
  <c r="D79" i="9" s="1"/>
  <c r="D79" i="10" s="1"/>
  <c r="D80" i="5"/>
  <c r="D82" i="5"/>
  <c r="D82" i="6" s="1"/>
  <c r="D82" i="7" s="1"/>
  <c r="D82" i="8" s="1"/>
  <c r="D83" i="5"/>
  <c r="D83" i="6" s="1"/>
  <c r="D83" i="7" s="1"/>
  <c r="V17" i="5"/>
  <c r="V17" i="6" s="1"/>
  <c r="V17" i="7" s="1"/>
  <c r="V17" i="8" s="1"/>
  <c r="V17" i="9" s="1"/>
  <c r="V17" i="10" s="1"/>
  <c r="V17" i="11" s="1"/>
  <c r="V17" i="12" s="1"/>
  <c r="V17" i="13" s="1"/>
  <c r="V17" i="14" s="1"/>
  <c r="V17" i="15" s="1"/>
  <c r="V17" i="16" s="1"/>
  <c r="V18" i="5"/>
  <c r="V18" i="6" s="1"/>
  <c r="V18" i="7" s="1"/>
  <c r="V18" i="8" s="1"/>
  <c r="V18" i="9" s="1"/>
  <c r="V18" i="10" s="1"/>
  <c r="V18" i="11" s="1"/>
  <c r="V18" i="12" s="1"/>
  <c r="V18" i="13" s="1"/>
  <c r="V18" i="14" s="1"/>
  <c r="V18" i="15" s="1"/>
  <c r="V18" i="16" s="1"/>
  <c r="V19" i="5"/>
  <c r="V19" i="6" s="1"/>
  <c r="V19" i="7" s="1"/>
  <c r="V19" i="8" s="1"/>
  <c r="V19" i="9" s="1"/>
  <c r="V19" i="10" s="1"/>
  <c r="V19" i="11" s="1"/>
  <c r="V19" i="12" s="1"/>
  <c r="V19" i="13" s="1"/>
  <c r="V21" i="5"/>
  <c r="V22" i="5"/>
  <c r="V22" i="6" s="1"/>
  <c r="V22" i="7" s="1"/>
  <c r="V22" i="8" s="1"/>
  <c r="V22" i="9" s="1"/>
  <c r="V22" i="10" s="1"/>
  <c r="V22" i="11" s="1"/>
  <c r="V22" i="12" s="1"/>
  <c r="V22" i="13" s="1"/>
  <c r="V22" i="14" s="1"/>
  <c r="V22" i="15" s="1"/>
  <c r="V22" i="16" s="1"/>
  <c r="V23" i="5"/>
  <c r="V23" i="6" s="1"/>
  <c r="V23" i="7" s="1"/>
  <c r="V23" i="8" s="1"/>
  <c r="V23" i="9" s="1"/>
  <c r="V23" i="10" s="1"/>
  <c r="V23" i="11" s="1"/>
  <c r="V23" i="12" s="1"/>
  <c r="V23" i="13" s="1"/>
  <c r="V23" i="14" s="1"/>
  <c r="V23" i="15" s="1"/>
  <c r="V23" i="16" s="1"/>
  <c r="V24" i="5"/>
  <c r="V24" i="6" s="1"/>
  <c r="V25" i="5"/>
  <c r="V25" i="6" s="1"/>
  <c r="V25" i="7" s="1"/>
  <c r="V25" i="8" s="1"/>
  <c r="V25" i="9" s="1"/>
  <c r="V25" i="10" s="1"/>
  <c r="V25" i="11" s="1"/>
  <c r="V25" i="12" s="1"/>
  <c r="V25" i="13" s="1"/>
  <c r="V25" i="14" s="1"/>
  <c r="V25" i="15" s="1"/>
  <c r="V25" i="16" s="1"/>
  <c r="V26" i="5"/>
  <c r="V26" i="6" s="1"/>
  <c r="V26" i="7" s="1"/>
  <c r="V26" i="8" s="1"/>
  <c r="V26" i="9" s="1"/>
  <c r="V26" i="10" s="1"/>
  <c r="V26" i="11" s="1"/>
  <c r="V26" i="12" s="1"/>
  <c r="V26" i="13" s="1"/>
  <c r="V26" i="14" s="1"/>
  <c r="V26" i="15" s="1"/>
  <c r="V26" i="16" s="1"/>
  <c r="V27" i="5"/>
  <c r="V27" i="6" s="1"/>
  <c r="V27" i="7" s="1"/>
  <c r="V27" i="8" s="1"/>
  <c r="V27" i="9" s="1"/>
  <c r="V27" i="10" s="1"/>
  <c r="V27" i="11" s="1"/>
  <c r="V27" i="12" s="1"/>
  <c r="V27" i="13" s="1"/>
  <c r="V27" i="14" s="1"/>
  <c r="V27" i="15" s="1"/>
  <c r="V27" i="16" s="1"/>
  <c r="V28" i="5"/>
  <c r="V28" i="6" s="1"/>
  <c r="V29" i="5"/>
  <c r="V29" i="6" s="1"/>
  <c r="V29" i="7" s="1"/>
  <c r="V29" i="8" s="1"/>
  <c r="V29" i="9" s="1"/>
  <c r="V29" i="10" s="1"/>
  <c r="V29" i="11" s="1"/>
  <c r="V29" i="12" s="1"/>
  <c r="V29" i="13" s="1"/>
  <c r="V29" i="14" s="1"/>
  <c r="V29" i="15" s="1"/>
  <c r="V29" i="16" s="1"/>
  <c r="V30" i="5"/>
  <c r="V30" i="6" s="1"/>
  <c r="V30" i="7" s="1"/>
  <c r="V30" i="8" s="1"/>
  <c r="V30" i="9" s="1"/>
  <c r="V30" i="10" s="1"/>
  <c r="V30" i="11" s="1"/>
  <c r="V30" i="12" s="1"/>
  <c r="V30" i="13" s="1"/>
  <c r="V30" i="14" s="1"/>
  <c r="V30" i="15" s="1"/>
  <c r="V30" i="16" s="1"/>
  <c r="V31" i="5"/>
  <c r="V31" i="6" s="1"/>
  <c r="V31" i="7" s="1"/>
  <c r="V31" i="8" s="1"/>
  <c r="V31" i="9" s="1"/>
  <c r="V31" i="10" s="1"/>
  <c r="V31" i="11" s="1"/>
  <c r="V31" i="12" s="1"/>
  <c r="V31" i="13" s="1"/>
  <c r="V31" i="14" s="1"/>
  <c r="V31" i="15" s="1"/>
  <c r="V31" i="16" s="1"/>
  <c r="V32" i="5"/>
  <c r="V32" i="6" s="1"/>
  <c r="V32" i="7" s="1"/>
  <c r="V32" i="8" s="1"/>
  <c r="V32" i="9" s="1"/>
  <c r="V32" i="10" s="1"/>
  <c r="V32" i="11" s="1"/>
  <c r="V32" i="12" s="1"/>
  <c r="V32" i="13" s="1"/>
  <c r="V32" i="14" s="1"/>
  <c r="V32" i="15" s="1"/>
  <c r="V32" i="16" s="1"/>
  <c r="V33" i="5"/>
  <c r="V33" i="6" s="1"/>
  <c r="V33" i="7" s="1"/>
  <c r="V33" i="8" s="1"/>
  <c r="V33" i="9" s="1"/>
  <c r="V33" i="10" s="1"/>
  <c r="V33" i="11" s="1"/>
  <c r="V33" i="12" s="1"/>
  <c r="V33" i="13" s="1"/>
  <c r="V33" i="14" s="1"/>
  <c r="V33" i="15" s="1"/>
  <c r="V33" i="16" s="1"/>
  <c r="V36" i="5"/>
  <c r="V36" i="6" s="1"/>
  <c r="V36" i="7" s="1"/>
  <c r="V36" i="8" s="1"/>
  <c r="V36" i="9" s="1"/>
  <c r="V36" i="10" s="1"/>
  <c r="V36" i="11" s="1"/>
  <c r="V36" i="12" s="1"/>
  <c r="V36" i="13" s="1"/>
  <c r="V36" i="14" s="1"/>
  <c r="V36" i="15" s="1"/>
  <c r="V36" i="16" s="1"/>
  <c r="V37" i="5"/>
  <c r="V37" i="6" s="1"/>
  <c r="V37" i="7" s="1"/>
  <c r="V37" i="8" s="1"/>
  <c r="V37" i="9" s="1"/>
  <c r="V37" i="10" s="1"/>
  <c r="V37" i="11" s="1"/>
  <c r="V37" i="12" s="1"/>
  <c r="V37" i="13" s="1"/>
  <c r="V37" i="14" s="1"/>
  <c r="V37" i="15" s="1"/>
  <c r="V37" i="16" s="1"/>
  <c r="V38" i="5"/>
  <c r="V38" i="6" s="1"/>
  <c r="V39" i="5"/>
  <c r="V40" i="5"/>
  <c r="V40" i="6" s="1"/>
  <c r="V40" i="7" s="1"/>
  <c r="V40" i="8" s="1"/>
  <c r="V40" i="9" s="1"/>
  <c r="V40" i="10" s="1"/>
  <c r="V40" i="11" s="1"/>
  <c r="V40" i="12" s="1"/>
  <c r="V40" i="13" s="1"/>
  <c r="V40" i="14" s="1"/>
  <c r="V40" i="15" s="1"/>
  <c r="V40" i="16" s="1"/>
  <c r="V41" i="5"/>
  <c r="V41" i="6" s="1"/>
  <c r="V41" i="7" s="1"/>
  <c r="V41" i="8" s="1"/>
  <c r="V41" i="9" s="1"/>
  <c r="V41" i="10" s="1"/>
  <c r="V41" i="11" s="1"/>
  <c r="V41" i="12" s="1"/>
  <c r="V41" i="13" s="1"/>
  <c r="V41" i="14" s="1"/>
  <c r="V41" i="15" s="1"/>
  <c r="V41" i="16" s="1"/>
  <c r="V45" i="5"/>
  <c r="V45" i="6" s="1"/>
  <c r="V45" i="7" s="1"/>
  <c r="V46" i="5"/>
  <c r="V46" i="6" s="1"/>
  <c r="V46" i="7" s="1"/>
  <c r="V46" i="8" s="1"/>
  <c r="V46" i="9" s="1"/>
  <c r="V46" i="10" s="1"/>
  <c r="V46" i="11" s="1"/>
  <c r="V46" i="12" s="1"/>
  <c r="V46" i="13" s="1"/>
  <c r="V46" i="14" s="1"/>
  <c r="V46" i="15" s="1"/>
  <c r="V46" i="16" s="1"/>
  <c r="V47" i="5"/>
  <c r="V47" i="6" s="1"/>
  <c r="V47" i="7" s="1"/>
  <c r="V47" i="8" s="1"/>
  <c r="V47" i="9" s="1"/>
  <c r="V47" i="10" s="1"/>
  <c r="V47" i="11" s="1"/>
  <c r="V47" i="12" s="1"/>
  <c r="V47" i="13" s="1"/>
  <c r="V47" i="14" s="1"/>
  <c r="V47" i="15" s="1"/>
  <c r="V47" i="16" s="1"/>
  <c r="V48" i="5"/>
  <c r="V48" i="6" s="1"/>
  <c r="V48" i="7" s="1"/>
  <c r="V48" i="8" s="1"/>
  <c r="V48" i="9" s="1"/>
  <c r="V48" i="10" s="1"/>
  <c r="V48" i="11" s="1"/>
  <c r="V48" i="12" s="1"/>
  <c r="V48" i="13" s="1"/>
  <c r="V48" i="14" s="1"/>
  <c r="V48" i="15" s="1"/>
  <c r="V48" i="16" s="1"/>
  <c r="V50" i="5"/>
  <c r="V50" i="6" s="1"/>
  <c r="V51" i="5"/>
  <c r="V52" i="5"/>
  <c r="V52" i="6" s="1"/>
  <c r="V52" i="7" s="1"/>
  <c r="V52" i="8" s="1"/>
  <c r="V52" i="9" s="1"/>
  <c r="V52" i="10" s="1"/>
  <c r="V52" i="11" s="1"/>
  <c r="V52" i="12" s="1"/>
  <c r="V52" i="13" s="1"/>
  <c r="V52" i="14" s="1"/>
  <c r="V52" i="15" s="1"/>
  <c r="V52" i="16" s="1"/>
  <c r="V53" i="5"/>
  <c r="V53" i="6" s="1"/>
  <c r="V53" i="7" s="1"/>
  <c r="V53" i="8" s="1"/>
  <c r="V53" i="9" s="1"/>
  <c r="V53" i="10" s="1"/>
  <c r="V53" i="11" s="1"/>
  <c r="V53" i="12" s="1"/>
  <c r="V53" i="13" s="1"/>
  <c r="V53" i="14" s="1"/>
  <c r="V53" i="15" s="1"/>
  <c r="V53" i="16" s="1"/>
  <c r="V54" i="5"/>
  <c r="V54" i="6" s="1"/>
  <c r="V54" i="7" s="1"/>
  <c r="V54" i="8" s="1"/>
  <c r="V54" i="9" s="1"/>
  <c r="V54" i="10" s="1"/>
  <c r="V54" i="11" s="1"/>
  <c r="V54" i="12" s="1"/>
  <c r="V54" i="13" s="1"/>
  <c r="V54" i="14" s="1"/>
  <c r="V54" i="15" s="1"/>
  <c r="V54" i="16" s="1"/>
  <c r="V55" i="5"/>
  <c r="V59" i="5"/>
  <c r="V59" i="6" s="1"/>
  <c r="V59" i="7" s="1"/>
  <c r="V59" i="8" s="1"/>
  <c r="V59" i="9" s="1"/>
  <c r="V59" i="10" s="1"/>
  <c r="V59" i="11" s="1"/>
  <c r="V59" i="12" s="1"/>
  <c r="V59" i="13" s="1"/>
  <c r="V59" i="14" s="1"/>
  <c r="V59" i="15" s="1"/>
  <c r="V59" i="16" s="1"/>
  <c r="V60" i="5"/>
  <c r="V61" i="5"/>
  <c r="V66" i="5"/>
  <c r="V66" i="6" s="1"/>
  <c r="V66" i="7" s="1"/>
  <c r="V66" i="8" s="1"/>
  <c r="V66" i="9" s="1"/>
  <c r="V66" i="10" s="1"/>
  <c r="V66" i="11" s="1"/>
  <c r="V66" i="12" s="1"/>
  <c r="V66" i="13" s="1"/>
  <c r="V66" i="14" s="1"/>
  <c r="V66" i="15" s="1"/>
  <c r="V66" i="16" s="1"/>
  <c r="V67" i="5"/>
  <c r="V67" i="6" s="1"/>
  <c r="V67" i="7" s="1"/>
  <c r="V67" i="8" s="1"/>
  <c r="V67" i="9" s="1"/>
  <c r="V67" i="10" s="1"/>
  <c r="V67" i="11" s="1"/>
  <c r="V67" i="12" s="1"/>
  <c r="V67" i="13" s="1"/>
  <c r="V67" i="14" s="1"/>
  <c r="V67" i="15" s="1"/>
  <c r="V67" i="16" s="1"/>
  <c r="V68" i="5"/>
  <c r="V68" i="6" s="1"/>
  <c r="V68" i="7" s="1"/>
  <c r="V68" i="8" s="1"/>
  <c r="V68" i="9" s="1"/>
  <c r="V68" i="10" s="1"/>
  <c r="V68" i="11" s="1"/>
  <c r="V68" i="12" s="1"/>
  <c r="V68" i="13" s="1"/>
  <c r="V68" i="14" s="1"/>
  <c r="V68" i="15" s="1"/>
  <c r="V68" i="16" s="1"/>
  <c r="V70" i="5"/>
  <c r="V71" i="5"/>
  <c r="V72" i="5"/>
  <c r="V73" i="5"/>
  <c r="V74" i="5"/>
  <c r="V75" i="5"/>
  <c r="V76" i="5"/>
  <c r="V76" i="6" s="1"/>
  <c r="V76" i="7" s="1"/>
  <c r="V76" i="8" s="1"/>
  <c r="V76" i="9" s="1"/>
  <c r="V76" i="10" s="1"/>
  <c r="V76" i="11" s="1"/>
  <c r="V76" i="12" s="1"/>
  <c r="V76" i="13" s="1"/>
  <c r="V76" i="14" s="1"/>
  <c r="V76" i="15" s="1"/>
  <c r="V76" i="16" s="1"/>
  <c r="V77" i="5"/>
  <c r="V78" i="5"/>
  <c r="V78" i="6" s="1"/>
  <c r="V78" i="7" s="1"/>
  <c r="V78" i="8" s="1"/>
  <c r="V78" i="9" s="1"/>
  <c r="V78" i="10" s="1"/>
  <c r="V78" i="11" s="1"/>
  <c r="V78" i="12" s="1"/>
  <c r="V78" i="13" s="1"/>
  <c r="V78" i="14" s="1"/>
  <c r="V78" i="15" s="1"/>
  <c r="V78" i="16" s="1"/>
  <c r="V79" i="5"/>
  <c r="V80" i="5"/>
  <c r="V80" i="6" s="1"/>
  <c r="V80" i="7" s="1"/>
  <c r="V80" i="8" s="1"/>
  <c r="V80" i="9" s="1"/>
  <c r="V80" i="10" s="1"/>
  <c r="V80" i="11" s="1"/>
  <c r="V80" i="12" s="1"/>
  <c r="V80" i="13" s="1"/>
  <c r="V80" i="14" s="1"/>
  <c r="V80" i="15" s="1"/>
  <c r="V80" i="16" s="1"/>
  <c r="V81" i="5"/>
  <c r="V81" i="6" s="1"/>
  <c r="V81" i="7" s="1"/>
  <c r="V81" i="8" s="1"/>
  <c r="V81" i="9" s="1"/>
  <c r="V81" i="10" s="1"/>
  <c r="V81" i="11" s="1"/>
  <c r="V81" i="12" s="1"/>
  <c r="V84" i="5"/>
  <c r="V85" i="5"/>
  <c r="V86" i="5"/>
  <c r="V86" i="6" s="1"/>
  <c r="V86" i="7" s="1"/>
  <c r="V86" i="8" s="1"/>
  <c r="V86" i="9" s="1"/>
  <c r="V86" i="10" s="1"/>
  <c r="V86" i="11" s="1"/>
  <c r="V86" i="12" s="1"/>
  <c r="V86" i="13" s="1"/>
  <c r="V86" i="14" s="1"/>
  <c r="V86" i="15" s="1"/>
  <c r="V86" i="16" s="1"/>
  <c r="V87" i="5"/>
  <c r="V88" i="5"/>
  <c r="V88" i="6" s="1"/>
  <c r="V88" i="7" s="1"/>
  <c r="V88" i="8" s="1"/>
  <c r="V88" i="9" s="1"/>
  <c r="V88" i="10" s="1"/>
  <c r="V88" i="11" s="1"/>
  <c r="V88" i="12" s="1"/>
  <c r="V88" i="13" s="1"/>
  <c r="V88" i="14" s="1"/>
  <c r="V88" i="15" s="1"/>
  <c r="V88" i="16" s="1"/>
  <c r="V92" i="5"/>
  <c r="V93" i="5"/>
  <c r="V93" i="6" s="1"/>
  <c r="V93" i="7" s="1"/>
  <c r="V93" i="8" s="1"/>
  <c r="V93" i="9" s="1"/>
  <c r="V93" i="10" s="1"/>
  <c r="V93" i="11" s="1"/>
  <c r="V93" i="12" s="1"/>
  <c r="V93" i="13" s="1"/>
  <c r="V93" i="14" s="1"/>
  <c r="V93" i="15" s="1"/>
  <c r="V93" i="16" s="1"/>
  <c r="V94" i="5"/>
  <c r="V95" i="5"/>
  <c r="V97" i="5"/>
  <c r="V98" i="5"/>
  <c r="V98" i="6" s="1"/>
  <c r="V98" i="7" s="1"/>
  <c r="V98" i="8" s="1"/>
  <c r="V98" i="9" s="1"/>
  <c r="V98" i="10" s="1"/>
  <c r="V98" i="11" s="1"/>
  <c r="V98" i="12" s="1"/>
  <c r="V98" i="13" s="1"/>
  <c r="V98" i="14" s="1"/>
  <c r="V98" i="15" s="1"/>
  <c r="V98" i="16" s="1"/>
  <c r="V99" i="5"/>
  <c r="V100" i="5"/>
  <c r="V101" i="5"/>
  <c r="V101" i="6" s="1"/>
  <c r="V101" i="7" s="1"/>
  <c r="V101" i="8" s="1"/>
  <c r="V101" i="9" s="1"/>
  <c r="V101" i="10" s="1"/>
  <c r="V101" i="11" s="1"/>
  <c r="V101" i="12" s="1"/>
  <c r="V101" i="13" s="1"/>
  <c r="V101" i="14" s="1"/>
  <c r="V101" i="15" s="1"/>
  <c r="V101" i="16" s="1"/>
  <c r="V102" i="5"/>
  <c r="V106" i="5"/>
  <c r="V107" i="5"/>
  <c r="V107" i="6" s="1"/>
  <c r="V107" i="7" s="1"/>
  <c r="V107" i="8" s="1"/>
  <c r="V108" i="5"/>
  <c r="V115" i="5"/>
  <c r="V115" i="6" s="1"/>
  <c r="V115" i="7" s="1"/>
  <c r="V115" i="8" s="1"/>
  <c r="V115" i="9" s="1"/>
  <c r="V115" i="10" s="1"/>
  <c r="V115" i="11" s="1"/>
  <c r="V115" i="12" s="1"/>
  <c r="V115" i="13" s="1"/>
  <c r="V115" i="14" s="1"/>
  <c r="V115" i="15" s="1"/>
  <c r="V115" i="16" s="1"/>
  <c r="V116" i="5"/>
  <c r="V117" i="5"/>
  <c r="V118" i="5"/>
  <c r="V119" i="5"/>
  <c r="V119" i="6" s="1"/>
  <c r="V119" i="7" s="1"/>
  <c r="V119" i="8" s="1"/>
  <c r="V119" i="9" s="1"/>
  <c r="V119" i="10" s="1"/>
  <c r="V119" i="11" s="1"/>
  <c r="V119" i="12" s="1"/>
  <c r="V119" i="13" s="1"/>
  <c r="V119" i="14" s="1"/>
  <c r="V119" i="15" s="1"/>
  <c r="V119" i="16" s="1"/>
  <c r="V120" i="5"/>
  <c r="V121" i="5"/>
  <c r="V124" i="5"/>
  <c r="V124" i="6" s="1"/>
  <c r="V124" i="7" s="1"/>
  <c r="V125" i="5"/>
  <c r="V125" i="6" s="1"/>
  <c r="V126" i="5"/>
  <c r="V127" i="5"/>
  <c r="V127" i="6" s="1"/>
  <c r="V127" i="7" s="1"/>
  <c r="V127" i="8" s="1"/>
  <c r="V127" i="9" s="1"/>
  <c r="V127" i="10" s="1"/>
  <c r="V127" i="11" s="1"/>
  <c r="V127" i="12" s="1"/>
  <c r="V127" i="13" s="1"/>
  <c r="V127" i="14" s="1"/>
  <c r="V127" i="15" s="1"/>
  <c r="V127" i="16" s="1"/>
  <c r="V128" i="5"/>
  <c r="V129" i="5"/>
  <c r="V130" i="5"/>
  <c r="V130" i="6" s="1"/>
  <c r="V130" i="7" s="1"/>
  <c r="V130" i="8" s="1"/>
  <c r="V130" i="9" s="1"/>
  <c r="V130" i="10" s="1"/>
  <c r="V130" i="11" s="1"/>
  <c r="V130" i="12" s="1"/>
  <c r="V130" i="13" s="1"/>
  <c r="V130" i="14" s="1"/>
  <c r="V130" i="15" s="1"/>
  <c r="V130" i="16" s="1"/>
  <c r="V131" i="5"/>
  <c r="V131" i="6" s="1"/>
  <c r="V131" i="7" s="1"/>
  <c r="V131" i="8" s="1"/>
  <c r="V131" i="9" s="1"/>
  <c r="V131" i="10" s="1"/>
  <c r="V131" i="11" s="1"/>
  <c r="V131" i="12" s="1"/>
  <c r="V131" i="13" s="1"/>
  <c r="V131" i="14" s="1"/>
  <c r="V131" i="15" s="1"/>
  <c r="V131" i="16" s="1"/>
  <c r="V132" i="5"/>
  <c r="V133" i="5"/>
  <c r="V134" i="5"/>
  <c r="V134" i="6" s="1"/>
  <c r="V134" i="7" s="1"/>
  <c r="V134" i="8" s="1"/>
  <c r="V134" i="9" s="1"/>
  <c r="V134" i="10" s="1"/>
  <c r="V135" i="5"/>
  <c r="V135" i="6" s="1"/>
  <c r="V135" i="7" s="1"/>
  <c r="V135" i="8" s="1"/>
  <c r="V135" i="9" s="1"/>
  <c r="V135" i="10" s="1"/>
  <c r="V135" i="11" s="1"/>
  <c r="V135" i="12" s="1"/>
  <c r="V135" i="13" s="1"/>
  <c r="V135" i="14" s="1"/>
  <c r="V135" i="15" s="1"/>
  <c r="V135" i="16" s="1"/>
  <c r="V136" i="5"/>
  <c r="V136" i="6" s="1"/>
  <c r="V136" i="7" s="1"/>
  <c r="V136" i="8" s="1"/>
  <c r="V136" i="9" s="1"/>
  <c r="V136" i="10" s="1"/>
  <c r="V136" i="11" s="1"/>
  <c r="V137" i="5"/>
  <c r="V138" i="5"/>
  <c r="V138" i="6" s="1"/>
  <c r="V138" i="7" s="1"/>
  <c r="V138" i="8" s="1"/>
  <c r="V138" i="9" s="1"/>
  <c r="V138" i="10" s="1"/>
  <c r="V138" i="11" s="1"/>
  <c r="V138" i="12" s="1"/>
  <c r="V138" i="13" s="1"/>
  <c r="V138" i="14" s="1"/>
  <c r="V138" i="15" s="1"/>
  <c r="V138" i="16" s="1"/>
  <c r="V139" i="5"/>
  <c r="V139" i="6" s="1"/>
  <c r="V139" i="7" s="1"/>
  <c r="V139" i="8" s="1"/>
  <c r="V139" i="9" s="1"/>
  <c r="V139" i="10" s="1"/>
  <c r="V139" i="11" s="1"/>
  <c r="V139" i="12" s="1"/>
  <c r="V139" i="13" s="1"/>
  <c r="V139" i="14" s="1"/>
  <c r="V139" i="15" s="1"/>
  <c r="V139" i="16" s="1"/>
  <c r="V142" i="5"/>
  <c r="V143" i="5"/>
  <c r="V148" i="5"/>
  <c r="V148" i="6" s="1"/>
  <c r="V148" i="7" s="1"/>
  <c r="V148" i="8" s="1"/>
  <c r="V148" i="9" s="1"/>
  <c r="V148" i="10" s="1"/>
  <c r="V148" i="11" s="1"/>
  <c r="V148" i="12" s="1"/>
  <c r="V148" i="13" s="1"/>
  <c r="V148" i="14" s="1"/>
  <c r="V148" i="15" s="1"/>
  <c r="V148" i="16" s="1"/>
  <c r="V150" i="5"/>
  <c r="V150" i="6" s="1"/>
  <c r="V150" i="7" s="1"/>
  <c r="V150" i="8" s="1"/>
  <c r="V150" i="9" s="1"/>
  <c r="V150" i="10" s="1"/>
  <c r="V150" i="11" s="1"/>
  <c r="V151" i="5"/>
  <c r="V151" i="6" s="1"/>
  <c r="V151" i="7" s="1"/>
  <c r="V151" i="8" s="1"/>
  <c r="V151" i="9" s="1"/>
  <c r="V151" i="10" s="1"/>
  <c r="V151" i="11" s="1"/>
  <c r="V151" i="12" s="1"/>
  <c r="V151" i="13" s="1"/>
  <c r="V151" i="14" s="1"/>
  <c r="V151" i="15" s="1"/>
  <c r="V151" i="16" s="1"/>
  <c r="V152" i="5"/>
  <c r="V153" i="5"/>
  <c r="V153" i="6" s="1"/>
  <c r="V153" i="7" s="1"/>
  <c r="V153" i="8" s="1"/>
  <c r="V153" i="9" s="1"/>
  <c r="V153" i="10" s="1"/>
  <c r="V153" i="11" s="1"/>
  <c r="V153" i="12" s="1"/>
  <c r="V153" i="13" s="1"/>
  <c r="V153" i="14" s="1"/>
  <c r="V153" i="15" s="1"/>
  <c r="V153" i="16" s="1"/>
  <c r="V156" i="5"/>
  <c r="V158" i="5"/>
  <c r="V159" i="5"/>
  <c r="V160" i="5"/>
  <c r="V160" i="6" s="1"/>
  <c r="V160" i="7" s="1"/>
  <c r="V161" i="5"/>
  <c r="V161" i="6" s="1"/>
  <c r="V161" i="7" s="1"/>
  <c r="V161" i="8" s="1"/>
  <c r="V161" i="9" s="1"/>
  <c r="V161" i="10" s="1"/>
  <c r="V161" i="11" s="1"/>
  <c r="V161" i="12" s="1"/>
  <c r="V161" i="13" s="1"/>
  <c r="V161" i="14" s="1"/>
  <c r="V161" i="15" s="1"/>
  <c r="V161" i="16" s="1"/>
  <c r="V162" i="5"/>
  <c r="V162" i="6" s="1"/>
  <c r="V162" i="7" s="1"/>
  <c r="V162" i="8" s="1"/>
  <c r="V162" i="9" s="1"/>
  <c r="V162" i="10" s="1"/>
  <c r="V162" i="11" s="1"/>
  <c r="V162" i="12" s="1"/>
  <c r="V162" i="13" s="1"/>
  <c r="V162" i="14" s="1"/>
  <c r="V162" i="15" s="1"/>
  <c r="V162" i="16" s="1"/>
  <c r="V163" i="5"/>
  <c r="V163" i="6" s="1"/>
  <c r="V163" i="7" s="1"/>
  <c r="V163" i="8" s="1"/>
  <c r="V163" i="9" s="1"/>
  <c r="V163" i="10" s="1"/>
  <c r="V163" i="11" s="1"/>
  <c r="V163" i="12" s="1"/>
  <c r="V163" i="13" s="1"/>
  <c r="V163" i="14" s="1"/>
  <c r="V163" i="15" s="1"/>
  <c r="V163" i="16" s="1"/>
  <c r="V164" i="5"/>
  <c r="V164" i="6" s="1"/>
  <c r="V164" i="7" s="1"/>
  <c r="V164" i="8" s="1"/>
  <c r="V164" i="9" s="1"/>
  <c r="V164" i="10" s="1"/>
  <c r="V164" i="11" s="1"/>
  <c r="V164" i="12" s="1"/>
  <c r="V164" i="13" s="1"/>
  <c r="V164" i="14" s="1"/>
  <c r="V164" i="15" s="1"/>
  <c r="V164" i="16" s="1"/>
  <c r="V165" i="5"/>
  <c r="V165" i="6" s="1"/>
  <c r="V165" i="7" s="1"/>
  <c r="V165" i="8" s="1"/>
  <c r="V165" i="9" s="1"/>
  <c r="V165" i="10" s="1"/>
  <c r="V165" i="11" s="1"/>
  <c r="V165" i="12" s="1"/>
  <c r="V165" i="13" s="1"/>
  <c r="V165" i="14" s="1"/>
  <c r="V165" i="15" s="1"/>
  <c r="V165" i="16" s="1"/>
  <c r="V166" i="5"/>
  <c r="V167" i="5"/>
  <c r="V168" i="5"/>
  <c r="V168" i="6" s="1"/>
  <c r="V168" i="7" s="1"/>
  <c r="V168" i="8" s="1"/>
  <c r="V168" i="9" s="1"/>
  <c r="V168" i="10" s="1"/>
  <c r="V168" i="11" s="1"/>
  <c r="V168" i="12" s="1"/>
  <c r="V168" i="13" s="1"/>
  <c r="V168" i="14" s="1"/>
  <c r="V168" i="15" s="1"/>
  <c r="V168" i="16" s="1"/>
  <c r="V173" i="5"/>
  <c r="V173" i="6" s="1"/>
  <c r="V174" i="5"/>
  <c r="V177" i="5"/>
  <c r="V178" i="5"/>
  <c r="V178" i="6" s="1"/>
  <c r="V178" i="7" s="1"/>
  <c r="V178" i="8" s="1"/>
  <c r="V178" i="9" s="1"/>
  <c r="V178" i="10" s="1"/>
  <c r="V178" i="11" s="1"/>
  <c r="V178" i="12" s="1"/>
  <c r="V178" i="13" s="1"/>
  <c r="V178" i="14" s="1"/>
  <c r="V178" i="15" s="1"/>
  <c r="V178" i="16" s="1"/>
  <c r="V179" i="5"/>
  <c r="V179" i="6" s="1"/>
  <c r="V179" i="7" s="1"/>
  <c r="V179" i="8" s="1"/>
  <c r="V179" i="9" s="1"/>
  <c r="V179" i="10" s="1"/>
  <c r="V179" i="11" s="1"/>
  <c r="V179" i="12" s="1"/>
  <c r="V179" i="13" s="1"/>
  <c r="V179" i="14" s="1"/>
  <c r="V179" i="15" s="1"/>
  <c r="V179" i="16" s="1"/>
  <c r="V180" i="5"/>
  <c r="V181" i="5"/>
  <c r="V181" i="6" s="1"/>
  <c r="V181" i="7" s="1"/>
  <c r="V181" i="8" s="1"/>
  <c r="V181" i="9" s="1"/>
  <c r="V181" i="10" s="1"/>
  <c r="V181" i="11" s="1"/>
  <c r="V181" i="12" s="1"/>
  <c r="V181" i="13" s="1"/>
  <c r="V181" i="14" s="1"/>
  <c r="V181" i="15" s="1"/>
  <c r="V181" i="16" s="1"/>
  <c r="V182" i="5"/>
  <c r="V182" i="6" s="1"/>
  <c r="V182" i="7" s="1"/>
  <c r="V182" i="8" s="1"/>
  <c r="V182" i="9" s="1"/>
  <c r="V182" i="10" s="1"/>
  <c r="V182" i="11" s="1"/>
  <c r="V182" i="12" s="1"/>
  <c r="V182" i="13" s="1"/>
  <c r="V182" i="14" s="1"/>
  <c r="V182" i="15" s="1"/>
  <c r="V182" i="16" s="1"/>
  <c r="V183" i="5"/>
  <c r="V183" i="6" s="1"/>
  <c r="V183" i="7" s="1"/>
  <c r="V183" i="8" s="1"/>
  <c r="V183" i="9" s="1"/>
  <c r="V183" i="10" s="1"/>
  <c r="V183" i="11" s="1"/>
  <c r="V183" i="12" s="1"/>
  <c r="V183" i="13" s="1"/>
  <c r="V183" i="14" s="1"/>
  <c r="V183" i="15" s="1"/>
  <c r="V183" i="16" s="1"/>
  <c r="V186" i="5"/>
  <c r="V188" i="5"/>
  <c r="V188" i="6" s="1"/>
  <c r="V189" i="5"/>
  <c r="V189" i="6" s="1"/>
  <c r="V189" i="7" s="1"/>
  <c r="V189" i="8" s="1"/>
  <c r="V189" i="9" s="1"/>
  <c r="V189" i="10" s="1"/>
  <c r="V189" i="11" s="1"/>
  <c r="V189" i="12" s="1"/>
  <c r="V189" i="13" s="1"/>
  <c r="V189" i="14" s="1"/>
  <c r="V189" i="15" s="1"/>
  <c r="V189" i="16" s="1"/>
  <c r="V190" i="5"/>
  <c r="V190" i="6" s="1"/>
  <c r="V190" i="7" s="1"/>
  <c r="V190" i="8" s="1"/>
  <c r="V190" i="9" s="1"/>
  <c r="V190" i="10" s="1"/>
  <c r="V190" i="11" s="1"/>
  <c r="V190" i="12" s="1"/>
  <c r="V190" i="13" s="1"/>
  <c r="V190" i="14" s="1"/>
  <c r="V190" i="15" s="1"/>
  <c r="V190" i="16" s="1"/>
  <c r="V191" i="5"/>
  <c r="V191" i="6" s="1"/>
  <c r="V191" i="7" s="1"/>
  <c r="V191" i="8" s="1"/>
  <c r="V191" i="9" s="1"/>
  <c r="V191" i="10" s="1"/>
  <c r="V191" i="11" s="1"/>
  <c r="V191" i="12" s="1"/>
  <c r="V191" i="13" s="1"/>
  <c r="V191" i="14" s="1"/>
  <c r="V191" i="15" s="1"/>
  <c r="V191" i="16" s="1"/>
  <c r="V196" i="5"/>
  <c r="V197" i="5"/>
  <c r="V197" i="6" s="1"/>
  <c r="V197" i="7" s="1"/>
  <c r="V197" i="8" s="1"/>
  <c r="V197" i="9" s="1"/>
  <c r="V197" i="10" s="1"/>
  <c r="V197" i="11" s="1"/>
  <c r="V197" i="12" s="1"/>
  <c r="V197" i="13" s="1"/>
  <c r="V197" i="14" s="1"/>
  <c r="V197" i="15" s="1"/>
  <c r="V197" i="16" s="1"/>
  <c r="V198" i="5"/>
  <c r="V198" i="6" s="1"/>
  <c r="V198" i="7" s="1"/>
  <c r="V198" i="8" s="1"/>
  <c r="V199" i="5"/>
  <c r="V200" i="5"/>
  <c r="V200" i="6" s="1"/>
  <c r="V200" i="7" s="1"/>
  <c r="V200" i="8" s="1"/>
  <c r="V200" i="9" s="1"/>
  <c r="V200" i="10" s="1"/>
  <c r="V200" i="11" s="1"/>
  <c r="V200" i="12" s="1"/>
  <c r="V200" i="13" s="1"/>
  <c r="V200" i="14" s="1"/>
  <c r="V200" i="15" s="1"/>
  <c r="V200" i="16" s="1"/>
  <c r="V201" i="5"/>
  <c r="V201" i="6" s="1"/>
  <c r="V201" i="7" s="1"/>
  <c r="V201" i="8" s="1"/>
  <c r="V201" i="9" s="1"/>
  <c r="V201" i="10" s="1"/>
  <c r="V201" i="11" s="1"/>
  <c r="V201" i="12" s="1"/>
  <c r="V201" i="13" s="1"/>
  <c r="V201" i="14" s="1"/>
  <c r="V201" i="15" s="1"/>
  <c r="V201" i="16" s="1"/>
  <c r="V202" i="5"/>
  <c r="V202" i="6" s="1"/>
  <c r="V202" i="7" s="1"/>
  <c r="V202" i="8" s="1"/>
  <c r="V202" i="9" s="1"/>
  <c r="V202" i="10" s="1"/>
  <c r="V202" i="11" s="1"/>
  <c r="V202" i="12" s="1"/>
  <c r="V202" i="13" s="1"/>
  <c r="V202" i="14" s="1"/>
  <c r="V202" i="15" s="1"/>
  <c r="V202" i="16" s="1"/>
  <c r="V204" i="5"/>
  <c r="V204" i="6" s="1"/>
  <c r="V204" i="7" s="1"/>
  <c r="V205" i="5"/>
  <c r="V205" i="6" s="1"/>
  <c r="V205" i="7" s="1"/>
  <c r="V205" i="8" s="1"/>
  <c r="V205" i="9" s="1"/>
  <c r="V205" i="10" s="1"/>
  <c r="V205" i="11" s="1"/>
  <c r="V205" i="12" s="1"/>
  <c r="V205" i="13" s="1"/>
  <c r="V205" i="14" s="1"/>
  <c r="V205" i="15" s="1"/>
  <c r="V205" i="16" s="1"/>
  <c r="V212" i="5"/>
  <c r="V213" i="5"/>
  <c r="V213" i="6" s="1"/>
  <c r="V213" i="7" s="1"/>
  <c r="V214" i="5"/>
  <c r="V215" i="5"/>
  <c r="V215" i="6" s="1"/>
  <c r="V215" i="7" s="1"/>
  <c r="V215" i="8" s="1"/>
  <c r="V215" i="9" s="1"/>
  <c r="V215" i="10" s="1"/>
  <c r="V215" i="11" s="1"/>
  <c r="V215" i="12" s="1"/>
  <c r="V215" i="13" s="1"/>
  <c r="V215" i="14" s="1"/>
  <c r="V215" i="15" s="1"/>
  <c r="V215" i="16" s="1"/>
  <c r="V216" i="5"/>
  <c r="V216" i="6" s="1"/>
  <c r="V216" i="7" s="1"/>
  <c r="V216" i="8" s="1"/>
  <c r="V216" i="9" s="1"/>
  <c r="V216" i="10" s="1"/>
  <c r="V216" i="11" s="1"/>
  <c r="V216" i="12" s="1"/>
  <c r="V216" i="13" s="1"/>
  <c r="V216" i="14" s="1"/>
  <c r="V216" i="15" s="1"/>
  <c r="V216" i="16" s="1"/>
  <c r="V217" i="5"/>
  <c r="V217" i="6" s="1"/>
  <c r="V217" i="7" s="1"/>
  <c r="V217" i="8" s="1"/>
  <c r="V217" i="9" s="1"/>
  <c r="V217" i="10" s="1"/>
  <c r="V217" i="11" s="1"/>
  <c r="V217" i="12" s="1"/>
  <c r="V217" i="13" s="1"/>
  <c r="V217" i="14" s="1"/>
  <c r="V217" i="15" s="1"/>
  <c r="V217" i="16" s="1"/>
  <c r="V218" i="5"/>
  <c r="V218" i="6" s="1"/>
  <c r="V218" i="7" s="1"/>
  <c r="V218" i="8" s="1"/>
  <c r="V218" i="9" s="1"/>
  <c r="V218" i="10" s="1"/>
  <c r="V218" i="11" s="1"/>
  <c r="V218" i="12" s="1"/>
  <c r="V218" i="13" s="1"/>
  <c r="V218" i="14" s="1"/>
  <c r="V218" i="15" s="1"/>
  <c r="V218" i="16" s="1"/>
  <c r="V223" i="5"/>
  <c r="V223" i="6" s="1"/>
  <c r="V223" i="7" s="1"/>
  <c r="V223" i="8" s="1"/>
  <c r="V223" i="9" s="1"/>
  <c r="V223" i="10" s="1"/>
  <c r="V223" i="11" s="1"/>
  <c r="V223" i="12" s="1"/>
  <c r="V223" i="13" s="1"/>
  <c r="V223" i="14" s="1"/>
  <c r="V223" i="15" s="1"/>
  <c r="V223" i="16" s="1"/>
  <c r="V224" i="5"/>
  <c r="V225" i="5"/>
  <c r="V225" i="6" s="1"/>
  <c r="V225" i="7" s="1"/>
  <c r="V225" i="8" s="1"/>
  <c r="V225" i="9" s="1"/>
  <c r="V228" i="5"/>
  <c r="V229" i="5"/>
  <c r="V230" i="5"/>
  <c r="V230" i="6" s="1"/>
  <c r="V230" i="7" s="1"/>
  <c r="V230" i="8" s="1"/>
  <c r="V230" i="9" s="1"/>
  <c r="V230" i="10" s="1"/>
  <c r="V230" i="11" s="1"/>
  <c r="V230" i="12" s="1"/>
  <c r="V230" i="13" s="1"/>
  <c r="V230" i="14" s="1"/>
  <c r="V230" i="15" s="1"/>
  <c r="V230" i="16" s="1"/>
  <c r="V236" i="5"/>
  <c r="V236" i="6" s="1"/>
  <c r="V236" i="7" s="1"/>
  <c r="V236" i="8" s="1"/>
  <c r="V236" i="9" s="1"/>
  <c r="V236" i="10" s="1"/>
  <c r="V236" i="11" s="1"/>
  <c r="V236" i="12" s="1"/>
  <c r="V236" i="13" s="1"/>
  <c r="V236" i="14" s="1"/>
  <c r="V236" i="15" s="1"/>
  <c r="V236" i="16" s="1"/>
  <c r="V237" i="5"/>
  <c r="V237" i="6" s="1"/>
  <c r="V237" i="7" s="1"/>
  <c r="V237" i="8" s="1"/>
  <c r="V237" i="9" s="1"/>
  <c r="V238" i="5"/>
  <c r="V238" i="6" s="1"/>
  <c r="V238" i="7" s="1"/>
  <c r="V238" i="8" s="1"/>
  <c r="V238" i="9" s="1"/>
  <c r="V238" i="10" s="1"/>
  <c r="V238" i="11" s="1"/>
  <c r="V238" i="12" s="1"/>
  <c r="V238" i="13" s="1"/>
  <c r="V238" i="14" s="1"/>
  <c r="V238" i="15" s="1"/>
  <c r="V238" i="16" s="1"/>
  <c r="V239" i="5"/>
  <c r="V239" i="6" s="1"/>
  <c r="V239" i="7" s="1"/>
  <c r="V239" i="8" s="1"/>
  <c r="V239" i="9" s="1"/>
  <c r="V239" i="10" s="1"/>
  <c r="V239" i="11" s="1"/>
  <c r="V239" i="12" s="1"/>
  <c r="V239" i="13" s="1"/>
  <c r="V239" i="14" s="1"/>
  <c r="V239" i="15" s="1"/>
  <c r="V239" i="16" s="1"/>
  <c r="V240" i="5"/>
  <c r="V241" i="5"/>
  <c r="V244" i="5"/>
  <c r="V244" i="6" s="1"/>
  <c r="V244" i="7" s="1"/>
  <c r="V244" i="8" s="1"/>
  <c r="V244" i="9" s="1"/>
  <c r="V244" i="10" s="1"/>
  <c r="V244" i="11" s="1"/>
  <c r="V244" i="12" s="1"/>
  <c r="V244" i="13" s="1"/>
  <c r="V244" i="14" s="1"/>
  <c r="V244" i="15" s="1"/>
  <c r="V244" i="16" s="1"/>
  <c r="V245" i="5"/>
  <c r="V245" i="6" s="1"/>
  <c r="V245" i="7" s="1"/>
  <c r="V246" i="5"/>
  <c r="V246" i="6" s="1"/>
  <c r="V247" i="5"/>
  <c r="V248" i="5"/>
  <c r="V248" i="6" s="1"/>
  <c r="V248" i="7" s="1"/>
  <c r="V248" i="8" s="1"/>
  <c r="V248" i="9" s="1"/>
  <c r="V248" i="10" s="1"/>
  <c r="V248" i="11" s="1"/>
  <c r="V248" i="12" s="1"/>
  <c r="V248" i="13" s="1"/>
  <c r="V248" i="14" s="1"/>
  <c r="V248" i="15" s="1"/>
  <c r="V248" i="16" s="1"/>
  <c r="V249" i="5"/>
  <c r="V249" i="6" s="1"/>
  <c r="V249" i="7" s="1"/>
  <c r="V249" i="8" s="1"/>
  <c r="V249" i="9" s="1"/>
  <c r="V249" i="10" s="1"/>
  <c r="V249" i="11" s="1"/>
  <c r="V249" i="12" s="1"/>
  <c r="V249" i="13" s="1"/>
  <c r="V249" i="14" s="1"/>
  <c r="V249" i="15" s="1"/>
  <c r="V249" i="16" s="1"/>
  <c r="V250" i="5"/>
  <c r="V250" i="6" s="1"/>
  <c r="V250" i="7" s="1"/>
  <c r="V250" i="8" s="1"/>
  <c r="V250" i="9" s="1"/>
  <c r="V250" i="10" s="1"/>
  <c r="V250" i="11" s="1"/>
  <c r="V250" i="12" s="1"/>
  <c r="V250" i="13" s="1"/>
  <c r="V250" i="14" s="1"/>
  <c r="V250" i="15" s="1"/>
  <c r="V250" i="16" s="1"/>
  <c r="V251" i="5"/>
  <c r="V252" i="5"/>
  <c r="V252" i="6" s="1"/>
  <c r="V252" i="7" s="1"/>
  <c r="V252" i="8" s="1"/>
  <c r="V252" i="9" s="1"/>
  <c r="V252" i="10" s="1"/>
  <c r="V252" i="11" s="1"/>
  <c r="V252" i="12" s="1"/>
  <c r="V252" i="13" s="1"/>
  <c r="V252" i="14" s="1"/>
  <c r="V252" i="15" s="1"/>
  <c r="V252" i="16" s="1"/>
  <c r="V253" i="5"/>
  <c r="V253" i="6" s="1"/>
  <c r="V253" i="7" s="1"/>
  <c r="V253" i="8" s="1"/>
  <c r="V253" i="9" s="1"/>
  <c r="V253" i="10" s="1"/>
  <c r="V253" i="11" s="1"/>
  <c r="V253" i="12" s="1"/>
  <c r="V253" i="13" s="1"/>
  <c r="V253" i="14" s="1"/>
  <c r="V253" i="15" s="1"/>
  <c r="V254" i="5"/>
  <c r="V254" i="6" s="1"/>
  <c r="V255" i="5"/>
  <c r="V255" i="6" s="1"/>
  <c r="V255" i="7" s="1"/>
  <c r="V255" i="8" s="1"/>
  <c r="V255" i="9" s="1"/>
  <c r="V255" i="10" s="1"/>
  <c r="V255" i="11" s="1"/>
  <c r="V255" i="12" s="1"/>
  <c r="V255" i="13" s="1"/>
  <c r="V255" i="14" s="1"/>
  <c r="V255" i="15" s="1"/>
  <c r="V255" i="16" s="1"/>
  <c r="V256" i="5"/>
  <c r="V256" i="6" s="1"/>
  <c r="V256" i="7" s="1"/>
  <c r="V256" i="8" s="1"/>
  <c r="V256" i="9" s="1"/>
  <c r="V256" i="10" s="1"/>
  <c r="V256" i="11" s="1"/>
  <c r="V256" i="12" s="1"/>
  <c r="V256" i="13" s="1"/>
  <c r="V256" i="14" s="1"/>
  <c r="V256" i="15" s="1"/>
  <c r="V256" i="16" s="1"/>
  <c r="E12" i="5"/>
  <c r="E12" i="6" s="1"/>
  <c r="E13" i="5"/>
  <c r="E14" i="5"/>
  <c r="E14" i="6" s="1"/>
  <c r="E14" i="7" s="1"/>
  <c r="E15" i="5"/>
  <c r="E15" i="6" s="1"/>
  <c r="E15" i="7" s="1"/>
  <c r="E15" i="8" s="1"/>
  <c r="E15" i="9" s="1"/>
  <c r="E15" i="10" s="1"/>
  <c r="E15" i="11" s="1"/>
  <c r="E15" i="12" s="1"/>
  <c r="E15" i="13" s="1"/>
  <c r="E15" i="14" s="1"/>
  <c r="E15" i="15" s="1"/>
  <c r="E15" i="16" s="1"/>
  <c r="E23" i="5"/>
  <c r="E23" i="6" s="1"/>
  <c r="E23" i="7" s="1"/>
  <c r="E23" i="8" s="1"/>
  <c r="E23" i="9" s="1"/>
  <c r="E23" i="10" s="1"/>
  <c r="E23" i="11" s="1"/>
  <c r="E23" i="12" s="1"/>
  <c r="E23" i="13" s="1"/>
  <c r="E23" i="14" s="1"/>
  <c r="E23" i="15" s="1"/>
  <c r="E23" i="16" s="1"/>
  <c r="E24" i="5"/>
  <c r="E26" i="5"/>
  <c r="E26" i="6" s="1"/>
  <c r="E26" i="7" s="1"/>
  <c r="E27" i="5"/>
  <c r="E27" i="6" s="1"/>
  <c r="E27" i="7" s="1"/>
  <c r="E27" i="8" s="1"/>
  <c r="E27" i="9" s="1"/>
  <c r="E27" i="10" s="1"/>
  <c r="E27" i="11" s="1"/>
  <c r="E27" i="12" s="1"/>
  <c r="E27" i="13" s="1"/>
  <c r="E27" i="14" s="1"/>
  <c r="E27" i="15" s="1"/>
  <c r="E27" i="16" s="1"/>
  <c r="E30" i="5"/>
  <c r="E30" i="6" s="1"/>
  <c r="E30" i="7" s="1"/>
  <c r="E30" i="8" s="1"/>
  <c r="E30" i="9" s="1"/>
  <c r="E31" i="5"/>
  <c r="E33" i="5"/>
  <c r="E33" i="6" s="1"/>
  <c r="E33" i="7" s="1"/>
  <c r="E33" i="8" s="1"/>
  <c r="E34" i="5"/>
  <c r="E34" i="6" s="1"/>
  <c r="E36" i="5"/>
  <c r="E36" i="6" s="1"/>
  <c r="E36" i="7" s="1"/>
  <c r="E36" i="8" s="1"/>
  <c r="E36" i="9" s="1"/>
  <c r="E36" i="10" s="1"/>
  <c r="E36" i="11" s="1"/>
  <c r="E36" i="12" s="1"/>
  <c r="E36" i="13" s="1"/>
  <c r="E36" i="14" s="1"/>
  <c r="E36" i="15" s="1"/>
  <c r="E36" i="16" s="1"/>
  <c r="E37" i="5"/>
  <c r="E41" i="5"/>
  <c r="E41" i="6" s="1"/>
  <c r="E41" i="7" s="1"/>
  <c r="E41" i="8" s="1"/>
  <c r="E41" i="9" s="1"/>
  <c r="E41" i="10" s="1"/>
  <c r="E41" i="11" s="1"/>
  <c r="E41" i="12" s="1"/>
  <c r="E41" i="13" s="1"/>
  <c r="E41" i="14" s="1"/>
  <c r="E41" i="15" s="1"/>
  <c r="E43" i="5"/>
  <c r="E43" i="6" s="1"/>
  <c r="E43" i="7" s="1"/>
  <c r="E44" i="5"/>
  <c r="E44" i="6" s="1"/>
  <c r="E46" i="5"/>
  <c r="E47" i="5"/>
  <c r="E47" i="6" s="1"/>
  <c r="E47" i="7" s="1"/>
  <c r="E49" i="5"/>
  <c r="E49" i="6" s="1"/>
  <c r="E50" i="5"/>
  <c r="E50" i="6" s="1"/>
  <c r="E50" i="7" s="1"/>
  <c r="E52" i="5"/>
  <c r="E53" i="5"/>
  <c r="E53" i="6" s="1"/>
  <c r="E53" i="7" s="1"/>
  <c r="E53" i="8" s="1"/>
  <c r="E53" i="9" s="1"/>
  <c r="E55" i="5"/>
  <c r="E55" i="6" s="1"/>
  <c r="E55" i="7" s="1"/>
  <c r="E56" i="5"/>
  <c r="E56" i="6" s="1"/>
  <c r="E56" i="7" s="1"/>
  <c r="E56" i="8" s="1"/>
  <c r="E56" i="9" s="1"/>
  <c r="E58" i="5"/>
  <c r="E59" i="5"/>
  <c r="E59" i="6" s="1"/>
  <c r="E59" i="7" s="1"/>
  <c r="E59" i="8" s="1"/>
  <c r="E59" i="9" s="1"/>
  <c r="E61" i="5"/>
  <c r="E61" i="6" s="1"/>
  <c r="E61" i="7" s="1"/>
  <c r="E61" i="8" s="1"/>
  <c r="E61" i="9" s="1"/>
  <c r="E61" i="10" s="1"/>
  <c r="E61" i="11" s="1"/>
  <c r="E61" i="12" s="1"/>
  <c r="E61" i="13" s="1"/>
  <c r="E61" i="14" s="1"/>
  <c r="E61" i="15" s="1"/>
  <c r="E61" i="16" s="1"/>
  <c r="E62" i="5"/>
  <c r="E62" i="6" s="1"/>
  <c r="E62" i="7" s="1"/>
  <c r="E64" i="5"/>
  <c r="E65" i="5"/>
  <c r="E65" i="6" s="1"/>
  <c r="E65" i="7" s="1"/>
  <c r="E65" i="8" s="1"/>
  <c r="E67" i="5"/>
  <c r="E68" i="5"/>
  <c r="E68" i="6" s="1"/>
  <c r="E68" i="7" s="1"/>
  <c r="E68" i="8" s="1"/>
  <c r="E68" i="9" s="1"/>
  <c r="E68" i="10" s="1"/>
  <c r="E68" i="11" s="1"/>
  <c r="E68" i="12" s="1"/>
  <c r="E70" i="5"/>
  <c r="E71" i="5"/>
  <c r="E71" i="6" s="1"/>
  <c r="E71" i="7" s="1"/>
  <c r="E71" i="8" s="1"/>
  <c r="E73" i="5"/>
  <c r="E73" i="6" s="1"/>
  <c r="E73" i="7" s="1"/>
  <c r="E73" i="8" s="1"/>
  <c r="E73" i="9" s="1"/>
  <c r="E73" i="10" s="1"/>
  <c r="E73" i="11" s="1"/>
  <c r="E73" i="12" s="1"/>
  <c r="E74" i="5"/>
  <c r="E74" i="6" s="1"/>
  <c r="E74" i="7" s="1"/>
  <c r="E76" i="5"/>
  <c r="E77" i="5"/>
  <c r="E77" i="6" s="1"/>
  <c r="E77" i="7" s="1"/>
  <c r="E77" i="8" s="1"/>
  <c r="E79" i="5"/>
  <c r="E80" i="5"/>
  <c r="E80" i="6" s="1"/>
  <c r="E80" i="7" s="1"/>
  <c r="E80" i="8" s="1"/>
  <c r="E80" i="9" s="1"/>
  <c r="E80" i="10" s="1"/>
  <c r="E82" i="5"/>
  <c r="E83" i="5"/>
  <c r="E83" i="6" s="1"/>
  <c r="E83" i="7" s="1"/>
  <c r="E83" i="8" s="1"/>
  <c r="E83" i="9" s="1"/>
  <c r="W17" i="5"/>
  <c r="W18" i="5"/>
  <c r="W18" i="6" s="1"/>
  <c r="W18" i="7" s="1"/>
  <c r="W18" i="8" s="1"/>
  <c r="W18" i="9" s="1"/>
  <c r="W18" i="10" s="1"/>
  <c r="W18" i="11" s="1"/>
  <c r="W18" i="12" s="1"/>
  <c r="W18" i="13" s="1"/>
  <c r="W18" i="14" s="1"/>
  <c r="W18" i="15" s="1"/>
  <c r="W19" i="5"/>
  <c r="W21" i="5"/>
  <c r="W21" i="6" s="1"/>
  <c r="W21" i="7" s="1"/>
  <c r="W21" i="8" s="1"/>
  <c r="W21" i="9" s="1"/>
  <c r="W21" i="10" s="1"/>
  <c r="W21" i="11" s="1"/>
  <c r="W21" i="12" s="1"/>
  <c r="W21" i="13" s="1"/>
  <c r="W21" i="14" s="1"/>
  <c r="W21" i="15" s="1"/>
  <c r="W21" i="16" s="1"/>
  <c r="W22" i="5"/>
  <c r="W22" i="6" s="1"/>
  <c r="W22" i="7" s="1"/>
  <c r="W22" i="8" s="1"/>
  <c r="W22" i="9" s="1"/>
  <c r="W22" i="10" s="1"/>
  <c r="W22" i="11" s="1"/>
  <c r="W22" i="12" s="1"/>
  <c r="W22" i="13" s="1"/>
  <c r="W22" i="14" s="1"/>
  <c r="W22" i="15" s="1"/>
  <c r="W22" i="16" s="1"/>
  <c r="W23" i="5"/>
  <c r="W23" i="6" s="1"/>
  <c r="W23" i="7" s="1"/>
  <c r="W23" i="8" s="1"/>
  <c r="W23" i="9" s="1"/>
  <c r="W24" i="5"/>
  <c r="W25" i="5"/>
  <c r="W25" i="6" s="1"/>
  <c r="W25" i="7" s="1"/>
  <c r="W25" i="8" s="1"/>
  <c r="W25" i="9" s="1"/>
  <c r="W25" i="10" s="1"/>
  <c r="W25" i="11" s="1"/>
  <c r="W25" i="12" s="1"/>
  <c r="W25" i="13" s="1"/>
  <c r="W25" i="14" s="1"/>
  <c r="W25" i="15" s="1"/>
  <c r="W25" i="16" s="1"/>
  <c r="W26" i="5"/>
  <c r="W26" i="6" s="1"/>
  <c r="W26" i="7" s="1"/>
  <c r="W26" i="8" s="1"/>
  <c r="W26" i="9" s="1"/>
  <c r="W26" i="10" s="1"/>
  <c r="W26" i="11" s="1"/>
  <c r="W26" i="12" s="1"/>
  <c r="W26" i="13" s="1"/>
  <c r="W26" i="14" s="1"/>
  <c r="W26" i="15" s="1"/>
  <c r="W26" i="16" s="1"/>
  <c r="W27" i="5"/>
  <c r="W27" i="6" s="1"/>
  <c r="W27" i="7" s="1"/>
  <c r="W27" i="8" s="1"/>
  <c r="W27" i="9" s="1"/>
  <c r="W27" i="10" s="1"/>
  <c r="W27" i="11" s="1"/>
  <c r="W27" i="12" s="1"/>
  <c r="W27" i="13" s="1"/>
  <c r="W27" i="14" s="1"/>
  <c r="W27" i="15" s="1"/>
  <c r="W27" i="16" s="1"/>
  <c r="W28" i="5"/>
  <c r="W29" i="5"/>
  <c r="W29" i="6" s="1"/>
  <c r="W29" i="7" s="1"/>
  <c r="W29" i="8" s="1"/>
  <c r="W29" i="9" s="1"/>
  <c r="W29" i="10" s="1"/>
  <c r="W29" i="11" s="1"/>
  <c r="W29" i="12" s="1"/>
  <c r="W29" i="13" s="1"/>
  <c r="W29" i="14" s="1"/>
  <c r="W29" i="15" s="1"/>
  <c r="W29" i="16" s="1"/>
  <c r="W30" i="5"/>
  <c r="W30" i="6" s="1"/>
  <c r="W30" i="7" s="1"/>
  <c r="W30" i="8" s="1"/>
  <c r="W30" i="9" s="1"/>
  <c r="W30" i="10" s="1"/>
  <c r="W30" i="11" s="1"/>
  <c r="W30" i="12" s="1"/>
  <c r="W30" i="13" s="1"/>
  <c r="W30" i="14" s="1"/>
  <c r="W30" i="15" s="1"/>
  <c r="W30" i="16" s="1"/>
  <c r="W31" i="5"/>
  <c r="W31" i="6" s="1"/>
  <c r="W31" i="7" s="1"/>
  <c r="W31" i="8" s="1"/>
  <c r="W31" i="9" s="1"/>
  <c r="W31" i="10" s="1"/>
  <c r="W31" i="11" s="1"/>
  <c r="W31" i="12" s="1"/>
  <c r="W31" i="13" s="1"/>
  <c r="W31" i="14" s="1"/>
  <c r="W32" i="5"/>
  <c r="W33" i="5"/>
  <c r="W33" i="6" s="1"/>
  <c r="W36" i="5"/>
  <c r="W37" i="5"/>
  <c r="W37" i="6" s="1"/>
  <c r="W37" i="7" s="1"/>
  <c r="W37" i="8" s="1"/>
  <c r="W37" i="9" s="1"/>
  <c r="W37" i="10" s="1"/>
  <c r="W37" i="11" s="1"/>
  <c r="W37" i="12" s="1"/>
  <c r="W38" i="5"/>
  <c r="W39" i="5"/>
  <c r="W39" i="6" s="1"/>
  <c r="W39" i="7" s="1"/>
  <c r="W39" i="8" s="1"/>
  <c r="W39" i="9" s="1"/>
  <c r="W39" i="10" s="1"/>
  <c r="W39" i="11" s="1"/>
  <c r="W39" i="12" s="1"/>
  <c r="W39" i="13" s="1"/>
  <c r="W39" i="14" s="1"/>
  <c r="W39" i="15" s="1"/>
  <c r="W39" i="16" s="1"/>
  <c r="W40" i="5"/>
  <c r="W41" i="5"/>
  <c r="W41" i="6" s="1"/>
  <c r="W41" i="7" s="1"/>
  <c r="W41" i="8" s="1"/>
  <c r="W41" i="9" s="1"/>
  <c r="W41" i="10" s="1"/>
  <c r="W41" i="11" s="1"/>
  <c r="W41" i="12" s="1"/>
  <c r="W41" i="13" s="1"/>
  <c r="W41" i="14" s="1"/>
  <c r="W41" i="15" s="1"/>
  <c r="W41" i="16" s="1"/>
  <c r="W45" i="5"/>
  <c r="W46" i="5"/>
  <c r="W46" i="6" s="1"/>
  <c r="W46" i="7" s="1"/>
  <c r="W46" i="8" s="1"/>
  <c r="W46" i="9" s="1"/>
  <c r="W46" i="10" s="1"/>
  <c r="W46" i="11" s="1"/>
  <c r="W46" i="12" s="1"/>
  <c r="W46" i="13" s="1"/>
  <c r="W46" i="14" s="1"/>
  <c r="W46" i="15" s="1"/>
  <c r="W46" i="16" s="1"/>
  <c r="W47" i="5"/>
  <c r="W48" i="5"/>
  <c r="W50" i="5"/>
  <c r="W51" i="5"/>
  <c r="W51" i="6" s="1"/>
  <c r="W51" i="7" s="1"/>
  <c r="W51" i="8" s="1"/>
  <c r="W51" i="9" s="1"/>
  <c r="W51" i="10" s="1"/>
  <c r="W51" i="11" s="1"/>
  <c r="W51" i="12" s="1"/>
  <c r="W51" i="13" s="1"/>
  <c r="W51" i="14" s="1"/>
  <c r="W51" i="15" s="1"/>
  <c r="W51" i="16" s="1"/>
  <c r="W52" i="5"/>
  <c r="W52" i="6" s="1"/>
  <c r="W52" i="7" s="1"/>
  <c r="W52" i="8" s="1"/>
  <c r="W52" i="9" s="1"/>
  <c r="W52" i="10" s="1"/>
  <c r="W52" i="11" s="1"/>
  <c r="W52" i="12" s="1"/>
  <c r="W52" i="13" s="1"/>
  <c r="W52" i="14" s="1"/>
  <c r="W52" i="15" s="1"/>
  <c r="W52" i="16" s="1"/>
  <c r="W53" i="5"/>
  <c r="W53" i="6" s="1"/>
  <c r="W53" i="7" s="1"/>
  <c r="W53" i="8" s="1"/>
  <c r="W53" i="9" s="1"/>
  <c r="W53" i="10" s="1"/>
  <c r="W53" i="11" s="1"/>
  <c r="W53" i="12" s="1"/>
  <c r="W53" i="13" s="1"/>
  <c r="W53" i="14" s="1"/>
  <c r="W53" i="15" s="1"/>
  <c r="W53" i="16" s="1"/>
  <c r="W54" i="5"/>
  <c r="W55" i="5"/>
  <c r="W55" i="6" s="1"/>
  <c r="W55" i="7" s="1"/>
  <c r="W55" i="8" s="1"/>
  <c r="W55" i="9" s="1"/>
  <c r="W55" i="10" s="1"/>
  <c r="W55" i="11" s="1"/>
  <c r="W55" i="12" s="1"/>
  <c r="W55" i="13" s="1"/>
  <c r="W55" i="14" s="1"/>
  <c r="W55" i="15" s="1"/>
  <c r="W55" i="16" s="1"/>
  <c r="W59" i="5"/>
  <c r="W59" i="6" s="1"/>
  <c r="W59" i="7" s="1"/>
  <c r="W59" i="8" s="1"/>
  <c r="W59" i="9" s="1"/>
  <c r="W59" i="10" s="1"/>
  <c r="W59" i="11" s="1"/>
  <c r="W60" i="5"/>
  <c r="W60" i="6" s="1"/>
  <c r="W61" i="5"/>
  <c r="W61" i="6" s="1"/>
  <c r="W61" i="7" s="1"/>
  <c r="W61" i="8" s="1"/>
  <c r="W61" i="9" s="1"/>
  <c r="W61" i="10" s="1"/>
  <c r="W61" i="11" s="1"/>
  <c r="W61" i="12" s="1"/>
  <c r="W61" i="13" s="1"/>
  <c r="W61" i="14" s="1"/>
  <c r="W61" i="15" s="1"/>
  <c r="W61" i="16" s="1"/>
  <c r="W66" i="5"/>
  <c r="W66" i="6" s="1"/>
  <c r="W66" i="7" s="1"/>
  <c r="W66" i="8" s="1"/>
  <c r="W67" i="5"/>
  <c r="W67" i="6" s="1"/>
  <c r="W67" i="7" s="1"/>
  <c r="W67" i="8" s="1"/>
  <c r="W67" i="9" s="1"/>
  <c r="W67" i="10" s="1"/>
  <c r="W67" i="11" s="1"/>
  <c r="W67" i="12" s="1"/>
  <c r="W67" i="13" s="1"/>
  <c r="W67" i="14" s="1"/>
  <c r="W67" i="15" s="1"/>
  <c r="W67" i="16" s="1"/>
  <c r="W68" i="5"/>
  <c r="W70" i="5"/>
  <c r="W71" i="5"/>
  <c r="W71" i="6" s="1"/>
  <c r="W71" i="7" s="1"/>
  <c r="W71" i="8" s="1"/>
  <c r="W71" i="9" s="1"/>
  <c r="W71" i="10" s="1"/>
  <c r="W71" i="11" s="1"/>
  <c r="W72" i="5"/>
  <c r="W72" i="6" s="1"/>
  <c r="W72" i="7" s="1"/>
  <c r="W72" i="8" s="1"/>
  <c r="W72" i="9" s="1"/>
  <c r="W72" i="10" s="1"/>
  <c r="W72" i="11" s="1"/>
  <c r="W72" i="12" s="1"/>
  <c r="W72" i="13" s="1"/>
  <c r="W73" i="5"/>
  <c r="W73" i="6" s="1"/>
  <c r="W73" i="7" s="1"/>
  <c r="W74" i="5"/>
  <c r="W74" i="6" s="1"/>
  <c r="W74" i="7" s="1"/>
  <c r="W74" i="8" s="1"/>
  <c r="W74" i="9" s="1"/>
  <c r="W74" i="10" s="1"/>
  <c r="W74" i="11" s="1"/>
  <c r="W74" i="12" s="1"/>
  <c r="W74" i="13" s="1"/>
  <c r="W74" i="14" s="1"/>
  <c r="W74" i="15" s="1"/>
  <c r="W74" i="16" s="1"/>
  <c r="W75" i="5"/>
  <c r="W75" i="6" s="1"/>
  <c r="W75" i="7" s="1"/>
  <c r="W75" i="8" s="1"/>
  <c r="W75" i="9" s="1"/>
  <c r="W75" i="10" s="1"/>
  <c r="W75" i="11" s="1"/>
  <c r="W75" i="12" s="1"/>
  <c r="W75" i="13" s="1"/>
  <c r="W75" i="14" s="1"/>
  <c r="W75" i="15" s="1"/>
  <c r="W75" i="16" s="1"/>
  <c r="W76" i="5"/>
  <c r="W76" i="6" s="1"/>
  <c r="W76" i="7" s="1"/>
  <c r="W76" i="8" s="1"/>
  <c r="W76" i="9" s="1"/>
  <c r="W76" i="10" s="1"/>
  <c r="W76" i="11" s="1"/>
  <c r="W76" i="12" s="1"/>
  <c r="W76" i="13" s="1"/>
  <c r="W76" i="14" s="1"/>
  <c r="W76" i="15" s="1"/>
  <c r="W76" i="16" s="1"/>
  <c r="W77" i="5"/>
  <c r="W77" i="6" s="1"/>
  <c r="W77" i="7" s="1"/>
  <c r="W77" i="8" s="1"/>
  <c r="W77" i="9" s="1"/>
  <c r="W77" i="10" s="1"/>
  <c r="W77" i="11" s="1"/>
  <c r="W77" i="12" s="1"/>
  <c r="W77" i="13" s="1"/>
  <c r="W77" i="14" s="1"/>
  <c r="W77" i="15" s="1"/>
  <c r="W77" i="16" s="1"/>
  <c r="W78" i="5"/>
  <c r="W78" i="6" s="1"/>
  <c r="W78" i="7" s="1"/>
  <c r="W78" i="8" s="1"/>
  <c r="W78" i="9" s="1"/>
  <c r="W78" i="10" s="1"/>
  <c r="W78" i="11" s="1"/>
  <c r="W78" i="12" s="1"/>
  <c r="W78" i="13" s="1"/>
  <c r="W78" i="14" s="1"/>
  <c r="W78" i="15" s="1"/>
  <c r="W78" i="16" s="1"/>
  <c r="W79" i="5"/>
  <c r="W79" i="6" s="1"/>
  <c r="W79" i="7" s="1"/>
  <c r="W79" i="8" s="1"/>
  <c r="W79" i="9" s="1"/>
  <c r="W79" i="10" s="1"/>
  <c r="W79" i="11" s="1"/>
  <c r="W79" i="12" s="1"/>
  <c r="W79" i="13" s="1"/>
  <c r="W79" i="14" s="1"/>
  <c r="W79" i="15" s="1"/>
  <c r="W79" i="16" s="1"/>
  <c r="W80" i="5"/>
  <c r="W80" i="6" s="1"/>
  <c r="W80" i="7" s="1"/>
  <c r="W80" i="8" s="1"/>
  <c r="W80" i="9" s="1"/>
  <c r="W80" i="10" s="1"/>
  <c r="W80" i="11" s="1"/>
  <c r="W80" i="12" s="1"/>
  <c r="W80" i="13" s="1"/>
  <c r="W80" i="14" s="1"/>
  <c r="W80" i="15" s="1"/>
  <c r="W80" i="16" s="1"/>
  <c r="W81" i="5"/>
  <c r="W81" i="6" s="1"/>
  <c r="W81" i="7" s="1"/>
  <c r="W81" i="8" s="1"/>
  <c r="W81" i="9" s="1"/>
  <c r="W81" i="10" s="1"/>
  <c r="W81" i="11" s="1"/>
  <c r="W81" i="12" s="1"/>
  <c r="W81" i="13" s="1"/>
  <c r="W81" i="14" s="1"/>
  <c r="W81" i="15" s="1"/>
  <c r="W81" i="16" s="1"/>
  <c r="W84" i="5"/>
  <c r="W84" i="6" s="1"/>
  <c r="W84" i="7" s="1"/>
  <c r="W84" i="8" s="1"/>
  <c r="W84" i="9" s="1"/>
  <c r="W84" i="10" s="1"/>
  <c r="W84" i="11" s="1"/>
  <c r="W84" i="12" s="1"/>
  <c r="W84" i="13" s="1"/>
  <c r="W84" i="14" s="1"/>
  <c r="W84" i="15" s="1"/>
  <c r="W85" i="5"/>
  <c r="W85" i="6" s="1"/>
  <c r="W85" i="7" s="1"/>
  <c r="W85" i="8" s="1"/>
  <c r="W85" i="9" s="1"/>
  <c r="W85" i="10" s="1"/>
  <c r="W85" i="11" s="1"/>
  <c r="W85" i="12" s="1"/>
  <c r="W85" i="13" s="1"/>
  <c r="W85" i="14" s="1"/>
  <c r="W85" i="15" s="1"/>
  <c r="W85" i="16" s="1"/>
  <c r="W86" i="5"/>
  <c r="W87" i="5"/>
  <c r="W87" i="6" s="1"/>
  <c r="W87" i="7" s="1"/>
  <c r="W87" i="8" s="1"/>
  <c r="W87" i="9" s="1"/>
  <c r="W87" i="10" s="1"/>
  <c r="W87" i="11" s="1"/>
  <c r="W87" i="12" s="1"/>
  <c r="W87" i="13" s="1"/>
  <c r="W87" i="14" s="1"/>
  <c r="W87" i="15" s="1"/>
  <c r="W87" i="16" s="1"/>
  <c r="W88" i="5"/>
  <c r="W92" i="5"/>
  <c r="W93" i="5"/>
  <c r="W93" i="6" s="1"/>
  <c r="W93" i="7" s="1"/>
  <c r="W93" i="8" s="1"/>
  <c r="W93" i="9" s="1"/>
  <c r="W93" i="10" s="1"/>
  <c r="W93" i="11" s="1"/>
  <c r="W93" i="12" s="1"/>
  <c r="W94" i="5"/>
  <c r="W94" i="6" s="1"/>
  <c r="W95" i="5"/>
  <c r="W95" i="6" s="1"/>
  <c r="W95" i="7" s="1"/>
  <c r="W95" i="8" s="1"/>
  <c r="W95" i="9" s="1"/>
  <c r="W95" i="10" s="1"/>
  <c r="W95" i="11" s="1"/>
  <c r="W95" i="12" s="1"/>
  <c r="W95" i="13" s="1"/>
  <c r="W95" i="14" s="1"/>
  <c r="W95" i="15" s="1"/>
  <c r="W95" i="16" s="1"/>
  <c r="W97" i="5"/>
  <c r="W97" i="6" s="1"/>
  <c r="W97" i="7" s="1"/>
  <c r="W98" i="5"/>
  <c r="W98" i="6" s="1"/>
  <c r="W99" i="5"/>
  <c r="W99" i="6" s="1"/>
  <c r="W99" i="7" s="1"/>
  <c r="W99" i="8" s="1"/>
  <c r="W100" i="5"/>
  <c r="W101" i="5"/>
  <c r="W101" i="6" s="1"/>
  <c r="W101" i="7" s="1"/>
  <c r="W101" i="8" s="1"/>
  <c r="W101" i="9" s="1"/>
  <c r="W101" i="10" s="1"/>
  <c r="W101" i="11" s="1"/>
  <c r="W101" i="12" s="1"/>
  <c r="W101" i="13" s="1"/>
  <c r="W101" i="14" s="1"/>
  <c r="W101" i="15" s="1"/>
  <c r="W101" i="16" s="1"/>
  <c r="W102" i="5"/>
  <c r="W102" i="6" s="1"/>
  <c r="W102" i="7" s="1"/>
  <c r="W102" i="8" s="1"/>
  <c r="W102" i="9" s="1"/>
  <c r="W106" i="5"/>
  <c r="W106" i="6" s="1"/>
  <c r="W107" i="5"/>
  <c r="W108" i="5"/>
  <c r="W108" i="6" s="1"/>
  <c r="W108" i="7" s="1"/>
  <c r="W108" i="8" s="1"/>
  <c r="W115" i="5"/>
  <c r="W115" i="6" s="1"/>
  <c r="W115" i="7" s="1"/>
  <c r="W115" i="8" s="1"/>
  <c r="W115" i="9" s="1"/>
  <c r="W115" i="10" s="1"/>
  <c r="W115" i="11" s="1"/>
  <c r="W115" i="12" s="1"/>
  <c r="W115" i="13" s="1"/>
  <c r="W115" i="14" s="1"/>
  <c r="W115" i="15" s="1"/>
  <c r="W115" i="16" s="1"/>
  <c r="W116" i="5"/>
  <c r="W116" i="6" s="1"/>
  <c r="W117" i="5"/>
  <c r="W118" i="5"/>
  <c r="W118" i="6" s="1"/>
  <c r="W118" i="7" s="1"/>
  <c r="W118" i="8" s="1"/>
  <c r="W118" i="9" s="1"/>
  <c r="W118" i="10" s="1"/>
  <c r="W118" i="11" s="1"/>
  <c r="W118" i="12" s="1"/>
  <c r="W118" i="13" s="1"/>
  <c r="W118" i="14" s="1"/>
  <c r="W118" i="15" s="1"/>
  <c r="W118" i="16" s="1"/>
  <c r="W119" i="5"/>
  <c r="W119" i="6" s="1"/>
  <c r="W120" i="5"/>
  <c r="W120" i="6" s="1"/>
  <c r="W121" i="5"/>
  <c r="W121" i="6" s="1"/>
  <c r="W121" i="7" s="1"/>
  <c r="W121" i="8" s="1"/>
  <c r="W121" i="9" s="1"/>
  <c r="W121" i="10" s="1"/>
  <c r="W121" i="11" s="1"/>
  <c r="W121" i="12" s="1"/>
  <c r="W121" i="13" s="1"/>
  <c r="W121" i="14" s="1"/>
  <c r="W121" i="15" s="1"/>
  <c r="W121" i="16" s="1"/>
  <c r="W124" i="5"/>
  <c r="W124" i="6" s="1"/>
  <c r="W124" i="7" s="1"/>
  <c r="W124" i="8" s="1"/>
  <c r="W124" i="9" s="1"/>
  <c r="W124" i="10" s="1"/>
  <c r="W124" i="11" s="1"/>
  <c r="W124" i="12" s="1"/>
  <c r="W124" i="13" s="1"/>
  <c r="W124" i="14" s="1"/>
  <c r="W124" i="15" s="1"/>
  <c r="W124" i="16" s="1"/>
  <c r="W125" i="5"/>
  <c r="W125" i="6" s="1"/>
  <c r="W125" i="7" s="1"/>
  <c r="W125" i="8" s="1"/>
  <c r="W125" i="9" s="1"/>
  <c r="W125" i="10" s="1"/>
  <c r="W125" i="11" s="1"/>
  <c r="W125" i="12" s="1"/>
  <c r="W125" i="13" s="1"/>
  <c r="W125" i="14" s="1"/>
  <c r="W125" i="15" s="1"/>
  <c r="W125" i="16" s="1"/>
  <c r="W126" i="5"/>
  <c r="W126" i="6" s="1"/>
  <c r="W127" i="5"/>
  <c r="W128" i="5"/>
  <c r="W128" i="6" s="1"/>
  <c r="W128" i="7" s="1"/>
  <c r="W128" i="8" s="1"/>
  <c r="W128" i="9" s="1"/>
  <c r="W128" i="10" s="1"/>
  <c r="W128" i="11" s="1"/>
  <c r="W128" i="12" s="1"/>
  <c r="W128" i="13" s="1"/>
  <c r="W128" i="14" s="1"/>
  <c r="W128" i="15" s="1"/>
  <c r="W128" i="16" s="1"/>
  <c r="W129" i="5"/>
  <c r="W129" i="6" s="1"/>
  <c r="W129" i="7" s="1"/>
  <c r="W129" i="8" s="1"/>
  <c r="W129" i="9" s="1"/>
  <c r="W129" i="10" s="1"/>
  <c r="W129" i="11" s="1"/>
  <c r="W129" i="12" s="1"/>
  <c r="W129" i="13" s="1"/>
  <c r="W129" i="14" s="1"/>
  <c r="W129" i="15" s="1"/>
  <c r="W129" i="16" s="1"/>
  <c r="W130" i="5"/>
  <c r="W130" i="6" s="1"/>
  <c r="W130" i="7" s="1"/>
  <c r="W130" i="8" s="1"/>
  <c r="W130" i="9" s="1"/>
  <c r="W130" i="10" s="1"/>
  <c r="W130" i="11" s="1"/>
  <c r="W130" i="12" s="1"/>
  <c r="W130" i="13" s="1"/>
  <c r="W130" i="14" s="1"/>
  <c r="W130" i="15" s="1"/>
  <c r="W130" i="16" s="1"/>
  <c r="W131" i="5"/>
  <c r="W132" i="5"/>
  <c r="W132" i="6" s="1"/>
  <c r="W132" i="7" s="1"/>
  <c r="W132" i="8" s="1"/>
  <c r="W132" i="9" s="1"/>
  <c r="W132" i="10" s="1"/>
  <c r="W132" i="11" s="1"/>
  <c r="W132" i="12" s="1"/>
  <c r="W132" i="13" s="1"/>
  <c r="W132" i="14" s="1"/>
  <c r="W133" i="5"/>
  <c r="W133" i="6" s="1"/>
  <c r="W133" i="7" s="1"/>
  <c r="W133" i="8" s="1"/>
  <c r="W133" i="9" s="1"/>
  <c r="W133" i="10" s="1"/>
  <c r="W133" i="11" s="1"/>
  <c r="W133" i="12" s="1"/>
  <c r="W133" i="13" s="1"/>
  <c r="W133" i="14" s="1"/>
  <c r="W134" i="5"/>
  <c r="W135" i="5"/>
  <c r="W136" i="5"/>
  <c r="W136" i="6" s="1"/>
  <c r="W136" i="7" s="1"/>
  <c r="W136" i="8" s="1"/>
  <c r="W136" i="9" s="1"/>
  <c r="W136" i="10" s="1"/>
  <c r="W136" i="11" s="1"/>
  <c r="W136" i="12" s="1"/>
  <c r="W136" i="13" s="1"/>
  <c r="W136" i="14" s="1"/>
  <c r="W136" i="15" s="1"/>
  <c r="W136" i="16" s="1"/>
  <c r="W137" i="5"/>
  <c r="W137" i="6" s="1"/>
  <c r="W137" i="7" s="1"/>
  <c r="W137" i="8" s="1"/>
  <c r="W137" i="9" s="1"/>
  <c r="W137" i="10" s="1"/>
  <c r="W137" i="11" s="1"/>
  <c r="W137" i="12" s="1"/>
  <c r="W137" i="13" s="1"/>
  <c r="W137" i="14" s="1"/>
  <c r="W137" i="15" s="1"/>
  <c r="W137" i="16" s="1"/>
  <c r="W138" i="5"/>
  <c r="W138" i="6" s="1"/>
  <c r="W138" i="7" s="1"/>
  <c r="W138" i="8" s="1"/>
  <c r="W138" i="9" s="1"/>
  <c r="W138" i="10" s="1"/>
  <c r="W138" i="11" s="1"/>
  <c r="W138" i="12" s="1"/>
  <c r="W138" i="13" s="1"/>
  <c r="W138" i="14" s="1"/>
  <c r="W139" i="5"/>
  <c r="W142" i="5"/>
  <c r="W142" i="6" s="1"/>
  <c r="W142" i="7" s="1"/>
  <c r="W142" i="8" s="1"/>
  <c r="W142" i="9" s="1"/>
  <c r="W142" i="10" s="1"/>
  <c r="W143" i="5"/>
  <c r="W143" i="6" s="1"/>
  <c r="W143" i="7" s="1"/>
  <c r="W143" i="8" s="1"/>
  <c r="W143" i="9" s="1"/>
  <c r="W141" i="9" s="1"/>
  <c r="W148" i="5"/>
  <c r="W148" i="6" s="1"/>
  <c r="W148" i="7" s="1"/>
  <c r="W148" i="8" s="1"/>
  <c r="W148" i="9" s="1"/>
  <c r="W148" i="10" s="1"/>
  <c r="W148" i="11" s="1"/>
  <c r="W148" i="12" s="1"/>
  <c r="W148" i="13" s="1"/>
  <c r="W148" i="14" s="1"/>
  <c r="W148" i="15" s="1"/>
  <c r="W148" i="16" s="1"/>
  <c r="W150" i="5"/>
  <c r="W151" i="5"/>
  <c r="W151" i="6" s="1"/>
  <c r="W151" i="7" s="1"/>
  <c r="W151" i="8" s="1"/>
  <c r="W151" i="9" s="1"/>
  <c r="W151" i="10" s="1"/>
  <c r="W151" i="11" s="1"/>
  <c r="W151" i="12" s="1"/>
  <c r="W151" i="13" s="1"/>
  <c r="W151" i="14" s="1"/>
  <c r="W151" i="15" s="1"/>
  <c r="W151" i="16" s="1"/>
  <c r="W152" i="5"/>
  <c r="W152" i="6" s="1"/>
  <c r="W152" i="7" s="1"/>
  <c r="W152" i="8" s="1"/>
  <c r="W153" i="5"/>
  <c r="W153" i="6" s="1"/>
  <c r="W153" i="7" s="1"/>
  <c r="W153" i="8" s="1"/>
  <c r="W153" i="9" s="1"/>
  <c r="W153" i="10" s="1"/>
  <c r="W153" i="11" s="1"/>
  <c r="W153" i="12" s="1"/>
  <c r="W153" i="13" s="1"/>
  <c r="W153" i="14" s="1"/>
  <c r="W153" i="15" s="1"/>
  <c r="W153" i="16" s="1"/>
  <c r="W156" i="5"/>
  <c r="W156" i="6" s="1"/>
  <c r="W156" i="7" s="1"/>
  <c r="W156" i="8" s="1"/>
  <c r="W156" i="9" s="1"/>
  <c r="W156" i="10" s="1"/>
  <c r="W156" i="11" s="1"/>
  <c r="W156" i="12" s="1"/>
  <c r="W156" i="13" s="1"/>
  <c r="W156" i="14" s="1"/>
  <c r="W156" i="15" s="1"/>
  <c r="W156" i="16" s="1"/>
  <c r="W158" i="5"/>
  <c r="W159" i="5"/>
  <c r="W159" i="6" s="1"/>
  <c r="W159" i="7" s="1"/>
  <c r="W159" i="8" s="1"/>
  <c r="W159" i="9" s="1"/>
  <c r="W159" i="10" s="1"/>
  <c r="W159" i="11" s="1"/>
  <c r="W159" i="12" s="1"/>
  <c r="W159" i="13" s="1"/>
  <c r="W159" i="14" s="1"/>
  <c r="W159" i="15" s="1"/>
  <c r="W159" i="16" s="1"/>
  <c r="W160" i="5"/>
  <c r="W160" i="6" s="1"/>
  <c r="W160" i="7" s="1"/>
  <c r="W160" i="8" s="1"/>
  <c r="W160" i="9" s="1"/>
  <c r="W160" i="10" s="1"/>
  <c r="W160" i="11" s="1"/>
  <c r="W160" i="12" s="1"/>
  <c r="W160" i="13" s="1"/>
  <c r="W160" i="14" s="1"/>
  <c r="W160" i="15" s="1"/>
  <c r="W160" i="16" s="1"/>
  <c r="W161" i="5"/>
  <c r="W162" i="5"/>
  <c r="W162" i="6" s="1"/>
  <c r="W162" i="7" s="1"/>
  <c r="W162" i="8" s="1"/>
  <c r="W162" i="9" s="1"/>
  <c r="W162" i="10" s="1"/>
  <c r="W162" i="11" s="1"/>
  <c r="W162" i="12" s="1"/>
  <c r="W162" i="13" s="1"/>
  <c r="W162" i="14" s="1"/>
  <c r="W162" i="15" s="1"/>
  <c r="W163" i="5"/>
  <c r="W164" i="5"/>
  <c r="W164" i="6" s="1"/>
  <c r="W164" i="7" s="1"/>
  <c r="W164" i="8" s="1"/>
  <c r="W164" i="9" s="1"/>
  <c r="W164" i="10" s="1"/>
  <c r="W164" i="11" s="1"/>
  <c r="W164" i="12" s="1"/>
  <c r="W164" i="13" s="1"/>
  <c r="W164" i="14" s="1"/>
  <c r="W164" i="15" s="1"/>
  <c r="W164" i="16" s="1"/>
  <c r="W165" i="5"/>
  <c r="W166" i="5"/>
  <c r="W166" i="6" s="1"/>
  <c r="W166" i="7" s="1"/>
  <c r="W166" i="8" s="1"/>
  <c r="W166" i="9" s="1"/>
  <c r="W166" i="10" s="1"/>
  <c r="W166" i="11" s="1"/>
  <c r="W166" i="12" s="1"/>
  <c r="W166" i="13" s="1"/>
  <c r="W166" i="14" s="1"/>
  <c r="W166" i="15" s="1"/>
  <c r="W166" i="16" s="1"/>
  <c r="W167" i="5"/>
  <c r="W167" i="6" s="1"/>
  <c r="W168" i="5"/>
  <c r="W168" i="6" s="1"/>
  <c r="W168" i="7" s="1"/>
  <c r="W168" i="8" s="1"/>
  <c r="W168" i="9" s="1"/>
  <c r="W168" i="10" s="1"/>
  <c r="W168" i="11" s="1"/>
  <c r="W168" i="12" s="1"/>
  <c r="W168" i="13" s="1"/>
  <c r="W168" i="14" s="1"/>
  <c r="W168" i="15" s="1"/>
  <c r="W168" i="16" s="1"/>
  <c r="W173" i="5"/>
  <c r="W174" i="5"/>
  <c r="W174" i="6" s="1"/>
  <c r="W174" i="7" s="1"/>
  <c r="W174" i="8" s="1"/>
  <c r="W177" i="5"/>
  <c r="W177" i="6" s="1"/>
  <c r="W177" i="7" s="1"/>
  <c r="W177" i="8" s="1"/>
  <c r="W177" i="9" s="1"/>
  <c r="W177" i="10" s="1"/>
  <c r="W177" i="11" s="1"/>
  <c r="W177" i="12" s="1"/>
  <c r="W177" i="13" s="1"/>
  <c r="W178" i="5"/>
  <c r="W178" i="6" s="1"/>
  <c r="W178" i="7" s="1"/>
  <c r="W178" i="8" s="1"/>
  <c r="W178" i="9" s="1"/>
  <c r="W178" i="10" s="1"/>
  <c r="W178" i="11" s="1"/>
  <c r="W178" i="12" s="1"/>
  <c r="W178" i="13" s="1"/>
  <c r="W178" i="14" s="1"/>
  <c r="W178" i="15" s="1"/>
  <c r="W178" i="16" s="1"/>
  <c r="W179" i="5"/>
  <c r="W180" i="5"/>
  <c r="W180" i="6" s="1"/>
  <c r="W180" i="7" s="1"/>
  <c r="W180" i="8" s="1"/>
  <c r="W180" i="9" s="1"/>
  <c r="W180" i="10" s="1"/>
  <c r="W180" i="11" s="1"/>
  <c r="W180" i="12" s="1"/>
  <c r="W180" i="13" s="1"/>
  <c r="W180" i="14" s="1"/>
  <c r="W180" i="15" s="1"/>
  <c r="W180" i="16" s="1"/>
  <c r="W181" i="5"/>
  <c r="W181" i="6" s="1"/>
  <c r="W181" i="7" s="1"/>
  <c r="W181" i="8" s="1"/>
  <c r="W181" i="9" s="1"/>
  <c r="W181" i="10" s="1"/>
  <c r="W181" i="11" s="1"/>
  <c r="W181" i="12" s="1"/>
  <c r="W181" i="13" s="1"/>
  <c r="W181" i="14" s="1"/>
  <c r="W181" i="15" s="1"/>
  <c r="W181" i="16" s="1"/>
  <c r="W182" i="5"/>
  <c r="W182" i="6" s="1"/>
  <c r="W182" i="7" s="1"/>
  <c r="W182" i="8" s="1"/>
  <c r="W182" i="9" s="1"/>
  <c r="W182" i="10" s="1"/>
  <c r="W182" i="11" s="1"/>
  <c r="W182" i="12" s="1"/>
  <c r="W182" i="13" s="1"/>
  <c r="W182" i="14" s="1"/>
  <c r="W182" i="15" s="1"/>
  <c r="W182" i="16" s="1"/>
  <c r="W183" i="5"/>
  <c r="W186" i="5"/>
  <c r="W186" i="6" s="1"/>
  <c r="W186" i="7" s="1"/>
  <c r="W186" i="8" s="1"/>
  <c r="W186" i="9" s="1"/>
  <c r="W186" i="10" s="1"/>
  <c r="W186" i="11" s="1"/>
  <c r="W186" i="12" s="1"/>
  <c r="W186" i="13" s="1"/>
  <c r="W186" i="14" s="1"/>
  <c r="W186" i="15" s="1"/>
  <c r="W186" i="16" s="1"/>
  <c r="W188" i="5"/>
  <c r="W188" i="6" s="1"/>
  <c r="W188" i="7" s="1"/>
  <c r="W188" i="8" s="1"/>
  <c r="W188" i="9" s="1"/>
  <c r="W188" i="10" s="1"/>
  <c r="W188" i="11" s="1"/>
  <c r="W188" i="12" s="1"/>
  <c r="W188" i="13" s="1"/>
  <c r="W188" i="14" s="1"/>
  <c r="W188" i="15" s="1"/>
  <c r="W188" i="16" s="1"/>
  <c r="W189" i="5"/>
  <c r="W189" i="6" s="1"/>
  <c r="W189" i="7" s="1"/>
  <c r="W189" i="8" s="1"/>
  <c r="W189" i="9" s="1"/>
  <c r="W189" i="10" s="1"/>
  <c r="W189" i="11" s="1"/>
  <c r="W189" i="12" s="1"/>
  <c r="W189" i="13" s="1"/>
  <c r="W189" i="14" s="1"/>
  <c r="W189" i="15" s="1"/>
  <c r="W189" i="16" s="1"/>
  <c r="W190" i="5"/>
  <c r="W191" i="5"/>
  <c r="W191" i="6" s="1"/>
  <c r="W191" i="7" s="1"/>
  <c r="W191" i="8" s="1"/>
  <c r="W191" i="9" s="1"/>
  <c r="W191" i="10" s="1"/>
  <c r="W191" i="11" s="1"/>
  <c r="W191" i="12" s="1"/>
  <c r="W191" i="13" s="1"/>
  <c r="W191" i="14" s="1"/>
  <c r="W191" i="15" s="1"/>
  <c r="W191" i="16" s="1"/>
  <c r="W196" i="5"/>
  <c r="W196" i="6" s="1"/>
  <c r="W196" i="7" s="1"/>
  <c r="W196" i="8" s="1"/>
  <c r="W196" i="9" s="1"/>
  <c r="W196" i="10" s="1"/>
  <c r="W196" i="11" s="1"/>
  <c r="W196" i="12" s="1"/>
  <c r="W196" i="13" s="1"/>
  <c r="W196" i="14" s="1"/>
  <c r="W197" i="5"/>
  <c r="W197" i="6" s="1"/>
  <c r="W197" i="7" s="1"/>
  <c r="W197" i="8" s="1"/>
  <c r="W197" i="9" s="1"/>
  <c r="W197" i="10" s="1"/>
  <c r="W197" i="11" s="1"/>
  <c r="W197" i="12" s="1"/>
  <c r="W197" i="13" s="1"/>
  <c r="W197" i="14" s="1"/>
  <c r="W197" i="15" s="1"/>
  <c r="W197" i="16" s="1"/>
  <c r="W198" i="5"/>
  <c r="W199" i="5"/>
  <c r="W199" i="6" s="1"/>
  <c r="W199" i="7" s="1"/>
  <c r="W199" i="8" s="1"/>
  <c r="W199" i="9" s="1"/>
  <c r="W199" i="10" s="1"/>
  <c r="W199" i="11" s="1"/>
  <c r="W199" i="12" s="1"/>
  <c r="W199" i="13" s="1"/>
  <c r="W199" i="14" s="1"/>
  <c r="W199" i="15" s="1"/>
  <c r="W199" i="16" s="1"/>
  <c r="W200" i="5"/>
  <c r="W200" i="6" s="1"/>
  <c r="W200" i="7" s="1"/>
  <c r="W200" i="8" s="1"/>
  <c r="W200" i="9" s="1"/>
  <c r="W200" i="10" s="1"/>
  <c r="W200" i="11" s="1"/>
  <c r="W200" i="12" s="1"/>
  <c r="W200" i="13" s="1"/>
  <c r="W200" i="14" s="1"/>
  <c r="W200" i="15" s="1"/>
  <c r="W200" i="16" s="1"/>
  <c r="W201" i="5"/>
  <c r="W201" i="6" s="1"/>
  <c r="W201" i="7" s="1"/>
  <c r="W201" i="8" s="1"/>
  <c r="W201" i="9" s="1"/>
  <c r="W201" i="10" s="1"/>
  <c r="W201" i="11" s="1"/>
  <c r="W201" i="12" s="1"/>
  <c r="W201" i="13" s="1"/>
  <c r="W201" i="14" s="1"/>
  <c r="W201" i="15" s="1"/>
  <c r="W201" i="16" s="1"/>
  <c r="W202" i="5"/>
  <c r="W204" i="5"/>
  <c r="W205" i="5"/>
  <c r="W205" i="6" s="1"/>
  <c r="W205" i="7" s="1"/>
  <c r="W205" i="8" s="1"/>
  <c r="W205" i="9" s="1"/>
  <c r="W205" i="10" s="1"/>
  <c r="W205" i="11" s="1"/>
  <c r="W205" i="12" s="1"/>
  <c r="W205" i="13" s="1"/>
  <c r="W205" i="14" s="1"/>
  <c r="W205" i="15" s="1"/>
  <c r="W205" i="16" s="1"/>
  <c r="W212" i="5"/>
  <c r="W213" i="5"/>
  <c r="W213" i="6" s="1"/>
  <c r="W213" i="7" s="1"/>
  <c r="W213" i="8" s="1"/>
  <c r="W213" i="9" s="1"/>
  <c r="W213" i="10" s="1"/>
  <c r="W213" i="11" s="1"/>
  <c r="W213" i="12" s="1"/>
  <c r="W213" i="13" s="1"/>
  <c r="W213" i="14" s="1"/>
  <c r="W213" i="15" s="1"/>
  <c r="W213" i="16" s="1"/>
  <c r="W214" i="5"/>
  <c r="W214" i="6" s="1"/>
  <c r="W214" i="7" s="1"/>
  <c r="W214" i="8" s="1"/>
  <c r="W214" i="9" s="1"/>
  <c r="W214" i="10" s="1"/>
  <c r="W214" i="11" s="1"/>
  <c r="W214" i="12" s="1"/>
  <c r="W214" i="13" s="1"/>
  <c r="W214" i="14" s="1"/>
  <c r="W214" i="15" s="1"/>
  <c r="W214" i="16" s="1"/>
  <c r="W215" i="5"/>
  <c r="W216" i="5"/>
  <c r="W216" i="6" s="1"/>
  <c r="W216" i="7" s="1"/>
  <c r="W216" i="8" s="1"/>
  <c r="W216" i="9" s="1"/>
  <c r="W216" i="10" s="1"/>
  <c r="W216" i="11" s="1"/>
  <c r="W216" i="12" s="1"/>
  <c r="W216" i="13" s="1"/>
  <c r="W216" i="14" s="1"/>
  <c r="W216" i="15" s="1"/>
  <c r="W216" i="16" s="1"/>
  <c r="W217" i="5"/>
  <c r="W217" i="6" s="1"/>
  <c r="W217" i="7" s="1"/>
  <c r="W217" i="8" s="1"/>
  <c r="W217" i="9" s="1"/>
  <c r="W217" i="10" s="1"/>
  <c r="W218" i="5"/>
  <c r="W218" i="6" s="1"/>
  <c r="W218" i="7" s="1"/>
  <c r="W218" i="8" s="1"/>
  <c r="W218" i="9" s="1"/>
  <c r="W218" i="10" s="1"/>
  <c r="W218" i="11" s="1"/>
  <c r="W218" i="12" s="1"/>
  <c r="W218" i="13" s="1"/>
  <c r="W218" i="14" s="1"/>
  <c r="W218" i="15" s="1"/>
  <c r="W218" i="16" s="1"/>
  <c r="W223" i="5"/>
  <c r="W223" i="6" s="1"/>
  <c r="W223" i="7" s="1"/>
  <c r="W223" i="8" s="1"/>
  <c r="W224" i="5"/>
  <c r="W224" i="6" s="1"/>
  <c r="W224" i="7" s="1"/>
  <c r="W224" i="8" s="1"/>
  <c r="W224" i="9" s="1"/>
  <c r="W224" i="10" s="1"/>
  <c r="W224" i="11" s="1"/>
  <c r="W224" i="12" s="1"/>
  <c r="W224" i="13" s="1"/>
  <c r="W224" i="14" s="1"/>
  <c r="W225" i="5"/>
  <c r="W228" i="5"/>
  <c r="W228" i="6" s="1"/>
  <c r="W228" i="7" s="1"/>
  <c r="W228" i="8" s="1"/>
  <c r="W228" i="9" s="1"/>
  <c r="W228" i="10" s="1"/>
  <c r="W229" i="5"/>
  <c r="W229" i="6" s="1"/>
  <c r="W229" i="7" s="1"/>
  <c r="W230" i="5"/>
  <c r="W230" i="6" s="1"/>
  <c r="W230" i="7" s="1"/>
  <c r="W230" i="8" s="1"/>
  <c r="W230" i="9" s="1"/>
  <c r="W230" i="10" s="1"/>
  <c r="W230" i="11" s="1"/>
  <c r="W230" i="12" s="1"/>
  <c r="W230" i="13" s="1"/>
  <c r="W230" i="14" s="1"/>
  <c r="W230" i="15" s="1"/>
  <c r="W230" i="16" s="1"/>
  <c r="W236" i="5"/>
  <c r="W237" i="5"/>
  <c r="W238" i="5"/>
  <c r="W238" i="6" s="1"/>
  <c r="W238" i="7" s="1"/>
  <c r="W239" i="5"/>
  <c r="W240" i="5"/>
  <c r="W240" i="6" s="1"/>
  <c r="W240" i="7" s="1"/>
  <c r="W240" i="8" s="1"/>
  <c r="W240" i="9" s="1"/>
  <c r="W240" i="10" s="1"/>
  <c r="W240" i="11" s="1"/>
  <c r="W240" i="12" s="1"/>
  <c r="W240" i="13" s="1"/>
  <c r="W240" i="14" s="1"/>
  <c r="W240" i="15" s="1"/>
  <c r="W240" i="16" s="1"/>
  <c r="W241" i="5"/>
  <c r="W241" i="6" s="1"/>
  <c r="W241" i="7" s="1"/>
  <c r="W241" i="8" s="1"/>
  <c r="W241" i="9" s="1"/>
  <c r="W241" i="10" s="1"/>
  <c r="W241" i="11" s="1"/>
  <c r="W241" i="12" s="1"/>
  <c r="W241" i="13" s="1"/>
  <c r="W241" i="14" s="1"/>
  <c r="W241" i="15" s="1"/>
  <c r="W241" i="16" s="1"/>
  <c r="W244" i="5"/>
  <c r="W244" i="6" s="1"/>
  <c r="W244" i="7" s="1"/>
  <c r="W244" i="8" s="1"/>
  <c r="W244" i="9" s="1"/>
  <c r="W244" i="10" s="1"/>
  <c r="W245" i="5"/>
  <c r="W246" i="5"/>
  <c r="W246" i="6" s="1"/>
  <c r="W246" i="7" s="1"/>
  <c r="W246" i="8" s="1"/>
  <c r="W246" i="9" s="1"/>
  <c r="W246" i="10" s="1"/>
  <c r="W246" i="11" s="1"/>
  <c r="W246" i="12" s="1"/>
  <c r="W246" i="13" s="1"/>
  <c r="W246" i="14" s="1"/>
  <c r="W246" i="15" s="1"/>
  <c r="W246" i="16" s="1"/>
  <c r="W247" i="5"/>
  <c r="W247" i="6" s="1"/>
  <c r="W247" i="7" s="1"/>
  <c r="W247" i="8" s="1"/>
  <c r="W247" i="9" s="1"/>
  <c r="W247" i="10" s="1"/>
  <c r="W247" i="11" s="1"/>
  <c r="W247" i="12" s="1"/>
  <c r="W247" i="13" s="1"/>
  <c r="W247" i="14" s="1"/>
  <c r="W247" i="15" s="1"/>
  <c r="W247" i="16" s="1"/>
  <c r="W248" i="5"/>
  <c r="W248" i="6" s="1"/>
  <c r="W248" i="7" s="1"/>
  <c r="W248" i="8" s="1"/>
  <c r="W248" i="9" s="1"/>
  <c r="W248" i="10" s="1"/>
  <c r="W248" i="11" s="1"/>
  <c r="W248" i="12" s="1"/>
  <c r="W248" i="13" s="1"/>
  <c r="W248" i="14" s="1"/>
  <c r="W248" i="15" s="1"/>
  <c r="W248" i="16" s="1"/>
  <c r="W249" i="5"/>
  <c r="W250" i="5"/>
  <c r="W250" i="6" s="1"/>
  <c r="W251" i="5"/>
  <c r="W251" i="6" s="1"/>
  <c r="W251" i="7" s="1"/>
  <c r="W251" i="8" s="1"/>
  <c r="W251" i="9" s="1"/>
  <c r="W251" i="10" s="1"/>
  <c r="W251" i="11" s="1"/>
  <c r="W251" i="12" s="1"/>
  <c r="W251" i="13" s="1"/>
  <c r="W251" i="14" s="1"/>
  <c r="W251" i="15" s="1"/>
  <c r="W251" i="16" s="1"/>
  <c r="W252" i="5"/>
  <c r="W252" i="6" s="1"/>
  <c r="W252" i="7" s="1"/>
  <c r="W252" i="8" s="1"/>
  <c r="W252" i="9" s="1"/>
  <c r="W252" i="10" s="1"/>
  <c r="W252" i="11" s="1"/>
  <c r="W252" i="12" s="1"/>
  <c r="W253" i="5"/>
  <c r="W253" i="6" s="1"/>
  <c r="W253" i="7" s="1"/>
  <c r="W253" i="8" s="1"/>
  <c r="W253" i="9" s="1"/>
  <c r="W253" i="10" s="1"/>
  <c r="W253" i="11" s="1"/>
  <c r="W253" i="12" s="1"/>
  <c r="W253" i="13" s="1"/>
  <c r="W253" i="14" s="1"/>
  <c r="W253" i="15" s="1"/>
  <c r="W253" i="16" s="1"/>
  <c r="W254" i="5"/>
  <c r="W255" i="5"/>
  <c r="W255" i="6" s="1"/>
  <c r="W255" i="7" s="1"/>
  <c r="W255" i="8" s="1"/>
  <c r="W255" i="9" s="1"/>
  <c r="W255" i="10" s="1"/>
  <c r="W255" i="11" s="1"/>
  <c r="W255" i="12" s="1"/>
  <c r="W255" i="13" s="1"/>
  <c r="W255" i="14" s="1"/>
  <c r="W255" i="15" s="1"/>
  <c r="W255" i="16" s="1"/>
  <c r="W256" i="5"/>
  <c r="W256" i="6" s="1"/>
  <c r="C12" i="16"/>
  <c r="C13" i="16"/>
  <c r="C14" i="16"/>
  <c r="C15" i="16"/>
  <c r="C23" i="16"/>
  <c r="C24" i="16"/>
  <c r="C26" i="16"/>
  <c r="C27" i="16"/>
  <c r="C30" i="16"/>
  <c r="C31" i="16"/>
  <c r="C33" i="16"/>
  <c r="C34" i="16"/>
  <c r="C36" i="16"/>
  <c r="C37" i="16"/>
  <c r="C43" i="16"/>
  <c r="C44" i="16"/>
  <c r="C46" i="16"/>
  <c r="C47" i="16"/>
  <c r="C49" i="16"/>
  <c r="C50" i="16"/>
  <c r="C52" i="16"/>
  <c r="C53" i="16"/>
  <c r="C55" i="16"/>
  <c r="C56" i="16"/>
  <c r="C54" i="16" s="1"/>
  <c r="C58" i="16"/>
  <c r="C59" i="16"/>
  <c r="C61" i="16"/>
  <c r="C62" i="16"/>
  <c r="C64" i="16"/>
  <c r="C65" i="16"/>
  <c r="C67" i="16"/>
  <c r="C68" i="16"/>
  <c r="C70" i="16"/>
  <c r="C71" i="16"/>
  <c r="C73" i="16"/>
  <c r="C74" i="16"/>
  <c r="C76" i="16"/>
  <c r="C77" i="16"/>
  <c r="C79" i="16"/>
  <c r="C80" i="16"/>
  <c r="C82" i="16"/>
  <c r="C83" i="16"/>
  <c r="U17" i="16"/>
  <c r="U18" i="16"/>
  <c r="U19" i="16"/>
  <c r="U21" i="16"/>
  <c r="U22" i="16"/>
  <c r="U23" i="16"/>
  <c r="U24" i="16"/>
  <c r="U25" i="16"/>
  <c r="U26" i="16"/>
  <c r="U27" i="16"/>
  <c r="X27" i="16" s="1"/>
  <c r="U28" i="16"/>
  <c r="U29" i="16"/>
  <c r="U30" i="16"/>
  <c r="U31" i="16"/>
  <c r="U32" i="16"/>
  <c r="U33" i="16"/>
  <c r="U36" i="16"/>
  <c r="U37" i="16"/>
  <c r="U38" i="16"/>
  <c r="U39" i="16"/>
  <c r="U40" i="16"/>
  <c r="U41" i="16"/>
  <c r="U45" i="16"/>
  <c r="U46" i="16"/>
  <c r="U47" i="16"/>
  <c r="U48" i="16"/>
  <c r="U50" i="16"/>
  <c r="U51" i="16"/>
  <c r="U52" i="16"/>
  <c r="U53" i="16"/>
  <c r="U54" i="16"/>
  <c r="U55" i="16"/>
  <c r="U59" i="16"/>
  <c r="U60" i="16"/>
  <c r="U61" i="16"/>
  <c r="U66" i="16"/>
  <c r="U67" i="16"/>
  <c r="U68" i="16"/>
  <c r="U70" i="16"/>
  <c r="U71" i="16"/>
  <c r="U72" i="16"/>
  <c r="U73" i="16"/>
  <c r="U74" i="16"/>
  <c r="U75" i="16"/>
  <c r="U76" i="16"/>
  <c r="U77" i="16"/>
  <c r="U78" i="16"/>
  <c r="U79" i="16"/>
  <c r="U80" i="16"/>
  <c r="U81" i="16"/>
  <c r="U84" i="16"/>
  <c r="U85" i="16"/>
  <c r="U86" i="16"/>
  <c r="U87" i="16"/>
  <c r="U88" i="16"/>
  <c r="U92" i="16"/>
  <c r="U93" i="16"/>
  <c r="U94" i="16"/>
  <c r="U95" i="16"/>
  <c r="U97" i="16"/>
  <c r="U98" i="16"/>
  <c r="U99" i="16"/>
  <c r="U100" i="16"/>
  <c r="U101" i="16"/>
  <c r="U102" i="16"/>
  <c r="U106" i="16"/>
  <c r="U107" i="16"/>
  <c r="U108" i="16"/>
  <c r="U115" i="16"/>
  <c r="U116" i="16"/>
  <c r="U117" i="16"/>
  <c r="U118" i="16"/>
  <c r="U119" i="16"/>
  <c r="U120" i="16"/>
  <c r="U121" i="16"/>
  <c r="U124" i="16"/>
  <c r="U125" i="16"/>
  <c r="U126" i="16"/>
  <c r="U127" i="16"/>
  <c r="U128" i="16"/>
  <c r="U129" i="16"/>
  <c r="U130" i="16"/>
  <c r="X130" i="16" s="1"/>
  <c r="U131" i="16"/>
  <c r="U132" i="16"/>
  <c r="U133" i="16"/>
  <c r="U134" i="16"/>
  <c r="U135" i="16"/>
  <c r="U136" i="16"/>
  <c r="U137" i="16"/>
  <c r="U138" i="16"/>
  <c r="U139" i="16"/>
  <c r="U142" i="16"/>
  <c r="U143" i="16"/>
  <c r="U148" i="16"/>
  <c r="X148" i="16" s="1"/>
  <c r="U150" i="16"/>
  <c r="U151" i="16"/>
  <c r="U152" i="16"/>
  <c r="U153" i="16"/>
  <c r="U156" i="16"/>
  <c r="U158" i="16"/>
  <c r="U159" i="16"/>
  <c r="U160" i="16"/>
  <c r="U161" i="16"/>
  <c r="U162" i="16"/>
  <c r="U163" i="16"/>
  <c r="U164" i="16"/>
  <c r="U165" i="16"/>
  <c r="U166" i="16"/>
  <c r="U167" i="16"/>
  <c r="U168" i="16"/>
  <c r="X168" i="16" s="1"/>
  <c r="U173" i="16"/>
  <c r="U174" i="16"/>
  <c r="U177" i="16"/>
  <c r="U178" i="16"/>
  <c r="U179" i="16"/>
  <c r="U180" i="16"/>
  <c r="U181" i="16"/>
  <c r="U182" i="16"/>
  <c r="X182" i="16" s="1"/>
  <c r="U183" i="16"/>
  <c r="U186" i="16"/>
  <c r="U188" i="16"/>
  <c r="U189" i="16"/>
  <c r="X189" i="16" s="1"/>
  <c r="U190" i="16"/>
  <c r="U191" i="16"/>
  <c r="U196" i="16"/>
  <c r="U197" i="16"/>
  <c r="U198" i="16"/>
  <c r="U199" i="16"/>
  <c r="U200" i="16"/>
  <c r="U201" i="16"/>
  <c r="U202" i="16"/>
  <c r="U204" i="16"/>
  <c r="U203" i="16" s="1"/>
  <c r="U205" i="16"/>
  <c r="U212" i="16"/>
  <c r="U213" i="16"/>
  <c r="U214" i="16"/>
  <c r="U215" i="16"/>
  <c r="U216" i="16"/>
  <c r="U217" i="16"/>
  <c r="U218" i="16"/>
  <c r="U223" i="16"/>
  <c r="U224" i="16"/>
  <c r="U225" i="16"/>
  <c r="U228" i="16"/>
  <c r="U229" i="16"/>
  <c r="U230" i="16"/>
  <c r="U236" i="16"/>
  <c r="U237" i="16"/>
  <c r="U238" i="16"/>
  <c r="U239" i="16"/>
  <c r="U240" i="16"/>
  <c r="U241" i="16"/>
  <c r="U244" i="16"/>
  <c r="U245" i="16"/>
  <c r="U246" i="16"/>
  <c r="U247" i="16"/>
  <c r="U248" i="16"/>
  <c r="U249" i="16"/>
  <c r="U250" i="16"/>
  <c r="U251" i="16"/>
  <c r="U252" i="16"/>
  <c r="U253" i="16"/>
  <c r="U254" i="16"/>
  <c r="U255" i="16"/>
  <c r="U256" i="16"/>
  <c r="I12" i="5"/>
  <c r="G12" i="6" s="1"/>
  <c r="I12" i="6" s="1"/>
  <c r="G12" i="7" s="1"/>
  <c r="I13" i="5"/>
  <c r="G13" i="6" s="1"/>
  <c r="I13" i="6" s="1"/>
  <c r="G13" i="7" s="1"/>
  <c r="I13" i="7" s="1"/>
  <c r="G13" i="8" s="1"/>
  <c r="I13" i="8" s="1"/>
  <c r="G13" i="9" s="1"/>
  <c r="I13" i="9" s="1"/>
  <c r="G13" i="10" s="1"/>
  <c r="I13" i="10" s="1"/>
  <c r="G13" i="11" s="1"/>
  <c r="I13" i="11" s="1"/>
  <c r="G13" i="12" s="1"/>
  <c r="I13" i="12" s="1"/>
  <c r="G13" i="13" s="1"/>
  <c r="I13" i="13" s="1"/>
  <c r="G13" i="14" s="1"/>
  <c r="I13" i="14" s="1"/>
  <c r="G13" i="15" s="1"/>
  <c r="I13" i="15" s="1"/>
  <c r="G13" i="16" s="1"/>
  <c r="I13" i="16" s="1"/>
  <c r="I14" i="5"/>
  <c r="G14" i="6" s="1"/>
  <c r="I14" i="6" s="1"/>
  <c r="G14" i="7" s="1"/>
  <c r="I14" i="7" s="1"/>
  <c r="G14" i="8" s="1"/>
  <c r="I14" i="8" s="1"/>
  <c r="G14" i="9" s="1"/>
  <c r="I14" i="9" s="1"/>
  <c r="G14" i="10" s="1"/>
  <c r="I14" i="10" s="1"/>
  <c r="G14" i="11" s="1"/>
  <c r="I14" i="11" s="1"/>
  <c r="G14" i="12" s="1"/>
  <c r="I14" i="12" s="1"/>
  <c r="G14" i="13" s="1"/>
  <c r="I14" i="13" s="1"/>
  <c r="G14" i="14" s="1"/>
  <c r="I14" i="14" s="1"/>
  <c r="G14" i="15" s="1"/>
  <c r="I14" i="15" s="1"/>
  <c r="G14" i="16" s="1"/>
  <c r="I14" i="16" s="1"/>
  <c r="I15" i="5"/>
  <c r="G15" i="6" s="1"/>
  <c r="I15" i="6" s="1"/>
  <c r="G15" i="7" s="1"/>
  <c r="I15" i="7" s="1"/>
  <c r="G15" i="8" s="1"/>
  <c r="I15" i="8" s="1"/>
  <c r="G15" i="9" s="1"/>
  <c r="I15" i="9" s="1"/>
  <c r="G15" i="10" s="1"/>
  <c r="I15" i="10" s="1"/>
  <c r="G15" i="11" s="1"/>
  <c r="I15" i="11" s="1"/>
  <c r="G15" i="12" s="1"/>
  <c r="I15" i="12" s="1"/>
  <c r="G15" i="13" s="1"/>
  <c r="I15" i="13" s="1"/>
  <c r="G15" i="14" s="1"/>
  <c r="I15" i="14" s="1"/>
  <c r="G15" i="15" s="1"/>
  <c r="I15" i="15" s="1"/>
  <c r="G15" i="16" s="1"/>
  <c r="I15" i="16" s="1"/>
  <c r="I23" i="5"/>
  <c r="I24" i="5"/>
  <c r="I26" i="5"/>
  <c r="I27" i="5"/>
  <c r="I30" i="5"/>
  <c r="G30" i="6" s="1"/>
  <c r="I31" i="5"/>
  <c r="I33" i="5"/>
  <c r="G33" i="6" s="1"/>
  <c r="I34" i="5"/>
  <c r="G34" i="6" s="1"/>
  <c r="I34" i="6" s="1"/>
  <c r="G34" i="7" s="1"/>
  <c r="I34" i="7" s="1"/>
  <c r="G34" i="8" s="1"/>
  <c r="I34" i="8" s="1"/>
  <c r="G34" i="9" s="1"/>
  <c r="I34" i="9" s="1"/>
  <c r="G34" i="10" s="1"/>
  <c r="I34" i="10" s="1"/>
  <c r="G34" i="11" s="1"/>
  <c r="I34" i="11" s="1"/>
  <c r="G34" i="12" s="1"/>
  <c r="I34" i="12" s="1"/>
  <c r="G34" i="13" s="1"/>
  <c r="I34" i="13" s="1"/>
  <c r="G34" i="14" s="1"/>
  <c r="I36" i="5"/>
  <c r="G36" i="6" s="1"/>
  <c r="I36" i="6" s="1"/>
  <c r="G36" i="7" s="1"/>
  <c r="I36" i="7" s="1"/>
  <c r="G36" i="8" s="1"/>
  <c r="I37" i="5"/>
  <c r="G37" i="6" s="1"/>
  <c r="I41" i="5"/>
  <c r="I43" i="5"/>
  <c r="G43" i="6" s="1"/>
  <c r="I43" i="6" s="1"/>
  <c r="G43" i="7" s="1"/>
  <c r="I43" i="7" s="1"/>
  <c r="G43" i="8" s="1"/>
  <c r="I43" i="8" s="1"/>
  <c r="G43" i="9" s="1"/>
  <c r="I43" i="9" s="1"/>
  <c r="G43" i="10" s="1"/>
  <c r="I43" i="10" s="1"/>
  <c r="G43" i="11" s="1"/>
  <c r="I43" i="11" s="1"/>
  <c r="G43" i="12" s="1"/>
  <c r="I43" i="12" s="1"/>
  <c r="G43" i="13" s="1"/>
  <c r="I43" i="13" s="1"/>
  <c r="G43" i="14" s="1"/>
  <c r="I43" i="14" s="1"/>
  <c r="G43" i="15" s="1"/>
  <c r="I43" i="15" s="1"/>
  <c r="G43" i="16" s="1"/>
  <c r="I43" i="16" s="1"/>
  <c r="BD16" i="16" s="1"/>
  <c r="I44" i="5"/>
  <c r="G44" i="6" s="1"/>
  <c r="I44" i="6" s="1"/>
  <c r="G44" i="7" s="1"/>
  <c r="I44" i="7" s="1"/>
  <c r="I46" i="5"/>
  <c r="I47" i="5"/>
  <c r="G47" i="6" s="1"/>
  <c r="I47" i="6" s="1"/>
  <c r="G47" i="7" s="1"/>
  <c r="I47" i="7" s="1"/>
  <c r="G47" i="8" s="1"/>
  <c r="I47" i="8" s="1"/>
  <c r="G47" i="9" s="1"/>
  <c r="I47" i="9" s="1"/>
  <c r="G47" i="10" s="1"/>
  <c r="I47" i="10" s="1"/>
  <c r="G47" i="11" s="1"/>
  <c r="I47" i="11" s="1"/>
  <c r="G47" i="12" s="1"/>
  <c r="I47" i="12" s="1"/>
  <c r="G47" i="13" s="1"/>
  <c r="I47" i="13" s="1"/>
  <c r="G47" i="14" s="1"/>
  <c r="I47" i="14" s="1"/>
  <c r="G47" i="15" s="1"/>
  <c r="I47" i="15" s="1"/>
  <c r="G47" i="16" s="1"/>
  <c r="I47" i="16" s="1"/>
  <c r="I49" i="5"/>
  <c r="G49" i="6" s="1"/>
  <c r="I49" i="6" s="1"/>
  <c r="G49" i="7" s="1"/>
  <c r="I49" i="7" s="1"/>
  <c r="G49" i="8" s="1"/>
  <c r="I49" i="8" s="1"/>
  <c r="G49" i="9" s="1"/>
  <c r="I49" i="9" s="1"/>
  <c r="G49" i="10" s="1"/>
  <c r="I49" i="10" s="1"/>
  <c r="G49" i="11" s="1"/>
  <c r="I49" i="11" s="1"/>
  <c r="G49" i="12" s="1"/>
  <c r="I49" i="12" s="1"/>
  <c r="G49" i="13" s="1"/>
  <c r="I49" i="13" s="1"/>
  <c r="G49" i="14" s="1"/>
  <c r="I49" i="14" s="1"/>
  <c r="G49" i="15" s="1"/>
  <c r="I49" i="15" s="1"/>
  <c r="G49" i="16" s="1"/>
  <c r="I49" i="16" s="1"/>
  <c r="I50" i="5"/>
  <c r="G50" i="6" s="1"/>
  <c r="I50" i="6" s="1"/>
  <c r="I52" i="5"/>
  <c r="I53" i="5"/>
  <c r="G53" i="6" s="1"/>
  <c r="I53" i="6" s="1"/>
  <c r="G53" i="7" s="1"/>
  <c r="I53" i="7" s="1"/>
  <c r="G53" i="8" s="1"/>
  <c r="I53" i="8" s="1"/>
  <c r="G53" i="9" s="1"/>
  <c r="I53" i="9" s="1"/>
  <c r="G53" i="10" s="1"/>
  <c r="I53" i="10" s="1"/>
  <c r="G53" i="11" s="1"/>
  <c r="I53" i="11" s="1"/>
  <c r="G53" i="12" s="1"/>
  <c r="I53" i="12" s="1"/>
  <c r="G53" i="13" s="1"/>
  <c r="I53" i="13" s="1"/>
  <c r="G53" i="14" s="1"/>
  <c r="I53" i="14" s="1"/>
  <c r="G53" i="15" s="1"/>
  <c r="I53" i="15" s="1"/>
  <c r="G53" i="16" s="1"/>
  <c r="I53" i="16" s="1"/>
  <c r="I55" i="5"/>
  <c r="G55" i="6" s="1"/>
  <c r="I55" i="6" s="1"/>
  <c r="G55" i="7" s="1"/>
  <c r="I55" i="7" s="1"/>
  <c r="G55" i="8" s="1"/>
  <c r="I56" i="5"/>
  <c r="G56" i="6" s="1"/>
  <c r="I58" i="5"/>
  <c r="I59" i="5"/>
  <c r="G59" i="6" s="1"/>
  <c r="I59" i="6" s="1"/>
  <c r="G59" i="7" s="1"/>
  <c r="I59" i="7" s="1"/>
  <c r="G59" i="8" s="1"/>
  <c r="I59" i="8" s="1"/>
  <c r="I61" i="5"/>
  <c r="I62" i="5"/>
  <c r="G62" i="6" s="1"/>
  <c r="I62" i="6" s="1"/>
  <c r="G62" i="7" s="1"/>
  <c r="I62" i="7" s="1"/>
  <c r="G62" i="8" s="1"/>
  <c r="I62" i="8" s="1"/>
  <c r="G62" i="9" s="1"/>
  <c r="I62" i="9" s="1"/>
  <c r="G62" i="10" s="1"/>
  <c r="I62" i="10" s="1"/>
  <c r="G62" i="11" s="1"/>
  <c r="I62" i="11" s="1"/>
  <c r="G62" i="12" s="1"/>
  <c r="I62" i="12" s="1"/>
  <c r="G62" i="13" s="1"/>
  <c r="I62" i="13" s="1"/>
  <c r="G62" i="14" s="1"/>
  <c r="I62" i="14" s="1"/>
  <c r="G62" i="15" s="1"/>
  <c r="I62" i="15" s="1"/>
  <c r="G62" i="16" s="1"/>
  <c r="I62" i="16" s="1"/>
  <c r="I64" i="5"/>
  <c r="I65" i="5"/>
  <c r="I67" i="5"/>
  <c r="I68" i="5"/>
  <c r="G68" i="6" s="1"/>
  <c r="I70" i="5"/>
  <c r="I71" i="5"/>
  <c r="G71" i="6" s="1"/>
  <c r="I71" i="6" s="1"/>
  <c r="G71" i="7" s="1"/>
  <c r="I71" i="7" s="1"/>
  <c r="G71" i="8" s="1"/>
  <c r="I71" i="8" s="1"/>
  <c r="G71" i="9" s="1"/>
  <c r="I71" i="9" s="1"/>
  <c r="G71" i="10" s="1"/>
  <c r="I71" i="10" s="1"/>
  <c r="G71" i="11" s="1"/>
  <c r="I73" i="5"/>
  <c r="I74" i="5"/>
  <c r="G74" i="6" s="1"/>
  <c r="I76" i="5"/>
  <c r="G76" i="6" s="1"/>
  <c r="I77" i="5"/>
  <c r="I79" i="5"/>
  <c r="G79" i="6" s="1"/>
  <c r="I80" i="5"/>
  <c r="G80" i="6" s="1"/>
  <c r="I80" i="6" s="1"/>
  <c r="G80" i="7" s="1"/>
  <c r="I80" i="7" s="1"/>
  <c r="G80" i="8" s="1"/>
  <c r="I80" i="8" s="1"/>
  <c r="I82" i="5"/>
  <c r="G82" i="6" s="1"/>
  <c r="I83" i="5"/>
  <c r="AA17" i="5"/>
  <c r="AA18" i="5"/>
  <c r="Y18" i="6" s="1"/>
  <c r="AA18" i="6" s="1"/>
  <c r="Y18" i="7" s="1"/>
  <c r="AA18" i="7" s="1"/>
  <c r="Y18" i="8" s="1"/>
  <c r="AA18" i="8" s="1"/>
  <c r="Y18" i="9" s="1"/>
  <c r="AA18" i="9" s="1"/>
  <c r="Y18" i="10" s="1"/>
  <c r="AA18" i="10" s="1"/>
  <c r="Y18" i="11" s="1"/>
  <c r="AA18" i="11" s="1"/>
  <c r="Y18" i="12" s="1"/>
  <c r="AA18" i="12" s="1"/>
  <c r="Y18" i="13" s="1"/>
  <c r="AA18" i="13" s="1"/>
  <c r="Y18" i="14" s="1"/>
  <c r="AA18" i="14" s="1"/>
  <c r="Y18" i="15" s="1"/>
  <c r="AA18" i="15" s="1"/>
  <c r="Y18" i="16" s="1"/>
  <c r="AA18" i="16" s="1"/>
  <c r="AA19" i="5"/>
  <c r="Y19" i="6" s="1"/>
  <c r="AA19" i="6" s="1"/>
  <c r="Y19" i="7" s="1"/>
  <c r="AA19" i="7" s="1"/>
  <c r="Y19" i="8" s="1"/>
  <c r="AA19" i="8" s="1"/>
  <c r="Y19" i="9" s="1"/>
  <c r="AA19" i="9" s="1"/>
  <c r="Y19" i="10" s="1"/>
  <c r="AA19" i="10" s="1"/>
  <c r="Y19" i="11" s="1"/>
  <c r="AA19" i="11" s="1"/>
  <c r="Y19" i="12" s="1"/>
  <c r="AA19" i="12" s="1"/>
  <c r="Y19" i="13" s="1"/>
  <c r="AA19" i="13" s="1"/>
  <c r="Y19" i="14" s="1"/>
  <c r="AA19" i="14" s="1"/>
  <c r="Y19" i="15" s="1"/>
  <c r="AA19" i="15" s="1"/>
  <c r="Y19" i="16" s="1"/>
  <c r="AA19" i="16" s="1"/>
  <c r="AA21" i="5"/>
  <c r="Y21" i="6" s="1"/>
  <c r="AA21" i="6" s="1"/>
  <c r="Y21" i="7" s="1"/>
  <c r="AA21" i="7" s="1"/>
  <c r="Y21" i="8" s="1"/>
  <c r="AA21" i="8" s="1"/>
  <c r="Y21" i="9" s="1"/>
  <c r="AA21" i="9" s="1"/>
  <c r="Y21" i="10" s="1"/>
  <c r="AA21" i="10" s="1"/>
  <c r="Y21" i="11" s="1"/>
  <c r="AA21" i="11" s="1"/>
  <c r="Y21" i="12" s="1"/>
  <c r="AA21" i="12" s="1"/>
  <c r="Y21" i="13" s="1"/>
  <c r="AA21" i="13" s="1"/>
  <c r="Y21" i="14" s="1"/>
  <c r="AA21" i="14" s="1"/>
  <c r="Y21" i="15" s="1"/>
  <c r="AA21" i="15" s="1"/>
  <c r="AA22" i="5"/>
  <c r="Y22" i="6" s="1"/>
  <c r="AA22" i="6" s="1"/>
  <c r="Y22" i="7" s="1"/>
  <c r="AA22" i="7" s="1"/>
  <c r="Y22" i="8" s="1"/>
  <c r="AA22" i="8" s="1"/>
  <c r="Y22" i="9" s="1"/>
  <c r="AA22" i="9" s="1"/>
  <c r="Y22" i="10" s="1"/>
  <c r="AA22" i="10" s="1"/>
  <c r="Y22" i="11" s="1"/>
  <c r="AA22" i="11" s="1"/>
  <c r="Y22" i="12" s="1"/>
  <c r="AA22" i="12" s="1"/>
  <c r="Y22" i="13" s="1"/>
  <c r="AA22" i="13" s="1"/>
  <c r="Y22" i="14" s="1"/>
  <c r="AA22" i="14" s="1"/>
  <c r="Y22" i="15" s="1"/>
  <c r="AA22" i="15" s="1"/>
  <c r="Y22" i="16" s="1"/>
  <c r="AA22" i="16" s="1"/>
  <c r="AA23" i="5"/>
  <c r="Y23" i="6" s="1"/>
  <c r="AA23" i="6" s="1"/>
  <c r="Y23" i="7" s="1"/>
  <c r="AA23" i="7" s="1"/>
  <c r="Y23" i="8" s="1"/>
  <c r="AA23" i="8" s="1"/>
  <c r="Y23" i="9" s="1"/>
  <c r="AA23" i="9" s="1"/>
  <c r="Y23" i="10" s="1"/>
  <c r="AA23" i="10" s="1"/>
  <c r="Y23" i="11" s="1"/>
  <c r="AA23" i="11" s="1"/>
  <c r="Y23" i="12" s="1"/>
  <c r="AA23" i="12" s="1"/>
  <c r="Y23" i="13" s="1"/>
  <c r="AA23" i="13" s="1"/>
  <c r="Y23" i="14" s="1"/>
  <c r="AA23" i="14" s="1"/>
  <c r="Y23" i="15" s="1"/>
  <c r="AA23" i="15" s="1"/>
  <c r="Y23" i="16" s="1"/>
  <c r="AA23" i="16" s="1"/>
  <c r="AA24" i="5"/>
  <c r="Y24" i="6" s="1"/>
  <c r="AA24" i="6" s="1"/>
  <c r="Y24" i="7" s="1"/>
  <c r="AA24" i="7" s="1"/>
  <c r="Y24" i="8" s="1"/>
  <c r="AA24" i="8" s="1"/>
  <c r="Y24" i="9" s="1"/>
  <c r="AA24" i="9" s="1"/>
  <c r="Y24" i="10" s="1"/>
  <c r="AA24" i="10" s="1"/>
  <c r="Y24" i="11" s="1"/>
  <c r="AA24" i="11" s="1"/>
  <c r="Y24" i="12" s="1"/>
  <c r="AA24" i="12" s="1"/>
  <c r="Y24" i="13" s="1"/>
  <c r="AA24" i="13" s="1"/>
  <c r="Y24" i="14" s="1"/>
  <c r="AA24" i="14" s="1"/>
  <c r="Y24" i="15" s="1"/>
  <c r="AA24" i="15" s="1"/>
  <c r="Y24" i="16" s="1"/>
  <c r="AA24" i="16" s="1"/>
  <c r="AA25" i="5"/>
  <c r="Y25" i="6" s="1"/>
  <c r="AA25" i="6" s="1"/>
  <c r="Y25" i="7" s="1"/>
  <c r="AA25" i="7" s="1"/>
  <c r="Y25" i="8" s="1"/>
  <c r="AA25" i="8" s="1"/>
  <c r="Y25" i="9" s="1"/>
  <c r="AA25" i="9" s="1"/>
  <c r="Y25" i="10" s="1"/>
  <c r="AA25" i="10" s="1"/>
  <c r="Y25" i="11" s="1"/>
  <c r="AA25" i="11" s="1"/>
  <c r="Y25" i="12" s="1"/>
  <c r="AA25" i="12" s="1"/>
  <c r="Y25" i="13" s="1"/>
  <c r="AA25" i="13" s="1"/>
  <c r="AA26" i="5"/>
  <c r="AA27" i="5"/>
  <c r="Y27" i="6" s="1"/>
  <c r="AA27" i="6" s="1"/>
  <c r="Y27" i="7" s="1"/>
  <c r="AA28" i="5"/>
  <c r="Y28" i="6" s="1"/>
  <c r="AA28" i="6" s="1"/>
  <c r="Y28" i="7" s="1"/>
  <c r="AA28" i="7" s="1"/>
  <c r="Y28" i="8" s="1"/>
  <c r="AA28" i="8" s="1"/>
  <c r="Y28" i="9" s="1"/>
  <c r="AA28" i="9" s="1"/>
  <c r="Y28" i="10" s="1"/>
  <c r="AA28" i="10" s="1"/>
  <c r="Y28" i="11" s="1"/>
  <c r="AA28" i="11" s="1"/>
  <c r="Y28" i="12" s="1"/>
  <c r="AA28" i="12" s="1"/>
  <c r="Y28" i="13" s="1"/>
  <c r="AA28" i="13" s="1"/>
  <c r="Y28" i="14" s="1"/>
  <c r="AA28" i="14" s="1"/>
  <c r="Y28" i="15" s="1"/>
  <c r="AA28" i="15" s="1"/>
  <c r="Y28" i="16" s="1"/>
  <c r="AA28" i="16" s="1"/>
  <c r="AA29" i="5"/>
  <c r="Y29" i="6" s="1"/>
  <c r="AA29" i="6" s="1"/>
  <c r="Y29" i="7" s="1"/>
  <c r="AA29" i="7" s="1"/>
  <c r="Y29" i="8" s="1"/>
  <c r="AA29" i="8" s="1"/>
  <c r="Y29" i="9" s="1"/>
  <c r="AA29" i="9" s="1"/>
  <c r="Y29" i="10" s="1"/>
  <c r="AA29" i="10" s="1"/>
  <c r="Y29" i="11" s="1"/>
  <c r="AA29" i="11" s="1"/>
  <c r="Y29" i="12" s="1"/>
  <c r="AA29" i="12" s="1"/>
  <c r="Y29" i="13" s="1"/>
  <c r="AA29" i="13" s="1"/>
  <c r="Y29" i="14" s="1"/>
  <c r="AA29" i="14" s="1"/>
  <c r="Y29" i="15" s="1"/>
  <c r="AA29" i="15" s="1"/>
  <c r="Y29" i="16" s="1"/>
  <c r="AA29" i="16" s="1"/>
  <c r="AA30" i="5"/>
  <c r="Y30" i="6" s="1"/>
  <c r="AA30" i="6" s="1"/>
  <c r="Y30" i="7" s="1"/>
  <c r="AA30" i="7" s="1"/>
  <c r="Y30" i="8" s="1"/>
  <c r="AA30" i="8" s="1"/>
  <c r="Y30" i="9" s="1"/>
  <c r="AA30" i="9" s="1"/>
  <c r="Y30" i="10" s="1"/>
  <c r="AA30" i="10" s="1"/>
  <c r="Y30" i="11" s="1"/>
  <c r="AA30" i="11" s="1"/>
  <c r="Y30" i="12" s="1"/>
  <c r="AA30" i="12" s="1"/>
  <c r="Y30" i="13" s="1"/>
  <c r="AA30" i="13" s="1"/>
  <c r="Y30" i="14" s="1"/>
  <c r="AA30" i="14" s="1"/>
  <c r="Y30" i="15" s="1"/>
  <c r="AA30" i="15" s="1"/>
  <c r="Y30" i="16" s="1"/>
  <c r="AA30" i="16" s="1"/>
  <c r="AA31" i="5"/>
  <c r="Y31" i="6" s="1"/>
  <c r="AA31" i="6" s="1"/>
  <c r="Y31" i="7" s="1"/>
  <c r="AA31" i="7" s="1"/>
  <c r="Y31" i="8" s="1"/>
  <c r="AA31" i="8" s="1"/>
  <c r="Y31" i="9" s="1"/>
  <c r="AA31" i="9" s="1"/>
  <c r="Y31" i="10" s="1"/>
  <c r="AA31" i="10" s="1"/>
  <c r="Y31" i="11" s="1"/>
  <c r="AA31" i="11" s="1"/>
  <c r="Y31" i="12" s="1"/>
  <c r="AA31" i="12" s="1"/>
  <c r="Y31" i="13" s="1"/>
  <c r="AA31" i="13" s="1"/>
  <c r="AA32" i="5"/>
  <c r="Y32" i="6" s="1"/>
  <c r="AA32" i="6" s="1"/>
  <c r="Y32" i="7" s="1"/>
  <c r="AA32" i="7" s="1"/>
  <c r="Y32" i="8" s="1"/>
  <c r="AA32" i="8" s="1"/>
  <c r="Y32" i="9" s="1"/>
  <c r="AA32" i="9" s="1"/>
  <c r="Y32" i="10" s="1"/>
  <c r="AA32" i="10" s="1"/>
  <c r="Y32" i="11" s="1"/>
  <c r="AA32" i="11" s="1"/>
  <c r="Y32" i="12" s="1"/>
  <c r="AA32" i="12" s="1"/>
  <c r="Y32" i="13" s="1"/>
  <c r="AA32" i="13" s="1"/>
  <c r="Y32" i="14" s="1"/>
  <c r="AA32" i="14" s="1"/>
  <c r="Y32" i="15" s="1"/>
  <c r="AA32" i="15" s="1"/>
  <c r="Y32" i="16" s="1"/>
  <c r="AA32" i="16" s="1"/>
  <c r="AA33" i="5"/>
  <c r="Y33" i="6" s="1"/>
  <c r="AA33" i="6" s="1"/>
  <c r="Y33" i="7" s="1"/>
  <c r="AA33" i="7" s="1"/>
  <c r="Y33" i="8" s="1"/>
  <c r="AA33" i="8" s="1"/>
  <c r="Y33" i="9" s="1"/>
  <c r="AA33" i="9" s="1"/>
  <c r="Y33" i="10" s="1"/>
  <c r="AA33" i="10" s="1"/>
  <c r="Y33" i="11" s="1"/>
  <c r="AA33" i="11" s="1"/>
  <c r="Y33" i="12" s="1"/>
  <c r="AA33" i="12" s="1"/>
  <c r="Y33" i="13" s="1"/>
  <c r="AA33" i="13" s="1"/>
  <c r="Y33" i="14" s="1"/>
  <c r="AA33" i="14" s="1"/>
  <c r="Y33" i="15" s="1"/>
  <c r="AA33" i="15" s="1"/>
  <c r="Y33" i="16" s="1"/>
  <c r="AA33" i="16" s="1"/>
  <c r="AA36" i="5"/>
  <c r="Y36" i="6" s="1"/>
  <c r="AA36" i="6" s="1"/>
  <c r="Y36" i="7" s="1"/>
  <c r="AA36" i="7" s="1"/>
  <c r="Y36" i="8" s="1"/>
  <c r="AA36" i="8" s="1"/>
  <c r="Y36" i="9" s="1"/>
  <c r="AA36" i="9" s="1"/>
  <c r="Y36" i="10" s="1"/>
  <c r="AA36" i="10" s="1"/>
  <c r="Y36" i="11" s="1"/>
  <c r="AA36" i="11" s="1"/>
  <c r="Y36" i="12" s="1"/>
  <c r="AA36" i="12" s="1"/>
  <c r="Y36" i="13" s="1"/>
  <c r="AA36" i="13" s="1"/>
  <c r="Y36" i="14" s="1"/>
  <c r="AA36" i="14" s="1"/>
  <c r="Y36" i="15" s="1"/>
  <c r="AA36" i="15" s="1"/>
  <c r="Y36" i="16" s="1"/>
  <c r="AA36" i="16" s="1"/>
  <c r="AA37" i="5"/>
  <c r="Y37" i="6" s="1"/>
  <c r="AA37" i="6" s="1"/>
  <c r="Y37" i="7" s="1"/>
  <c r="AA37" i="7" s="1"/>
  <c r="Y37" i="8" s="1"/>
  <c r="AA37" i="8" s="1"/>
  <c r="Y37" i="9" s="1"/>
  <c r="AA37" i="9" s="1"/>
  <c r="Y37" i="10" s="1"/>
  <c r="AA37" i="10" s="1"/>
  <c r="Y37" i="11" s="1"/>
  <c r="AA37" i="11" s="1"/>
  <c r="Y37" i="12" s="1"/>
  <c r="AA37" i="12" s="1"/>
  <c r="Y37" i="13" s="1"/>
  <c r="AA37" i="13" s="1"/>
  <c r="Y37" i="14" s="1"/>
  <c r="AA37" i="14" s="1"/>
  <c r="Y37" i="15" s="1"/>
  <c r="AA37" i="15" s="1"/>
  <c r="Y37" i="16" s="1"/>
  <c r="AA37" i="16" s="1"/>
  <c r="AA38" i="5"/>
  <c r="AA39" i="5"/>
  <c r="Y39" i="6" s="1"/>
  <c r="AA39" i="6" s="1"/>
  <c r="Y39" i="7" s="1"/>
  <c r="AA39" i="7" s="1"/>
  <c r="Y39" i="8" s="1"/>
  <c r="AA39" i="8" s="1"/>
  <c r="Y39" i="9" s="1"/>
  <c r="AA39" i="9" s="1"/>
  <c r="Y39" i="10" s="1"/>
  <c r="AA39" i="10" s="1"/>
  <c r="Y39" i="11" s="1"/>
  <c r="AA39" i="11" s="1"/>
  <c r="Y39" i="12" s="1"/>
  <c r="AA39" i="12" s="1"/>
  <c r="Y39" i="13" s="1"/>
  <c r="AA39" i="13" s="1"/>
  <c r="Y39" i="14" s="1"/>
  <c r="AA39" i="14" s="1"/>
  <c r="Y39" i="15" s="1"/>
  <c r="AA39" i="15" s="1"/>
  <c r="Y39" i="16" s="1"/>
  <c r="AA39" i="16" s="1"/>
  <c r="AA40" i="5"/>
  <c r="Y40" i="6" s="1"/>
  <c r="AA40" i="6" s="1"/>
  <c r="Y40" i="7" s="1"/>
  <c r="AA41" i="5"/>
  <c r="Y41" i="6" s="1"/>
  <c r="AA41" i="6" s="1"/>
  <c r="Y41" i="7" s="1"/>
  <c r="AA41" i="7" s="1"/>
  <c r="Y41" i="8" s="1"/>
  <c r="AA41" i="8" s="1"/>
  <c r="Y41" i="9" s="1"/>
  <c r="AA41" i="9" s="1"/>
  <c r="Y41" i="10" s="1"/>
  <c r="AA41" i="10" s="1"/>
  <c r="Y41" i="11" s="1"/>
  <c r="AA41" i="11" s="1"/>
  <c r="Y41" i="12" s="1"/>
  <c r="AA41" i="12" s="1"/>
  <c r="Y41" i="13" s="1"/>
  <c r="AA41" i="13" s="1"/>
  <c r="Y41" i="14" s="1"/>
  <c r="AA41" i="14" s="1"/>
  <c r="Y41" i="15" s="1"/>
  <c r="AA41" i="15" s="1"/>
  <c r="Y41" i="16" s="1"/>
  <c r="AA41" i="16" s="1"/>
  <c r="AA45" i="5"/>
  <c r="Y45" i="6" s="1"/>
  <c r="AA45" i="6" s="1"/>
  <c r="Y45" i="7" s="1"/>
  <c r="AA45" i="7" s="1"/>
  <c r="Y45" i="8" s="1"/>
  <c r="AA45" i="8" s="1"/>
  <c r="Y45" i="9" s="1"/>
  <c r="AA45" i="9" s="1"/>
  <c r="Y45" i="10" s="1"/>
  <c r="AA45" i="10" s="1"/>
  <c r="Y45" i="11" s="1"/>
  <c r="AA45" i="11" s="1"/>
  <c r="Y45" i="12" s="1"/>
  <c r="AA45" i="12" s="1"/>
  <c r="Y45" i="13" s="1"/>
  <c r="AA45" i="13" s="1"/>
  <c r="Y45" i="14" s="1"/>
  <c r="AA45" i="14" s="1"/>
  <c r="Y45" i="15" s="1"/>
  <c r="AA45" i="15" s="1"/>
  <c r="Y45" i="16" s="1"/>
  <c r="AA45" i="16" s="1"/>
  <c r="AA46" i="5"/>
  <c r="AA47" i="5"/>
  <c r="Y47" i="6" s="1"/>
  <c r="AA47" i="6" s="1"/>
  <c r="Y47" i="7" s="1"/>
  <c r="AA47" i="7" s="1"/>
  <c r="Y47" i="8" s="1"/>
  <c r="AA47" i="8" s="1"/>
  <c r="Y47" i="9" s="1"/>
  <c r="AA47" i="9" s="1"/>
  <c r="Y47" i="10" s="1"/>
  <c r="AA47" i="10" s="1"/>
  <c r="Y47" i="11" s="1"/>
  <c r="AA47" i="11" s="1"/>
  <c r="Y47" i="12" s="1"/>
  <c r="AA47" i="12" s="1"/>
  <c r="Y47" i="13" s="1"/>
  <c r="AA48" i="5"/>
  <c r="Y48" i="6" s="1"/>
  <c r="AA48" i="6" s="1"/>
  <c r="Y48" i="7" s="1"/>
  <c r="AA48" i="7" s="1"/>
  <c r="Y48" i="8" s="1"/>
  <c r="AA48" i="8" s="1"/>
  <c r="Y48" i="9" s="1"/>
  <c r="AA48" i="9" s="1"/>
  <c r="Y48" i="10" s="1"/>
  <c r="AA48" i="10" s="1"/>
  <c r="Y48" i="11" s="1"/>
  <c r="AA48" i="11" s="1"/>
  <c r="Y48" i="12" s="1"/>
  <c r="AA48" i="12" s="1"/>
  <c r="Y48" i="13" s="1"/>
  <c r="AA48" i="13" s="1"/>
  <c r="Y48" i="14" s="1"/>
  <c r="AA48" i="14" s="1"/>
  <c r="Y48" i="15" s="1"/>
  <c r="AA48" i="15" s="1"/>
  <c r="Y48" i="16" s="1"/>
  <c r="AA48" i="16" s="1"/>
  <c r="AA50" i="5"/>
  <c r="Y50" i="6" s="1"/>
  <c r="AA50" i="6" s="1"/>
  <c r="Y50" i="7" s="1"/>
  <c r="AA50" i="7" s="1"/>
  <c r="Y50" i="8" s="1"/>
  <c r="AA50" i="8" s="1"/>
  <c r="Y50" i="9" s="1"/>
  <c r="AA50" i="9" s="1"/>
  <c r="Y50" i="10" s="1"/>
  <c r="AA50" i="10" s="1"/>
  <c r="Y50" i="11" s="1"/>
  <c r="AA50" i="11" s="1"/>
  <c r="Y50" i="12" s="1"/>
  <c r="AA50" i="12" s="1"/>
  <c r="Y50" i="13" s="1"/>
  <c r="AA50" i="13" s="1"/>
  <c r="Y50" i="14" s="1"/>
  <c r="AA50" i="14" s="1"/>
  <c r="Y50" i="15" s="1"/>
  <c r="AA50" i="15" s="1"/>
  <c r="Y50" i="16" s="1"/>
  <c r="AA50" i="16" s="1"/>
  <c r="AA51" i="5"/>
  <c r="Y51" i="6" s="1"/>
  <c r="AA51" i="6" s="1"/>
  <c r="Y51" i="7" s="1"/>
  <c r="AA51" i="7" s="1"/>
  <c r="AA52" i="5"/>
  <c r="AA53" i="5"/>
  <c r="Y53" i="6" s="1"/>
  <c r="AA53" i="6" s="1"/>
  <c r="Y53" i="7" s="1"/>
  <c r="AA53" i="7" s="1"/>
  <c r="Y53" i="8" s="1"/>
  <c r="AA53" i="8" s="1"/>
  <c r="Y53" i="9" s="1"/>
  <c r="AA53" i="9" s="1"/>
  <c r="Y53" i="10" s="1"/>
  <c r="AA53" i="10" s="1"/>
  <c r="Y53" i="11" s="1"/>
  <c r="AA53" i="11" s="1"/>
  <c r="Y53" i="12" s="1"/>
  <c r="AA53" i="12" s="1"/>
  <c r="Y53" i="13" s="1"/>
  <c r="AA53" i="13" s="1"/>
  <c r="Y53" i="14" s="1"/>
  <c r="AA53" i="14" s="1"/>
  <c r="AA54" i="5"/>
  <c r="Y54" i="6" s="1"/>
  <c r="AA54" i="6" s="1"/>
  <c r="Y54" i="7" s="1"/>
  <c r="AA54" i="7" s="1"/>
  <c r="Y54" i="8" s="1"/>
  <c r="AA54" i="8" s="1"/>
  <c r="Y54" i="9" s="1"/>
  <c r="AA54" i="9" s="1"/>
  <c r="Y54" i="10" s="1"/>
  <c r="AA54" i="10" s="1"/>
  <c r="Y54" i="11" s="1"/>
  <c r="AA54" i="11" s="1"/>
  <c r="Y54" i="12" s="1"/>
  <c r="AA54" i="12" s="1"/>
  <c r="Y54" i="13" s="1"/>
  <c r="AA54" i="13" s="1"/>
  <c r="Y54" i="14" s="1"/>
  <c r="AA54" i="14" s="1"/>
  <c r="Y54" i="15" s="1"/>
  <c r="AA54" i="15" s="1"/>
  <c r="Y54" i="16" s="1"/>
  <c r="AA54" i="16" s="1"/>
  <c r="AA55" i="5"/>
  <c r="Y55" i="6" s="1"/>
  <c r="AA55" i="6" s="1"/>
  <c r="Y55" i="7" s="1"/>
  <c r="AA55" i="7" s="1"/>
  <c r="Y55" i="8" s="1"/>
  <c r="AA55" i="8" s="1"/>
  <c r="Y55" i="9" s="1"/>
  <c r="AA55" i="9" s="1"/>
  <c r="Y55" i="10" s="1"/>
  <c r="AA55" i="10" s="1"/>
  <c r="Y55" i="11" s="1"/>
  <c r="AA55" i="11" s="1"/>
  <c r="Y55" i="12" s="1"/>
  <c r="AA55" i="12" s="1"/>
  <c r="Y55" i="13" s="1"/>
  <c r="AA55" i="13" s="1"/>
  <c r="Y55" i="14" s="1"/>
  <c r="AA55" i="14" s="1"/>
  <c r="Y55" i="15" s="1"/>
  <c r="AA55" i="15" s="1"/>
  <c r="Y55" i="16" s="1"/>
  <c r="AA55" i="16" s="1"/>
  <c r="AA59" i="5"/>
  <c r="Y59" i="6" s="1"/>
  <c r="AA60" i="5"/>
  <c r="Y60" i="6" s="1"/>
  <c r="AA60" i="6" s="1"/>
  <c r="Y60" i="7" s="1"/>
  <c r="AA60" i="7" s="1"/>
  <c r="Y60" i="8" s="1"/>
  <c r="AA60" i="8" s="1"/>
  <c r="Y60" i="9" s="1"/>
  <c r="AA60" i="9" s="1"/>
  <c r="Y60" i="10" s="1"/>
  <c r="AA60" i="10" s="1"/>
  <c r="Y60" i="11" s="1"/>
  <c r="AA60" i="11" s="1"/>
  <c r="Y60" i="12" s="1"/>
  <c r="AA60" i="12" s="1"/>
  <c r="Y60" i="13" s="1"/>
  <c r="AA60" i="13" s="1"/>
  <c r="Y60" i="14" s="1"/>
  <c r="AA60" i="14" s="1"/>
  <c r="Y60" i="15" s="1"/>
  <c r="AA60" i="15" s="1"/>
  <c r="Y60" i="16" s="1"/>
  <c r="AA60" i="16" s="1"/>
  <c r="AA61" i="5"/>
  <c r="AA66" i="5"/>
  <c r="Y66" i="6" s="1"/>
  <c r="AA66" i="6" s="1"/>
  <c r="Y66" i="7" s="1"/>
  <c r="AA66" i="7" s="1"/>
  <c r="Y66" i="8" s="1"/>
  <c r="AA66" i="8" s="1"/>
  <c r="Y66" i="9" s="1"/>
  <c r="AA66" i="9" s="1"/>
  <c r="Y66" i="10" s="1"/>
  <c r="AA66" i="10" s="1"/>
  <c r="Y66" i="11" s="1"/>
  <c r="AA66" i="11" s="1"/>
  <c r="Y66" i="12" s="1"/>
  <c r="AA66" i="12" s="1"/>
  <c r="Y66" i="13" s="1"/>
  <c r="AA66" i="13" s="1"/>
  <c r="Y66" i="14" s="1"/>
  <c r="AA66" i="14" s="1"/>
  <c r="Y66" i="15" s="1"/>
  <c r="AA66" i="15" s="1"/>
  <c r="Y66" i="16" s="1"/>
  <c r="AA66" i="16" s="1"/>
  <c r="AA67" i="5"/>
  <c r="AA68" i="5"/>
  <c r="Y68" i="6" s="1"/>
  <c r="AA68" i="6" s="1"/>
  <c r="Y68" i="7" s="1"/>
  <c r="AA68" i="7" s="1"/>
  <c r="Y68" i="8" s="1"/>
  <c r="AA68" i="8" s="1"/>
  <c r="Y68" i="9" s="1"/>
  <c r="AA68" i="9" s="1"/>
  <c r="Y68" i="10" s="1"/>
  <c r="AA68" i="10" s="1"/>
  <c r="Y68" i="11" s="1"/>
  <c r="AA68" i="11" s="1"/>
  <c r="Y68" i="12" s="1"/>
  <c r="AA68" i="12" s="1"/>
  <c r="Y68" i="13" s="1"/>
  <c r="AA68" i="13" s="1"/>
  <c r="Y68" i="14" s="1"/>
  <c r="AA68" i="14" s="1"/>
  <c r="Y68" i="15" s="1"/>
  <c r="AA68" i="15" s="1"/>
  <c r="Y68" i="16" s="1"/>
  <c r="AA68" i="16" s="1"/>
  <c r="AA70" i="5"/>
  <c r="Y70" i="6" s="1"/>
  <c r="AA70" i="6" s="1"/>
  <c r="AA71" i="5"/>
  <c r="Y71" i="6" s="1"/>
  <c r="AA71" i="6" s="1"/>
  <c r="Y71" i="7" s="1"/>
  <c r="AA71" i="7" s="1"/>
  <c r="Y71" i="8" s="1"/>
  <c r="AA71" i="8" s="1"/>
  <c r="Y71" i="9" s="1"/>
  <c r="AA71" i="9" s="1"/>
  <c r="Y71" i="10" s="1"/>
  <c r="AA71" i="10" s="1"/>
  <c r="Y71" i="11" s="1"/>
  <c r="AA71" i="11" s="1"/>
  <c r="Y71" i="12" s="1"/>
  <c r="AA71" i="12" s="1"/>
  <c r="Y71" i="13" s="1"/>
  <c r="AA71" i="13" s="1"/>
  <c r="Y71" i="14" s="1"/>
  <c r="AA71" i="14" s="1"/>
  <c r="Y71" i="15" s="1"/>
  <c r="AA71" i="15" s="1"/>
  <c r="Y71" i="16" s="1"/>
  <c r="AA71" i="16" s="1"/>
  <c r="AA72" i="5"/>
  <c r="Y72" i="6" s="1"/>
  <c r="AA72" i="6" s="1"/>
  <c r="Y72" i="7" s="1"/>
  <c r="AA72" i="7" s="1"/>
  <c r="Y72" i="8" s="1"/>
  <c r="AA72" i="8" s="1"/>
  <c r="Y72" i="9" s="1"/>
  <c r="AA72" i="9" s="1"/>
  <c r="Y72" i="10" s="1"/>
  <c r="AA72" i="10" s="1"/>
  <c r="Y72" i="11" s="1"/>
  <c r="AA72" i="11" s="1"/>
  <c r="Y72" i="12" s="1"/>
  <c r="AA72" i="12" s="1"/>
  <c r="Y72" i="13" s="1"/>
  <c r="AA72" i="13" s="1"/>
  <c r="Y72" i="14" s="1"/>
  <c r="AA72" i="14" s="1"/>
  <c r="Y72" i="15" s="1"/>
  <c r="AA72" i="15" s="1"/>
  <c r="Y72" i="16" s="1"/>
  <c r="AA72" i="16" s="1"/>
  <c r="AA73" i="5"/>
  <c r="Y73" i="6" s="1"/>
  <c r="AA73" i="6" s="1"/>
  <c r="Y73" i="7" s="1"/>
  <c r="AA73" i="7" s="1"/>
  <c r="Y73" i="8" s="1"/>
  <c r="AA73" i="8" s="1"/>
  <c r="Y73" i="9" s="1"/>
  <c r="AA73" i="9" s="1"/>
  <c r="Y73" i="10" s="1"/>
  <c r="AA73" i="10" s="1"/>
  <c r="Y73" i="11" s="1"/>
  <c r="AA73" i="11" s="1"/>
  <c r="Y73" i="12" s="1"/>
  <c r="AA73" i="12" s="1"/>
  <c r="Y73" i="13" s="1"/>
  <c r="AA73" i="13" s="1"/>
  <c r="Y73" i="14" s="1"/>
  <c r="AA73" i="14" s="1"/>
  <c r="Y73" i="15" s="1"/>
  <c r="AA73" i="15" s="1"/>
  <c r="Y73" i="16" s="1"/>
  <c r="AA73" i="16" s="1"/>
  <c r="AA74" i="5"/>
  <c r="Y74" i="6" s="1"/>
  <c r="AA74" i="6" s="1"/>
  <c r="Y74" i="7" s="1"/>
  <c r="AA74" i="7" s="1"/>
  <c r="Y74" i="8" s="1"/>
  <c r="AA74" i="8" s="1"/>
  <c r="Y74" i="9" s="1"/>
  <c r="AA74" i="9" s="1"/>
  <c r="Y74" i="10" s="1"/>
  <c r="AA74" i="10" s="1"/>
  <c r="Y74" i="11" s="1"/>
  <c r="AA74" i="11" s="1"/>
  <c r="Y74" i="12" s="1"/>
  <c r="AA74" i="12" s="1"/>
  <c r="Y74" i="13" s="1"/>
  <c r="AA74" i="13" s="1"/>
  <c r="Y74" i="14" s="1"/>
  <c r="AA74" i="14" s="1"/>
  <c r="Y74" i="15" s="1"/>
  <c r="AA74" i="15" s="1"/>
  <c r="Y74" i="16" s="1"/>
  <c r="AA74" i="16" s="1"/>
  <c r="AA75" i="5"/>
  <c r="Y75" i="6" s="1"/>
  <c r="AA75" i="6" s="1"/>
  <c r="Y75" i="7" s="1"/>
  <c r="AA75" i="7" s="1"/>
  <c r="Y75" i="8" s="1"/>
  <c r="AA75" i="8" s="1"/>
  <c r="Y75" i="9" s="1"/>
  <c r="AA75" i="9" s="1"/>
  <c r="Y75" i="10" s="1"/>
  <c r="AA75" i="10" s="1"/>
  <c r="Y75" i="11" s="1"/>
  <c r="AA75" i="11" s="1"/>
  <c r="Y75" i="12" s="1"/>
  <c r="AA75" i="12" s="1"/>
  <c r="Y75" i="13" s="1"/>
  <c r="AA75" i="13" s="1"/>
  <c r="Y75" i="14" s="1"/>
  <c r="AA75" i="14" s="1"/>
  <c r="Y75" i="15" s="1"/>
  <c r="AA75" i="15" s="1"/>
  <c r="Y75" i="16" s="1"/>
  <c r="AA75" i="16" s="1"/>
  <c r="AA76" i="5"/>
  <c r="Y76" i="6" s="1"/>
  <c r="AA76" i="6" s="1"/>
  <c r="Y76" i="7" s="1"/>
  <c r="AA76" i="7" s="1"/>
  <c r="Y76" i="8" s="1"/>
  <c r="AA76" i="8" s="1"/>
  <c r="Y76" i="9" s="1"/>
  <c r="AA76" i="9" s="1"/>
  <c r="Y76" i="10" s="1"/>
  <c r="AA76" i="10" s="1"/>
  <c r="Y76" i="11" s="1"/>
  <c r="AA76" i="11" s="1"/>
  <c r="Y76" i="12" s="1"/>
  <c r="AA76" i="12" s="1"/>
  <c r="Y76" i="13" s="1"/>
  <c r="AA76" i="13" s="1"/>
  <c r="Y76" i="14" s="1"/>
  <c r="AA76" i="14" s="1"/>
  <c r="Y76" i="15" s="1"/>
  <c r="AA76" i="15" s="1"/>
  <c r="Y76" i="16" s="1"/>
  <c r="AA76" i="16" s="1"/>
  <c r="AA77" i="5"/>
  <c r="Y77" i="6" s="1"/>
  <c r="AA77" i="6" s="1"/>
  <c r="Y77" i="7" s="1"/>
  <c r="AA77" i="7" s="1"/>
  <c r="Y77" i="8" s="1"/>
  <c r="AA77" i="8" s="1"/>
  <c r="Y77" i="9" s="1"/>
  <c r="AA77" i="9" s="1"/>
  <c r="Y77" i="10" s="1"/>
  <c r="AA77" i="10" s="1"/>
  <c r="Y77" i="11" s="1"/>
  <c r="AA77" i="11" s="1"/>
  <c r="Y77" i="12" s="1"/>
  <c r="AA77" i="12" s="1"/>
  <c r="Y77" i="13" s="1"/>
  <c r="AA77" i="13" s="1"/>
  <c r="Y77" i="14" s="1"/>
  <c r="AA77" i="14" s="1"/>
  <c r="Y77" i="15" s="1"/>
  <c r="AA77" i="15" s="1"/>
  <c r="Y77" i="16" s="1"/>
  <c r="AA77" i="16" s="1"/>
  <c r="AA78" i="5"/>
  <c r="Y78" i="6" s="1"/>
  <c r="AA78" i="6" s="1"/>
  <c r="Y78" i="7" s="1"/>
  <c r="AA78" i="7" s="1"/>
  <c r="Y78" i="8" s="1"/>
  <c r="AA78" i="8" s="1"/>
  <c r="Y78" i="9" s="1"/>
  <c r="AA78" i="9" s="1"/>
  <c r="Y78" i="10" s="1"/>
  <c r="AA78" i="10" s="1"/>
  <c r="Y78" i="11" s="1"/>
  <c r="AA78" i="11" s="1"/>
  <c r="Y78" i="12" s="1"/>
  <c r="AA78" i="12" s="1"/>
  <c r="Y78" i="13" s="1"/>
  <c r="AA78" i="13" s="1"/>
  <c r="Y78" i="14" s="1"/>
  <c r="AA78" i="14" s="1"/>
  <c r="Y78" i="15" s="1"/>
  <c r="AA78" i="15" s="1"/>
  <c r="Y78" i="16" s="1"/>
  <c r="AA78" i="16" s="1"/>
  <c r="AA79" i="5"/>
  <c r="Y79" i="6" s="1"/>
  <c r="AA79" i="6" s="1"/>
  <c r="Y79" i="7" s="1"/>
  <c r="AA79" i="7" s="1"/>
  <c r="Y79" i="8" s="1"/>
  <c r="AA79" i="8" s="1"/>
  <c r="Y79" i="9" s="1"/>
  <c r="AA79" i="9" s="1"/>
  <c r="Y79" i="10" s="1"/>
  <c r="AA79" i="10" s="1"/>
  <c r="Y79" i="11" s="1"/>
  <c r="AA79" i="11" s="1"/>
  <c r="Y79" i="12" s="1"/>
  <c r="AA79" i="12" s="1"/>
  <c r="Y79" i="13" s="1"/>
  <c r="AA79" i="13" s="1"/>
  <c r="Y79" i="14" s="1"/>
  <c r="AA79" i="14" s="1"/>
  <c r="Y79" i="15" s="1"/>
  <c r="AA79" i="15" s="1"/>
  <c r="AA80" i="5"/>
  <c r="AA81" i="5"/>
  <c r="Y81" i="6" s="1"/>
  <c r="AA81" i="6" s="1"/>
  <c r="Y81" i="7" s="1"/>
  <c r="AA81" i="7" s="1"/>
  <c r="Y81" i="8" s="1"/>
  <c r="AA81" i="8" s="1"/>
  <c r="Y81" i="9" s="1"/>
  <c r="AA81" i="9" s="1"/>
  <c r="Y81" i="10" s="1"/>
  <c r="AA81" i="10" s="1"/>
  <c r="Y81" i="11" s="1"/>
  <c r="AA81" i="11" s="1"/>
  <c r="Y81" i="12" s="1"/>
  <c r="AA81" i="12" s="1"/>
  <c r="Y81" i="13" s="1"/>
  <c r="AA81" i="13" s="1"/>
  <c r="Y81" i="14" s="1"/>
  <c r="AA81" i="14" s="1"/>
  <c r="Y81" i="15" s="1"/>
  <c r="AA81" i="15" s="1"/>
  <c r="Y81" i="16" s="1"/>
  <c r="AA81" i="16" s="1"/>
  <c r="AA84" i="5"/>
  <c r="Y84" i="6" s="1"/>
  <c r="AA84" i="6" s="1"/>
  <c r="AA85" i="5"/>
  <c r="Y85" i="6" s="1"/>
  <c r="AA85" i="6" s="1"/>
  <c r="Y85" i="7" s="1"/>
  <c r="AA85" i="7" s="1"/>
  <c r="Y85" i="8" s="1"/>
  <c r="AA85" i="8" s="1"/>
  <c r="Y85" i="9" s="1"/>
  <c r="AA85" i="9" s="1"/>
  <c r="Y85" i="10" s="1"/>
  <c r="AA85" i="10" s="1"/>
  <c r="Y85" i="11" s="1"/>
  <c r="AA85" i="11" s="1"/>
  <c r="Y85" i="12" s="1"/>
  <c r="AA85" i="12" s="1"/>
  <c r="Y85" i="13" s="1"/>
  <c r="AA85" i="13" s="1"/>
  <c r="Y85" i="14" s="1"/>
  <c r="AA85" i="14" s="1"/>
  <c r="Y85" i="15" s="1"/>
  <c r="AA85" i="15" s="1"/>
  <c r="Y85" i="16" s="1"/>
  <c r="AA85" i="16" s="1"/>
  <c r="AA86" i="5"/>
  <c r="AA87" i="5"/>
  <c r="Y87" i="6" s="1"/>
  <c r="AA87" i="6" s="1"/>
  <c r="Y87" i="7" s="1"/>
  <c r="AA87" i="7" s="1"/>
  <c r="Y87" i="8" s="1"/>
  <c r="AA87" i="8" s="1"/>
  <c r="Y87" i="9" s="1"/>
  <c r="AA87" i="9" s="1"/>
  <c r="Y87" i="10" s="1"/>
  <c r="AA87" i="10" s="1"/>
  <c r="Y87" i="11" s="1"/>
  <c r="AA87" i="11" s="1"/>
  <c r="Y87" i="12" s="1"/>
  <c r="AA87" i="12" s="1"/>
  <c r="Y87" i="13" s="1"/>
  <c r="AA87" i="13" s="1"/>
  <c r="Y87" i="14" s="1"/>
  <c r="AA87" i="14" s="1"/>
  <c r="Y87" i="15" s="1"/>
  <c r="AA87" i="15" s="1"/>
  <c r="AA88" i="5"/>
  <c r="Y88" i="6" s="1"/>
  <c r="AA88" i="6" s="1"/>
  <c r="Y88" i="7" s="1"/>
  <c r="AA88" i="7" s="1"/>
  <c r="Y88" i="8" s="1"/>
  <c r="AA88" i="8" s="1"/>
  <c r="Y88" i="9" s="1"/>
  <c r="AA88" i="9" s="1"/>
  <c r="Y88" i="10" s="1"/>
  <c r="AA88" i="10" s="1"/>
  <c r="Y88" i="11" s="1"/>
  <c r="AA88" i="11" s="1"/>
  <c r="Y88" i="12" s="1"/>
  <c r="AA88" i="12" s="1"/>
  <c r="Y88" i="13" s="1"/>
  <c r="AA88" i="13" s="1"/>
  <c r="Y88" i="14" s="1"/>
  <c r="AA88" i="14" s="1"/>
  <c r="Y88" i="15" s="1"/>
  <c r="AA88" i="15" s="1"/>
  <c r="Y88" i="16" s="1"/>
  <c r="AA88" i="16" s="1"/>
  <c r="AA92" i="5"/>
  <c r="Y92" i="6" s="1"/>
  <c r="AA92" i="6" s="1"/>
  <c r="Y92" i="7" s="1"/>
  <c r="AA92" i="7" s="1"/>
  <c r="Y92" i="8" s="1"/>
  <c r="AA92" i="8" s="1"/>
  <c r="Y92" i="9" s="1"/>
  <c r="AA92" i="9" s="1"/>
  <c r="Y92" i="10" s="1"/>
  <c r="AA92" i="10" s="1"/>
  <c r="Y92" i="11" s="1"/>
  <c r="AA92" i="11" s="1"/>
  <c r="Y92" i="12" s="1"/>
  <c r="AA92" i="12" s="1"/>
  <c r="Y92" i="13" s="1"/>
  <c r="AA92" i="13" s="1"/>
  <c r="Y92" i="14" s="1"/>
  <c r="AA92" i="14" s="1"/>
  <c r="Y92" i="15" s="1"/>
  <c r="AA92" i="15" s="1"/>
  <c r="Y92" i="16" s="1"/>
  <c r="AA92" i="16" s="1"/>
  <c r="AA93" i="5"/>
  <c r="AA94" i="5"/>
  <c r="Y94" i="6" s="1"/>
  <c r="AA94" i="6" s="1"/>
  <c r="Y94" i="7" s="1"/>
  <c r="AA94" i="7" s="1"/>
  <c r="Y94" i="8" s="1"/>
  <c r="AA94" i="8" s="1"/>
  <c r="Y94" i="9" s="1"/>
  <c r="AA94" i="9" s="1"/>
  <c r="AA95" i="5"/>
  <c r="Y95" i="6" s="1"/>
  <c r="AA95" i="6" s="1"/>
  <c r="Y95" i="7" s="1"/>
  <c r="AA95" i="7" s="1"/>
  <c r="Y95" i="8" s="1"/>
  <c r="AA95" i="8" s="1"/>
  <c r="Y95" i="9" s="1"/>
  <c r="AA95" i="9" s="1"/>
  <c r="Y95" i="10" s="1"/>
  <c r="AA95" i="10" s="1"/>
  <c r="Y95" i="11" s="1"/>
  <c r="AA95" i="11" s="1"/>
  <c r="Y95" i="12" s="1"/>
  <c r="AA95" i="12" s="1"/>
  <c r="Y95" i="13" s="1"/>
  <c r="AA95" i="13" s="1"/>
  <c r="Y95" i="14" s="1"/>
  <c r="AA95" i="14" s="1"/>
  <c r="Y95" i="15" s="1"/>
  <c r="AA95" i="15" s="1"/>
  <c r="Y95" i="16" s="1"/>
  <c r="AA95" i="16" s="1"/>
  <c r="AA97" i="5"/>
  <c r="Y97" i="6" s="1"/>
  <c r="AA97" i="6" s="1"/>
  <c r="Y97" i="7" s="1"/>
  <c r="AA97" i="7" s="1"/>
  <c r="Y97" i="8" s="1"/>
  <c r="AA97" i="8" s="1"/>
  <c r="Y97" i="9" s="1"/>
  <c r="AA97" i="9" s="1"/>
  <c r="Y97" i="10" s="1"/>
  <c r="AA97" i="10" s="1"/>
  <c r="Y97" i="11" s="1"/>
  <c r="AA97" i="11" s="1"/>
  <c r="Y97" i="12" s="1"/>
  <c r="AA97" i="12" s="1"/>
  <c r="Y97" i="13" s="1"/>
  <c r="AA97" i="13" s="1"/>
  <c r="Y97" i="14" s="1"/>
  <c r="AA97" i="14" s="1"/>
  <c r="Y97" i="15" s="1"/>
  <c r="AA97" i="15" s="1"/>
  <c r="Y97" i="16" s="1"/>
  <c r="AA97" i="16" s="1"/>
  <c r="AA98" i="5"/>
  <c r="AA99" i="5"/>
  <c r="Y99" i="6" s="1"/>
  <c r="AA99" i="6" s="1"/>
  <c r="Y99" i="7" s="1"/>
  <c r="AA99" i="7" s="1"/>
  <c r="Y99" i="8" s="1"/>
  <c r="AA99" i="8" s="1"/>
  <c r="Y99" i="9" s="1"/>
  <c r="AA99" i="9" s="1"/>
  <c r="Y99" i="10" s="1"/>
  <c r="AA99" i="10" s="1"/>
  <c r="Y99" i="11" s="1"/>
  <c r="AA99" i="11" s="1"/>
  <c r="Y99" i="12" s="1"/>
  <c r="AA99" i="12" s="1"/>
  <c r="Y99" i="13" s="1"/>
  <c r="AA99" i="13" s="1"/>
  <c r="Y99" i="14" s="1"/>
  <c r="AA99" i="14" s="1"/>
  <c r="Y99" i="15" s="1"/>
  <c r="AA99" i="15" s="1"/>
  <c r="Y99" i="16" s="1"/>
  <c r="AA99" i="16" s="1"/>
  <c r="AA100" i="5"/>
  <c r="Y100" i="6" s="1"/>
  <c r="AA100" i="6" s="1"/>
  <c r="Y100" i="7" s="1"/>
  <c r="AA100" i="7" s="1"/>
  <c r="Y100" i="8" s="1"/>
  <c r="AA100" i="8" s="1"/>
  <c r="Y100" i="9" s="1"/>
  <c r="AA100" i="9" s="1"/>
  <c r="Y100" i="10" s="1"/>
  <c r="AA100" i="10" s="1"/>
  <c r="Y100" i="11" s="1"/>
  <c r="AA100" i="11" s="1"/>
  <c r="Y100" i="12" s="1"/>
  <c r="AA100" i="12" s="1"/>
  <c r="Y100" i="13" s="1"/>
  <c r="AA100" i="13" s="1"/>
  <c r="Y100" i="14" s="1"/>
  <c r="AA100" i="14" s="1"/>
  <c r="Y100" i="15" s="1"/>
  <c r="AA100" i="15" s="1"/>
  <c r="Y100" i="16" s="1"/>
  <c r="AA100" i="16" s="1"/>
  <c r="AA101" i="5"/>
  <c r="Y101" i="6" s="1"/>
  <c r="AA101" i="6" s="1"/>
  <c r="Y101" i="7" s="1"/>
  <c r="AA101" i="7" s="1"/>
  <c r="Y101" i="8" s="1"/>
  <c r="AA101" i="8" s="1"/>
  <c r="Y101" i="9" s="1"/>
  <c r="AA101" i="9" s="1"/>
  <c r="Y101" i="10" s="1"/>
  <c r="AA101" i="10" s="1"/>
  <c r="Y101" i="11" s="1"/>
  <c r="AA101" i="11" s="1"/>
  <c r="Y101" i="12" s="1"/>
  <c r="AA101" i="12" s="1"/>
  <c r="Y101" i="13" s="1"/>
  <c r="AA101" i="13" s="1"/>
  <c r="Y101" i="14" s="1"/>
  <c r="AA101" i="14" s="1"/>
  <c r="Y101" i="15" s="1"/>
  <c r="AA101" i="15" s="1"/>
  <c r="Y101" i="16" s="1"/>
  <c r="AA101" i="16" s="1"/>
  <c r="AA102" i="5"/>
  <c r="Y102" i="6" s="1"/>
  <c r="AA102" i="6" s="1"/>
  <c r="Y102" i="7" s="1"/>
  <c r="AA102" i="7" s="1"/>
  <c r="Y102" i="8" s="1"/>
  <c r="AA102" i="8" s="1"/>
  <c r="Y102" i="9" s="1"/>
  <c r="AA102" i="9" s="1"/>
  <c r="Y102" i="10" s="1"/>
  <c r="AA102" i="10" s="1"/>
  <c r="Y102" i="11" s="1"/>
  <c r="AA102" i="11" s="1"/>
  <c r="Y102" i="12" s="1"/>
  <c r="AA102" i="12" s="1"/>
  <c r="Y102" i="13" s="1"/>
  <c r="AA102" i="13" s="1"/>
  <c r="Y102" i="14" s="1"/>
  <c r="AA102" i="14" s="1"/>
  <c r="Y102" i="15" s="1"/>
  <c r="AA102" i="15" s="1"/>
  <c r="Y102" i="16" s="1"/>
  <c r="AA102" i="16" s="1"/>
  <c r="AA106" i="5"/>
  <c r="Y106" i="6" s="1"/>
  <c r="AA106" i="6" s="1"/>
  <c r="Y106" i="7" s="1"/>
  <c r="AA107" i="5"/>
  <c r="AA108" i="5"/>
  <c r="Y108" i="6" s="1"/>
  <c r="AA108" i="6" s="1"/>
  <c r="Y108" i="7" s="1"/>
  <c r="AA108" i="7" s="1"/>
  <c r="Y108" i="8" s="1"/>
  <c r="AA108" i="8" s="1"/>
  <c r="Y108" i="9" s="1"/>
  <c r="AA108" i="9" s="1"/>
  <c r="Y108" i="10" s="1"/>
  <c r="AA108" i="10" s="1"/>
  <c r="Y108" i="11" s="1"/>
  <c r="AA108" i="11" s="1"/>
  <c r="Y108" i="12" s="1"/>
  <c r="AA108" i="12" s="1"/>
  <c r="Y108" i="13" s="1"/>
  <c r="AA108" i="13" s="1"/>
  <c r="Y108" i="14" s="1"/>
  <c r="AA108" i="14" s="1"/>
  <c r="Y108" i="15" s="1"/>
  <c r="AA108" i="15" s="1"/>
  <c r="Y108" i="16" s="1"/>
  <c r="AA108" i="16" s="1"/>
  <c r="AA115" i="5"/>
  <c r="AA116" i="5"/>
  <c r="AA117" i="5"/>
  <c r="Y117" i="6" s="1"/>
  <c r="AA117" i="6" s="1"/>
  <c r="Y117" i="7" s="1"/>
  <c r="AA117" i="7" s="1"/>
  <c r="Y117" i="8" s="1"/>
  <c r="AA117" i="8" s="1"/>
  <c r="Y117" i="9" s="1"/>
  <c r="AA117" i="9" s="1"/>
  <c r="Y117" i="10" s="1"/>
  <c r="AA117" i="10" s="1"/>
  <c r="Y117" i="11" s="1"/>
  <c r="AA117" i="11" s="1"/>
  <c r="Y117" i="12" s="1"/>
  <c r="AA117" i="12" s="1"/>
  <c r="Y117" i="13" s="1"/>
  <c r="AA117" i="13" s="1"/>
  <c r="Y117" i="14" s="1"/>
  <c r="AA117" i="14" s="1"/>
  <c r="Y117" i="15" s="1"/>
  <c r="AA117" i="15" s="1"/>
  <c r="Y117" i="16" s="1"/>
  <c r="AA117" i="16" s="1"/>
  <c r="AA118" i="5"/>
  <c r="Y118" i="6" s="1"/>
  <c r="AA118" i="6" s="1"/>
  <c r="Y118" i="7" s="1"/>
  <c r="AA118" i="7" s="1"/>
  <c r="Y118" i="8" s="1"/>
  <c r="AA118" i="8" s="1"/>
  <c r="Y118" i="9" s="1"/>
  <c r="AA118" i="9" s="1"/>
  <c r="Y118" i="10" s="1"/>
  <c r="AA118" i="10" s="1"/>
  <c r="Y118" i="11" s="1"/>
  <c r="AA118" i="11" s="1"/>
  <c r="Y118" i="12" s="1"/>
  <c r="AA118" i="12" s="1"/>
  <c r="Y118" i="13" s="1"/>
  <c r="AA118" i="13" s="1"/>
  <c r="Y118" i="14" s="1"/>
  <c r="AA118" i="14" s="1"/>
  <c r="Y118" i="15" s="1"/>
  <c r="AA118" i="15" s="1"/>
  <c r="Y118" i="16" s="1"/>
  <c r="AA118" i="16" s="1"/>
  <c r="AA119" i="5"/>
  <c r="Y119" i="6" s="1"/>
  <c r="AA119" i="6" s="1"/>
  <c r="Y119" i="7" s="1"/>
  <c r="AA119" i="7" s="1"/>
  <c r="Y119" i="8" s="1"/>
  <c r="AA119" i="8" s="1"/>
  <c r="Y119" i="9" s="1"/>
  <c r="AA119" i="9" s="1"/>
  <c r="Y119" i="10" s="1"/>
  <c r="AA119" i="10" s="1"/>
  <c r="Y119" i="11" s="1"/>
  <c r="AA119" i="11" s="1"/>
  <c r="Y119" i="12" s="1"/>
  <c r="AA119" i="12" s="1"/>
  <c r="Y119" i="13" s="1"/>
  <c r="AA119" i="13" s="1"/>
  <c r="Y119" i="14" s="1"/>
  <c r="AA119" i="14" s="1"/>
  <c r="Y119" i="15" s="1"/>
  <c r="AA119" i="15" s="1"/>
  <c r="Y119" i="16" s="1"/>
  <c r="AA119" i="16" s="1"/>
  <c r="AA120" i="5"/>
  <c r="Y120" i="6" s="1"/>
  <c r="AA120" i="6" s="1"/>
  <c r="Y120" i="7" s="1"/>
  <c r="AA120" i="7" s="1"/>
  <c r="Y120" i="8" s="1"/>
  <c r="AA120" i="8" s="1"/>
  <c r="Y120" i="9" s="1"/>
  <c r="AA120" i="9" s="1"/>
  <c r="Y120" i="10" s="1"/>
  <c r="AA120" i="10" s="1"/>
  <c r="Y120" i="11" s="1"/>
  <c r="AA120" i="11" s="1"/>
  <c r="Y120" i="12" s="1"/>
  <c r="AA120" i="12" s="1"/>
  <c r="Y120" i="13" s="1"/>
  <c r="AA120" i="13" s="1"/>
  <c r="Y120" i="14" s="1"/>
  <c r="AA120" i="14" s="1"/>
  <c r="Y120" i="15" s="1"/>
  <c r="AA120" i="15" s="1"/>
  <c r="Y120" i="16" s="1"/>
  <c r="AA120" i="16" s="1"/>
  <c r="AA121" i="5"/>
  <c r="Y121" i="6" s="1"/>
  <c r="AA121" i="6" s="1"/>
  <c r="Y121" i="7" s="1"/>
  <c r="AA121" i="7" s="1"/>
  <c r="Y121" i="8" s="1"/>
  <c r="AA121" i="8" s="1"/>
  <c r="Y121" i="9" s="1"/>
  <c r="AA121" i="9" s="1"/>
  <c r="Y121" i="10" s="1"/>
  <c r="AA121" i="10" s="1"/>
  <c r="Y121" i="11" s="1"/>
  <c r="AA121" i="11" s="1"/>
  <c r="Y121" i="12" s="1"/>
  <c r="AA121" i="12" s="1"/>
  <c r="Y121" i="13" s="1"/>
  <c r="AA121" i="13" s="1"/>
  <c r="Y121" i="14" s="1"/>
  <c r="AA121" i="14" s="1"/>
  <c r="Y121" i="15" s="1"/>
  <c r="AA121" i="15" s="1"/>
  <c r="Y121" i="16" s="1"/>
  <c r="AA121" i="16" s="1"/>
  <c r="AA124" i="5"/>
  <c r="Y124" i="6" s="1"/>
  <c r="AA125" i="5"/>
  <c r="Y125" i="6" s="1"/>
  <c r="AA125" i="6" s="1"/>
  <c r="Y125" i="7" s="1"/>
  <c r="AA125" i="7" s="1"/>
  <c r="Y125" i="8" s="1"/>
  <c r="AA125" i="8" s="1"/>
  <c r="Y125" i="9" s="1"/>
  <c r="AA125" i="9" s="1"/>
  <c r="Y125" i="10" s="1"/>
  <c r="AA125" i="10" s="1"/>
  <c r="Y125" i="11" s="1"/>
  <c r="AA125" i="11" s="1"/>
  <c r="Y125" i="12" s="1"/>
  <c r="AA125" i="12" s="1"/>
  <c r="Y125" i="13" s="1"/>
  <c r="AA125" i="13" s="1"/>
  <c r="Y125" i="14" s="1"/>
  <c r="AA125" i="14" s="1"/>
  <c r="Y125" i="15" s="1"/>
  <c r="AA125" i="15" s="1"/>
  <c r="Y125" i="16" s="1"/>
  <c r="AA125" i="16" s="1"/>
  <c r="AA126" i="5"/>
  <c r="Y126" i="6" s="1"/>
  <c r="AA126" i="6" s="1"/>
  <c r="Y126" i="7" s="1"/>
  <c r="AA126" i="7" s="1"/>
  <c r="Y126" i="8" s="1"/>
  <c r="AA126" i="8" s="1"/>
  <c r="Y126" i="9" s="1"/>
  <c r="AA126" i="9" s="1"/>
  <c r="AA127" i="5"/>
  <c r="Y127" i="6" s="1"/>
  <c r="AA127" i="6" s="1"/>
  <c r="Y127" i="7" s="1"/>
  <c r="AA127" i="7" s="1"/>
  <c r="Y127" i="8" s="1"/>
  <c r="AA127" i="8" s="1"/>
  <c r="Y127" i="9" s="1"/>
  <c r="AA127" i="9" s="1"/>
  <c r="Y127" i="10" s="1"/>
  <c r="AA127" i="10" s="1"/>
  <c r="Y127" i="11" s="1"/>
  <c r="AA127" i="11" s="1"/>
  <c r="Y127" i="12" s="1"/>
  <c r="AA127" i="12" s="1"/>
  <c r="Y127" i="13" s="1"/>
  <c r="AA127" i="13" s="1"/>
  <c r="Y127" i="14" s="1"/>
  <c r="AA127" i="14" s="1"/>
  <c r="Y127" i="15" s="1"/>
  <c r="AA127" i="15" s="1"/>
  <c r="Y127" i="16" s="1"/>
  <c r="AA127" i="16" s="1"/>
  <c r="AA128" i="5"/>
  <c r="Y128" i="6" s="1"/>
  <c r="AA128" i="6" s="1"/>
  <c r="Y128" i="7" s="1"/>
  <c r="AA128" i="7" s="1"/>
  <c r="Y128" i="8" s="1"/>
  <c r="AA128" i="8" s="1"/>
  <c r="Y128" i="9" s="1"/>
  <c r="AA128" i="9" s="1"/>
  <c r="Y128" i="10" s="1"/>
  <c r="AA128" i="10" s="1"/>
  <c r="Y128" i="11" s="1"/>
  <c r="AA128" i="11" s="1"/>
  <c r="Y128" i="12" s="1"/>
  <c r="AA128" i="12" s="1"/>
  <c r="Y128" i="13" s="1"/>
  <c r="AA128" i="13" s="1"/>
  <c r="Y128" i="14" s="1"/>
  <c r="AA128" i="14" s="1"/>
  <c r="Y128" i="15" s="1"/>
  <c r="AA128" i="15" s="1"/>
  <c r="Y128" i="16" s="1"/>
  <c r="AA128" i="16" s="1"/>
  <c r="AA129" i="5"/>
  <c r="Y129" i="6" s="1"/>
  <c r="AA129" i="6" s="1"/>
  <c r="Y129" i="7" s="1"/>
  <c r="AA129" i="7" s="1"/>
  <c r="Y129" i="8" s="1"/>
  <c r="AA129" i="8" s="1"/>
  <c r="Y129" i="9" s="1"/>
  <c r="AA129" i="9" s="1"/>
  <c r="Y129" i="10" s="1"/>
  <c r="AA129" i="10" s="1"/>
  <c r="Y129" i="11" s="1"/>
  <c r="AA129" i="11" s="1"/>
  <c r="Y129" i="12" s="1"/>
  <c r="AA129" i="12" s="1"/>
  <c r="Y129" i="13" s="1"/>
  <c r="AA129" i="13" s="1"/>
  <c r="Y129" i="14" s="1"/>
  <c r="AA129" i="14" s="1"/>
  <c r="Y129" i="15" s="1"/>
  <c r="AA129" i="15" s="1"/>
  <c r="Y129" i="16" s="1"/>
  <c r="AA129" i="16" s="1"/>
  <c r="AA130" i="5"/>
  <c r="Y130" i="6" s="1"/>
  <c r="AA130" i="6" s="1"/>
  <c r="Y130" i="7" s="1"/>
  <c r="AA130" i="7" s="1"/>
  <c r="Y130" i="8" s="1"/>
  <c r="AA130" i="8" s="1"/>
  <c r="Y130" i="9" s="1"/>
  <c r="AA130" i="9" s="1"/>
  <c r="Y130" i="10" s="1"/>
  <c r="AA130" i="10" s="1"/>
  <c r="Y130" i="11" s="1"/>
  <c r="AA130" i="11" s="1"/>
  <c r="Y130" i="12" s="1"/>
  <c r="AA130" i="12" s="1"/>
  <c r="Y130" i="13" s="1"/>
  <c r="AA130" i="13" s="1"/>
  <c r="Y130" i="14" s="1"/>
  <c r="AA130" i="14" s="1"/>
  <c r="Y130" i="15" s="1"/>
  <c r="AA130" i="15" s="1"/>
  <c r="Y130" i="16" s="1"/>
  <c r="AA130" i="16" s="1"/>
  <c r="AA131" i="5"/>
  <c r="Y131" i="6" s="1"/>
  <c r="AA131" i="6" s="1"/>
  <c r="Y131" i="7" s="1"/>
  <c r="AA131" i="7" s="1"/>
  <c r="Y131" i="8" s="1"/>
  <c r="AA131" i="8" s="1"/>
  <c r="Y131" i="9" s="1"/>
  <c r="AA131" i="9" s="1"/>
  <c r="Y131" i="10" s="1"/>
  <c r="AA131" i="10" s="1"/>
  <c r="Y131" i="11" s="1"/>
  <c r="AA131" i="11" s="1"/>
  <c r="Y131" i="12" s="1"/>
  <c r="AA131" i="12" s="1"/>
  <c r="Y131" i="13" s="1"/>
  <c r="AA131" i="13" s="1"/>
  <c r="Y131" i="14" s="1"/>
  <c r="AA131" i="14" s="1"/>
  <c r="Y131" i="15" s="1"/>
  <c r="AA131" i="15" s="1"/>
  <c r="Y131" i="16" s="1"/>
  <c r="AA131" i="16" s="1"/>
  <c r="AA132" i="5"/>
  <c r="Y132" i="6" s="1"/>
  <c r="AA132" i="6" s="1"/>
  <c r="Y132" i="7" s="1"/>
  <c r="AA132" i="7" s="1"/>
  <c r="Y132" i="8" s="1"/>
  <c r="AA132" i="8" s="1"/>
  <c r="Y132" i="9" s="1"/>
  <c r="AA132" i="9" s="1"/>
  <c r="Y132" i="10" s="1"/>
  <c r="AA132" i="10" s="1"/>
  <c r="Y132" i="11" s="1"/>
  <c r="AA132" i="11" s="1"/>
  <c r="Y132" i="12" s="1"/>
  <c r="AA132" i="12" s="1"/>
  <c r="Y132" i="13" s="1"/>
  <c r="AA132" i="13" s="1"/>
  <c r="Y132" i="14" s="1"/>
  <c r="AA132" i="14" s="1"/>
  <c r="Y132" i="15" s="1"/>
  <c r="AA132" i="15" s="1"/>
  <c r="Y132" i="16" s="1"/>
  <c r="AA132" i="16" s="1"/>
  <c r="AA133" i="5"/>
  <c r="Y133" i="6" s="1"/>
  <c r="AA133" i="6" s="1"/>
  <c r="Y133" i="7" s="1"/>
  <c r="AA133" i="7" s="1"/>
  <c r="Y133" i="8" s="1"/>
  <c r="AA133" i="8" s="1"/>
  <c r="AA134" i="5"/>
  <c r="Y134" i="6" s="1"/>
  <c r="AA134" i="6" s="1"/>
  <c r="Y134" i="7" s="1"/>
  <c r="AA134" i="7" s="1"/>
  <c r="Y134" i="8" s="1"/>
  <c r="AA134" i="8" s="1"/>
  <c r="Y134" i="9" s="1"/>
  <c r="AA134" i="9" s="1"/>
  <c r="Y134" i="10" s="1"/>
  <c r="AA134" i="10" s="1"/>
  <c r="Y134" i="11" s="1"/>
  <c r="AA134" i="11" s="1"/>
  <c r="Y134" i="12" s="1"/>
  <c r="AA134" i="12" s="1"/>
  <c r="Y134" i="13" s="1"/>
  <c r="AA134" i="13" s="1"/>
  <c r="Y134" i="14" s="1"/>
  <c r="AA134" i="14" s="1"/>
  <c r="Y134" i="15" s="1"/>
  <c r="AA134" i="15" s="1"/>
  <c r="Y134" i="16" s="1"/>
  <c r="AA134" i="16" s="1"/>
  <c r="AA135" i="5"/>
  <c r="Y135" i="6" s="1"/>
  <c r="AA135" i="6" s="1"/>
  <c r="Y135" i="7" s="1"/>
  <c r="AA135" i="7" s="1"/>
  <c r="Y135" i="8" s="1"/>
  <c r="AA135" i="8" s="1"/>
  <c r="Y135" i="9" s="1"/>
  <c r="AA135" i="9" s="1"/>
  <c r="Y135" i="10" s="1"/>
  <c r="AA135" i="10" s="1"/>
  <c r="Y135" i="11" s="1"/>
  <c r="AA135" i="11" s="1"/>
  <c r="Y135" i="12" s="1"/>
  <c r="AA135" i="12" s="1"/>
  <c r="Y135" i="13" s="1"/>
  <c r="AA135" i="13" s="1"/>
  <c r="Y135" i="14" s="1"/>
  <c r="AA135" i="14" s="1"/>
  <c r="Y135" i="15" s="1"/>
  <c r="AA135" i="15" s="1"/>
  <c r="Y135" i="16" s="1"/>
  <c r="AA135" i="16" s="1"/>
  <c r="AA136" i="5"/>
  <c r="Y136" i="6" s="1"/>
  <c r="AA136" i="6" s="1"/>
  <c r="Y136" i="7" s="1"/>
  <c r="AA136" i="7" s="1"/>
  <c r="Y136" i="8" s="1"/>
  <c r="AA136" i="8" s="1"/>
  <c r="Y136" i="9" s="1"/>
  <c r="AA136" i="9" s="1"/>
  <c r="Y136" i="10" s="1"/>
  <c r="AA136" i="10" s="1"/>
  <c r="Y136" i="11" s="1"/>
  <c r="AA136" i="11" s="1"/>
  <c r="Y136" i="12" s="1"/>
  <c r="AA136" i="12" s="1"/>
  <c r="Y136" i="13" s="1"/>
  <c r="AA136" i="13" s="1"/>
  <c r="Y136" i="14" s="1"/>
  <c r="AA136" i="14" s="1"/>
  <c r="Y136" i="15" s="1"/>
  <c r="AA136" i="15" s="1"/>
  <c r="Y136" i="16" s="1"/>
  <c r="AA136" i="16" s="1"/>
  <c r="AA137" i="5"/>
  <c r="Y137" i="6" s="1"/>
  <c r="AA137" i="6" s="1"/>
  <c r="Y137" i="7" s="1"/>
  <c r="AA137" i="7" s="1"/>
  <c r="Y137" i="8" s="1"/>
  <c r="AA137" i="8" s="1"/>
  <c r="Y137" i="9" s="1"/>
  <c r="AA137" i="9" s="1"/>
  <c r="Y137" i="10" s="1"/>
  <c r="AA137" i="10" s="1"/>
  <c r="Y137" i="11" s="1"/>
  <c r="AA137" i="11" s="1"/>
  <c r="Y137" i="12" s="1"/>
  <c r="AA137" i="12" s="1"/>
  <c r="Y137" i="13" s="1"/>
  <c r="AA137" i="13" s="1"/>
  <c r="Y137" i="14" s="1"/>
  <c r="AA137" i="14" s="1"/>
  <c r="Y137" i="15" s="1"/>
  <c r="AA137" i="15" s="1"/>
  <c r="Y137" i="16" s="1"/>
  <c r="AA137" i="16" s="1"/>
  <c r="AA138" i="5"/>
  <c r="Y138" i="6" s="1"/>
  <c r="AA138" i="6" s="1"/>
  <c r="Y138" i="7" s="1"/>
  <c r="AA138" i="7" s="1"/>
  <c r="Y138" i="8" s="1"/>
  <c r="AA138" i="8" s="1"/>
  <c r="Y138" i="9" s="1"/>
  <c r="AA138" i="9" s="1"/>
  <c r="Y138" i="10" s="1"/>
  <c r="AA138" i="10" s="1"/>
  <c r="Y138" i="11" s="1"/>
  <c r="AA138" i="11" s="1"/>
  <c r="Y138" i="12" s="1"/>
  <c r="AA138" i="12" s="1"/>
  <c r="Y138" i="13" s="1"/>
  <c r="AA138" i="13" s="1"/>
  <c r="Y138" i="14" s="1"/>
  <c r="AA138" i="14" s="1"/>
  <c r="Y138" i="15" s="1"/>
  <c r="AA138" i="15" s="1"/>
  <c r="Y138" i="16" s="1"/>
  <c r="AA138" i="16" s="1"/>
  <c r="AA139" i="5"/>
  <c r="Y139" i="6" s="1"/>
  <c r="AA139" i="6" s="1"/>
  <c r="Y139" i="7" s="1"/>
  <c r="AA139" i="7" s="1"/>
  <c r="Y139" i="8" s="1"/>
  <c r="AA139" i="8" s="1"/>
  <c r="Y139" i="9" s="1"/>
  <c r="AA139" i="9" s="1"/>
  <c r="Y139" i="10" s="1"/>
  <c r="AA139" i="10" s="1"/>
  <c r="Y139" i="11" s="1"/>
  <c r="AA139" i="11" s="1"/>
  <c r="Y139" i="12" s="1"/>
  <c r="AA139" i="12" s="1"/>
  <c r="Y139" i="13" s="1"/>
  <c r="AA139" i="13" s="1"/>
  <c r="Y139" i="14" s="1"/>
  <c r="AA139" i="14" s="1"/>
  <c r="Y139" i="15" s="1"/>
  <c r="AA139" i="15" s="1"/>
  <c r="Y139" i="16" s="1"/>
  <c r="AA139" i="16" s="1"/>
  <c r="AA142" i="5"/>
  <c r="AA143" i="5"/>
  <c r="Y143" i="6" s="1"/>
  <c r="AA143" i="6" s="1"/>
  <c r="AA148" i="5"/>
  <c r="Y148" i="6" s="1"/>
  <c r="AA148" i="6" s="1"/>
  <c r="Y148" i="7" s="1"/>
  <c r="AA148" i="7" s="1"/>
  <c r="Y148" i="8" s="1"/>
  <c r="AA148" i="8" s="1"/>
  <c r="Y148" i="9" s="1"/>
  <c r="AA148" i="9" s="1"/>
  <c r="Y148" i="10" s="1"/>
  <c r="AA148" i="10" s="1"/>
  <c r="Y148" i="11" s="1"/>
  <c r="AA148" i="11" s="1"/>
  <c r="Y148" i="12" s="1"/>
  <c r="AA148" i="12" s="1"/>
  <c r="Y148" i="13" s="1"/>
  <c r="AA148" i="13" s="1"/>
  <c r="Y148" i="14" s="1"/>
  <c r="AA148" i="14" s="1"/>
  <c r="Y148" i="15" s="1"/>
  <c r="AA148" i="15" s="1"/>
  <c r="Y148" i="16" s="1"/>
  <c r="AA148" i="16" s="1"/>
  <c r="G10" i="18" s="1"/>
  <c r="AA150" i="5"/>
  <c r="Y150" i="6" s="1"/>
  <c r="AA150" i="6" s="1"/>
  <c r="Y150" i="7" s="1"/>
  <c r="AA150" i="7" s="1"/>
  <c r="Y150" i="8" s="1"/>
  <c r="AA150" i="8" s="1"/>
  <c r="Y150" i="9" s="1"/>
  <c r="AA150" i="9" s="1"/>
  <c r="Y150" i="10" s="1"/>
  <c r="AA150" i="10" s="1"/>
  <c r="Y150" i="11" s="1"/>
  <c r="AA150" i="11" s="1"/>
  <c r="Y150" i="12" s="1"/>
  <c r="AA150" i="12" s="1"/>
  <c r="Y150" i="13" s="1"/>
  <c r="AA150" i="13" s="1"/>
  <c r="Y150" i="14" s="1"/>
  <c r="AA150" i="14" s="1"/>
  <c r="Y150" i="15" s="1"/>
  <c r="AA150" i="15" s="1"/>
  <c r="Y150" i="16" s="1"/>
  <c r="AA150" i="16" s="1"/>
  <c r="AA151" i="5"/>
  <c r="Y151" i="6" s="1"/>
  <c r="AA151" i="6" s="1"/>
  <c r="Y151" i="7" s="1"/>
  <c r="AA151" i="7" s="1"/>
  <c r="Y151" i="8" s="1"/>
  <c r="AA151" i="8" s="1"/>
  <c r="Y151" i="9" s="1"/>
  <c r="AA151" i="9" s="1"/>
  <c r="Y151" i="10" s="1"/>
  <c r="AA151" i="10" s="1"/>
  <c r="Y151" i="11" s="1"/>
  <c r="AA151" i="11" s="1"/>
  <c r="Y151" i="12" s="1"/>
  <c r="AA151" i="12" s="1"/>
  <c r="Y151" i="13" s="1"/>
  <c r="AA151" i="13" s="1"/>
  <c r="Y151" i="14" s="1"/>
  <c r="AA151" i="14" s="1"/>
  <c r="Y151" i="15" s="1"/>
  <c r="AA151" i="15" s="1"/>
  <c r="Y151" i="16" s="1"/>
  <c r="AA151" i="16" s="1"/>
  <c r="AA152" i="5"/>
  <c r="Y152" i="6" s="1"/>
  <c r="AA152" i="6" s="1"/>
  <c r="AA153" i="5"/>
  <c r="Y153" i="6" s="1"/>
  <c r="AA153" i="6" s="1"/>
  <c r="Y153" i="7" s="1"/>
  <c r="AA153" i="7" s="1"/>
  <c r="Y153" i="8" s="1"/>
  <c r="AA153" i="8" s="1"/>
  <c r="Y153" i="9" s="1"/>
  <c r="AA153" i="9" s="1"/>
  <c r="Y153" i="10" s="1"/>
  <c r="AA153" i="10" s="1"/>
  <c r="Y153" i="11" s="1"/>
  <c r="AA153" i="11" s="1"/>
  <c r="Y153" i="12" s="1"/>
  <c r="AA153" i="12" s="1"/>
  <c r="Y153" i="13" s="1"/>
  <c r="AA153" i="13" s="1"/>
  <c r="Y153" i="14" s="1"/>
  <c r="AA153" i="14" s="1"/>
  <c r="Y153" i="15" s="1"/>
  <c r="AA153" i="15" s="1"/>
  <c r="Y153" i="16" s="1"/>
  <c r="AA153" i="16" s="1"/>
  <c r="AA156" i="5"/>
  <c r="Y156" i="6" s="1"/>
  <c r="AA156" i="6" s="1"/>
  <c r="Y156" i="7" s="1"/>
  <c r="AA156" i="7" s="1"/>
  <c r="Y156" i="8" s="1"/>
  <c r="AA156" i="8" s="1"/>
  <c r="Y156" i="9" s="1"/>
  <c r="AA156" i="9" s="1"/>
  <c r="Y156" i="10" s="1"/>
  <c r="AA156" i="10" s="1"/>
  <c r="Y156" i="11" s="1"/>
  <c r="AA156" i="11" s="1"/>
  <c r="Y156" i="12" s="1"/>
  <c r="AA156" i="12" s="1"/>
  <c r="Y156" i="13" s="1"/>
  <c r="AA156" i="13" s="1"/>
  <c r="Y156" i="14" s="1"/>
  <c r="AA156" i="14" s="1"/>
  <c r="Y156" i="15" s="1"/>
  <c r="AA156" i="15" s="1"/>
  <c r="Y156" i="16" s="1"/>
  <c r="AA156" i="16" s="1"/>
  <c r="H10" i="18" s="1"/>
  <c r="AA158" i="5"/>
  <c r="Y158" i="6" s="1"/>
  <c r="AA158" i="6" s="1"/>
  <c r="Y158" i="7" s="1"/>
  <c r="AA158" i="7" s="1"/>
  <c r="Y158" i="8" s="1"/>
  <c r="AA158" i="8" s="1"/>
  <c r="Y158" i="9" s="1"/>
  <c r="AA158" i="9" s="1"/>
  <c r="Y158" i="10" s="1"/>
  <c r="AA158" i="10" s="1"/>
  <c r="Y158" i="11" s="1"/>
  <c r="AA158" i="11" s="1"/>
  <c r="Y158" i="12" s="1"/>
  <c r="AA158" i="12" s="1"/>
  <c r="Y158" i="13" s="1"/>
  <c r="AA158" i="13" s="1"/>
  <c r="Y158" i="14" s="1"/>
  <c r="AA158" i="14" s="1"/>
  <c r="Y158" i="15" s="1"/>
  <c r="AA158" i="15" s="1"/>
  <c r="Y158" i="16" s="1"/>
  <c r="AA158" i="16" s="1"/>
  <c r="AA159" i="5"/>
  <c r="Y159" i="6" s="1"/>
  <c r="AA159" i="6" s="1"/>
  <c r="Y159" i="7" s="1"/>
  <c r="AA159" i="7" s="1"/>
  <c r="Y159" i="8" s="1"/>
  <c r="AA160" i="5"/>
  <c r="Y160" i="6" s="1"/>
  <c r="AA160" i="6" s="1"/>
  <c r="Y160" i="7" s="1"/>
  <c r="AA160" i="7" s="1"/>
  <c r="Y160" i="8" s="1"/>
  <c r="AA160" i="8" s="1"/>
  <c r="Y160" i="9" s="1"/>
  <c r="AA160" i="9" s="1"/>
  <c r="Y160" i="10" s="1"/>
  <c r="AA160" i="10" s="1"/>
  <c r="Y160" i="11" s="1"/>
  <c r="AA160" i="11" s="1"/>
  <c r="Y160" i="12" s="1"/>
  <c r="AA160" i="12" s="1"/>
  <c r="Y160" i="13" s="1"/>
  <c r="AA160" i="13" s="1"/>
  <c r="Y160" i="14" s="1"/>
  <c r="AA160" i="14" s="1"/>
  <c r="Y160" i="15" s="1"/>
  <c r="AA160" i="15" s="1"/>
  <c r="Y160" i="16" s="1"/>
  <c r="AA160" i="16" s="1"/>
  <c r="AA161" i="5"/>
  <c r="Y161" i="6" s="1"/>
  <c r="AA161" i="6" s="1"/>
  <c r="Y161" i="7" s="1"/>
  <c r="AA161" i="7" s="1"/>
  <c r="Y161" i="8" s="1"/>
  <c r="AA161" i="8" s="1"/>
  <c r="Y161" i="9" s="1"/>
  <c r="AA161" i="9" s="1"/>
  <c r="Y161" i="10" s="1"/>
  <c r="AA161" i="10" s="1"/>
  <c r="AA162" i="5"/>
  <c r="Y162" i="6" s="1"/>
  <c r="AA162" i="6" s="1"/>
  <c r="Y162" i="7" s="1"/>
  <c r="AA162" i="7" s="1"/>
  <c r="Y162" i="8" s="1"/>
  <c r="AA162" i="8" s="1"/>
  <c r="Y162" i="9" s="1"/>
  <c r="AA162" i="9" s="1"/>
  <c r="Y162" i="10" s="1"/>
  <c r="AA162" i="10" s="1"/>
  <c r="Y162" i="11" s="1"/>
  <c r="AA162" i="11" s="1"/>
  <c r="Y162" i="12" s="1"/>
  <c r="AA162" i="12" s="1"/>
  <c r="Y162" i="13" s="1"/>
  <c r="AA162" i="13" s="1"/>
  <c r="Y162" i="14" s="1"/>
  <c r="AA162" i="14" s="1"/>
  <c r="Y162" i="15" s="1"/>
  <c r="AA162" i="15" s="1"/>
  <c r="Y162" i="16" s="1"/>
  <c r="AA162" i="16" s="1"/>
  <c r="AA163" i="5"/>
  <c r="Y163" i="6" s="1"/>
  <c r="AA163" i="6" s="1"/>
  <c r="Y163" i="7" s="1"/>
  <c r="AA163" i="7" s="1"/>
  <c r="Y163" i="8" s="1"/>
  <c r="AA163" i="8" s="1"/>
  <c r="Y163" i="9" s="1"/>
  <c r="AA163" i="9" s="1"/>
  <c r="Y163" i="10" s="1"/>
  <c r="AA163" i="10" s="1"/>
  <c r="Y163" i="11" s="1"/>
  <c r="AA163" i="11" s="1"/>
  <c r="Y163" i="12" s="1"/>
  <c r="AA163" i="12" s="1"/>
  <c r="Y163" i="13" s="1"/>
  <c r="AA163" i="13" s="1"/>
  <c r="Y163" i="14" s="1"/>
  <c r="AA163" i="14" s="1"/>
  <c r="Y163" i="15" s="1"/>
  <c r="AA163" i="15" s="1"/>
  <c r="Y163" i="16" s="1"/>
  <c r="AA163" i="16" s="1"/>
  <c r="AA164" i="5"/>
  <c r="Y164" i="6" s="1"/>
  <c r="AA164" i="6" s="1"/>
  <c r="Y164" i="7" s="1"/>
  <c r="AA164" i="7" s="1"/>
  <c r="Y164" i="8" s="1"/>
  <c r="AA164" i="8" s="1"/>
  <c r="Y164" i="9" s="1"/>
  <c r="AA164" i="9" s="1"/>
  <c r="Y164" i="10" s="1"/>
  <c r="AA164" i="10" s="1"/>
  <c r="Y164" i="11" s="1"/>
  <c r="AA164" i="11" s="1"/>
  <c r="Y164" i="12" s="1"/>
  <c r="AA164" i="12" s="1"/>
  <c r="Y164" i="13" s="1"/>
  <c r="AA164" i="13" s="1"/>
  <c r="Y164" i="14" s="1"/>
  <c r="AA164" i="14" s="1"/>
  <c r="Y164" i="15" s="1"/>
  <c r="AA164" i="15" s="1"/>
  <c r="Y164" i="16" s="1"/>
  <c r="AA164" i="16" s="1"/>
  <c r="AA165" i="5"/>
  <c r="Y165" i="6" s="1"/>
  <c r="AA165" i="6" s="1"/>
  <c r="Y165" i="7" s="1"/>
  <c r="AA165" i="7" s="1"/>
  <c r="Y165" i="8" s="1"/>
  <c r="AA165" i="8" s="1"/>
  <c r="Y165" i="9" s="1"/>
  <c r="AA165" i="9" s="1"/>
  <c r="Y165" i="10" s="1"/>
  <c r="AA165" i="10" s="1"/>
  <c r="Y165" i="11" s="1"/>
  <c r="AA165" i="11" s="1"/>
  <c r="Y165" i="12" s="1"/>
  <c r="AA165" i="12" s="1"/>
  <c r="Y165" i="13" s="1"/>
  <c r="AA165" i="13" s="1"/>
  <c r="Y165" i="14" s="1"/>
  <c r="AA165" i="14" s="1"/>
  <c r="Y165" i="15" s="1"/>
  <c r="AA165" i="15" s="1"/>
  <c r="Y165" i="16" s="1"/>
  <c r="AA165" i="16" s="1"/>
  <c r="AA166" i="5"/>
  <c r="Y166" i="6" s="1"/>
  <c r="AA166" i="6" s="1"/>
  <c r="Y166" i="7" s="1"/>
  <c r="AA166" i="7" s="1"/>
  <c r="Y166" i="8" s="1"/>
  <c r="AA166" i="8" s="1"/>
  <c r="Y166" i="9" s="1"/>
  <c r="AA166" i="9" s="1"/>
  <c r="Y166" i="10" s="1"/>
  <c r="AA166" i="10" s="1"/>
  <c r="Y166" i="11" s="1"/>
  <c r="AA166" i="11" s="1"/>
  <c r="Y166" i="12" s="1"/>
  <c r="AA166" i="12" s="1"/>
  <c r="Y166" i="13" s="1"/>
  <c r="AA166" i="13" s="1"/>
  <c r="Y166" i="14" s="1"/>
  <c r="AA166" i="14" s="1"/>
  <c r="Y166" i="15" s="1"/>
  <c r="AA166" i="15" s="1"/>
  <c r="Y166" i="16" s="1"/>
  <c r="AA166" i="16" s="1"/>
  <c r="AA167" i="5"/>
  <c r="AA168" i="5"/>
  <c r="Y168" i="6" s="1"/>
  <c r="AA168" i="6" s="1"/>
  <c r="Y168" i="7" s="1"/>
  <c r="AA168" i="7" s="1"/>
  <c r="Y168" i="8" s="1"/>
  <c r="AA168" i="8" s="1"/>
  <c r="Y168" i="9" s="1"/>
  <c r="AA168" i="9" s="1"/>
  <c r="Y168" i="10" s="1"/>
  <c r="AA168" i="10" s="1"/>
  <c r="Y168" i="11" s="1"/>
  <c r="AA168" i="11" s="1"/>
  <c r="Y168" i="12" s="1"/>
  <c r="AA168" i="12" s="1"/>
  <c r="Y168" i="13" s="1"/>
  <c r="AA168" i="13" s="1"/>
  <c r="Y168" i="14" s="1"/>
  <c r="AA168" i="14" s="1"/>
  <c r="Y168" i="15" s="1"/>
  <c r="AA168" i="15" s="1"/>
  <c r="Y168" i="16" s="1"/>
  <c r="AA168" i="16" s="1"/>
  <c r="AA173" i="5"/>
  <c r="AA174" i="5"/>
  <c r="Y174" i="6" s="1"/>
  <c r="AA174" i="6" s="1"/>
  <c r="Y174" i="7" s="1"/>
  <c r="AA174" i="7" s="1"/>
  <c r="Y174" i="8" s="1"/>
  <c r="AA174" i="8" s="1"/>
  <c r="Y174" i="9" s="1"/>
  <c r="AA174" i="9" s="1"/>
  <c r="Y174" i="10" s="1"/>
  <c r="AA174" i="10" s="1"/>
  <c r="Y174" i="11" s="1"/>
  <c r="AA174" i="11" s="1"/>
  <c r="Y174" i="12" s="1"/>
  <c r="AA174" i="12" s="1"/>
  <c r="Y174" i="13" s="1"/>
  <c r="AA174" i="13" s="1"/>
  <c r="Y174" i="14" s="1"/>
  <c r="AA174" i="14" s="1"/>
  <c r="Y174" i="15" s="1"/>
  <c r="AA174" i="15" s="1"/>
  <c r="Y174" i="16" s="1"/>
  <c r="AA177" i="5"/>
  <c r="AA178" i="5"/>
  <c r="Y178" i="6" s="1"/>
  <c r="AA178" i="6" s="1"/>
  <c r="Y178" i="7" s="1"/>
  <c r="AA178" i="7" s="1"/>
  <c r="Y178" i="8" s="1"/>
  <c r="AA178" i="8" s="1"/>
  <c r="Y178" i="9" s="1"/>
  <c r="AA178" i="9" s="1"/>
  <c r="Y178" i="10" s="1"/>
  <c r="AA178" i="10" s="1"/>
  <c r="Y178" i="11" s="1"/>
  <c r="AA178" i="11" s="1"/>
  <c r="Y178" i="12" s="1"/>
  <c r="AA178" i="12" s="1"/>
  <c r="Y178" i="13" s="1"/>
  <c r="AA178" i="13" s="1"/>
  <c r="Y178" i="14" s="1"/>
  <c r="AA178" i="14" s="1"/>
  <c r="Y178" i="15" s="1"/>
  <c r="AA178" i="15" s="1"/>
  <c r="Y178" i="16" s="1"/>
  <c r="AA178" i="16" s="1"/>
  <c r="AA179" i="5"/>
  <c r="Y179" i="6" s="1"/>
  <c r="AA179" i="6" s="1"/>
  <c r="Y179" i="7" s="1"/>
  <c r="AA179" i="7" s="1"/>
  <c r="Y179" i="8" s="1"/>
  <c r="AA179" i="8" s="1"/>
  <c r="Y179" i="9" s="1"/>
  <c r="AA179" i="9" s="1"/>
  <c r="Y179" i="10" s="1"/>
  <c r="AA179" i="10" s="1"/>
  <c r="Y179" i="11" s="1"/>
  <c r="AA179" i="11" s="1"/>
  <c r="Y179" i="12" s="1"/>
  <c r="AA179" i="12" s="1"/>
  <c r="Y179" i="13" s="1"/>
  <c r="AA179" i="13" s="1"/>
  <c r="Y179" i="14" s="1"/>
  <c r="AA179" i="14" s="1"/>
  <c r="Y179" i="15" s="1"/>
  <c r="AA179" i="15" s="1"/>
  <c r="Y179" i="16" s="1"/>
  <c r="AA179" i="16" s="1"/>
  <c r="AA180" i="5"/>
  <c r="Y180" i="6" s="1"/>
  <c r="AA180" i="6" s="1"/>
  <c r="Y180" i="7" s="1"/>
  <c r="AA180" i="7" s="1"/>
  <c r="AA181" i="5"/>
  <c r="Y181" i="6" s="1"/>
  <c r="AA181" i="6" s="1"/>
  <c r="Y181" i="7" s="1"/>
  <c r="AA181" i="7" s="1"/>
  <c r="Y181" i="8" s="1"/>
  <c r="AA181" i="8" s="1"/>
  <c r="Y181" i="9" s="1"/>
  <c r="AA181" i="9" s="1"/>
  <c r="Y181" i="10" s="1"/>
  <c r="AA181" i="10" s="1"/>
  <c r="Y181" i="11" s="1"/>
  <c r="AA181" i="11" s="1"/>
  <c r="Y181" i="12" s="1"/>
  <c r="AA181" i="12" s="1"/>
  <c r="Y181" i="13" s="1"/>
  <c r="AA181" i="13" s="1"/>
  <c r="Y181" i="14" s="1"/>
  <c r="AA181" i="14" s="1"/>
  <c r="Y181" i="15" s="1"/>
  <c r="AA181" i="15" s="1"/>
  <c r="Y181" i="16" s="1"/>
  <c r="AA181" i="16" s="1"/>
  <c r="AA182" i="5"/>
  <c r="Y182" i="6" s="1"/>
  <c r="AA182" i="6" s="1"/>
  <c r="Y182" i="7" s="1"/>
  <c r="AA182" i="7" s="1"/>
  <c r="Y182" i="8" s="1"/>
  <c r="AA182" i="8" s="1"/>
  <c r="Y182" i="9" s="1"/>
  <c r="AA182" i="9" s="1"/>
  <c r="Y182" i="10" s="1"/>
  <c r="AA182" i="10" s="1"/>
  <c r="Y182" i="11" s="1"/>
  <c r="AA182" i="11" s="1"/>
  <c r="Y182" i="12" s="1"/>
  <c r="AA182" i="12" s="1"/>
  <c r="Y182" i="13" s="1"/>
  <c r="AA182" i="13" s="1"/>
  <c r="Y182" i="14" s="1"/>
  <c r="AA182" i="14" s="1"/>
  <c r="Y182" i="15" s="1"/>
  <c r="AA182" i="15" s="1"/>
  <c r="Y182" i="16" s="1"/>
  <c r="AA182" i="16" s="1"/>
  <c r="AA183" i="5"/>
  <c r="Y183" i="6" s="1"/>
  <c r="AA183" i="6" s="1"/>
  <c r="Y183" i="7" s="1"/>
  <c r="AA183" i="7" s="1"/>
  <c r="Y183" i="8" s="1"/>
  <c r="AA183" i="8" s="1"/>
  <c r="Y183" i="9" s="1"/>
  <c r="AA183" i="9" s="1"/>
  <c r="Y183" i="10" s="1"/>
  <c r="AA183" i="10" s="1"/>
  <c r="Y183" i="11" s="1"/>
  <c r="AA183" i="11" s="1"/>
  <c r="Y183" i="12" s="1"/>
  <c r="AA183" i="12" s="1"/>
  <c r="Y183" i="13" s="1"/>
  <c r="AA183" i="13" s="1"/>
  <c r="Y183" i="14" s="1"/>
  <c r="AA183" i="14" s="1"/>
  <c r="Y183" i="15" s="1"/>
  <c r="AA183" i="15" s="1"/>
  <c r="Y183" i="16" s="1"/>
  <c r="AA183" i="16" s="1"/>
  <c r="AA186" i="5"/>
  <c r="Y186" i="6" s="1"/>
  <c r="AA186" i="6" s="1"/>
  <c r="Y186" i="7" s="1"/>
  <c r="AA186" i="7" s="1"/>
  <c r="Y186" i="8" s="1"/>
  <c r="AA186" i="8" s="1"/>
  <c r="Y186" i="9" s="1"/>
  <c r="AA186" i="9" s="1"/>
  <c r="Y186" i="10" s="1"/>
  <c r="AA186" i="10" s="1"/>
  <c r="Y186" i="11" s="1"/>
  <c r="AA186" i="11" s="1"/>
  <c r="Y186" i="12" s="1"/>
  <c r="AA186" i="12" s="1"/>
  <c r="Y186" i="13" s="1"/>
  <c r="AA186" i="13" s="1"/>
  <c r="Y186" i="14" s="1"/>
  <c r="AA186" i="14" s="1"/>
  <c r="Y186" i="15" s="1"/>
  <c r="AA186" i="15" s="1"/>
  <c r="Y186" i="16" s="1"/>
  <c r="AA186" i="16" s="1"/>
  <c r="AA188" i="5"/>
  <c r="AA189" i="5"/>
  <c r="Y189" i="6" s="1"/>
  <c r="AA189" i="6" s="1"/>
  <c r="Y189" i="7" s="1"/>
  <c r="AA189" i="7" s="1"/>
  <c r="Y189" i="8" s="1"/>
  <c r="AA189" i="8" s="1"/>
  <c r="Y189" i="9" s="1"/>
  <c r="AA189" i="9" s="1"/>
  <c r="Y189" i="10" s="1"/>
  <c r="AA189" i="10" s="1"/>
  <c r="Y189" i="11" s="1"/>
  <c r="AA189" i="11" s="1"/>
  <c r="Y189" i="12" s="1"/>
  <c r="AA189" i="12" s="1"/>
  <c r="Y189" i="13" s="1"/>
  <c r="AA189" i="13" s="1"/>
  <c r="Y189" i="14" s="1"/>
  <c r="AA189" i="14" s="1"/>
  <c r="Y189" i="15" s="1"/>
  <c r="AA189" i="15" s="1"/>
  <c r="Y189" i="16" s="1"/>
  <c r="AA189" i="16" s="1"/>
  <c r="AA190" i="5"/>
  <c r="Y190" i="6" s="1"/>
  <c r="AA190" i="6" s="1"/>
  <c r="Y190" i="7" s="1"/>
  <c r="AA190" i="7" s="1"/>
  <c r="Y190" i="8" s="1"/>
  <c r="AA190" i="8" s="1"/>
  <c r="Y190" i="9" s="1"/>
  <c r="AA190" i="9" s="1"/>
  <c r="Y190" i="10" s="1"/>
  <c r="AA190" i="10" s="1"/>
  <c r="Y190" i="11" s="1"/>
  <c r="AA190" i="11" s="1"/>
  <c r="Y190" i="12" s="1"/>
  <c r="AA190" i="12" s="1"/>
  <c r="Y190" i="13" s="1"/>
  <c r="AA190" i="13" s="1"/>
  <c r="Y190" i="14" s="1"/>
  <c r="AA190" i="14" s="1"/>
  <c r="Y190" i="15" s="1"/>
  <c r="AA190" i="15" s="1"/>
  <c r="Y190" i="16" s="1"/>
  <c r="AA190" i="16" s="1"/>
  <c r="AA191" i="5"/>
  <c r="Y191" i="6" s="1"/>
  <c r="AA191" i="6" s="1"/>
  <c r="Y191" i="7" s="1"/>
  <c r="AA191" i="7" s="1"/>
  <c r="Y191" i="8" s="1"/>
  <c r="AA191" i="8" s="1"/>
  <c r="Y191" i="9" s="1"/>
  <c r="AA191" i="9" s="1"/>
  <c r="Y191" i="10" s="1"/>
  <c r="AA191" i="10" s="1"/>
  <c r="Y191" i="11" s="1"/>
  <c r="AA191" i="11" s="1"/>
  <c r="Y191" i="12" s="1"/>
  <c r="AA191" i="12" s="1"/>
  <c r="Y191" i="13" s="1"/>
  <c r="AA191" i="13" s="1"/>
  <c r="Y191" i="14" s="1"/>
  <c r="AA191" i="14" s="1"/>
  <c r="Y191" i="15" s="1"/>
  <c r="AA191" i="15" s="1"/>
  <c r="Y191" i="16" s="1"/>
  <c r="AA191" i="16" s="1"/>
  <c r="AA196" i="5"/>
  <c r="AA197" i="5"/>
  <c r="AA198" i="5"/>
  <c r="Y198" i="6" s="1"/>
  <c r="AA198" i="6" s="1"/>
  <c r="Y198" i="7" s="1"/>
  <c r="AA198" i="7" s="1"/>
  <c r="Y198" i="8" s="1"/>
  <c r="AA198" i="8" s="1"/>
  <c r="Y198" i="9" s="1"/>
  <c r="AA198" i="9" s="1"/>
  <c r="Y198" i="10" s="1"/>
  <c r="AA198" i="10" s="1"/>
  <c r="Y198" i="11" s="1"/>
  <c r="AA198" i="11" s="1"/>
  <c r="Y198" i="12" s="1"/>
  <c r="AA198" i="12" s="1"/>
  <c r="Y198" i="13" s="1"/>
  <c r="AA198" i="13" s="1"/>
  <c r="Y198" i="14" s="1"/>
  <c r="AA198" i="14" s="1"/>
  <c r="Y198" i="15" s="1"/>
  <c r="AA198" i="15" s="1"/>
  <c r="Y198" i="16" s="1"/>
  <c r="AA198" i="16" s="1"/>
  <c r="AA199" i="5"/>
  <c r="Y199" i="6" s="1"/>
  <c r="AA199" i="6" s="1"/>
  <c r="Y199" i="7" s="1"/>
  <c r="AA199" i="7" s="1"/>
  <c r="Y199" i="8" s="1"/>
  <c r="AA199" i="8" s="1"/>
  <c r="Y199" i="9" s="1"/>
  <c r="AA199" i="9" s="1"/>
  <c r="Y199" i="10" s="1"/>
  <c r="AA199" i="10" s="1"/>
  <c r="Y199" i="11" s="1"/>
  <c r="AA199" i="11" s="1"/>
  <c r="Y199" i="12" s="1"/>
  <c r="AA199" i="12" s="1"/>
  <c r="Y199" i="13" s="1"/>
  <c r="AA199" i="13" s="1"/>
  <c r="Y199" i="14" s="1"/>
  <c r="AA199" i="14" s="1"/>
  <c r="Y199" i="15" s="1"/>
  <c r="AA199" i="15" s="1"/>
  <c r="Y199" i="16" s="1"/>
  <c r="AA199" i="16" s="1"/>
  <c r="AA200" i="5"/>
  <c r="Y200" i="6" s="1"/>
  <c r="AA200" i="6" s="1"/>
  <c r="Y200" i="7" s="1"/>
  <c r="AA200" i="7" s="1"/>
  <c r="Y200" i="8" s="1"/>
  <c r="AA200" i="8" s="1"/>
  <c r="Y200" i="9" s="1"/>
  <c r="AA200" i="9" s="1"/>
  <c r="Y200" i="10" s="1"/>
  <c r="AA200" i="10" s="1"/>
  <c r="Y200" i="11" s="1"/>
  <c r="AA200" i="11" s="1"/>
  <c r="Y200" i="12" s="1"/>
  <c r="AA200" i="12" s="1"/>
  <c r="Y200" i="13" s="1"/>
  <c r="AA200" i="13" s="1"/>
  <c r="Y200" i="14" s="1"/>
  <c r="AA200" i="14" s="1"/>
  <c r="Y200" i="15" s="1"/>
  <c r="AA200" i="15" s="1"/>
  <c r="Y200" i="16" s="1"/>
  <c r="AA200" i="16" s="1"/>
  <c r="AA201" i="5"/>
  <c r="Y201" i="6" s="1"/>
  <c r="AA201" i="6" s="1"/>
  <c r="Y201" i="7" s="1"/>
  <c r="AA201" i="7" s="1"/>
  <c r="Y201" i="8" s="1"/>
  <c r="AA201" i="8" s="1"/>
  <c r="Y201" i="9" s="1"/>
  <c r="AA201" i="9" s="1"/>
  <c r="Y201" i="10" s="1"/>
  <c r="AA201" i="10" s="1"/>
  <c r="Y201" i="11" s="1"/>
  <c r="AA201" i="11" s="1"/>
  <c r="Y201" i="12" s="1"/>
  <c r="AA201" i="12" s="1"/>
  <c r="Y201" i="13" s="1"/>
  <c r="AA201" i="13" s="1"/>
  <c r="Y201" i="14" s="1"/>
  <c r="AA201" i="14" s="1"/>
  <c r="Y201" i="15" s="1"/>
  <c r="AA201" i="15" s="1"/>
  <c r="Y201" i="16" s="1"/>
  <c r="AA201" i="16" s="1"/>
  <c r="AA202" i="5"/>
  <c r="Y202" i="6" s="1"/>
  <c r="AA202" i="6" s="1"/>
  <c r="Y202" i="7" s="1"/>
  <c r="AA202" i="7" s="1"/>
  <c r="Y202" i="8" s="1"/>
  <c r="AA202" i="8" s="1"/>
  <c r="Y202" i="9" s="1"/>
  <c r="AA202" i="9" s="1"/>
  <c r="Y202" i="10" s="1"/>
  <c r="AA202" i="10" s="1"/>
  <c r="Y202" i="11" s="1"/>
  <c r="AA202" i="11" s="1"/>
  <c r="Y202" i="12" s="1"/>
  <c r="AA202" i="12" s="1"/>
  <c r="Y202" i="13" s="1"/>
  <c r="AA202" i="13" s="1"/>
  <c r="Y202" i="14" s="1"/>
  <c r="AA202" i="14" s="1"/>
  <c r="Y202" i="15" s="1"/>
  <c r="AA202" i="15" s="1"/>
  <c r="Y202" i="16" s="1"/>
  <c r="AA202" i="16" s="1"/>
  <c r="AA204" i="5"/>
  <c r="Y204" i="6" s="1"/>
  <c r="AA205" i="5"/>
  <c r="Y205" i="6" s="1"/>
  <c r="AA205" i="6" s="1"/>
  <c r="Y205" i="7" s="1"/>
  <c r="AA205" i="7" s="1"/>
  <c r="Y205" i="8" s="1"/>
  <c r="AA205" i="8" s="1"/>
  <c r="Y205" i="9" s="1"/>
  <c r="AA205" i="9" s="1"/>
  <c r="Y205" i="10" s="1"/>
  <c r="AA205" i="10" s="1"/>
  <c r="Y205" i="11" s="1"/>
  <c r="AA205" i="11" s="1"/>
  <c r="Y205" i="12" s="1"/>
  <c r="AA205" i="12" s="1"/>
  <c r="Y205" i="13" s="1"/>
  <c r="AA205" i="13" s="1"/>
  <c r="Y205" i="14" s="1"/>
  <c r="AA205" i="14" s="1"/>
  <c r="Y205" i="15" s="1"/>
  <c r="AA205" i="15" s="1"/>
  <c r="Y205" i="16" s="1"/>
  <c r="AA205" i="16" s="1"/>
  <c r="AA212" i="5"/>
  <c r="Y212" i="6" s="1"/>
  <c r="AA212" i="6" s="1"/>
  <c r="Y212" i="7" s="1"/>
  <c r="AA212" i="7" s="1"/>
  <c r="Y212" i="8" s="1"/>
  <c r="AA212" i="8" s="1"/>
  <c r="Y212" i="9" s="1"/>
  <c r="AA212" i="9" s="1"/>
  <c r="Y212" i="10" s="1"/>
  <c r="AA212" i="10" s="1"/>
  <c r="Y212" i="11" s="1"/>
  <c r="AA212" i="11" s="1"/>
  <c r="Y212" i="12" s="1"/>
  <c r="AA212" i="12" s="1"/>
  <c r="Y212" i="13" s="1"/>
  <c r="AA212" i="13" s="1"/>
  <c r="Y212" i="14" s="1"/>
  <c r="AA212" i="14" s="1"/>
  <c r="Y212" i="15" s="1"/>
  <c r="AA212" i="15" s="1"/>
  <c r="Y212" i="16" s="1"/>
  <c r="AA213" i="5"/>
  <c r="Y213" i="6" s="1"/>
  <c r="AA214" i="5"/>
  <c r="Y214" i="6" s="1"/>
  <c r="AA214" i="6" s="1"/>
  <c r="Y214" i="7" s="1"/>
  <c r="AA214" i="7" s="1"/>
  <c r="Y214" i="8" s="1"/>
  <c r="AA214" i="8" s="1"/>
  <c r="Y214" i="9" s="1"/>
  <c r="AA214" i="9" s="1"/>
  <c r="Y214" i="10" s="1"/>
  <c r="AA214" i="10" s="1"/>
  <c r="Y214" i="11" s="1"/>
  <c r="AA214" i="11" s="1"/>
  <c r="AA215" i="5"/>
  <c r="Y215" i="6" s="1"/>
  <c r="AA215" i="6" s="1"/>
  <c r="AA216" i="5"/>
  <c r="Y216" i="6" s="1"/>
  <c r="AA216" i="6" s="1"/>
  <c r="Y216" i="7" s="1"/>
  <c r="AA216" i="7" s="1"/>
  <c r="Y216" i="8" s="1"/>
  <c r="AA216" i="8" s="1"/>
  <c r="Y216" i="9" s="1"/>
  <c r="AA216" i="9" s="1"/>
  <c r="Y216" i="10" s="1"/>
  <c r="AA216" i="10" s="1"/>
  <c r="Y216" i="11" s="1"/>
  <c r="AA216" i="11" s="1"/>
  <c r="Y216" i="12" s="1"/>
  <c r="AA216" i="12" s="1"/>
  <c r="Y216" i="13" s="1"/>
  <c r="AA216" i="13" s="1"/>
  <c r="Y216" i="14" s="1"/>
  <c r="AA216" i="14" s="1"/>
  <c r="Y216" i="15" s="1"/>
  <c r="AA216" i="15" s="1"/>
  <c r="Y216" i="16" s="1"/>
  <c r="AA216" i="16" s="1"/>
  <c r="AA217" i="5"/>
  <c r="Y217" i="6" s="1"/>
  <c r="AA217" i="6" s="1"/>
  <c r="Y217" i="7" s="1"/>
  <c r="AA217" i="7" s="1"/>
  <c r="Y217" i="8" s="1"/>
  <c r="AA217" i="8" s="1"/>
  <c r="Y217" i="9" s="1"/>
  <c r="AA217" i="9" s="1"/>
  <c r="Y217" i="10" s="1"/>
  <c r="AA217" i="10" s="1"/>
  <c r="Y217" i="11" s="1"/>
  <c r="AA217" i="11" s="1"/>
  <c r="Y217" i="12" s="1"/>
  <c r="AA217" i="12" s="1"/>
  <c r="Y217" i="13" s="1"/>
  <c r="AA217" i="13" s="1"/>
  <c r="Y217" i="14" s="1"/>
  <c r="AA217" i="14" s="1"/>
  <c r="Y217" i="15" s="1"/>
  <c r="AA217" i="15" s="1"/>
  <c r="Y217" i="16" s="1"/>
  <c r="AA217" i="16" s="1"/>
  <c r="AA218" i="5"/>
  <c r="Y218" i="6" s="1"/>
  <c r="AA218" i="6" s="1"/>
  <c r="Y218" i="7" s="1"/>
  <c r="AA218" i="7" s="1"/>
  <c r="Y218" i="8" s="1"/>
  <c r="AA218" i="8" s="1"/>
  <c r="Y218" i="9" s="1"/>
  <c r="AA218" i="9" s="1"/>
  <c r="Y218" i="10" s="1"/>
  <c r="AA218" i="10" s="1"/>
  <c r="Y218" i="11" s="1"/>
  <c r="AA218" i="11" s="1"/>
  <c r="Y218" i="12" s="1"/>
  <c r="AA218" i="12" s="1"/>
  <c r="Y218" i="13" s="1"/>
  <c r="AA218" i="13" s="1"/>
  <c r="Y218" i="14" s="1"/>
  <c r="AA218" i="14" s="1"/>
  <c r="Y218" i="15" s="1"/>
  <c r="AA218" i="15" s="1"/>
  <c r="Y218" i="16" s="1"/>
  <c r="AA218" i="16" s="1"/>
  <c r="AA223" i="5"/>
  <c r="AA224" i="5"/>
  <c r="Y224" i="6" s="1"/>
  <c r="AA224" i="6" s="1"/>
  <c r="Y224" i="7" s="1"/>
  <c r="AA224" i="7" s="1"/>
  <c r="Y224" i="8" s="1"/>
  <c r="AA224" i="8" s="1"/>
  <c r="Y224" i="9" s="1"/>
  <c r="AA224" i="9" s="1"/>
  <c r="Y224" i="10" s="1"/>
  <c r="AA224" i="10" s="1"/>
  <c r="Y224" i="11" s="1"/>
  <c r="AA224" i="11" s="1"/>
  <c r="Y224" i="12" s="1"/>
  <c r="AA224" i="12" s="1"/>
  <c r="Y224" i="13" s="1"/>
  <c r="AA224" i="13" s="1"/>
  <c r="Y224" i="14" s="1"/>
  <c r="AA224" i="14" s="1"/>
  <c r="Y224" i="15" s="1"/>
  <c r="AA224" i="15" s="1"/>
  <c r="Y224" i="16" s="1"/>
  <c r="AA224" i="16" s="1"/>
  <c r="AA225" i="5"/>
  <c r="Y225" i="6" s="1"/>
  <c r="AA225" i="6" s="1"/>
  <c r="Y225" i="7" s="1"/>
  <c r="AA225" i="7" s="1"/>
  <c r="Y225" i="8" s="1"/>
  <c r="AA225" i="8" s="1"/>
  <c r="Y225" i="9" s="1"/>
  <c r="AA225" i="9" s="1"/>
  <c r="Y225" i="10" s="1"/>
  <c r="AA225" i="10" s="1"/>
  <c r="Y225" i="11" s="1"/>
  <c r="AA225" i="11" s="1"/>
  <c r="Y225" i="12" s="1"/>
  <c r="AA225" i="12" s="1"/>
  <c r="Y225" i="13" s="1"/>
  <c r="AA225" i="13" s="1"/>
  <c r="Y225" i="14" s="1"/>
  <c r="AA225" i="14" s="1"/>
  <c r="Y225" i="15" s="1"/>
  <c r="AA225" i="15" s="1"/>
  <c r="Y225" i="16" s="1"/>
  <c r="AA225" i="16" s="1"/>
  <c r="AA228" i="5"/>
  <c r="Y228" i="6" s="1"/>
  <c r="AA228" i="6" s="1"/>
  <c r="AA229" i="5"/>
  <c r="Y229" i="6" s="1"/>
  <c r="AA229" i="6" s="1"/>
  <c r="Y229" i="7" s="1"/>
  <c r="AA229" i="7" s="1"/>
  <c r="Y229" i="8" s="1"/>
  <c r="AA229" i="8" s="1"/>
  <c r="AA230" i="5"/>
  <c r="Y230" i="6" s="1"/>
  <c r="AA230" i="6" s="1"/>
  <c r="Y230" i="7" s="1"/>
  <c r="AA230" i="7" s="1"/>
  <c r="Y230" i="8" s="1"/>
  <c r="AA230" i="8" s="1"/>
  <c r="Y230" i="9" s="1"/>
  <c r="AA230" i="9" s="1"/>
  <c r="Y230" i="10" s="1"/>
  <c r="AA230" i="10" s="1"/>
  <c r="Y230" i="11" s="1"/>
  <c r="AA230" i="11" s="1"/>
  <c r="Y230" i="12" s="1"/>
  <c r="AA230" i="12" s="1"/>
  <c r="Y230" i="13" s="1"/>
  <c r="AA230" i="13" s="1"/>
  <c r="Y230" i="14" s="1"/>
  <c r="AA230" i="14" s="1"/>
  <c r="Y230" i="15" s="1"/>
  <c r="AA230" i="15" s="1"/>
  <c r="Y230" i="16" s="1"/>
  <c r="AA230" i="16" s="1"/>
  <c r="AA236" i="5"/>
  <c r="AA237" i="5"/>
  <c r="Y237" i="6" s="1"/>
  <c r="AA237" i="6" s="1"/>
  <c r="AA238" i="5"/>
  <c r="AA239" i="5"/>
  <c r="Y239" i="6" s="1"/>
  <c r="AA239" i="6" s="1"/>
  <c r="Y239" i="7" s="1"/>
  <c r="AA239" i="7" s="1"/>
  <c r="Y239" i="8" s="1"/>
  <c r="AA239" i="8" s="1"/>
  <c r="Y239" i="9" s="1"/>
  <c r="AA239" i="9" s="1"/>
  <c r="Y239" i="10" s="1"/>
  <c r="AA239" i="10" s="1"/>
  <c r="Y239" i="11" s="1"/>
  <c r="AA239" i="11" s="1"/>
  <c r="Y239" i="12" s="1"/>
  <c r="AA239" i="12" s="1"/>
  <c r="Y239" i="13" s="1"/>
  <c r="AA239" i="13" s="1"/>
  <c r="Y239" i="14" s="1"/>
  <c r="AA239" i="14" s="1"/>
  <c r="Y239" i="15" s="1"/>
  <c r="AA239" i="15" s="1"/>
  <c r="Y239" i="16" s="1"/>
  <c r="AA239" i="16" s="1"/>
  <c r="AA240" i="5"/>
  <c r="Y240" i="6" s="1"/>
  <c r="AA240" i="6" s="1"/>
  <c r="Y240" i="7" s="1"/>
  <c r="AA240" i="7" s="1"/>
  <c r="Y240" i="8" s="1"/>
  <c r="AA240" i="8" s="1"/>
  <c r="Y240" i="9" s="1"/>
  <c r="AA240" i="9" s="1"/>
  <c r="Y240" i="10" s="1"/>
  <c r="AA240" i="10" s="1"/>
  <c r="Y240" i="11" s="1"/>
  <c r="AA240" i="11" s="1"/>
  <c r="Y240" i="12" s="1"/>
  <c r="AA240" i="12" s="1"/>
  <c r="Y240" i="13" s="1"/>
  <c r="AA240" i="13" s="1"/>
  <c r="Y240" i="14" s="1"/>
  <c r="AA240" i="14" s="1"/>
  <c r="Y240" i="15" s="1"/>
  <c r="AA240" i="15" s="1"/>
  <c r="Y240" i="16" s="1"/>
  <c r="AA240" i="16" s="1"/>
  <c r="AA241" i="5"/>
  <c r="Y241" i="6" s="1"/>
  <c r="AA241" i="6" s="1"/>
  <c r="Y241" i="7" s="1"/>
  <c r="AA241" i="7" s="1"/>
  <c r="Y241" i="8" s="1"/>
  <c r="AA241" i="8" s="1"/>
  <c r="Y241" i="9" s="1"/>
  <c r="AA241" i="9" s="1"/>
  <c r="Y241" i="10" s="1"/>
  <c r="AA241" i="10" s="1"/>
  <c r="AA244" i="5"/>
  <c r="AA245" i="5"/>
  <c r="Y245" i="6" s="1"/>
  <c r="AA245" i="6" s="1"/>
  <c r="Y245" i="7" s="1"/>
  <c r="AA245" i="7" s="1"/>
  <c r="Y245" i="8" s="1"/>
  <c r="AA245" i="8" s="1"/>
  <c r="Y245" i="9" s="1"/>
  <c r="AA245" i="9" s="1"/>
  <c r="Y245" i="10" s="1"/>
  <c r="AA245" i="10" s="1"/>
  <c r="Y245" i="11" s="1"/>
  <c r="AA245" i="11" s="1"/>
  <c r="Y245" i="12" s="1"/>
  <c r="AA245" i="12" s="1"/>
  <c r="Y245" i="13" s="1"/>
  <c r="AA245" i="13" s="1"/>
  <c r="Y245" i="14" s="1"/>
  <c r="AA245" i="14" s="1"/>
  <c r="Y245" i="15" s="1"/>
  <c r="AA245" i="15" s="1"/>
  <c r="Y245" i="16" s="1"/>
  <c r="AA245" i="16" s="1"/>
  <c r="AA246" i="5"/>
  <c r="Y246" i="6" s="1"/>
  <c r="AA246" i="6" s="1"/>
  <c r="Y246" i="7" s="1"/>
  <c r="AA246" i="7" s="1"/>
  <c r="Y246" i="8" s="1"/>
  <c r="AA246" i="8" s="1"/>
  <c r="Y246" i="9" s="1"/>
  <c r="AA246" i="9" s="1"/>
  <c r="Y246" i="10" s="1"/>
  <c r="AA246" i="10" s="1"/>
  <c r="Y246" i="11" s="1"/>
  <c r="AA246" i="11" s="1"/>
  <c r="Y246" i="12" s="1"/>
  <c r="AA246" i="12" s="1"/>
  <c r="Y246" i="13" s="1"/>
  <c r="AA246" i="13" s="1"/>
  <c r="Y246" i="14" s="1"/>
  <c r="AA246" i="14" s="1"/>
  <c r="Y246" i="15" s="1"/>
  <c r="AA246" i="15" s="1"/>
  <c r="Y246" i="16" s="1"/>
  <c r="AA246" i="16" s="1"/>
  <c r="AA247" i="5"/>
  <c r="Y247" i="6" s="1"/>
  <c r="AA247" i="6" s="1"/>
  <c r="Y247" i="7" s="1"/>
  <c r="AA247" i="7" s="1"/>
  <c r="AA248" i="5"/>
  <c r="Y248" i="6" s="1"/>
  <c r="AA248" i="6" s="1"/>
  <c r="Y248" i="7" s="1"/>
  <c r="AA248" i="7" s="1"/>
  <c r="Y248" i="8" s="1"/>
  <c r="AA248" i="8" s="1"/>
  <c r="Y248" i="9" s="1"/>
  <c r="AA248" i="9" s="1"/>
  <c r="Y248" i="10" s="1"/>
  <c r="AA248" i="10" s="1"/>
  <c r="Y248" i="11" s="1"/>
  <c r="AA248" i="11" s="1"/>
  <c r="Y248" i="12" s="1"/>
  <c r="AA248" i="12" s="1"/>
  <c r="Y248" i="13" s="1"/>
  <c r="AA248" i="13" s="1"/>
  <c r="Y248" i="14" s="1"/>
  <c r="AA248" i="14" s="1"/>
  <c r="Y248" i="15" s="1"/>
  <c r="AA248" i="15" s="1"/>
  <c r="Y248" i="16" s="1"/>
  <c r="AA248" i="16" s="1"/>
  <c r="AA249" i="5"/>
  <c r="Y249" i="6" s="1"/>
  <c r="AA249" i="6" s="1"/>
  <c r="Y249" i="7" s="1"/>
  <c r="AA249" i="7" s="1"/>
  <c r="Y249" i="8" s="1"/>
  <c r="AA249" i="8" s="1"/>
  <c r="Y249" i="9" s="1"/>
  <c r="AA249" i="9" s="1"/>
  <c r="Y249" i="10" s="1"/>
  <c r="AA249" i="10" s="1"/>
  <c r="Y249" i="11" s="1"/>
  <c r="AA249" i="11" s="1"/>
  <c r="Y249" i="12" s="1"/>
  <c r="AA249" i="12" s="1"/>
  <c r="Y249" i="13" s="1"/>
  <c r="AA249" i="13" s="1"/>
  <c r="Y249" i="14" s="1"/>
  <c r="AA249" i="14" s="1"/>
  <c r="Y249" i="15" s="1"/>
  <c r="AA249" i="15" s="1"/>
  <c r="Y249" i="16" s="1"/>
  <c r="AA249" i="16" s="1"/>
  <c r="AA250" i="5"/>
  <c r="Y250" i="6" s="1"/>
  <c r="AA250" i="6" s="1"/>
  <c r="Y250" i="7" s="1"/>
  <c r="AA250" i="7" s="1"/>
  <c r="Y250" i="8" s="1"/>
  <c r="AA250" i="8" s="1"/>
  <c r="Y250" i="9" s="1"/>
  <c r="AA250" i="9" s="1"/>
  <c r="Y250" i="10" s="1"/>
  <c r="AA250" i="10" s="1"/>
  <c r="Y250" i="11" s="1"/>
  <c r="AA250" i="11" s="1"/>
  <c r="Y250" i="12" s="1"/>
  <c r="AA250" i="12" s="1"/>
  <c r="Y250" i="13" s="1"/>
  <c r="AA250" i="13" s="1"/>
  <c r="Y250" i="14" s="1"/>
  <c r="AA250" i="14" s="1"/>
  <c r="Y250" i="15" s="1"/>
  <c r="AA250" i="15" s="1"/>
  <c r="Y250" i="16" s="1"/>
  <c r="AA250" i="16" s="1"/>
  <c r="AA251" i="5"/>
  <c r="Y251" i="6" s="1"/>
  <c r="AA251" i="6" s="1"/>
  <c r="Y251" i="7" s="1"/>
  <c r="AA251" i="7" s="1"/>
  <c r="Y251" i="8" s="1"/>
  <c r="AA251" i="8" s="1"/>
  <c r="Y251" i="9" s="1"/>
  <c r="AA251" i="9" s="1"/>
  <c r="AA252" i="5"/>
  <c r="Y252" i="6" s="1"/>
  <c r="AA252" i="6" s="1"/>
  <c r="Y252" i="7" s="1"/>
  <c r="AA252" i="7" s="1"/>
  <c r="Y252" i="8" s="1"/>
  <c r="AA252" i="8" s="1"/>
  <c r="Y252" i="9" s="1"/>
  <c r="AA252" i="9" s="1"/>
  <c r="Y252" i="10" s="1"/>
  <c r="AA252" i="10" s="1"/>
  <c r="Y252" i="11" s="1"/>
  <c r="AA252" i="11" s="1"/>
  <c r="Y252" i="12" s="1"/>
  <c r="AA252" i="12" s="1"/>
  <c r="Y252" i="13" s="1"/>
  <c r="AA252" i="13" s="1"/>
  <c r="Y252" i="14" s="1"/>
  <c r="AA252" i="14" s="1"/>
  <c r="Y252" i="15" s="1"/>
  <c r="AA252" i="15" s="1"/>
  <c r="Y252" i="16" s="1"/>
  <c r="AA252" i="16" s="1"/>
  <c r="AA253" i="5"/>
  <c r="Y253" i="6" s="1"/>
  <c r="AA253" i="6" s="1"/>
  <c r="Y253" i="7" s="1"/>
  <c r="AA253" i="7" s="1"/>
  <c r="Y253" i="8" s="1"/>
  <c r="AA253" i="8" s="1"/>
  <c r="Y253" i="9" s="1"/>
  <c r="AA253" i="9" s="1"/>
  <c r="Y253" i="10" s="1"/>
  <c r="AA253" i="10" s="1"/>
  <c r="Y253" i="11" s="1"/>
  <c r="AA253" i="11" s="1"/>
  <c r="Y253" i="12" s="1"/>
  <c r="AA253" i="12" s="1"/>
  <c r="Y253" i="13" s="1"/>
  <c r="AA253" i="13" s="1"/>
  <c r="Y253" i="14" s="1"/>
  <c r="AA253" i="14" s="1"/>
  <c r="Y253" i="15" s="1"/>
  <c r="AA253" i="15" s="1"/>
  <c r="Y253" i="16" s="1"/>
  <c r="AA253" i="16" s="1"/>
  <c r="AA254" i="5"/>
  <c r="Y254" i="6" s="1"/>
  <c r="AA254" i="6" s="1"/>
  <c r="Y254" i="7" s="1"/>
  <c r="AA254" i="7" s="1"/>
  <c r="Y254" i="8" s="1"/>
  <c r="AA254" i="8" s="1"/>
  <c r="Y254" i="9" s="1"/>
  <c r="AA254" i="9" s="1"/>
  <c r="Y254" i="10" s="1"/>
  <c r="AA254" i="10" s="1"/>
  <c r="Y254" i="11" s="1"/>
  <c r="AA254" i="11" s="1"/>
  <c r="Y254" i="12" s="1"/>
  <c r="AA254" i="12" s="1"/>
  <c r="Y254" i="13" s="1"/>
  <c r="AA254" i="13" s="1"/>
  <c r="Y254" i="14" s="1"/>
  <c r="AA254" i="14" s="1"/>
  <c r="AA255" i="5"/>
  <c r="Y255" i="6" s="1"/>
  <c r="AA255" i="6" s="1"/>
  <c r="Y255" i="7" s="1"/>
  <c r="AA255" i="7" s="1"/>
  <c r="Y255" i="8" s="1"/>
  <c r="AA255" i="8" s="1"/>
  <c r="Y255" i="9" s="1"/>
  <c r="AA255" i="9" s="1"/>
  <c r="Y255" i="10" s="1"/>
  <c r="AA255" i="10" s="1"/>
  <c r="Y255" i="11" s="1"/>
  <c r="AA255" i="11" s="1"/>
  <c r="Y255" i="12" s="1"/>
  <c r="AA255" i="12" s="1"/>
  <c r="Y255" i="13" s="1"/>
  <c r="AA255" i="13" s="1"/>
  <c r="Y255" i="14" s="1"/>
  <c r="AA255" i="14" s="1"/>
  <c r="Y255" i="15" s="1"/>
  <c r="AA255" i="15" s="1"/>
  <c r="Y255" i="16" s="1"/>
  <c r="AA255" i="16" s="1"/>
  <c r="AA256" i="5"/>
  <c r="Y256" i="6" s="1"/>
  <c r="AA256" i="6" s="1"/>
  <c r="Y256" i="7" s="1"/>
  <c r="AA256" i="7" s="1"/>
  <c r="Y256" i="8" s="1"/>
  <c r="AA256" i="8" s="1"/>
  <c r="Y256" i="9" s="1"/>
  <c r="AA256" i="9" s="1"/>
  <c r="Y256" i="10" s="1"/>
  <c r="AA256" i="10" s="1"/>
  <c r="Y256" i="11" s="1"/>
  <c r="AA256" i="11" s="1"/>
  <c r="Y256" i="12" s="1"/>
  <c r="AA256" i="12" s="1"/>
  <c r="Y256" i="13" s="1"/>
  <c r="AA256" i="13" s="1"/>
  <c r="Y256" i="14" s="1"/>
  <c r="AA256" i="14" s="1"/>
  <c r="Y256" i="15" s="1"/>
  <c r="AA256" i="15" s="1"/>
  <c r="Y256" i="16" s="1"/>
  <c r="AA256" i="16" s="1"/>
  <c r="H78" i="16"/>
  <c r="K12" i="5"/>
  <c r="L12" i="5" s="1"/>
  <c r="J12" i="6" s="1"/>
  <c r="K12" i="6"/>
  <c r="K12" i="7"/>
  <c r="K13" i="5"/>
  <c r="L13" i="5" s="1"/>
  <c r="J13" i="6" s="1"/>
  <c r="K13" i="6"/>
  <c r="K13" i="7"/>
  <c r="K14" i="5"/>
  <c r="L14" i="5" s="1"/>
  <c r="J14" i="6" s="1"/>
  <c r="K14" i="6"/>
  <c r="K14" i="7"/>
  <c r="K15" i="5"/>
  <c r="L15" i="5" s="1"/>
  <c r="J15" i="6" s="1"/>
  <c r="L15" i="6" s="1"/>
  <c r="J15" i="7" s="1"/>
  <c r="K15" i="6"/>
  <c r="K15" i="7"/>
  <c r="L23" i="5"/>
  <c r="L24" i="5"/>
  <c r="J24" i="6" s="1"/>
  <c r="L24" i="6" s="1"/>
  <c r="J24" i="7" s="1"/>
  <c r="L26" i="5"/>
  <c r="L27" i="5"/>
  <c r="J27" i="6" s="1"/>
  <c r="L30" i="5"/>
  <c r="J30" i="6" s="1"/>
  <c r="L31" i="5"/>
  <c r="J31" i="6" s="1"/>
  <c r="L31" i="6" s="1"/>
  <c r="J31" i="7" s="1"/>
  <c r="L31" i="7" s="1"/>
  <c r="L33" i="5"/>
  <c r="L34" i="5"/>
  <c r="J34" i="6" s="1"/>
  <c r="L34" i="6" s="1"/>
  <c r="J34" i="7" s="1"/>
  <c r="L34" i="7" s="1"/>
  <c r="J34" i="8" s="1"/>
  <c r="L34" i="8" s="1"/>
  <c r="J34" i="9" s="1"/>
  <c r="L34" i="9" s="1"/>
  <c r="J34" i="10" s="1"/>
  <c r="L34" i="10" s="1"/>
  <c r="J34" i="11" s="1"/>
  <c r="L34" i="11" s="1"/>
  <c r="J34" i="12" s="1"/>
  <c r="L34" i="12" s="1"/>
  <c r="J34" i="13" s="1"/>
  <c r="L34" i="13" s="1"/>
  <c r="J34" i="14" s="1"/>
  <c r="L34" i="14" s="1"/>
  <c r="J34" i="15" s="1"/>
  <c r="L34" i="15" s="1"/>
  <c r="J34" i="16" s="1"/>
  <c r="L34" i="16" s="1"/>
  <c r="L36" i="5"/>
  <c r="L37" i="5"/>
  <c r="J37" i="6" s="1"/>
  <c r="L41" i="5"/>
  <c r="J41" i="6" s="1"/>
  <c r="L41" i="6" s="1"/>
  <c r="J41" i="7" s="1"/>
  <c r="L41" i="7" s="1"/>
  <c r="J41" i="8" s="1"/>
  <c r="L41" i="8" s="1"/>
  <c r="J41" i="9" s="1"/>
  <c r="L41" i="9" s="1"/>
  <c r="J41" i="10" s="1"/>
  <c r="L41" i="10" s="1"/>
  <c r="J41" i="11" s="1"/>
  <c r="L41" i="11" s="1"/>
  <c r="J41" i="12" s="1"/>
  <c r="L41" i="12" s="1"/>
  <c r="J41" i="13" s="1"/>
  <c r="L41" i="13" s="1"/>
  <c r="J41" i="14" s="1"/>
  <c r="L41" i="14" s="1"/>
  <c r="L43" i="5"/>
  <c r="J43" i="6" s="1"/>
  <c r="L43" i="6" s="1"/>
  <c r="J43" i="7" s="1"/>
  <c r="L44" i="5"/>
  <c r="L46" i="5"/>
  <c r="J46" i="6" s="1"/>
  <c r="L46" i="6" s="1"/>
  <c r="J46" i="7" s="1"/>
  <c r="L47" i="5"/>
  <c r="L49" i="5"/>
  <c r="L50" i="5"/>
  <c r="J50" i="6" s="1"/>
  <c r="L50" i="6" s="1"/>
  <c r="J50" i="7" s="1"/>
  <c r="L50" i="7" s="1"/>
  <c r="J50" i="8" s="1"/>
  <c r="L50" i="8" s="1"/>
  <c r="J50" i="9" s="1"/>
  <c r="L50" i="9" s="1"/>
  <c r="J50" i="10" s="1"/>
  <c r="L50" i="10" s="1"/>
  <c r="J50" i="11" s="1"/>
  <c r="L50" i="11" s="1"/>
  <c r="J50" i="12" s="1"/>
  <c r="L50" i="12" s="1"/>
  <c r="J50" i="13" s="1"/>
  <c r="L50" i="13" s="1"/>
  <c r="J50" i="14" s="1"/>
  <c r="L50" i="14" s="1"/>
  <c r="J50" i="15" s="1"/>
  <c r="L50" i="15" s="1"/>
  <c r="J50" i="16" s="1"/>
  <c r="L52" i="5"/>
  <c r="J52" i="6" s="1"/>
  <c r="L52" i="6" s="1"/>
  <c r="J52" i="7" s="1"/>
  <c r="L53" i="5"/>
  <c r="L55" i="5"/>
  <c r="J55" i="6" s="1"/>
  <c r="L55" i="6" s="1"/>
  <c r="J55" i="7" s="1"/>
  <c r="L56" i="5"/>
  <c r="L58" i="5"/>
  <c r="J58" i="6" s="1"/>
  <c r="L59" i="5"/>
  <c r="L61" i="5"/>
  <c r="J61" i="6" s="1"/>
  <c r="L62" i="5"/>
  <c r="L64" i="5"/>
  <c r="J64" i="6" s="1"/>
  <c r="L64" i="6" s="1"/>
  <c r="J64" i="7" s="1"/>
  <c r="L64" i="7" s="1"/>
  <c r="J64" i="8" s="1"/>
  <c r="L64" i="8" s="1"/>
  <c r="J64" i="9" s="1"/>
  <c r="L64" i="9" s="1"/>
  <c r="J64" i="10" s="1"/>
  <c r="L64" i="10" s="1"/>
  <c r="J64" i="11" s="1"/>
  <c r="L64" i="11" s="1"/>
  <c r="J64" i="12" s="1"/>
  <c r="L64" i="12" s="1"/>
  <c r="J64" i="13" s="1"/>
  <c r="L64" i="13" s="1"/>
  <c r="J64" i="14" s="1"/>
  <c r="L64" i="14" s="1"/>
  <c r="J64" i="15" s="1"/>
  <c r="L64" i="15" s="1"/>
  <c r="J64" i="16" s="1"/>
  <c r="L64" i="16" s="1"/>
  <c r="L65" i="5"/>
  <c r="L67" i="5"/>
  <c r="J67" i="6" s="1"/>
  <c r="L68" i="5"/>
  <c r="L70" i="5"/>
  <c r="L71" i="5"/>
  <c r="J71" i="6" s="1"/>
  <c r="L73" i="5"/>
  <c r="L74" i="5"/>
  <c r="J74" i="6" s="1"/>
  <c r="L74" i="6" s="1"/>
  <c r="J74" i="7" s="1"/>
  <c r="L74" i="7" s="1"/>
  <c r="L76" i="5"/>
  <c r="L77" i="5"/>
  <c r="J77" i="6" s="1"/>
  <c r="L77" i="6" s="1"/>
  <c r="J77" i="7" s="1"/>
  <c r="L77" i="7" s="1"/>
  <c r="J77" i="8" s="1"/>
  <c r="L77" i="8" s="1"/>
  <c r="J77" i="9" s="1"/>
  <c r="L77" i="9" s="1"/>
  <c r="J77" i="10" s="1"/>
  <c r="L77" i="10" s="1"/>
  <c r="L79" i="5"/>
  <c r="J79" i="6" s="1"/>
  <c r="L79" i="6" s="1"/>
  <c r="J79" i="7" s="1"/>
  <c r="L79" i="7" s="1"/>
  <c r="J79" i="8" s="1"/>
  <c r="L79" i="8" s="1"/>
  <c r="J79" i="9" s="1"/>
  <c r="L79" i="9" s="1"/>
  <c r="J79" i="10" s="1"/>
  <c r="L79" i="10" s="1"/>
  <c r="J79" i="11" s="1"/>
  <c r="L79" i="11" s="1"/>
  <c r="J79" i="12" s="1"/>
  <c r="L79" i="12" s="1"/>
  <c r="J79" i="13" s="1"/>
  <c r="L79" i="13" s="1"/>
  <c r="J79" i="14" s="1"/>
  <c r="L79" i="14" s="1"/>
  <c r="J79" i="15" s="1"/>
  <c r="L79" i="15" s="1"/>
  <c r="J79" i="16" s="1"/>
  <c r="L80" i="5"/>
  <c r="J80" i="6" s="1"/>
  <c r="L82" i="5"/>
  <c r="J82" i="6" s="1"/>
  <c r="L82" i="6" s="1"/>
  <c r="J82" i="7" s="1"/>
  <c r="L83" i="5"/>
  <c r="AD17" i="5"/>
  <c r="AB17" i="6" s="1"/>
  <c r="AD17" i="6" s="1"/>
  <c r="AB17" i="7" s="1"/>
  <c r="AD17" i="7" s="1"/>
  <c r="AB17" i="8" s="1"/>
  <c r="AD17" i="8" s="1"/>
  <c r="AB17" i="9" s="1"/>
  <c r="AD17" i="9" s="1"/>
  <c r="AB17" i="10" s="1"/>
  <c r="AD17" i="10" s="1"/>
  <c r="AB17" i="11" s="1"/>
  <c r="AD17" i="11" s="1"/>
  <c r="AB17" i="12" s="1"/>
  <c r="AD17" i="12" s="1"/>
  <c r="AB17" i="13" s="1"/>
  <c r="AD17" i="13" s="1"/>
  <c r="AB17" i="14" s="1"/>
  <c r="AD17" i="14" s="1"/>
  <c r="AD18" i="5"/>
  <c r="AB18" i="6" s="1"/>
  <c r="AD18" i="6" s="1"/>
  <c r="AB18" i="7" s="1"/>
  <c r="AD18" i="7" s="1"/>
  <c r="AB18" i="8" s="1"/>
  <c r="AD18" i="8" s="1"/>
  <c r="AB18" i="9" s="1"/>
  <c r="AD18" i="9" s="1"/>
  <c r="AB18" i="10" s="1"/>
  <c r="AD18" i="10" s="1"/>
  <c r="AB18" i="11" s="1"/>
  <c r="AD18" i="11" s="1"/>
  <c r="AB18" i="12" s="1"/>
  <c r="AD18" i="12" s="1"/>
  <c r="AB18" i="13" s="1"/>
  <c r="AD18" i="13" s="1"/>
  <c r="AB18" i="14" s="1"/>
  <c r="AD18" i="14" s="1"/>
  <c r="AB18" i="15" s="1"/>
  <c r="AD18" i="15" s="1"/>
  <c r="AB18" i="16" s="1"/>
  <c r="AD18" i="16" s="1"/>
  <c r="AD19" i="5"/>
  <c r="AB19" i="6" s="1"/>
  <c r="AD19" i="6" s="1"/>
  <c r="AB19" i="7" s="1"/>
  <c r="AD19" i="7" s="1"/>
  <c r="AB19" i="8" s="1"/>
  <c r="AD19" i="8" s="1"/>
  <c r="AB19" i="9" s="1"/>
  <c r="AD19" i="9" s="1"/>
  <c r="AB19" i="10" s="1"/>
  <c r="AD19" i="10" s="1"/>
  <c r="AB19" i="11" s="1"/>
  <c r="AD19" i="11" s="1"/>
  <c r="AB19" i="12" s="1"/>
  <c r="AD19" i="12" s="1"/>
  <c r="AB19" i="13" s="1"/>
  <c r="AD19" i="13" s="1"/>
  <c r="AB19" i="14" s="1"/>
  <c r="AD19" i="14" s="1"/>
  <c r="AB19" i="15" s="1"/>
  <c r="AD19" i="15" s="1"/>
  <c r="AB19" i="16" s="1"/>
  <c r="AD19" i="16" s="1"/>
  <c r="AD21" i="5"/>
  <c r="AB21" i="6" s="1"/>
  <c r="AD22" i="5"/>
  <c r="AB22" i="6" s="1"/>
  <c r="AD22" i="6" s="1"/>
  <c r="AB22" i="7" s="1"/>
  <c r="AD22" i="7" s="1"/>
  <c r="AB22" i="8" s="1"/>
  <c r="AD22" i="8" s="1"/>
  <c r="AB22" i="9" s="1"/>
  <c r="AD22" i="9" s="1"/>
  <c r="AB22" i="10" s="1"/>
  <c r="AD22" i="10" s="1"/>
  <c r="AD23" i="5"/>
  <c r="AB23" i="6" s="1"/>
  <c r="AD23" i="6" s="1"/>
  <c r="AB23" i="7" s="1"/>
  <c r="AD23" i="7" s="1"/>
  <c r="AB23" i="8" s="1"/>
  <c r="AD23" i="8" s="1"/>
  <c r="AB23" i="9" s="1"/>
  <c r="AD23" i="9" s="1"/>
  <c r="AD24" i="5"/>
  <c r="AB24" i="6" s="1"/>
  <c r="AD24" i="6" s="1"/>
  <c r="AB24" i="7" s="1"/>
  <c r="AD24" i="7" s="1"/>
  <c r="AB24" i="8" s="1"/>
  <c r="AD24" i="8" s="1"/>
  <c r="AB24" i="9" s="1"/>
  <c r="AD24" i="9" s="1"/>
  <c r="AB24" i="10" s="1"/>
  <c r="AD24" i="10" s="1"/>
  <c r="AB24" i="11" s="1"/>
  <c r="AD24" i="11" s="1"/>
  <c r="AB24" i="12" s="1"/>
  <c r="AD24" i="12" s="1"/>
  <c r="AB24" i="13" s="1"/>
  <c r="AD24" i="13" s="1"/>
  <c r="AB24" i="14" s="1"/>
  <c r="AD24" i="14" s="1"/>
  <c r="AB24" i="15" s="1"/>
  <c r="AD24" i="15" s="1"/>
  <c r="AB24" i="16" s="1"/>
  <c r="AD24" i="16" s="1"/>
  <c r="AD25" i="5"/>
  <c r="AB25" i="6" s="1"/>
  <c r="AD25" i="6" s="1"/>
  <c r="AB25" i="7" s="1"/>
  <c r="AD25" i="7" s="1"/>
  <c r="AB25" i="8" s="1"/>
  <c r="AD25" i="8" s="1"/>
  <c r="AB25" i="9" s="1"/>
  <c r="AD25" i="9" s="1"/>
  <c r="AB25" i="10" s="1"/>
  <c r="AD25" i="10" s="1"/>
  <c r="AB25" i="11" s="1"/>
  <c r="AD25" i="11" s="1"/>
  <c r="AB25" i="12" s="1"/>
  <c r="AD25" i="12" s="1"/>
  <c r="AB25" i="13" s="1"/>
  <c r="AD25" i="13" s="1"/>
  <c r="AB25" i="14" s="1"/>
  <c r="AD25" i="14" s="1"/>
  <c r="AB25" i="15" s="1"/>
  <c r="AD25" i="15" s="1"/>
  <c r="AB25" i="16" s="1"/>
  <c r="AD25" i="16" s="1"/>
  <c r="AD26" i="5"/>
  <c r="AB26" i="6" s="1"/>
  <c r="AD26" i="6" s="1"/>
  <c r="AB26" i="7" s="1"/>
  <c r="AD26" i="7" s="1"/>
  <c r="AD27" i="5"/>
  <c r="AB27" i="6" s="1"/>
  <c r="AD27" i="6" s="1"/>
  <c r="AB27" i="7" s="1"/>
  <c r="AD27" i="7" s="1"/>
  <c r="AB27" i="8" s="1"/>
  <c r="AD27" i="8" s="1"/>
  <c r="AB27" i="9" s="1"/>
  <c r="AD27" i="9" s="1"/>
  <c r="AB27" i="10" s="1"/>
  <c r="AD27" i="10" s="1"/>
  <c r="AB27" i="11" s="1"/>
  <c r="AD27" i="11" s="1"/>
  <c r="AB27" i="12" s="1"/>
  <c r="AD27" i="12" s="1"/>
  <c r="AB27" i="13" s="1"/>
  <c r="AD27" i="13" s="1"/>
  <c r="AB27" i="14" s="1"/>
  <c r="AD27" i="14" s="1"/>
  <c r="AB27" i="15" s="1"/>
  <c r="AD27" i="15" s="1"/>
  <c r="AB27" i="16" s="1"/>
  <c r="AD27" i="16" s="1"/>
  <c r="AD28" i="5"/>
  <c r="AB28" i="6" s="1"/>
  <c r="AD28" i="6" s="1"/>
  <c r="AB28" i="7" s="1"/>
  <c r="AD28" i="7" s="1"/>
  <c r="AB28" i="8" s="1"/>
  <c r="AD28" i="8" s="1"/>
  <c r="AB28" i="9" s="1"/>
  <c r="AD28" i="9" s="1"/>
  <c r="AB28" i="10" s="1"/>
  <c r="AD28" i="10" s="1"/>
  <c r="AB28" i="11" s="1"/>
  <c r="AD28" i="11" s="1"/>
  <c r="AB28" i="12" s="1"/>
  <c r="AD28" i="12" s="1"/>
  <c r="AB28" i="13" s="1"/>
  <c r="AD28" i="13" s="1"/>
  <c r="AB28" i="14" s="1"/>
  <c r="AD28" i="14" s="1"/>
  <c r="AB28" i="15" s="1"/>
  <c r="AD28" i="15" s="1"/>
  <c r="AB28" i="16" s="1"/>
  <c r="AD28" i="16" s="1"/>
  <c r="AD29" i="5"/>
  <c r="AD30" i="5"/>
  <c r="AB30" i="6" s="1"/>
  <c r="AD30" i="6" s="1"/>
  <c r="AB30" i="7" s="1"/>
  <c r="AD30" i="7" s="1"/>
  <c r="AB30" i="8" s="1"/>
  <c r="AD30" i="8" s="1"/>
  <c r="AB30" i="9" s="1"/>
  <c r="AD30" i="9" s="1"/>
  <c r="AD31" i="5"/>
  <c r="AD32" i="5"/>
  <c r="AB32" i="6" s="1"/>
  <c r="AD32" i="6" s="1"/>
  <c r="AB32" i="7" s="1"/>
  <c r="AD32" i="7" s="1"/>
  <c r="AB32" i="8" s="1"/>
  <c r="AD32" i="8" s="1"/>
  <c r="AB32" i="9" s="1"/>
  <c r="AD32" i="9" s="1"/>
  <c r="AB32" i="10" s="1"/>
  <c r="AD32" i="10" s="1"/>
  <c r="AB32" i="11" s="1"/>
  <c r="AD32" i="11" s="1"/>
  <c r="AB32" i="12" s="1"/>
  <c r="AD32" i="12" s="1"/>
  <c r="AB32" i="13" s="1"/>
  <c r="AD32" i="13" s="1"/>
  <c r="AB32" i="14" s="1"/>
  <c r="AD32" i="14" s="1"/>
  <c r="AB32" i="15" s="1"/>
  <c r="AD32" i="15" s="1"/>
  <c r="AB32" i="16" s="1"/>
  <c r="AD32" i="16" s="1"/>
  <c r="AD33" i="5"/>
  <c r="AB33" i="6" s="1"/>
  <c r="AD33" i="6" s="1"/>
  <c r="AB33" i="7" s="1"/>
  <c r="AD33" i="7" s="1"/>
  <c r="AB33" i="8" s="1"/>
  <c r="AD33" i="8" s="1"/>
  <c r="AB33" i="9" s="1"/>
  <c r="AD33" i="9" s="1"/>
  <c r="AB33" i="10" s="1"/>
  <c r="AD33" i="10" s="1"/>
  <c r="AB33" i="11" s="1"/>
  <c r="AD33" i="11" s="1"/>
  <c r="AB33" i="12" s="1"/>
  <c r="AD33" i="12" s="1"/>
  <c r="AB33" i="13" s="1"/>
  <c r="AD33" i="13" s="1"/>
  <c r="AB33" i="14" s="1"/>
  <c r="AD33" i="14" s="1"/>
  <c r="AB33" i="15" s="1"/>
  <c r="AD33" i="15" s="1"/>
  <c r="AB33" i="16" s="1"/>
  <c r="AD33" i="16" s="1"/>
  <c r="AD36" i="5"/>
  <c r="AB36" i="6" s="1"/>
  <c r="AD36" i="6" s="1"/>
  <c r="AB36" i="7" s="1"/>
  <c r="AD36" i="7" s="1"/>
  <c r="AB36" i="8" s="1"/>
  <c r="AD37" i="5"/>
  <c r="AB37" i="6" s="1"/>
  <c r="AD38" i="5"/>
  <c r="AB38" i="6" s="1"/>
  <c r="AD38" i="6" s="1"/>
  <c r="AB38" i="7" s="1"/>
  <c r="AD38" i="7" s="1"/>
  <c r="AB38" i="8" s="1"/>
  <c r="AD38" i="8" s="1"/>
  <c r="AB38" i="9" s="1"/>
  <c r="AD38" i="9" s="1"/>
  <c r="AB38" i="10" s="1"/>
  <c r="AD38" i="10" s="1"/>
  <c r="AB38" i="11" s="1"/>
  <c r="AD38" i="11" s="1"/>
  <c r="AB38" i="12" s="1"/>
  <c r="AD38" i="12" s="1"/>
  <c r="AB38" i="13" s="1"/>
  <c r="AD38" i="13" s="1"/>
  <c r="AB38" i="14" s="1"/>
  <c r="AD39" i="5"/>
  <c r="AB39" i="6" s="1"/>
  <c r="AD39" i="6" s="1"/>
  <c r="AB39" i="7" s="1"/>
  <c r="AD39" i="7" s="1"/>
  <c r="AB39" i="8" s="1"/>
  <c r="AD39" i="8" s="1"/>
  <c r="AB39" i="9" s="1"/>
  <c r="AD39" i="9" s="1"/>
  <c r="AB39" i="10" s="1"/>
  <c r="AD39" i="10" s="1"/>
  <c r="AB39" i="11" s="1"/>
  <c r="AD39" i="11" s="1"/>
  <c r="AB39" i="12" s="1"/>
  <c r="AD39" i="12" s="1"/>
  <c r="AB39" i="13" s="1"/>
  <c r="AD39" i="13" s="1"/>
  <c r="AB39" i="14" s="1"/>
  <c r="AD39" i="14" s="1"/>
  <c r="AD40" i="5"/>
  <c r="AB40" i="6" s="1"/>
  <c r="AD40" i="6" s="1"/>
  <c r="AB40" i="7" s="1"/>
  <c r="AD40" i="7" s="1"/>
  <c r="AB40" i="8" s="1"/>
  <c r="AD40" i="8" s="1"/>
  <c r="AB40" i="9" s="1"/>
  <c r="AD40" i="9" s="1"/>
  <c r="AB40" i="10" s="1"/>
  <c r="AD40" i="10" s="1"/>
  <c r="AB40" i="11" s="1"/>
  <c r="AD40" i="11" s="1"/>
  <c r="AB40" i="12" s="1"/>
  <c r="AD40" i="12" s="1"/>
  <c r="AB40" i="13" s="1"/>
  <c r="AD40" i="13" s="1"/>
  <c r="AB40" i="14" s="1"/>
  <c r="AD40" i="14" s="1"/>
  <c r="AB40" i="15" s="1"/>
  <c r="AD40" i="15" s="1"/>
  <c r="AB40" i="16" s="1"/>
  <c r="AD40" i="16" s="1"/>
  <c r="AD41" i="5"/>
  <c r="AB41" i="6" s="1"/>
  <c r="AD41" i="6" s="1"/>
  <c r="AD45" i="5"/>
  <c r="AB45" i="6" s="1"/>
  <c r="AD45" i="6" s="1"/>
  <c r="AB45" i="7" s="1"/>
  <c r="AD45" i="7" s="1"/>
  <c r="AB45" i="8" s="1"/>
  <c r="AD45" i="8" s="1"/>
  <c r="AB45" i="9" s="1"/>
  <c r="AD45" i="9" s="1"/>
  <c r="AB45" i="10" s="1"/>
  <c r="AD45" i="10" s="1"/>
  <c r="AB45" i="11" s="1"/>
  <c r="AD45" i="11" s="1"/>
  <c r="AB45" i="12" s="1"/>
  <c r="AD45" i="12" s="1"/>
  <c r="AB45" i="13" s="1"/>
  <c r="AD45" i="13" s="1"/>
  <c r="AB45" i="14" s="1"/>
  <c r="AD45" i="14" s="1"/>
  <c r="AB45" i="15" s="1"/>
  <c r="AD45" i="15" s="1"/>
  <c r="AB45" i="16" s="1"/>
  <c r="AD45" i="16" s="1"/>
  <c r="AD46" i="5"/>
  <c r="AB46" i="6" s="1"/>
  <c r="AD47" i="5"/>
  <c r="AB47" i="6" s="1"/>
  <c r="AD47" i="6" s="1"/>
  <c r="AB47" i="7" s="1"/>
  <c r="AD47" i="7" s="1"/>
  <c r="AB47" i="8" s="1"/>
  <c r="AD47" i="8" s="1"/>
  <c r="AB47" i="9" s="1"/>
  <c r="AD47" i="9" s="1"/>
  <c r="AB47" i="10" s="1"/>
  <c r="AD47" i="10" s="1"/>
  <c r="AB47" i="11" s="1"/>
  <c r="AD47" i="11" s="1"/>
  <c r="AB47" i="12" s="1"/>
  <c r="AD47" i="12" s="1"/>
  <c r="AB47" i="13" s="1"/>
  <c r="AD47" i="13" s="1"/>
  <c r="AB47" i="14" s="1"/>
  <c r="AD47" i="14" s="1"/>
  <c r="AB47" i="15" s="1"/>
  <c r="AD47" i="15" s="1"/>
  <c r="AB47" i="16" s="1"/>
  <c r="AD47" i="16" s="1"/>
  <c r="AD48" i="5"/>
  <c r="AB48" i="6" s="1"/>
  <c r="AD48" i="6" s="1"/>
  <c r="AB48" i="7" s="1"/>
  <c r="AD48" i="7" s="1"/>
  <c r="AB48" i="8" s="1"/>
  <c r="AD48" i="8" s="1"/>
  <c r="AB48" i="9" s="1"/>
  <c r="AD48" i="9" s="1"/>
  <c r="AB48" i="10" s="1"/>
  <c r="AD48" i="10" s="1"/>
  <c r="AB48" i="11" s="1"/>
  <c r="AD48" i="11" s="1"/>
  <c r="AB48" i="12" s="1"/>
  <c r="AD48" i="12" s="1"/>
  <c r="AB48" i="13" s="1"/>
  <c r="AD48" i="13" s="1"/>
  <c r="AB48" i="14" s="1"/>
  <c r="AD48" i="14" s="1"/>
  <c r="AB48" i="15" s="1"/>
  <c r="AD48" i="15" s="1"/>
  <c r="AB48" i="16" s="1"/>
  <c r="AD48" i="16" s="1"/>
  <c r="AD50" i="5"/>
  <c r="AB50" i="6" s="1"/>
  <c r="AD50" i="6" s="1"/>
  <c r="AB50" i="7" s="1"/>
  <c r="AD51" i="5"/>
  <c r="AB51" i="6" s="1"/>
  <c r="AD52" i="5"/>
  <c r="AB52" i="6" s="1"/>
  <c r="AD52" i="6" s="1"/>
  <c r="AB52" i="7" s="1"/>
  <c r="AD52" i="7" s="1"/>
  <c r="AB52" i="8" s="1"/>
  <c r="AD52" i="8" s="1"/>
  <c r="AB52" i="9" s="1"/>
  <c r="AD52" i="9" s="1"/>
  <c r="AB52" i="10" s="1"/>
  <c r="AD52" i="10" s="1"/>
  <c r="AB52" i="11" s="1"/>
  <c r="AD52" i="11" s="1"/>
  <c r="AB52" i="12" s="1"/>
  <c r="AD52" i="12" s="1"/>
  <c r="AB52" i="13" s="1"/>
  <c r="AD52" i="13" s="1"/>
  <c r="AB52" i="14" s="1"/>
  <c r="AD52" i="14" s="1"/>
  <c r="AB52" i="15" s="1"/>
  <c r="AD52" i="15" s="1"/>
  <c r="AB52" i="16" s="1"/>
  <c r="AD52" i="16" s="1"/>
  <c r="AD53" i="5"/>
  <c r="AB53" i="6" s="1"/>
  <c r="AD53" i="6" s="1"/>
  <c r="AB53" i="7" s="1"/>
  <c r="AD53" i="7" s="1"/>
  <c r="AB53" i="8" s="1"/>
  <c r="AD53" i="8" s="1"/>
  <c r="AB53" i="9" s="1"/>
  <c r="AD53" i="9" s="1"/>
  <c r="AB53" i="10" s="1"/>
  <c r="AD53" i="10" s="1"/>
  <c r="AD54" i="5"/>
  <c r="AB54" i="6" s="1"/>
  <c r="AD54" i="6" s="1"/>
  <c r="AB54" i="7" s="1"/>
  <c r="AD54" i="7" s="1"/>
  <c r="AB54" i="8" s="1"/>
  <c r="AD54" i="8" s="1"/>
  <c r="AB54" i="9" s="1"/>
  <c r="AD54" i="9" s="1"/>
  <c r="AB54" i="10" s="1"/>
  <c r="AD54" i="10" s="1"/>
  <c r="AB54" i="11" s="1"/>
  <c r="AD54" i="11" s="1"/>
  <c r="AB54" i="12" s="1"/>
  <c r="AD54" i="12" s="1"/>
  <c r="AB54" i="13" s="1"/>
  <c r="AD54" i="13" s="1"/>
  <c r="AB54" i="14" s="1"/>
  <c r="AD54" i="14" s="1"/>
  <c r="AB54" i="15" s="1"/>
  <c r="AD54" i="15" s="1"/>
  <c r="AB54" i="16" s="1"/>
  <c r="AD54" i="16" s="1"/>
  <c r="AD55" i="5"/>
  <c r="AB55" i="6" s="1"/>
  <c r="AD55" i="6" s="1"/>
  <c r="AB55" i="7" s="1"/>
  <c r="AD55" i="7" s="1"/>
  <c r="AB55" i="8" s="1"/>
  <c r="AD55" i="8" s="1"/>
  <c r="AB55" i="9" s="1"/>
  <c r="AD55" i="9" s="1"/>
  <c r="AD59" i="5"/>
  <c r="AB59" i="6" s="1"/>
  <c r="AD60" i="5"/>
  <c r="AD61" i="5"/>
  <c r="AB61" i="6" s="1"/>
  <c r="AD61" i="6" s="1"/>
  <c r="AB61" i="7" s="1"/>
  <c r="AD61" i="7" s="1"/>
  <c r="AB61" i="8" s="1"/>
  <c r="AD61" i="8" s="1"/>
  <c r="AB61" i="9" s="1"/>
  <c r="AD61" i="9" s="1"/>
  <c r="AB61" i="10" s="1"/>
  <c r="AD61" i="10" s="1"/>
  <c r="AD66" i="5"/>
  <c r="AD67" i="5"/>
  <c r="AB67" i="6" s="1"/>
  <c r="AD67" i="6" s="1"/>
  <c r="BP11" i="6" s="1"/>
  <c r="AD68" i="5"/>
  <c r="AB68" i="6" s="1"/>
  <c r="AD68" i="6" s="1"/>
  <c r="AB68" i="7" s="1"/>
  <c r="AD68" i="7" s="1"/>
  <c r="AB68" i="8" s="1"/>
  <c r="AD68" i="8" s="1"/>
  <c r="AB68" i="9" s="1"/>
  <c r="AD68" i="9" s="1"/>
  <c r="AB68" i="10" s="1"/>
  <c r="AD68" i="10" s="1"/>
  <c r="AB68" i="11" s="1"/>
  <c r="AD68" i="11" s="1"/>
  <c r="AB68" i="12" s="1"/>
  <c r="AD68" i="12" s="1"/>
  <c r="AB68" i="13" s="1"/>
  <c r="AD68" i="13" s="1"/>
  <c r="AB68" i="14" s="1"/>
  <c r="AD68" i="14" s="1"/>
  <c r="AB68" i="15" s="1"/>
  <c r="AD68" i="15" s="1"/>
  <c r="AB68" i="16" s="1"/>
  <c r="AD68" i="16" s="1"/>
  <c r="AD70" i="5"/>
  <c r="AB70" i="6" s="1"/>
  <c r="AD70" i="6" s="1"/>
  <c r="AB70" i="7" s="1"/>
  <c r="AD70" i="7" s="1"/>
  <c r="AB70" i="8" s="1"/>
  <c r="AD71" i="5"/>
  <c r="AB71" i="6" s="1"/>
  <c r="AD71" i="6" s="1"/>
  <c r="AD72" i="5"/>
  <c r="AB72" i="6" s="1"/>
  <c r="AD72" i="6" s="1"/>
  <c r="AB72" i="7" s="1"/>
  <c r="AD72" i="7" s="1"/>
  <c r="AB72" i="8" s="1"/>
  <c r="AD72" i="8" s="1"/>
  <c r="AB72" i="9" s="1"/>
  <c r="AD72" i="9" s="1"/>
  <c r="AB72" i="10" s="1"/>
  <c r="AD72" i="10" s="1"/>
  <c r="AB72" i="11" s="1"/>
  <c r="AD72" i="11" s="1"/>
  <c r="AB72" i="12" s="1"/>
  <c r="AD72" i="12" s="1"/>
  <c r="AB72" i="13" s="1"/>
  <c r="AD72" i="13" s="1"/>
  <c r="AB72" i="14" s="1"/>
  <c r="AD72" i="14" s="1"/>
  <c r="AB72" i="15" s="1"/>
  <c r="AD72" i="15" s="1"/>
  <c r="AB72" i="16" s="1"/>
  <c r="AD72" i="16" s="1"/>
  <c r="AD73" i="5"/>
  <c r="AB73" i="6" s="1"/>
  <c r="AD73" i="6" s="1"/>
  <c r="AB73" i="7" s="1"/>
  <c r="AD73" i="7" s="1"/>
  <c r="AB73" i="8" s="1"/>
  <c r="AD73" i="8" s="1"/>
  <c r="AB73" i="9" s="1"/>
  <c r="AD73" i="9" s="1"/>
  <c r="AB73" i="10" s="1"/>
  <c r="AD73" i="10" s="1"/>
  <c r="AB73" i="11" s="1"/>
  <c r="AD73" i="11" s="1"/>
  <c r="AB73" i="12" s="1"/>
  <c r="AD73" i="12" s="1"/>
  <c r="AB73" i="13" s="1"/>
  <c r="AD73" i="13" s="1"/>
  <c r="AB73" i="14" s="1"/>
  <c r="AD73" i="14" s="1"/>
  <c r="AB73" i="15" s="1"/>
  <c r="AD73" i="15" s="1"/>
  <c r="AB73" i="16" s="1"/>
  <c r="AD73" i="16" s="1"/>
  <c r="AD74" i="5"/>
  <c r="AB74" i="6" s="1"/>
  <c r="AD74" i="6" s="1"/>
  <c r="AB74" i="7" s="1"/>
  <c r="AD74" i="7" s="1"/>
  <c r="AB74" i="8" s="1"/>
  <c r="AD74" i="8" s="1"/>
  <c r="AB74" i="9" s="1"/>
  <c r="AD74" i="9" s="1"/>
  <c r="AB74" i="10" s="1"/>
  <c r="AD74" i="10" s="1"/>
  <c r="AB74" i="11" s="1"/>
  <c r="AD74" i="11" s="1"/>
  <c r="AB74" i="12" s="1"/>
  <c r="AD74" i="12" s="1"/>
  <c r="AB74" i="13" s="1"/>
  <c r="AD74" i="13" s="1"/>
  <c r="AB74" i="14" s="1"/>
  <c r="AD74" i="14" s="1"/>
  <c r="AB74" i="15" s="1"/>
  <c r="AD75" i="5"/>
  <c r="AD76" i="5"/>
  <c r="AB76" i="6" s="1"/>
  <c r="AD76" i="6" s="1"/>
  <c r="AB76" i="7" s="1"/>
  <c r="AD76" i="7" s="1"/>
  <c r="AB76" i="8" s="1"/>
  <c r="AD76" i="8" s="1"/>
  <c r="AB76" i="9" s="1"/>
  <c r="AD76" i="9" s="1"/>
  <c r="AB76" i="10" s="1"/>
  <c r="AD76" i="10" s="1"/>
  <c r="AB76" i="11" s="1"/>
  <c r="AD76" i="11" s="1"/>
  <c r="AB76" i="12" s="1"/>
  <c r="AD76" i="12" s="1"/>
  <c r="AB76" i="13" s="1"/>
  <c r="AD76" i="13" s="1"/>
  <c r="AB76" i="14" s="1"/>
  <c r="AD76" i="14" s="1"/>
  <c r="AB76" i="15" s="1"/>
  <c r="AD76" i="15" s="1"/>
  <c r="AB76" i="16" s="1"/>
  <c r="AD76" i="16" s="1"/>
  <c r="AD77" i="5"/>
  <c r="AB77" i="6" s="1"/>
  <c r="AD77" i="6" s="1"/>
  <c r="AB77" i="7" s="1"/>
  <c r="AD77" i="7" s="1"/>
  <c r="AB77" i="8" s="1"/>
  <c r="AD77" i="8" s="1"/>
  <c r="AB77" i="9" s="1"/>
  <c r="AD77" i="9" s="1"/>
  <c r="AB77" i="10" s="1"/>
  <c r="AD77" i="10" s="1"/>
  <c r="AB77" i="11" s="1"/>
  <c r="AD77" i="11" s="1"/>
  <c r="AB77" i="12" s="1"/>
  <c r="AD77" i="12" s="1"/>
  <c r="AB77" i="13" s="1"/>
  <c r="AD77" i="13" s="1"/>
  <c r="AB77" i="14" s="1"/>
  <c r="AD77" i="14" s="1"/>
  <c r="AB77" i="15" s="1"/>
  <c r="AD77" i="15" s="1"/>
  <c r="AB77" i="16" s="1"/>
  <c r="AD77" i="16" s="1"/>
  <c r="AD78" i="5"/>
  <c r="AB78" i="6" s="1"/>
  <c r="AD78" i="6" s="1"/>
  <c r="AB78" i="7" s="1"/>
  <c r="AD78" i="7" s="1"/>
  <c r="AB78" i="8" s="1"/>
  <c r="AD78" i="8" s="1"/>
  <c r="AB78" i="9" s="1"/>
  <c r="AD78" i="9" s="1"/>
  <c r="AB78" i="10" s="1"/>
  <c r="AD78" i="10" s="1"/>
  <c r="AB78" i="11" s="1"/>
  <c r="AD78" i="11" s="1"/>
  <c r="AB78" i="12" s="1"/>
  <c r="AD78" i="12" s="1"/>
  <c r="AD79" i="5"/>
  <c r="AB79" i="6" s="1"/>
  <c r="AD79" i="6" s="1"/>
  <c r="AB79" i="7" s="1"/>
  <c r="AD79" i="7" s="1"/>
  <c r="AB79" i="8" s="1"/>
  <c r="AD79" i="8" s="1"/>
  <c r="AB79" i="9" s="1"/>
  <c r="AD79" i="9" s="1"/>
  <c r="AB79" i="10" s="1"/>
  <c r="AD79" i="10" s="1"/>
  <c r="AB79" i="11" s="1"/>
  <c r="AD79" i="11" s="1"/>
  <c r="AB79" i="12" s="1"/>
  <c r="AD79" i="12" s="1"/>
  <c r="AB79" i="13" s="1"/>
  <c r="AD79" i="13" s="1"/>
  <c r="AB79" i="14" s="1"/>
  <c r="AD79" i="14" s="1"/>
  <c r="AB79" i="15" s="1"/>
  <c r="AD79" i="15" s="1"/>
  <c r="AB79" i="16" s="1"/>
  <c r="AD79" i="16" s="1"/>
  <c r="AD80" i="5"/>
  <c r="AB80" i="6" s="1"/>
  <c r="AD80" i="6" s="1"/>
  <c r="AB80" i="7" s="1"/>
  <c r="AD80" i="7" s="1"/>
  <c r="AB80" i="8" s="1"/>
  <c r="AD80" i="8" s="1"/>
  <c r="AB80" i="9" s="1"/>
  <c r="AD80" i="9" s="1"/>
  <c r="AB80" i="10" s="1"/>
  <c r="AD80" i="10" s="1"/>
  <c r="AB80" i="11" s="1"/>
  <c r="AD80" i="11" s="1"/>
  <c r="AB80" i="12" s="1"/>
  <c r="AD80" i="12" s="1"/>
  <c r="AB80" i="13" s="1"/>
  <c r="AD80" i="13" s="1"/>
  <c r="AB80" i="14" s="1"/>
  <c r="AD80" i="14" s="1"/>
  <c r="AD81" i="5"/>
  <c r="AB81" i="6" s="1"/>
  <c r="AD81" i="6" s="1"/>
  <c r="AB81" i="7" s="1"/>
  <c r="AD81" i="7" s="1"/>
  <c r="AB81" i="8" s="1"/>
  <c r="AD81" i="8" s="1"/>
  <c r="AB81" i="9" s="1"/>
  <c r="AD81" i="9" s="1"/>
  <c r="AB81" i="10" s="1"/>
  <c r="AD81" i="10" s="1"/>
  <c r="AB81" i="11" s="1"/>
  <c r="AD81" i="11" s="1"/>
  <c r="AB81" i="12" s="1"/>
  <c r="AD81" i="12" s="1"/>
  <c r="AB81" i="13" s="1"/>
  <c r="AD81" i="13" s="1"/>
  <c r="AB81" i="14" s="1"/>
  <c r="AD81" i="14" s="1"/>
  <c r="AB81" i="15" s="1"/>
  <c r="AD81" i="15" s="1"/>
  <c r="AB81" i="16" s="1"/>
  <c r="AD81" i="16" s="1"/>
  <c r="AD84" i="5"/>
  <c r="AB84" i="6" s="1"/>
  <c r="AD84" i="6" s="1"/>
  <c r="AB84" i="7" s="1"/>
  <c r="AD84" i="7" s="1"/>
  <c r="AB84" i="8" s="1"/>
  <c r="AD84" i="8" s="1"/>
  <c r="AB84" i="9" s="1"/>
  <c r="AD84" i="9" s="1"/>
  <c r="AB84" i="10" s="1"/>
  <c r="AD84" i="10" s="1"/>
  <c r="AB84" i="11" s="1"/>
  <c r="AD84" i="11" s="1"/>
  <c r="AB84" i="12" s="1"/>
  <c r="AD84" i="12" s="1"/>
  <c r="AB84" i="13" s="1"/>
  <c r="AD84" i="13" s="1"/>
  <c r="AB84" i="14" s="1"/>
  <c r="AD84" i="14" s="1"/>
  <c r="AB84" i="15" s="1"/>
  <c r="AD84" i="15" s="1"/>
  <c r="AB84" i="16" s="1"/>
  <c r="AD84" i="16" s="1"/>
  <c r="AD85" i="5"/>
  <c r="AD86" i="5"/>
  <c r="AB86" i="6" s="1"/>
  <c r="AD86" i="6" s="1"/>
  <c r="AB86" i="7" s="1"/>
  <c r="AD86" i="7" s="1"/>
  <c r="AB86" i="8" s="1"/>
  <c r="AD86" i="8" s="1"/>
  <c r="AB86" i="9" s="1"/>
  <c r="AD86" i="9" s="1"/>
  <c r="AB86" i="10" s="1"/>
  <c r="AD86" i="10" s="1"/>
  <c r="AB86" i="11" s="1"/>
  <c r="AD86" i="11" s="1"/>
  <c r="AB86" i="12" s="1"/>
  <c r="AD86" i="12" s="1"/>
  <c r="AB86" i="13" s="1"/>
  <c r="AD86" i="13" s="1"/>
  <c r="AB86" i="14" s="1"/>
  <c r="AD86" i="14" s="1"/>
  <c r="AB86" i="15" s="1"/>
  <c r="AD86" i="15" s="1"/>
  <c r="AB86" i="16" s="1"/>
  <c r="AD86" i="16" s="1"/>
  <c r="AD87" i="5"/>
  <c r="AB87" i="6" s="1"/>
  <c r="AD87" i="6" s="1"/>
  <c r="AB87" i="7" s="1"/>
  <c r="AD87" i="7" s="1"/>
  <c r="AB87" i="8" s="1"/>
  <c r="AD87" i="8" s="1"/>
  <c r="AB87" i="9" s="1"/>
  <c r="AD87" i="9" s="1"/>
  <c r="AB87" i="10" s="1"/>
  <c r="AD87" i="10" s="1"/>
  <c r="AB87" i="11" s="1"/>
  <c r="AD87" i="11" s="1"/>
  <c r="AB87" i="12" s="1"/>
  <c r="AD87" i="12" s="1"/>
  <c r="AB87" i="13" s="1"/>
  <c r="AD87" i="13" s="1"/>
  <c r="AB87" i="14" s="1"/>
  <c r="AD87" i="14" s="1"/>
  <c r="AB87" i="15" s="1"/>
  <c r="AD87" i="15" s="1"/>
  <c r="AB87" i="16" s="1"/>
  <c r="AD87" i="16" s="1"/>
  <c r="AD88" i="5"/>
  <c r="AB88" i="6" s="1"/>
  <c r="AD88" i="6" s="1"/>
  <c r="AD92" i="5"/>
  <c r="AB92" i="6" s="1"/>
  <c r="AD93" i="5"/>
  <c r="AB93" i="6" s="1"/>
  <c r="AD93" i="6" s="1"/>
  <c r="AB93" i="7" s="1"/>
  <c r="AD93" i="7" s="1"/>
  <c r="AB93" i="8" s="1"/>
  <c r="AD93" i="8" s="1"/>
  <c r="AB93" i="9" s="1"/>
  <c r="AD93" i="9" s="1"/>
  <c r="AB93" i="10" s="1"/>
  <c r="AD93" i="10" s="1"/>
  <c r="AB93" i="11" s="1"/>
  <c r="AD93" i="11" s="1"/>
  <c r="AB93" i="12" s="1"/>
  <c r="AD93" i="12" s="1"/>
  <c r="AB93" i="13" s="1"/>
  <c r="AD93" i="13" s="1"/>
  <c r="AB93" i="14" s="1"/>
  <c r="AD93" i="14" s="1"/>
  <c r="AB93" i="15" s="1"/>
  <c r="AD93" i="15" s="1"/>
  <c r="AB93" i="16" s="1"/>
  <c r="AD94" i="5"/>
  <c r="AB94" i="6" s="1"/>
  <c r="AD94" i="6" s="1"/>
  <c r="AB94" i="7" s="1"/>
  <c r="AD94" i="7" s="1"/>
  <c r="AB94" i="8" s="1"/>
  <c r="AD94" i="8" s="1"/>
  <c r="AB94" i="9" s="1"/>
  <c r="AD94" i="9" s="1"/>
  <c r="AB94" i="10" s="1"/>
  <c r="AD94" i="10" s="1"/>
  <c r="AB94" i="11" s="1"/>
  <c r="AD94" i="11" s="1"/>
  <c r="AD95" i="5"/>
  <c r="AB95" i="6" s="1"/>
  <c r="AD95" i="6" s="1"/>
  <c r="AB95" i="7" s="1"/>
  <c r="AD95" i="7" s="1"/>
  <c r="AB95" i="8" s="1"/>
  <c r="AD95" i="8" s="1"/>
  <c r="AB95" i="9" s="1"/>
  <c r="AD95" i="9" s="1"/>
  <c r="AB95" i="10" s="1"/>
  <c r="AD95" i="10" s="1"/>
  <c r="AB95" i="11" s="1"/>
  <c r="AD95" i="11" s="1"/>
  <c r="AB95" i="12" s="1"/>
  <c r="AD95" i="12" s="1"/>
  <c r="AB95" i="13" s="1"/>
  <c r="AD95" i="13" s="1"/>
  <c r="AB95" i="14" s="1"/>
  <c r="AD95" i="14" s="1"/>
  <c r="AB95" i="15" s="1"/>
  <c r="AD95" i="15" s="1"/>
  <c r="AD97" i="5"/>
  <c r="AB97" i="6" s="1"/>
  <c r="AD97" i="6" s="1"/>
  <c r="AB97" i="7" s="1"/>
  <c r="AD98" i="5"/>
  <c r="AB98" i="6" s="1"/>
  <c r="AD98" i="6" s="1"/>
  <c r="AB98" i="7" s="1"/>
  <c r="AD98" i="7" s="1"/>
  <c r="AB98" i="8" s="1"/>
  <c r="AD98" i="8" s="1"/>
  <c r="AB98" i="9" s="1"/>
  <c r="AD98" i="9" s="1"/>
  <c r="AB98" i="10" s="1"/>
  <c r="AD98" i="10" s="1"/>
  <c r="AB98" i="11" s="1"/>
  <c r="AD98" i="11" s="1"/>
  <c r="AD99" i="5"/>
  <c r="AB99" i="6" s="1"/>
  <c r="AD100" i="5"/>
  <c r="AB100" i="6" s="1"/>
  <c r="AD100" i="6" s="1"/>
  <c r="AB100" i="7" s="1"/>
  <c r="AD100" i="7" s="1"/>
  <c r="AB100" i="8" s="1"/>
  <c r="AD100" i="8" s="1"/>
  <c r="AB100" i="9" s="1"/>
  <c r="AD100" i="9" s="1"/>
  <c r="AB100" i="10" s="1"/>
  <c r="AD100" i="10" s="1"/>
  <c r="AB100" i="11" s="1"/>
  <c r="AD100" i="11" s="1"/>
  <c r="AB100" i="12" s="1"/>
  <c r="AD100" i="12" s="1"/>
  <c r="AB100" i="13" s="1"/>
  <c r="AD100" i="13" s="1"/>
  <c r="AB100" i="14" s="1"/>
  <c r="AD100" i="14" s="1"/>
  <c r="AB100" i="15" s="1"/>
  <c r="AD100" i="15" s="1"/>
  <c r="AB100" i="16" s="1"/>
  <c r="AD100" i="16" s="1"/>
  <c r="AD101" i="5"/>
  <c r="AB101" i="6" s="1"/>
  <c r="AD101" i="6" s="1"/>
  <c r="AB101" i="7" s="1"/>
  <c r="AD101" i="7" s="1"/>
  <c r="AB101" i="8" s="1"/>
  <c r="AD101" i="8" s="1"/>
  <c r="AB101" i="9" s="1"/>
  <c r="AD101" i="9" s="1"/>
  <c r="AB101" i="10" s="1"/>
  <c r="AD101" i="10" s="1"/>
  <c r="AB101" i="11" s="1"/>
  <c r="AD101" i="11" s="1"/>
  <c r="AB101" i="12" s="1"/>
  <c r="AD101" i="12" s="1"/>
  <c r="AB101" i="13" s="1"/>
  <c r="AD101" i="13" s="1"/>
  <c r="AB101" i="14" s="1"/>
  <c r="AD101" i="14" s="1"/>
  <c r="AB101" i="15" s="1"/>
  <c r="AD101" i="15" s="1"/>
  <c r="AB101" i="16" s="1"/>
  <c r="AD101" i="16" s="1"/>
  <c r="AD102" i="5"/>
  <c r="AB102" i="6" s="1"/>
  <c r="AD102" i="6" s="1"/>
  <c r="AB102" i="7" s="1"/>
  <c r="AD102" i="7" s="1"/>
  <c r="AB102" i="8" s="1"/>
  <c r="AD102" i="8" s="1"/>
  <c r="AB102" i="9" s="1"/>
  <c r="AD102" i="9" s="1"/>
  <c r="AB102" i="10" s="1"/>
  <c r="AD102" i="10" s="1"/>
  <c r="AB102" i="11" s="1"/>
  <c r="AD102" i="11" s="1"/>
  <c r="AB102" i="12" s="1"/>
  <c r="AD102" i="12" s="1"/>
  <c r="AB102" i="13" s="1"/>
  <c r="AD102" i="13" s="1"/>
  <c r="AB102" i="14" s="1"/>
  <c r="AD102" i="14" s="1"/>
  <c r="AB102" i="15" s="1"/>
  <c r="AD102" i="15" s="1"/>
  <c r="AB102" i="16" s="1"/>
  <c r="AD102" i="16" s="1"/>
  <c r="AD106" i="5"/>
  <c r="AB106" i="6" s="1"/>
  <c r="AD107" i="5"/>
  <c r="AB107" i="6" s="1"/>
  <c r="AD107" i="6" s="1"/>
  <c r="AB107" i="7" s="1"/>
  <c r="AD108" i="5"/>
  <c r="AB108" i="6" s="1"/>
  <c r="AD108" i="6" s="1"/>
  <c r="AB108" i="7" s="1"/>
  <c r="AD108" i="7" s="1"/>
  <c r="AB108" i="8" s="1"/>
  <c r="AD108" i="8" s="1"/>
  <c r="AB108" i="9" s="1"/>
  <c r="AD108" i="9" s="1"/>
  <c r="AB108" i="10" s="1"/>
  <c r="AD108" i="10" s="1"/>
  <c r="AB108" i="11" s="1"/>
  <c r="AD108" i="11" s="1"/>
  <c r="AB108" i="12" s="1"/>
  <c r="AD108" i="12" s="1"/>
  <c r="AB108" i="13" s="1"/>
  <c r="AD108" i="13" s="1"/>
  <c r="AB108" i="14" s="1"/>
  <c r="AD108" i="14" s="1"/>
  <c r="AB108" i="15" s="1"/>
  <c r="AD108" i="15" s="1"/>
  <c r="AB108" i="16" s="1"/>
  <c r="AD108" i="16" s="1"/>
  <c r="AD115" i="5"/>
  <c r="AB115" i="6" s="1"/>
  <c r="AD115" i="6" s="1"/>
  <c r="AB115" i="7" s="1"/>
  <c r="AD115" i="7" s="1"/>
  <c r="AB115" i="8" s="1"/>
  <c r="AD115" i="8" s="1"/>
  <c r="AB115" i="9" s="1"/>
  <c r="AD115" i="9" s="1"/>
  <c r="AB115" i="10" s="1"/>
  <c r="AD115" i="10" s="1"/>
  <c r="AB115" i="11" s="1"/>
  <c r="AD115" i="11" s="1"/>
  <c r="AB115" i="12" s="1"/>
  <c r="AD115" i="12" s="1"/>
  <c r="AB115" i="13" s="1"/>
  <c r="AD115" i="13" s="1"/>
  <c r="AB115" i="14" s="1"/>
  <c r="AD115" i="14" s="1"/>
  <c r="AB115" i="15" s="1"/>
  <c r="AD115" i="15" s="1"/>
  <c r="AD116" i="5"/>
  <c r="AB116" i="6" s="1"/>
  <c r="AD116" i="6" s="1"/>
  <c r="AB116" i="7" s="1"/>
  <c r="AD116" i="7" s="1"/>
  <c r="AD117" i="5"/>
  <c r="AB117" i="6" s="1"/>
  <c r="AD118" i="5"/>
  <c r="AB118" i="6" s="1"/>
  <c r="AD118" i="6" s="1"/>
  <c r="AB118" i="7" s="1"/>
  <c r="AD118" i="7" s="1"/>
  <c r="AB118" i="8" s="1"/>
  <c r="AD118" i="8" s="1"/>
  <c r="AB118" i="9" s="1"/>
  <c r="AD118" i="9" s="1"/>
  <c r="AB118" i="10" s="1"/>
  <c r="AD118" i="10" s="1"/>
  <c r="AB118" i="11" s="1"/>
  <c r="AD118" i="11" s="1"/>
  <c r="AB118" i="12" s="1"/>
  <c r="AD118" i="12" s="1"/>
  <c r="AB118" i="13" s="1"/>
  <c r="AD118" i="13" s="1"/>
  <c r="AB118" i="14" s="1"/>
  <c r="AD118" i="14" s="1"/>
  <c r="AB118" i="15" s="1"/>
  <c r="AD118" i="15" s="1"/>
  <c r="AB118" i="16" s="1"/>
  <c r="AD118" i="16" s="1"/>
  <c r="AD119" i="5"/>
  <c r="AB119" i="6" s="1"/>
  <c r="AD119" i="6" s="1"/>
  <c r="AB119" i="7" s="1"/>
  <c r="AD119" i="7" s="1"/>
  <c r="AB119" i="8" s="1"/>
  <c r="AD119" i="8" s="1"/>
  <c r="AB119" i="9" s="1"/>
  <c r="AD119" i="9" s="1"/>
  <c r="AB119" i="10" s="1"/>
  <c r="AD119" i="10" s="1"/>
  <c r="AB119" i="11" s="1"/>
  <c r="AD119" i="11" s="1"/>
  <c r="AB119" i="12" s="1"/>
  <c r="AD119" i="12" s="1"/>
  <c r="AB119" i="13" s="1"/>
  <c r="AD119" i="13" s="1"/>
  <c r="AB119" i="14" s="1"/>
  <c r="AD119" i="14" s="1"/>
  <c r="AB119" i="15" s="1"/>
  <c r="AD119" i="15" s="1"/>
  <c r="AB119" i="16" s="1"/>
  <c r="AD119" i="16" s="1"/>
  <c r="AD120" i="5"/>
  <c r="AB120" i="6" s="1"/>
  <c r="AD120" i="6" s="1"/>
  <c r="AB120" i="7" s="1"/>
  <c r="AD120" i="7" s="1"/>
  <c r="AB120" i="8" s="1"/>
  <c r="AD120" i="8" s="1"/>
  <c r="AB120" i="9" s="1"/>
  <c r="AD120" i="9" s="1"/>
  <c r="AB120" i="10" s="1"/>
  <c r="AD120" i="10" s="1"/>
  <c r="AB120" i="11" s="1"/>
  <c r="AD120" i="11" s="1"/>
  <c r="AB120" i="12" s="1"/>
  <c r="AD120" i="12" s="1"/>
  <c r="AB120" i="13" s="1"/>
  <c r="AD120" i="13" s="1"/>
  <c r="AB120" i="14" s="1"/>
  <c r="AD120" i="14" s="1"/>
  <c r="AB120" i="15" s="1"/>
  <c r="AD120" i="15" s="1"/>
  <c r="AB120" i="16" s="1"/>
  <c r="AD120" i="16" s="1"/>
  <c r="AD121" i="5"/>
  <c r="AB121" i="6" s="1"/>
  <c r="AD121" i="6" s="1"/>
  <c r="AB121" i="7" s="1"/>
  <c r="AD121" i="7" s="1"/>
  <c r="AB121" i="8" s="1"/>
  <c r="AD121" i="8" s="1"/>
  <c r="AB121" i="9" s="1"/>
  <c r="AD121" i="9" s="1"/>
  <c r="AB121" i="10" s="1"/>
  <c r="AD121" i="10" s="1"/>
  <c r="AB121" i="11" s="1"/>
  <c r="AD121" i="11" s="1"/>
  <c r="AB121" i="12" s="1"/>
  <c r="AD121" i="12" s="1"/>
  <c r="AB121" i="13" s="1"/>
  <c r="AD121" i="13" s="1"/>
  <c r="AB121" i="14" s="1"/>
  <c r="AD121" i="14" s="1"/>
  <c r="AD124" i="5"/>
  <c r="AB124" i="6" s="1"/>
  <c r="AD124" i="6" s="1"/>
  <c r="AB124" i="7" s="1"/>
  <c r="AD124" i="7" s="1"/>
  <c r="AB124" i="8" s="1"/>
  <c r="AD124" i="8" s="1"/>
  <c r="AB124" i="9" s="1"/>
  <c r="AD124" i="9" s="1"/>
  <c r="AB124" i="10" s="1"/>
  <c r="AD124" i="10" s="1"/>
  <c r="AB124" i="11" s="1"/>
  <c r="AD124" i="11" s="1"/>
  <c r="AB124" i="12" s="1"/>
  <c r="AD124" i="12" s="1"/>
  <c r="AB124" i="13" s="1"/>
  <c r="AD124" i="13" s="1"/>
  <c r="AB124" i="14" s="1"/>
  <c r="AD124" i="14" s="1"/>
  <c r="AB124" i="15" s="1"/>
  <c r="AD124" i="15" s="1"/>
  <c r="AB124" i="16" s="1"/>
  <c r="AD124" i="16" s="1"/>
  <c r="AD125" i="5"/>
  <c r="AD126" i="5"/>
  <c r="AB126" i="6" s="1"/>
  <c r="AD126" i="6" s="1"/>
  <c r="AB126" i="7" s="1"/>
  <c r="AD126" i="7" s="1"/>
  <c r="AB126" i="8" s="1"/>
  <c r="AD126" i="8" s="1"/>
  <c r="AB126" i="9" s="1"/>
  <c r="AD126" i="9" s="1"/>
  <c r="AB126" i="10" s="1"/>
  <c r="AD126" i="10" s="1"/>
  <c r="AB126" i="11" s="1"/>
  <c r="AD126" i="11" s="1"/>
  <c r="AB126" i="12" s="1"/>
  <c r="AD126" i="12" s="1"/>
  <c r="AB126" i="13" s="1"/>
  <c r="AD126" i="13" s="1"/>
  <c r="AB126" i="14" s="1"/>
  <c r="AD126" i="14" s="1"/>
  <c r="AB126" i="15" s="1"/>
  <c r="AD126" i="15" s="1"/>
  <c r="AB126" i="16" s="1"/>
  <c r="AD126" i="16" s="1"/>
  <c r="AD127" i="5"/>
  <c r="AB127" i="6" s="1"/>
  <c r="AD127" i="6" s="1"/>
  <c r="AB127" i="7" s="1"/>
  <c r="AD127" i="7" s="1"/>
  <c r="AB127" i="8" s="1"/>
  <c r="AD127" i="8" s="1"/>
  <c r="AB127" i="9" s="1"/>
  <c r="AD127" i="9" s="1"/>
  <c r="AB127" i="10" s="1"/>
  <c r="AD127" i="10" s="1"/>
  <c r="AB127" i="11" s="1"/>
  <c r="AD127" i="11" s="1"/>
  <c r="AB127" i="12" s="1"/>
  <c r="AD127" i="12" s="1"/>
  <c r="AB127" i="13" s="1"/>
  <c r="AD127" i="13" s="1"/>
  <c r="AB127" i="14" s="1"/>
  <c r="AD127" i="14" s="1"/>
  <c r="AB127" i="15" s="1"/>
  <c r="AD127" i="15" s="1"/>
  <c r="AB127" i="16" s="1"/>
  <c r="AD127" i="16" s="1"/>
  <c r="AD128" i="5"/>
  <c r="AB128" i="6" s="1"/>
  <c r="AD128" i="6" s="1"/>
  <c r="AB128" i="7" s="1"/>
  <c r="AD128" i="7" s="1"/>
  <c r="AB128" i="8" s="1"/>
  <c r="AD128" i="8" s="1"/>
  <c r="AB128" i="9" s="1"/>
  <c r="AD128" i="9" s="1"/>
  <c r="AB128" i="10" s="1"/>
  <c r="AD128" i="10" s="1"/>
  <c r="AB128" i="11" s="1"/>
  <c r="AD128" i="11" s="1"/>
  <c r="AB128" i="12" s="1"/>
  <c r="AD128" i="12" s="1"/>
  <c r="AB128" i="13" s="1"/>
  <c r="AD128" i="13" s="1"/>
  <c r="AB128" i="14" s="1"/>
  <c r="AD128" i="14" s="1"/>
  <c r="AB128" i="15" s="1"/>
  <c r="AD128" i="15" s="1"/>
  <c r="AB128" i="16" s="1"/>
  <c r="AD128" i="16" s="1"/>
  <c r="AD129" i="5"/>
  <c r="AB129" i="6" s="1"/>
  <c r="AD129" i="6" s="1"/>
  <c r="AB129" i="7" s="1"/>
  <c r="AD129" i="7" s="1"/>
  <c r="AB129" i="8" s="1"/>
  <c r="AD129" i="8" s="1"/>
  <c r="AB129" i="9" s="1"/>
  <c r="AD129" i="9" s="1"/>
  <c r="AB129" i="10" s="1"/>
  <c r="AD129" i="10" s="1"/>
  <c r="AB129" i="11" s="1"/>
  <c r="AD129" i="11" s="1"/>
  <c r="AD130" i="5"/>
  <c r="AB130" i="6" s="1"/>
  <c r="AD130" i="6" s="1"/>
  <c r="AD131" i="5"/>
  <c r="AB131" i="6" s="1"/>
  <c r="AD131" i="6" s="1"/>
  <c r="AB131" i="7" s="1"/>
  <c r="AD131" i="7" s="1"/>
  <c r="AB131" i="8" s="1"/>
  <c r="AD131" i="8" s="1"/>
  <c r="AB131" i="9" s="1"/>
  <c r="AD131" i="9" s="1"/>
  <c r="AB131" i="10" s="1"/>
  <c r="AD131" i="10" s="1"/>
  <c r="AB131" i="11" s="1"/>
  <c r="AD131" i="11" s="1"/>
  <c r="AB131" i="12" s="1"/>
  <c r="AD131" i="12" s="1"/>
  <c r="AB131" i="13" s="1"/>
  <c r="AD131" i="13" s="1"/>
  <c r="AB131" i="14" s="1"/>
  <c r="AD131" i="14" s="1"/>
  <c r="AB131" i="15" s="1"/>
  <c r="AD131" i="15" s="1"/>
  <c r="AB131" i="16" s="1"/>
  <c r="AD131" i="16" s="1"/>
  <c r="AD132" i="5"/>
  <c r="AB132" i="6" s="1"/>
  <c r="AD132" i="6" s="1"/>
  <c r="AB132" i="7" s="1"/>
  <c r="AD132" i="7" s="1"/>
  <c r="AB132" i="8" s="1"/>
  <c r="AD132" i="8" s="1"/>
  <c r="AB132" i="9" s="1"/>
  <c r="AD132" i="9" s="1"/>
  <c r="AB132" i="10" s="1"/>
  <c r="AD132" i="10" s="1"/>
  <c r="AD133" i="5"/>
  <c r="AB133" i="6" s="1"/>
  <c r="AD133" i="6" s="1"/>
  <c r="AB133" i="7" s="1"/>
  <c r="AD133" i="7" s="1"/>
  <c r="AB133" i="8" s="1"/>
  <c r="AD133" i="8" s="1"/>
  <c r="AB133" i="9" s="1"/>
  <c r="AD133" i="9" s="1"/>
  <c r="AB133" i="10" s="1"/>
  <c r="AD133" i="10" s="1"/>
  <c r="AB133" i="11" s="1"/>
  <c r="AD133" i="11" s="1"/>
  <c r="AB133" i="12" s="1"/>
  <c r="AD133" i="12" s="1"/>
  <c r="AB133" i="13" s="1"/>
  <c r="AD133" i="13" s="1"/>
  <c r="AB133" i="14" s="1"/>
  <c r="AD133" i="14" s="1"/>
  <c r="AB133" i="15" s="1"/>
  <c r="AD133" i="15" s="1"/>
  <c r="AB133" i="16" s="1"/>
  <c r="AD133" i="16" s="1"/>
  <c r="AD134" i="5"/>
  <c r="AB134" i="6" s="1"/>
  <c r="AD134" i="6" s="1"/>
  <c r="AB134" i="7" s="1"/>
  <c r="AD134" i="7" s="1"/>
  <c r="AD135" i="5"/>
  <c r="AB135" i="6" s="1"/>
  <c r="AD135" i="6" s="1"/>
  <c r="AB135" i="7" s="1"/>
  <c r="AD135" i="7" s="1"/>
  <c r="AB135" i="8" s="1"/>
  <c r="AD135" i="8" s="1"/>
  <c r="AB135" i="9" s="1"/>
  <c r="AD135" i="9" s="1"/>
  <c r="AB135" i="10" s="1"/>
  <c r="AD135" i="10" s="1"/>
  <c r="AB135" i="11" s="1"/>
  <c r="AD135" i="11" s="1"/>
  <c r="AB135" i="12" s="1"/>
  <c r="AD135" i="12" s="1"/>
  <c r="AD136" i="5"/>
  <c r="AB136" i="6" s="1"/>
  <c r="AD136" i="6" s="1"/>
  <c r="AB136" i="7" s="1"/>
  <c r="AD136" i="7" s="1"/>
  <c r="AD137" i="5"/>
  <c r="AB137" i="6" s="1"/>
  <c r="AD137" i="6" s="1"/>
  <c r="AB137" i="7" s="1"/>
  <c r="AD137" i="7" s="1"/>
  <c r="AB137" i="8" s="1"/>
  <c r="AD137" i="8" s="1"/>
  <c r="AB137" i="9" s="1"/>
  <c r="AD137" i="9" s="1"/>
  <c r="AB137" i="10" s="1"/>
  <c r="AD137" i="10" s="1"/>
  <c r="AB137" i="11" s="1"/>
  <c r="AD137" i="11" s="1"/>
  <c r="AB137" i="12" s="1"/>
  <c r="AD137" i="12" s="1"/>
  <c r="AB137" i="13" s="1"/>
  <c r="AD137" i="13" s="1"/>
  <c r="AB137" i="14" s="1"/>
  <c r="AD137" i="14" s="1"/>
  <c r="AB137" i="15" s="1"/>
  <c r="AD137" i="15" s="1"/>
  <c r="AB137" i="16" s="1"/>
  <c r="AD137" i="16" s="1"/>
  <c r="AD138" i="5"/>
  <c r="AB138" i="6" s="1"/>
  <c r="AD138" i="6" s="1"/>
  <c r="AB138" i="7" s="1"/>
  <c r="AD138" i="7" s="1"/>
  <c r="AB138" i="8" s="1"/>
  <c r="AD138" i="8" s="1"/>
  <c r="AB138" i="9" s="1"/>
  <c r="AD138" i="9" s="1"/>
  <c r="AB138" i="10" s="1"/>
  <c r="AD138" i="10" s="1"/>
  <c r="AD139" i="5"/>
  <c r="AB139" i="6" s="1"/>
  <c r="AD139" i="6" s="1"/>
  <c r="AB139" i="7" s="1"/>
  <c r="AD139" i="7" s="1"/>
  <c r="AB139" i="8" s="1"/>
  <c r="AD139" i="8" s="1"/>
  <c r="AB139" i="9" s="1"/>
  <c r="AD139" i="9" s="1"/>
  <c r="AB139" i="10" s="1"/>
  <c r="AD139" i="10" s="1"/>
  <c r="AB139" i="11" s="1"/>
  <c r="AD139" i="11" s="1"/>
  <c r="AB139" i="12" s="1"/>
  <c r="AD139" i="12" s="1"/>
  <c r="AB139" i="13" s="1"/>
  <c r="AD139" i="13" s="1"/>
  <c r="AB139" i="14" s="1"/>
  <c r="AD139" i="14" s="1"/>
  <c r="AB139" i="15" s="1"/>
  <c r="AD139" i="15" s="1"/>
  <c r="AB139" i="16" s="1"/>
  <c r="AD139" i="16" s="1"/>
  <c r="AD142" i="5"/>
  <c r="AD143" i="5"/>
  <c r="AB143" i="6" s="1"/>
  <c r="AD143" i="6" s="1"/>
  <c r="AB143" i="7" s="1"/>
  <c r="AD143" i="7" s="1"/>
  <c r="AB143" i="8" s="1"/>
  <c r="AD143" i="8" s="1"/>
  <c r="AB143" i="9" s="1"/>
  <c r="AD148" i="5"/>
  <c r="AB148" i="6" s="1"/>
  <c r="AD148" i="6" s="1"/>
  <c r="AB148" i="7" s="1"/>
  <c r="AD148" i="7" s="1"/>
  <c r="AB148" i="8" s="1"/>
  <c r="AD148" i="8" s="1"/>
  <c r="AB148" i="9" s="1"/>
  <c r="AD148" i="9" s="1"/>
  <c r="AB148" i="10" s="1"/>
  <c r="AD148" i="10" s="1"/>
  <c r="AB148" i="11" s="1"/>
  <c r="AD148" i="11" s="1"/>
  <c r="AB148" i="12" s="1"/>
  <c r="AD148" i="12" s="1"/>
  <c r="AB148" i="13" s="1"/>
  <c r="AD148" i="13" s="1"/>
  <c r="AB148" i="14" s="1"/>
  <c r="AD148" i="14" s="1"/>
  <c r="AB148" i="15" s="1"/>
  <c r="AD148" i="15" s="1"/>
  <c r="AB148" i="16" s="1"/>
  <c r="AD148" i="16" s="1"/>
  <c r="K10" i="18" s="1"/>
  <c r="AD150" i="5"/>
  <c r="AB150" i="6" s="1"/>
  <c r="AD150" i="6" s="1"/>
  <c r="AB150" i="7" s="1"/>
  <c r="AD150" i="7" s="1"/>
  <c r="AB150" i="8" s="1"/>
  <c r="AD150" i="8" s="1"/>
  <c r="AB150" i="9" s="1"/>
  <c r="AD150" i="9" s="1"/>
  <c r="AB150" i="10" s="1"/>
  <c r="AD150" i="10" s="1"/>
  <c r="AB150" i="11" s="1"/>
  <c r="AD150" i="11" s="1"/>
  <c r="AB150" i="12" s="1"/>
  <c r="AD150" i="12" s="1"/>
  <c r="AB150" i="13" s="1"/>
  <c r="AD150" i="13" s="1"/>
  <c r="AB150" i="14" s="1"/>
  <c r="AD150" i="14" s="1"/>
  <c r="AB150" i="15" s="1"/>
  <c r="AD150" i="15" s="1"/>
  <c r="AB150" i="16" s="1"/>
  <c r="AD150" i="16" s="1"/>
  <c r="AD151" i="5"/>
  <c r="AB151" i="6" s="1"/>
  <c r="AD151" i="6" s="1"/>
  <c r="AB151" i="7" s="1"/>
  <c r="AD151" i="7" s="1"/>
  <c r="AB151" i="8" s="1"/>
  <c r="AD151" i="8" s="1"/>
  <c r="AB151" i="9" s="1"/>
  <c r="AD151" i="9" s="1"/>
  <c r="AB151" i="10" s="1"/>
  <c r="AD151" i="10" s="1"/>
  <c r="AB151" i="11" s="1"/>
  <c r="AD151" i="11" s="1"/>
  <c r="AB151" i="12" s="1"/>
  <c r="AD151" i="12" s="1"/>
  <c r="AB151" i="13" s="1"/>
  <c r="AD151" i="13" s="1"/>
  <c r="AD152" i="5"/>
  <c r="AD153" i="5"/>
  <c r="AB153" i="6" s="1"/>
  <c r="AD153" i="6" s="1"/>
  <c r="AB153" i="7" s="1"/>
  <c r="AD153" i="7" s="1"/>
  <c r="AB153" i="8" s="1"/>
  <c r="AD153" i="8" s="1"/>
  <c r="AB153" i="9" s="1"/>
  <c r="AD153" i="9" s="1"/>
  <c r="AB153" i="10" s="1"/>
  <c r="AD153" i="10" s="1"/>
  <c r="AB153" i="11" s="1"/>
  <c r="AD153" i="11" s="1"/>
  <c r="AB153" i="12" s="1"/>
  <c r="AD153" i="12" s="1"/>
  <c r="AB153" i="13" s="1"/>
  <c r="AD153" i="13" s="1"/>
  <c r="AB153" i="14" s="1"/>
  <c r="AD156" i="5"/>
  <c r="AB156" i="6" s="1"/>
  <c r="AD156" i="6" s="1"/>
  <c r="AB156" i="7" s="1"/>
  <c r="AD156" i="7" s="1"/>
  <c r="AB156" i="8" s="1"/>
  <c r="AD156" i="8" s="1"/>
  <c r="AB156" i="9" s="1"/>
  <c r="AD156" i="9" s="1"/>
  <c r="AB156" i="10" s="1"/>
  <c r="AD156" i="10" s="1"/>
  <c r="AB156" i="11" s="1"/>
  <c r="AD156" i="11" s="1"/>
  <c r="AB156" i="12" s="1"/>
  <c r="AD156" i="12" s="1"/>
  <c r="AB156" i="13" s="1"/>
  <c r="AD156" i="13" s="1"/>
  <c r="AB156" i="14" s="1"/>
  <c r="AD156" i="14" s="1"/>
  <c r="AB156" i="15" s="1"/>
  <c r="AD156" i="15" s="1"/>
  <c r="AB156" i="16" s="1"/>
  <c r="AD156" i="16" s="1"/>
  <c r="L10" i="18" s="1"/>
  <c r="AD158" i="5"/>
  <c r="AB158" i="6" s="1"/>
  <c r="AD158" i="6" s="1"/>
  <c r="AB158" i="7" s="1"/>
  <c r="AD158" i="7" s="1"/>
  <c r="AB158" i="8" s="1"/>
  <c r="AD158" i="8" s="1"/>
  <c r="AB158" i="9" s="1"/>
  <c r="AD158" i="9" s="1"/>
  <c r="AB158" i="10" s="1"/>
  <c r="AD158" i="10" s="1"/>
  <c r="AB158" i="11" s="1"/>
  <c r="AD158" i="11" s="1"/>
  <c r="AB158" i="12" s="1"/>
  <c r="AD158" i="12" s="1"/>
  <c r="AB158" i="13" s="1"/>
  <c r="AD158" i="13" s="1"/>
  <c r="AB158" i="14" s="1"/>
  <c r="AD159" i="5"/>
  <c r="AB159" i="6" s="1"/>
  <c r="AD159" i="6" s="1"/>
  <c r="AB159" i="7" s="1"/>
  <c r="AD159" i="7" s="1"/>
  <c r="AB159" i="8" s="1"/>
  <c r="AD159" i="8" s="1"/>
  <c r="AB159" i="9" s="1"/>
  <c r="AD159" i="9" s="1"/>
  <c r="AB159" i="10" s="1"/>
  <c r="AD159" i="10" s="1"/>
  <c r="AB159" i="11" s="1"/>
  <c r="AD159" i="11" s="1"/>
  <c r="AB159" i="12" s="1"/>
  <c r="AD159" i="12" s="1"/>
  <c r="AB159" i="13" s="1"/>
  <c r="AD159" i="13" s="1"/>
  <c r="AB159" i="14" s="1"/>
  <c r="AD159" i="14" s="1"/>
  <c r="AB159" i="15" s="1"/>
  <c r="AD159" i="15" s="1"/>
  <c r="AB159" i="16" s="1"/>
  <c r="AD159" i="16" s="1"/>
  <c r="AD160" i="5"/>
  <c r="AB160" i="6" s="1"/>
  <c r="AD160" i="6" s="1"/>
  <c r="AB160" i="7" s="1"/>
  <c r="AD160" i="7" s="1"/>
  <c r="AB160" i="8" s="1"/>
  <c r="AD160" i="8" s="1"/>
  <c r="AB160" i="9" s="1"/>
  <c r="AD160" i="9" s="1"/>
  <c r="AB160" i="10" s="1"/>
  <c r="AD160" i="10" s="1"/>
  <c r="AB160" i="11" s="1"/>
  <c r="AD160" i="11" s="1"/>
  <c r="AB160" i="12" s="1"/>
  <c r="AD160" i="12" s="1"/>
  <c r="AB160" i="13" s="1"/>
  <c r="AD160" i="13" s="1"/>
  <c r="AB160" i="14" s="1"/>
  <c r="AD160" i="14" s="1"/>
  <c r="AB160" i="15" s="1"/>
  <c r="AD160" i="15" s="1"/>
  <c r="AB160" i="16" s="1"/>
  <c r="AD160" i="16" s="1"/>
  <c r="AD161" i="5"/>
  <c r="AD162" i="5"/>
  <c r="AB162" i="6" s="1"/>
  <c r="AD162" i="6" s="1"/>
  <c r="AB162" i="7" s="1"/>
  <c r="AD162" i="7" s="1"/>
  <c r="AB162" i="8" s="1"/>
  <c r="AD162" i="8" s="1"/>
  <c r="AB162" i="9" s="1"/>
  <c r="AD162" i="9" s="1"/>
  <c r="AB162" i="10" s="1"/>
  <c r="AD162" i="10" s="1"/>
  <c r="AB162" i="11" s="1"/>
  <c r="AD162" i="11" s="1"/>
  <c r="AB162" i="12" s="1"/>
  <c r="AD162" i="12" s="1"/>
  <c r="AB162" i="13" s="1"/>
  <c r="AD162" i="13" s="1"/>
  <c r="AB162" i="14" s="1"/>
  <c r="AD162" i="14" s="1"/>
  <c r="AB162" i="15" s="1"/>
  <c r="AD162" i="15" s="1"/>
  <c r="AB162" i="16" s="1"/>
  <c r="AD162" i="16" s="1"/>
  <c r="AD163" i="5"/>
  <c r="AB163" i="6" s="1"/>
  <c r="AD163" i="6" s="1"/>
  <c r="AB163" i="7" s="1"/>
  <c r="AD163" i="7" s="1"/>
  <c r="AB163" i="8" s="1"/>
  <c r="AD163" i="8" s="1"/>
  <c r="AB163" i="9" s="1"/>
  <c r="AD163" i="9" s="1"/>
  <c r="AB163" i="10" s="1"/>
  <c r="AD163" i="10" s="1"/>
  <c r="AB163" i="11" s="1"/>
  <c r="AD163" i="11" s="1"/>
  <c r="AB163" i="12" s="1"/>
  <c r="AD163" i="12" s="1"/>
  <c r="AB163" i="13" s="1"/>
  <c r="AD163" i="13" s="1"/>
  <c r="AB163" i="14" s="1"/>
  <c r="AD163" i="14" s="1"/>
  <c r="AB163" i="15" s="1"/>
  <c r="AD163" i="15" s="1"/>
  <c r="AB163" i="16" s="1"/>
  <c r="AD163" i="16" s="1"/>
  <c r="AD164" i="5"/>
  <c r="AB164" i="6" s="1"/>
  <c r="AD164" i="6" s="1"/>
  <c r="AB164" i="7" s="1"/>
  <c r="AD164" i="7" s="1"/>
  <c r="AB164" i="8" s="1"/>
  <c r="AD164" i="8" s="1"/>
  <c r="AB164" i="9" s="1"/>
  <c r="AD164" i="9" s="1"/>
  <c r="AB164" i="10" s="1"/>
  <c r="AD164" i="10" s="1"/>
  <c r="AB164" i="11" s="1"/>
  <c r="AD164" i="11" s="1"/>
  <c r="AB164" i="12" s="1"/>
  <c r="AD164" i="12" s="1"/>
  <c r="AB164" i="13" s="1"/>
  <c r="AD164" i="13" s="1"/>
  <c r="AB164" i="14" s="1"/>
  <c r="AD164" i="14" s="1"/>
  <c r="AB164" i="15" s="1"/>
  <c r="AD164" i="15" s="1"/>
  <c r="AB164" i="16" s="1"/>
  <c r="AD164" i="16" s="1"/>
  <c r="AD165" i="5"/>
  <c r="AB165" i="6" s="1"/>
  <c r="AD165" i="6" s="1"/>
  <c r="AB165" i="7" s="1"/>
  <c r="AD165" i="7" s="1"/>
  <c r="AB165" i="8" s="1"/>
  <c r="AD165" i="8" s="1"/>
  <c r="AB165" i="9" s="1"/>
  <c r="AD165" i="9" s="1"/>
  <c r="AB165" i="10" s="1"/>
  <c r="AD165" i="10" s="1"/>
  <c r="AB165" i="11" s="1"/>
  <c r="AD165" i="11" s="1"/>
  <c r="AB165" i="12" s="1"/>
  <c r="AD165" i="12" s="1"/>
  <c r="AB165" i="13" s="1"/>
  <c r="AD165" i="13" s="1"/>
  <c r="AB165" i="14" s="1"/>
  <c r="AD165" i="14" s="1"/>
  <c r="AB165" i="15" s="1"/>
  <c r="AD165" i="15" s="1"/>
  <c r="AB165" i="16" s="1"/>
  <c r="AD165" i="16" s="1"/>
  <c r="AD166" i="5"/>
  <c r="AB166" i="6" s="1"/>
  <c r="AD166" i="6" s="1"/>
  <c r="AB166" i="7" s="1"/>
  <c r="AD166" i="7" s="1"/>
  <c r="AB166" i="8" s="1"/>
  <c r="AD167" i="5"/>
  <c r="AB167" i="6" s="1"/>
  <c r="AD167" i="6" s="1"/>
  <c r="AB167" i="7" s="1"/>
  <c r="AD167" i="7" s="1"/>
  <c r="AB167" i="8" s="1"/>
  <c r="AD167" i="8" s="1"/>
  <c r="AB167" i="9" s="1"/>
  <c r="AD167" i="9" s="1"/>
  <c r="AB167" i="10" s="1"/>
  <c r="AD167" i="10" s="1"/>
  <c r="AB167" i="11" s="1"/>
  <c r="AD167" i="11" s="1"/>
  <c r="AB167" i="12" s="1"/>
  <c r="AD167" i="12" s="1"/>
  <c r="AB167" i="13" s="1"/>
  <c r="AD167" i="13" s="1"/>
  <c r="AB167" i="14" s="1"/>
  <c r="AD167" i="14" s="1"/>
  <c r="AB167" i="15" s="1"/>
  <c r="AD167" i="15" s="1"/>
  <c r="AB167" i="16" s="1"/>
  <c r="AD167" i="16" s="1"/>
  <c r="AD168" i="5"/>
  <c r="AB168" i="6" s="1"/>
  <c r="AD168" i="6" s="1"/>
  <c r="AD173" i="5"/>
  <c r="AB173" i="6" s="1"/>
  <c r="AD173" i="6" s="1"/>
  <c r="AB173" i="7" s="1"/>
  <c r="AD173" i="7" s="1"/>
  <c r="AB173" i="8" s="1"/>
  <c r="AD173" i="8" s="1"/>
  <c r="AB173" i="9" s="1"/>
  <c r="AD173" i="9" s="1"/>
  <c r="AB173" i="10" s="1"/>
  <c r="AD173" i="10" s="1"/>
  <c r="AB173" i="11" s="1"/>
  <c r="AD173" i="11" s="1"/>
  <c r="AB173" i="12" s="1"/>
  <c r="AD173" i="12" s="1"/>
  <c r="AB173" i="13" s="1"/>
  <c r="AD173" i="13" s="1"/>
  <c r="AB173" i="14" s="1"/>
  <c r="AD173" i="14" s="1"/>
  <c r="AB173" i="15" s="1"/>
  <c r="AD173" i="15" s="1"/>
  <c r="AB173" i="16" s="1"/>
  <c r="AD173" i="16" s="1"/>
  <c r="AD174" i="5"/>
  <c r="AD177" i="5"/>
  <c r="AB177" i="6" s="1"/>
  <c r="AD177" i="6" s="1"/>
  <c r="AB177" i="7" s="1"/>
  <c r="AD177" i="7" s="1"/>
  <c r="AB177" i="8" s="1"/>
  <c r="AD177" i="8" s="1"/>
  <c r="AB177" i="9" s="1"/>
  <c r="AD177" i="9" s="1"/>
  <c r="AB177" i="10" s="1"/>
  <c r="AD177" i="10" s="1"/>
  <c r="AB177" i="11" s="1"/>
  <c r="AD177" i="11" s="1"/>
  <c r="AB177" i="12" s="1"/>
  <c r="AD177" i="12" s="1"/>
  <c r="AB177" i="13" s="1"/>
  <c r="AD177" i="13" s="1"/>
  <c r="AB177" i="14" s="1"/>
  <c r="AD177" i="14" s="1"/>
  <c r="AB177" i="15" s="1"/>
  <c r="AD177" i="15" s="1"/>
  <c r="AB177" i="16" s="1"/>
  <c r="AD177" i="16" s="1"/>
  <c r="BP23" i="16" s="1"/>
  <c r="AD178" i="5"/>
  <c r="AB178" i="6" s="1"/>
  <c r="AD178" i="6" s="1"/>
  <c r="AB178" i="7" s="1"/>
  <c r="AD178" i="7" s="1"/>
  <c r="AB178" i="8" s="1"/>
  <c r="AD178" i="8" s="1"/>
  <c r="AB178" i="9" s="1"/>
  <c r="AD178" i="9" s="1"/>
  <c r="AB178" i="10" s="1"/>
  <c r="AD178" i="10" s="1"/>
  <c r="AB178" i="11" s="1"/>
  <c r="AD178" i="11" s="1"/>
  <c r="AB178" i="12" s="1"/>
  <c r="AD178" i="12" s="1"/>
  <c r="AB178" i="13" s="1"/>
  <c r="AD178" i="13" s="1"/>
  <c r="AB178" i="14" s="1"/>
  <c r="AD178" i="14" s="1"/>
  <c r="AB178" i="15" s="1"/>
  <c r="AD178" i="15" s="1"/>
  <c r="AB178" i="16" s="1"/>
  <c r="AD178" i="16" s="1"/>
  <c r="AD179" i="5"/>
  <c r="AB179" i="6" s="1"/>
  <c r="AD179" i="6" s="1"/>
  <c r="AB179" i="7" s="1"/>
  <c r="AD179" i="7" s="1"/>
  <c r="AB179" i="8" s="1"/>
  <c r="AD179" i="8" s="1"/>
  <c r="AB179" i="9" s="1"/>
  <c r="AD179" i="9" s="1"/>
  <c r="AB179" i="10" s="1"/>
  <c r="AD179" i="10" s="1"/>
  <c r="AB179" i="11" s="1"/>
  <c r="AD179" i="11" s="1"/>
  <c r="AB179" i="12" s="1"/>
  <c r="AD179" i="12" s="1"/>
  <c r="AB179" i="13" s="1"/>
  <c r="AD179" i="13" s="1"/>
  <c r="AB179" i="14" s="1"/>
  <c r="AD179" i="14" s="1"/>
  <c r="AB179" i="15" s="1"/>
  <c r="AD179" i="15" s="1"/>
  <c r="AB179" i="16" s="1"/>
  <c r="AD179" i="16" s="1"/>
  <c r="AD180" i="5"/>
  <c r="AB180" i="6" s="1"/>
  <c r="AD181" i="5"/>
  <c r="AB181" i="6" s="1"/>
  <c r="AD181" i="6" s="1"/>
  <c r="AB181" i="7" s="1"/>
  <c r="AD181" i="7" s="1"/>
  <c r="AB181" i="8" s="1"/>
  <c r="AD181" i="8" s="1"/>
  <c r="AB181" i="9" s="1"/>
  <c r="AD181" i="9" s="1"/>
  <c r="AB181" i="10" s="1"/>
  <c r="AD181" i="10" s="1"/>
  <c r="AB181" i="11" s="1"/>
  <c r="AD181" i="11" s="1"/>
  <c r="AD182" i="5"/>
  <c r="AB182" i="6" s="1"/>
  <c r="AD182" i="6" s="1"/>
  <c r="AB182" i="7" s="1"/>
  <c r="AD182" i="7" s="1"/>
  <c r="AB182" i="8" s="1"/>
  <c r="AD182" i="8" s="1"/>
  <c r="AB182" i="9" s="1"/>
  <c r="AD182" i="9" s="1"/>
  <c r="AB182" i="10" s="1"/>
  <c r="AD182" i="10" s="1"/>
  <c r="AB182" i="11" s="1"/>
  <c r="AD182" i="11" s="1"/>
  <c r="AB182" i="12" s="1"/>
  <c r="AD182" i="12" s="1"/>
  <c r="AB182" i="13" s="1"/>
  <c r="AD182" i="13" s="1"/>
  <c r="AB182" i="14" s="1"/>
  <c r="AD182" i="14" s="1"/>
  <c r="AB182" i="15" s="1"/>
  <c r="AD182" i="15" s="1"/>
  <c r="AD183" i="5"/>
  <c r="AB183" i="6" s="1"/>
  <c r="AD183" i="6" s="1"/>
  <c r="AD186" i="5"/>
  <c r="AD188" i="5"/>
  <c r="AB188" i="6" s="1"/>
  <c r="AD188" i="6" s="1"/>
  <c r="AB188" i="7" s="1"/>
  <c r="AD188" i="7" s="1"/>
  <c r="AB188" i="8" s="1"/>
  <c r="AD188" i="8" s="1"/>
  <c r="AB188" i="9" s="1"/>
  <c r="AD188" i="9" s="1"/>
  <c r="AB188" i="10" s="1"/>
  <c r="AD188" i="10" s="1"/>
  <c r="AB188" i="11" s="1"/>
  <c r="AD188" i="11" s="1"/>
  <c r="AB188" i="12" s="1"/>
  <c r="AD188" i="12" s="1"/>
  <c r="AB188" i="13" s="1"/>
  <c r="AD188" i="13" s="1"/>
  <c r="AB188" i="14" s="1"/>
  <c r="AD188" i="14" s="1"/>
  <c r="AB188" i="15" s="1"/>
  <c r="AD188" i="15" s="1"/>
  <c r="AB188" i="16" s="1"/>
  <c r="AD188" i="16" s="1"/>
  <c r="AD189" i="5"/>
  <c r="AB189" i="6" s="1"/>
  <c r="AD189" i="6" s="1"/>
  <c r="AD190" i="5"/>
  <c r="AD191" i="5"/>
  <c r="AD196" i="5"/>
  <c r="AB196" i="6" s="1"/>
  <c r="AD196" i="6" s="1"/>
  <c r="AB196" i="7" s="1"/>
  <c r="AD196" i="7" s="1"/>
  <c r="AB196" i="8" s="1"/>
  <c r="AD196" i="8" s="1"/>
  <c r="AB196" i="9" s="1"/>
  <c r="AD196" i="9" s="1"/>
  <c r="AB196" i="10" s="1"/>
  <c r="AD196" i="10" s="1"/>
  <c r="AB196" i="11" s="1"/>
  <c r="AD196" i="11" s="1"/>
  <c r="AB196" i="12" s="1"/>
  <c r="AD196" i="12" s="1"/>
  <c r="AB196" i="13" s="1"/>
  <c r="AD196" i="13" s="1"/>
  <c r="AB196" i="14" s="1"/>
  <c r="AD196" i="14" s="1"/>
  <c r="AB196" i="15" s="1"/>
  <c r="AD196" i="15" s="1"/>
  <c r="AB196" i="16" s="1"/>
  <c r="AD196" i="16" s="1"/>
  <c r="AD197" i="5"/>
  <c r="AB197" i="6" s="1"/>
  <c r="AD197" i="6" s="1"/>
  <c r="AB197" i="7" s="1"/>
  <c r="AD197" i="7" s="1"/>
  <c r="AD198" i="5"/>
  <c r="AB198" i="6" s="1"/>
  <c r="AD198" i="6" s="1"/>
  <c r="AB198" i="7" s="1"/>
  <c r="AD198" i="7" s="1"/>
  <c r="AB198" i="8" s="1"/>
  <c r="AD198" i="8" s="1"/>
  <c r="AB198" i="9" s="1"/>
  <c r="AD198" i="9" s="1"/>
  <c r="AB198" i="10" s="1"/>
  <c r="AD198" i="10" s="1"/>
  <c r="AB198" i="11" s="1"/>
  <c r="AD198" i="11" s="1"/>
  <c r="AB198" i="12" s="1"/>
  <c r="AD198" i="12" s="1"/>
  <c r="AB198" i="13" s="1"/>
  <c r="AD198" i="13" s="1"/>
  <c r="AB198" i="14" s="1"/>
  <c r="AD198" i="14" s="1"/>
  <c r="AB198" i="15" s="1"/>
  <c r="AD198" i="15" s="1"/>
  <c r="AB198" i="16" s="1"/>
  <c r="AD198" i="16" s="1"/>
  <c r="AD199" i="5"/>
  <c r="AD200" i="5"/>
  <c r="AB200" i="6" s="1"/>
  <c r="AD200" i="6" s="1"/>
  <c r="AB200" i="7" s="1"/>
  <c r="AD200" i="7" s="1"/>
  <c r="AB200" i="8" s="1"/>
  <c r="AD200" i="8" s="1"/>
  <c r="AB200" i="9" s="1"/>
  <c r="AD200" i="9" s="1"/>
  <c r="AB200" i="10" s="1"/>
  <c r="AD200" i="10" s="1"/>
  <c r="AD201" i="5"/>
  <c r="AB201" i="6" s="1"/>
  <c r="AD201" i="6" s="1"/>
  <c r="AB201" i="7" s="1"/>
  <c r="AD201" i="7" s="1"/>
  <c r="AB201" i="8" s="1"/>
  <c r="AD201" i="8" s="1"/>
  <c r="AB201" i="9" s="1"/>
  <c r="AD201" i="9" s="1"/>
  <c r="AB201" i="10" s="1"/>
  <c r="AD201" i="10" s="1"/>
  <c r="AD202" i="5"/>
  <c r="AB202" i="6" s="1"/>
  <c r="AD202" i="6" s="1"/>
  <c r="AB202" i="7" s="1"/>
  <c r="AD202" i="7" s="1"/>
  <c r="AB202" i="8" s="1"/>
  <c r="AD202" i="8" s="1"/>
  <c r="AB202" i="9" s="1"/>
  <c r="AD202" i="9" s="1"/>
  <c r="AB202" i="10" s="1"/>
  <c r="AD202" i="10" s="1"/>
  <c r="AB202" i="11" s="1"/>
  <c r="AD202" i="11" s="1"/>
  <c r="AB202" i="12" s="1"/>
  <c r="AD202" i="12" s="1"/>
  <c r="AB202" i="13" s="1"/>
  <c r="AD202" i="13" s="1"/>
  <c r="AB202" i="14" s="1"/>
  <c r="AD202" i="14" s="1"/>
  <c r="AB202" i="15" s="1"/>
  <c r="AD202" i="15" s="1"/>
  <c r="AB202" i="16" s="1"/>
  <c r="AD202" i="16" s="1"/>
  <c r="AD204" i="5"/>
  <c r="AB204" i="6" s="1"/>
  <c r="AD205" i="5"/>
  <c r="AB205" i="6" s="1"/>
  <c r="AD205" i="6" s="1"/>
  <c r="AB205" i="7" s="1"/>
  <c r="AD205" i="7" s="1"/>
  <c r="AB205" i="8" s="1"/>
  <c r="AD205" i="8" s="1"/>
  <c r="AB205" i="9" s="1"/>
  <c r="AD205" i="9" s="1"/>
  <c r="AB205" i="10" s="1"/>
  <c r="AD205" i="10" s="1"/>
  <c r="AB205" i="11" s="1"/>
  <c r="AD205" i="11" s="1"/>
  <c r="AB205" i="12" s="1"/>
  <c r="AD205" i="12" s="1"/>
  <c r="AB205" i="13" s="1"/>
  <c r="AD205" i="13" s="1"/>
  <c r="AB205" i="14" s="1"/>
  <c r="AD205" i="14" s="1"/>
  <c r="AB205" i="15" s="1"/>
  <c r="AD205" i="15" s="1"/>
  <c r="AB205" i="16" s="1"/>
  <c r="AD205" i="16" s="1"/>
  <c r="AD212" i="5"/>
  <c r="AB212" i="6" s="1"/>
  <c r="AD212" i="6" s="1"/>
  <c r="AB212" i="7" s="1"/>
  <c r="AD212" i="7" s="1"/>
  <c r="AD213" i="5"/>
  <c r="AB213" i="6" s="1"/>
  <c r="AD213" i="6" s="1"/>
  <c r="AB213" i="7" s="1"/>
  <c r="AD213" i="7" s="1"/>
  <c r="AD214" i="5"/>
  <c r="AB214" i="6" s="1"/>
  <c r="AD214" i="6" s="1"/>
  <c r="AB214" i="7" s="1"/>
  <c r="AD214" i="7" s="1"/>
  <c r="AB214" i="8" s="1"/>
  <c r="AD214" i="8" s="1"/>
  <c r="AB214" i="9" s="1"/>
  <c r="AD214" i="9" s="1"/>
  <c r="AB214" i="10" s="1"/>
  <c r="AD214" i="10" s="1"/>
  <c r="AB214" i="11" s="1"/>
  <c r="AD214" i="11" s="1"/>
  <c r="AB214" i="12" s="1"/>
  <c r="AD214" i="12" s="1"/>
  <c r="AB214" i="13" s="1"/>
  <c r="AD214" i="13" s="1"/>
  <c r="AD215" i="5"/>
  <c r="AD216" i="5"/>
  <c r="AB216" i="6" s="1"/>
  <c r="AD216" i="6" s="1"/>
  <c r="AB216" i="7" s="1"/>
  <c r="AD216" i="7" s="1"/>
  <c r="AD217" i="5"/>
  <c r="AB217" i="6" s="1"/>
  <c r="AD217" i="6" s="1"/>
  <c r="AB217" i="7" s="1"/>
  <c r="AD217" i="7" s="1"/>
  <c r="AB217" i="8" s="1"/>
  <c r="AD217" i="8" s="1"/>
  <c r="AB217" i="9" s="1"/>
  <c r="AD217" i="9" s="1"/>
  <c r="AB217" i="10" s="1"/>
  <c r="AD217" i="10" s="1"/>
  <c r="AB217" i="11" s="1"/>
  <c r="AD217" i="11" s="1"/>
  <c r="AB217" i="12" s="1"/>
  <c r="AD217" i="12" s="1"/>
  <c r="AB217" i="13" s="1"/>
  <c r="AD217" i="13" s="1"/>
  <c r="AB217" i="14" s="1"/>
  <c r="AD217" i="14" s="1"/>
  <c r="AB217" i="15" s="1"/>
  <c r="AD218" i="5"/>
  <c r="AB218" i="6" s="1"/>
  <c r="AD218" i="6" s="1"/>
  <c r="AB218" i="7" s="1"/>
  <c r="AD218" i="7" s="1"/>
  <c r="AD223" i="5"/>
  <c r="AB223" i="6" s="1"/>
  <c r="AD223" i="6" s="1"/>
  <c r="AB223" i="7" s="1"/>
  <c r="AD223" i="7" s="1"/>
  <c r="AB223" i="8" s="1"/>
  <c r="AD223" i="8" s="1"/>
  <c r="AB223" i="9" s="1"/>
  <c r="AD223" i="9" s="1"/>
  <c r="AB223" i="10" s="1"/>
  <c r="AD223" i="10" s="1"/>
  <c r="AB223" i="11" s="1"/>
  <c r="AD223" i="11" s="1"/>
  <c r="AB223" i="12" s="1"/>
  <c r="AD223" i="12" s="1"/>
  <c r="AB223" i="13" s="1"/>
  <c r="AD223" i="13" s="1"/>
  <c r="AB223" i="14" s="1"/>
  <c r="AD223" i="14" s="1"/>
  <c r="AB223" i="15" s="1"/>
  <c r="AD223" i="15" s="1"/>
  <c r="AB223" i="16" s="1"/>
  <c r="AD223" i="16" s="1"/>
  <c r="AD224" i="5"/>
  <c r="AB224" i="6" s="1"/>
  <c r="AD225" i="5"/>
  <c r="AD228" i="5"/>
  <c r="AD229" i="5"/>
  <c r="AB229" i="6" s="1"/>
  <c r="AD229" i="6" s="1"/>
  <c r="AB229" i="7" s="1"/>
  <c r="AD230" i="5"/>
  <c r="AB230" i="6" s="1"/>
  <c r="AD230" i="6" s="1"/>
  <c r="AB230" i="7" s="1"/>
  <c r="AD230" i="7" s="1"/>
  <c r="AB230" i="8" s="1"/>
  <c r="AD230" i="8" s="1"/>
  <c r="AB230" i="9" s="1"/>
  <c r="AD230" i="9" s="1"/>
  <c r="AB230" i="10" s="1"/>
  <c r="AD230" i="10" s="1"/>
  <c r="AB230" i="11" s="1"/>
  <c r="AD230" i="11" s="1"/>
  <c r="AB230" i="12" s="1"/>
  <c r="AD230" i="12" s="1"/>
  <c r="AD236" i="5"/>
  <c r="AD237" i="5"/>
  <c r="AB237" i="6" s="1"/>
  <c r="AD237" i="6" s="1"/>
  <c r="AB237" i="7" s="1"/>
  <c r="AD237" i="7" s="1"/>
  <c r="AB237" i="8" s="1"/>
  <c r="AD237" i="8" s="1"/>
  <c r="AB237" i="9" s="1"/>
  <c r="AD237" i="9" s="1"/>
  <c r="AB237" i="10" s="1"/>
  <c r="AD237" i="10" s="1"/>
  <c r="AB237" i="11" s="1"/>
  <c r="AD237" i="11" s="1"/>
  <c r="AB237" i="12" s="1"/>
  <c r="AD237" i="12" s="1"/>
  <c r="AB237" i="13" s="1"/>
  <c r="AD237" i="13" s="1"/>
  <c r="AB237" i="14" s="1"/>
  <c r="AD237" i="14" s="1"/>
  <c r="AB237" i="15" s="1"/>
  <c r="AD237" i="15" s="1"/>
  <c r="AB237" i="16" s="1"/>
  <c r="AD237" i="16" s="1"/>
  <c r="AD238" i="5"/>
  <c r="AB238" i="6" s="1"/>
  <c r="AD238" i="6" s="1"/>
  <c r="AB238" i="7" s="1"/>
  <c r="AD238" i="7" s="1"/>
  <c r="AB238" i="8" s="1"/>
  <c r="AD238" i="8" s="1"/>
  <c r="AB238" i="9" s="1"/>
  <c r="AD238" i="9" s="1"/>
  <c r="AB238" i="10" s="1"/>
  <c r="AD238" i="10" s="1"/>
  <c r="AB238" i="11" s="1"/>
  <c r="AD238" i="11" s="1"/>
  <c r="AB238" i="12" s="1"/>
  <c r="AD238" i="12" s="1"/>
  <c r="AB238" i="13" s="1"/>
  <c r="AD238" i="13" s="1"/>
  <c r="AB238" i="14" s="1"/>
  <c r="AD238" i="14" s="1"/>
  <c r="AB238" i="15" s="1"/>
  <c r="AD238" i="15" s="1"/>
  <c r="AB238" i="16" s="1"/>
  <c r="AD238" i="16" s="1"/>
  <c r="AD239" i="5"/>
  <c r="AB239" i="6" s="1"/>
  <c r="AD239" i="6" s="1"/>
  <c r="AD240" i="5"/>
  <c r="AB240" i="6" s="1"/>
  <c r="AD240" i="6" s="1"/>
  <c r="AB240" i="7" s="1"/>
  <c r="AD240" i="7" s="1"/>
  <c r="AB240" i="8" s="1"/>
  <c r="AD240" i="8" s="1"/>
  <c r="AB240" i="9" s="1"/>
  <c r="AD240" i="9" s="1"/>
  <c r="AB240" i="10" s="1"/>
  <c r="AD240" i="10" s="1"/>
  <c r="AB240" i="11" s="1"/>
  <c r="AD240" i="11" s="1"/>
  <c r="AB240" i="12" s="1"/>
  <c r="AD240" i="12" s="1"/>
  <c r="AB240" i="13" s="1"/>
  <c r="AD240" i="13" s="1"/>
  <c r="AB240" i="14" s="1"/>
  <c r="AD240" i="14" s="1"/>
  <c r="AB240" i="15" s="1"/>
  <c r="AD240" i="15" s="1"/>
  <c r="AB240" i="16" s="1"/>
  <c r="AD240" i="16" s="1"/>
  <c r="AD241" i="5"/>
  <c r="AB241" i="6" s="1"/>
  <c r="AD241" i="6" s="1"/>
  <c r="AD244" i="5"/>
  <c r="AB244" i="6" s="1"/>
  <c r="AD244" i="6" s="1"/>
  <c r="AB244" i="7" s="1"/>
  <c r="AD244" i="7" s="1"/>
  <c r="AB244" i="8" s="1"/>
  <c r="AD244" i="8" s="1"/>
  <c r="AB244" i="9" s="1"/>
  <c r="AD244" i="9" s="1"/>
  <c r="AD245" i="5"/>
  <c r="AB245" i="6" s="1"/>
  <c r="AD246" i="5"/>
  <c r="AB246" i="6" s="1"/>
  <c r="AD246" i="6" s="1"/>
  <c r="AB246" i="7" s="1"/>
  <c r="AD246" i="7" s="1"/>
  <c r="AB246" i="8" s="1"/>
  <c r="AD246" i="8" s="1"/>
  <c r="AB246" i="9" s="1"/>
  <c r="AD246" i="9" s="1"/>
  <c r="AB246" i="10" s="1"/>
  <c r="AD246" i="10" s="1"/>
  <c r="AB246" i="11" s="1"/>
  <c r="AD246" i="11" s="1"/>
  <c r="AB246" i="12" s="1"/>
  <c r="AD246" i="12" s="1"/>
  <c r="AB246" i="13" s="1"/>
  <c r="AD246" i="13" s="1"/>
  <c r="AB246" i="14" s="1"/>
  <c r="AD246" i="14" s="1"/>
  <c r="AB246" i="15" s="1"/>
  <c r="AD246" i="15" s="1"/>
  <c r="AB246" i="16" s="1"/>
  <c r="AD246" i="16" s="1"/>
  <c r="AD247" i="5"/>
  <c r="AB247" i="6" s="1"/>
  <c r="AD247" i="6" s="1"/>
  <c r="AB247" i="7" s="1"/>
  <c r="AD247" i="7" s="1"/>
  <c r="AD248" i="5"/>
  <c r="AB248" i="6" s="1"/>
  <c r="AD249" i="5"/>
  <c r="AB249" i="6" s="1"/>
  <c r="AD249" i="6" s="1"/>
  <c r="AB249" i="7" s="1"/>
  <c r="AD249" i="7" s="1"/>
  <c r="AB249" i="8" s="1"/>
  <c r="AD249" i="8" s="1"/>
  <c r="AB249" i="9" s="1"/>
  <c r="AD249" i="9" s="1"/>
  <c r="AB249" i="10" s="1"/>
  <c r="AD249" i="10" s="1"/>
  <c r="AB249" i="11" s="1"/>
  <c r="AD249" i="11" s="1"/>
  <c r="AB249" i="12" s="1"/>
  <c r="AD249" i="12" s="1"/>
  <c r="AB249" i="13" s="1"/>
  <c r="AD249" i="13" s="1"/>
  <c r="AD250" i="5"/>
  <c r="AB250" i="6" s="1"/>
  <c r="AD250" i="6" s="1"/>
  <c r="AB250" i="7" s="1"/>
  <c r="AD250" i="7" s="1"/>
  <c r="AB250" i="8" s="1"/>
  <c r="AD250" i="8" s="1"/>
  <c r="AD251" i="5"/>
  <c r="AB251" i="6" s="1"/>
  <c r="AD251" i="6" s="1"/>
  <c r="AB251" i="7" s="1"/>
  <c r="AD251" i="7" s="1"/>
  <c r="AB251" i="8" s="1"/>
  <c r="AD251" i="8" s="1"/>
  <c r="AB251" i="9" s="1"/>
  <c r="AD251" i="9" s="1"/>
  <c r="AB251" i="10" s="1"/>
  <c r="AD251" i="10" s="1"/>
  <c r="AB251" i="11" s="1"/>
  <c r="AD251" i="11" s="1"/>
  <c r="AB251" i="12" s="1"/>
  <c r="AD251" i="12" s="1"/>
  <c r="AB251" i="13" s="1"/>
  <c r="AD251" i="13" s="1"/>
  <c r="AD252" i="5"/>
  <c r="AB252" i="6" s="1"/>
  <c r="AD252" i="6" s="1"/>
  <c r="AB252" i="7" s="1"/>
  <c r="AD252" i="7" s="1"/>
  <c r="AB252" i="8" s="1"/>
  <c r="AD252" i="8" s="1"/>
  <c r="AB252" i="9" s="1"/>
  <c r="AD252" i="9" s="1"/>
  <c r="AB252" i="10" s="1"/>
  <c r="AD252" i="10" s="1"/>
  <c r="AD253" i="5"/>
  <c r="AD254" i="5"/>
  <c r="AB254" i="6" s="1"/>
  <c r="AD254" i="6" s="1"/>
  <c r="AB254" i="7" s="1"/>
  <c r="AD254" i="7" s="1"/>
  <c r="AB254" i="8" s="1"/>
  <c r="AD254" i="8" s="1"/>
  <c r="AB254" i="9" s="1"/>
  <c r="AD254" i="9" s="1"/>
  <c r="AB254" i="10" s="1"/>
  <c r="AD254" i="10" s="1"/>
  <c r="AB254" i="11" s="1"/>
  <c r="AD254" i="11" s="1"/>
  <c r="AB254" i="12" s="1"/>
  <c r="AD254" i="12" s="1"/>
  <c r="AB254" i="13" s="1"/>
  <c r="AD254" i="13" s="1"/>
  <c r="AB254" i="14" s="1"/>
  <c r="AD254" i="14" s="1"/>
  <c r="AB254" i="15" s="1"/>
  <c r="AD254" i="15" s="1"/>
  <c r="AB254" i="16" s="1"/>
  <c r="AD254" i="16" s="1"/>
  <c r="AD255" i="5"/>
  <c r="AB255" i="6" s="1"/>
  <c r="AD255" i="6" s="1"/>
  <c r="AB255" i="7" s="1"/>
  <c r="AD255" i="7" s="1"/>
  <c r="AB255" i="8" s="1"/>
  <c r="AD255" i="8" s="1"/>
  <c r="AD256" i="5"/>
  <c r="AB256" i="6" s="1"/>
  <c r="AD256" i="6" s="1"/>
  <c r="AB256" i="7" s="1"/>
  <c r="AD256" i="7" s="1"/>
  <c r="AB256" i="8" s="1"/>
  <c r="AD256" i="8" s="1"/>
  <c r="AB256" i="9" s="1"/>
  <c r="AD256" i="9" s="1"/>
  <c r="AB256" i="10" s="1"/>
  <c r="AD256" i="10" s="1"/>
  <c r="AB256" i="11" s="1"/>
  <c r="AD256" i="11" s="1"/>
  <c r="AB256" i="12" s="1"/>
  <c r="AD256" i="12" s="1"/>
  <c r="AG17" i="5"/>
  <c r="AG18" i="5"/>
  <c r="AE18" i="6" s="1"/>
  <c r="AG18" i="6" s="1"/>
  <c r="AE18" i="7" s="1"/>
  <c r="AG18" i="7" s="1"/>
  <c r="AE18" i="8" s="1"/>
  <c r="AG19" i="5"/>
  <c r="AE19" i="6" s="1"/>
  <c r="AG19" i="6" s="1"/>
  <c r="AE19" i="7" s="1"/>
  <c r="AG21" i="5"/>
  <c r="AE21" i="6" s="1"/>
  <c r="AG21" i="6" s="1"/>
  <c r="AE21" i="7" s="1"/>
  <c r="AG21" i="7" s="1"/>
  <c r="AE21" i="8" s="1"/>
  <c r="AG21" i="8" s="1"/>
  <c r="AE21" i="9" s="1"/>
  <c r="AG21" i="9" s="1"/>
  <c r="AE21" i="10" s="1"/>
  <c r="AG21" i="10" s="1"/>
  <c r="AE21" i="11" s="1"/>
  <c r="AG21" i="11" s="1"/>
  <c r="AE21" i="12" s="1"/>
  <c r="AG21" i="12" s="1"/>
  <c r="AE21" i="13" s="1"/>
  <c r="AG21" i="13" s="1"/>
  <c r="AE21" i="14" s="1"/>
  <c r="AG21" i="14" s="1"/>
  <c r="AG22" i="5"/>
  <c r="AE22" i="6" s="1"/>
  <c r="AG23" i="5"/>
  <c r="AE23" i="6" s="1"/>
  <c r="AG23" i="6" s="1"/>
  <c r="AE23" i="7" s="1"/>
  <c r="AG23" i="7" s="1"/>
  <c r="AE23" i="8" s="1"/>
  <c r="AG23" i="8" s="1"/>
  <c r="AE23" i="9" s="1"/>
  <c r="AG23" i="9" s="1"/>
  <c r="AE23" i="10" s="1"/>
  <c r="AG23" i="10" s="1"/>
  <c r="AE23" i="11" s="1"/>
  <c r="AG23" i="11" s="1"/>
  <c r="AE23" i="12" s="1"/>
  <c r="AG23" i="12" s="1"/>
  <c r="AE23" i="13" s="1"/>
  <c r="AG23" i="13" s="1"/>
  <c r="AE23" i="14" s="1"/>
  <c r="AG23" i="14" s="1"/>
  <c r="AE23" i="15" s="1"/>
  <c r="AG23" i="15" s="1"/>
  <c r="AE23" i="16" s="1"/>
  <c r="AG23" i="16" s="1"/>
  <c r="AG24" i="5"/>
  <c r="AE24" i="6" s="1"/>
  <c r="AG24" i="6" s="1"/>
  <c r="AE24" i="7" s="1"/>
  <c r="AG24" i="7" s="1"/>
  <c r="AE24" i="8" s="1"/>
  <c r="AG24" i="8" s="1"/>
  <c r="AE24" i="9" s="1"/>
  <c r="AG24" i="9" s="1"/>
  <c r="AE24" i="10" s="1"/>
  <c r="AG24" i="10" s="1"/>
  <c r="AE24" i="11" s="1"/>
  <c r="AG24" i="11" s="1"/>
  <c r="AE24" i="12" s="1"/>
  <c r="AG24" i="12" s="1"/>
  <c r="AE24" i="13" s="1"/>
  <c r="AG24" i="13" s="1"/>
  <c r="AE24" i="14" s="1"/>
  <c r="AG24" i="14" s="1"/>
  <c r="AE24" i="15" s="1"/>
  <c r="AG24" i="15" s="1"/>
  <c r="AE24" i="16" s="1"/>
  <c r="AG24" i="16" s="1"/>
  <c r="AG25" i="5"/>
  <c r="AG26" i="5"/>
  <c r="AG27" i="5"/>
  <c r="AE27" i="6" s="1"/>
  <c r="AG27" i="6" s="1"/>
  <c r="AE27" i="7" s="1"/>
  <c r="AG27" i="7" s="1"/>
  <c r="AE27" i="8" s="1"/>
  <c r="AG27" i="8" s="1"/>
  <c r="AE27" i="9" s="1"/>
  <c r="AG27" i="9" s="1"/>
  <c r="AE27" i="10" s="1"/>
  <c r="AG27" i="10" s="1"/>
  <c r="AE27" i="11" s="1"/>
  <c r="AG27" i="11" s="1"/>
  <c r="AE27" i="12" s="1"/>
  <c r="AG27" i="12" s="1"/>
  <c r="AE27" i="13" s="1"/>
  <c r="AG27" i="13" s="1"/>
  <c r="AE27" i="14" s="1"/>
  <c r="AG27" i="14" s="1"/>
  <c r="AE27" i="15" s="1"/>
  <c r="AG27" i="15" s="1"/>
  <c r="AE27" i="16" s="1"/>
  <c r="AG27" i="16" s="1"/>
  <c r="AG28" i="5"/>
  <c r="AE28" i="6" s="1"/>
  <c r="AG28" i="6" s="1"/>
  <c r="AE28" i="7" s="1"/>
  <c r="AG28" i="7" s="1"/>
  <c r="AE28" i="8" s="1"/>
  <c r="AG28" i="8" s="1"/>
  <c r="AE28" i="9" s="1"/>
  <c r="AG28" i="9" s="1"/>
  <c r="AE28" i="10" s="1"/>
  <c r="AG28" i="10" s="1"/>
  <c r="AE28" i="11" s="1"/>
  <c r="AG28" i="11" s="1"/>
  <c r="AE28" i="12" s="1"/>
  <c r="AG28" i="12" s="1"/>
  <c r="AE28" i="13" s="1"/>
  <c r="AG28" i="13" s="1"/>
  <c r="AE28" i="14" s="1"/>
  <c r="AG28" i="14" s="1"/>
  <c r="AE28" i="15" s="1"/>
  <c r="AG28" i="15" s="1"/>
  <c r="AE28" i="16" s="1"/>
  <c r="AG28" i="16" s="1"/>
  <c r="AG29" i="5"/>
  <c r="AE29" i="6" s="1"/>
  <c r="AG29" i="6" s="1"/>
  <c r="AE29" i="7" s="1"/>
  <c r="AG29" i="7" s="1"/>
  <c r="AE29" i="8" s="1"/>
  <c r="AG29" i="8" s="1"/>
  <c r="AE29" i="9" s="1"/>
  <c r="AG29" i="9" s="1"/>
  <c r="AG30" i="5"/>
  <c r="AE30" i="6" s="1"/>
  <c r="AG30" i="6" s="1"/>
  <c r="AE30" i="7" s="1"/>
  <c r="AG30" i="7" s="1"/>
  <c r="AE30" i="8" s="1"/>
  <c r="AG30" i="8" s="1"/>
  <c r="AE30" i="9" s="1"/>
  <c r="AG30" i="9" s="1"/>
  <c r="AE30" i="10" s="1"/>
  <c r="AG30" i="10" s="1"/>
  <c r="AE30" i="11" s="1"/>
  <c r="AG30" i="11" s="1"/>
  <c r="AG31" i="5"/>
  <c r="AE31" i="6" s="1"/>
  <c r="AG31" i="6" s="1"/>
  <c r="AE31" i="7" s="1"/>
  <c r="AG31" i="7" s="1"/>
  <c r="AE31" i="8" s="1"/>
  <c r="AG31" i="8" s="1"/>
  <c r="AE31" i="9" s="1"/>
  <c r="AG31" i="9" s="1"/>
  <c r="AG32" i="5"/>
  <c r="AE32" i="6" s="1"/>
  <c r="AG32" i="6" s="1"/>
  <c r="AE32" i="7" s="1"/>
  <c r="AG32" i="7" s="1"/>
  <c r="AE32" i="8" s="1"/>
  <c r="AG32" i="8" s="1"/>
  <c r="AE32" i="9" s="1"/>
  <c r="AG32" i="9" s="1"/>
  <c r="AE32" i="10" s="1"/>
  <c r="AG32" i="10" s="1"/>
  <c r="AG33" i="5"/>
  <c r="AE33" i="6" s="1"/>
  <c r="AG33" i="6" s="1"/>
  <c r="AE33" i="7" s="1"/>
  <c r="AG33" i="7" s="1"/>
  <c r="AE33" i="8" s="1"/>
  <c r="AG33" i="8" s="1"/>
  <c r="AE33" i="9" s="1"/>
  <c r="AG33" i="9" s="1"/>
  <c r="AE33" i="10" s="1"/>
  <c r="AG33" i="10" s="1"/>
  <c r="AE33" i="11" s="1"/>
  <c r="AG33" i="11" s="1"/>
  <c r="AE33" i="12" s="1"/>
  <c r="AG33" i="12" s="1"/>
  <c r="AE33" i="13" s="1"/>
  <c r="AG33" i="13" s="1"/>
  <c r="AE33" i="14" s="1"/>
  <c r="AG33" i="14" s="1"/>
  <c r="AG36" i="5"/>
  <c r="AE36" i="6" s="1"/>
  <c r="AG36" i="6" s="1"/>
  <c r="AE36" i="7" s="1"/>
  <c r="AG36" i="7" s="1"/>
  <c r="AE36" i="8" s="1"/>
  <c r="AG36" i="8" s="1"/>
  <c r="AE36" i="9" s="1"/>
  <c r="AG36" i="9" s="1"/>
  <c r="AE36" i="10" s="1"/>
  <c r="AG36" i="10" s="1"/>
  <c r="AE36" i="11" s="1"/>
  <c r="AG36" i="11" s="1"/>
  <c r="AE36" i="12" s="1"/>
  <c r="AG36" i="12" s="1"/>
  <c r="AE36" i="13" s="1"/>
  <c r="AG36" i="13" s="1"/>
  <c r="AE36" i="14" s="1"/>
  <c r="AG36" i="14" s="1"/>
  <c r="AG37" i="5"/>
  <c r="AE37" i="6" s="1"/>
  <c r="AG37" i="6" s="1"/>
  <c r="AE37" i="7" s="1"/>
  <c r="AG37" i="7" s="1"/>
  <c r="AE37" i="8" s="1"/>
  <c r="AG37" i="8" s="1"/>
  <c r="AE37" i="9" s="1"/>
  <c r="AG37" i="9" s="1"/>
  <c r="AE37" i="10" s="1"/>
  <c r="AG37" i="10" s="1"/>
  <c r="AE37" i="11" s="1"/>
  <c r="AG37" i="11" s="1"/>
  <c r="AG38" i="5"/>
  <c r="AG39" i="5"/>
  <c r="AE39" i="6" s="1"/>
  <c r="AG39" i="6" s="1"/>
  <c r="AE39" i="7" s="1"/>
  <c r="AG39" i="7" s="1"/>
  <c r="AE39" i="8" s="1"/>
  <c r="AG39" i="8" s="1"/>
  <c r="AE39" i="9" s="1"/>
  <c r="AG39" i="9" s="1"/>
  <c r="AE39" i="10" s="1"/>
  <c r="AG39" i="10" s="1"/>
  <c r="AE39" i="11" s="1"/>
  <c r="AG39" i="11" s="1"/>
  <c r="AE39" i="12" s="1"/>
  <c r="AG39" i="12" s="1"/>
  <c r="AG40" i="5"/>
  <c r="AE40" i="6" s="1"/>
  <c r="AG40" i="6" s="1"/>
  <c r="AE40" i="7" s="1"/>
  <c r="AG40" i="7" s="1"/>
  <c r="AE40" i="8" s="1"/>
  <c r="AG40" i="8" s="1"/>
  <c r="AE40" i="9" s="1"/>
  <c r="AG40" i="9" s="1"/>
  <c r="AG41" i="5"/>
  <c r="AG45" i="5"/>
  <c r="AE45" i="6" s="1"/>
  <c r="AG45" i="6" s="1"/>
  <c r="AE45" i="7" s="1"/>
  <c r="AG45" i="7" s="1"/>
  <c r="AE45" i="8" s="1"/>
  <c r="AG45" i="8" s="1"/>
  <c r="AE45" i="9" s="1"/>
  <c r="AG45" i="9" s="1"/>
  <c r="AE45" i="10" s="1"/>
  <c r="AG45" i="10" s="1"/>
  <c r="AG46" i="5"/>
  <c r="AE46" i="6" s="1"/>
  <c r="AG47" i="5"/>
  <c r="AG48" i="5"/>
  <c r="AE48" i="6" s="1"/>
  <c r="AG48" i="6" s="1"/>
  <c r="AE48" i="7" s="1"/>
  <c r="AG50" i="5"/>
  <c r="AE50" i="6" s="1"/>
  <c r="AG50" i="6" s="1"/>
  <c r="AE50" i="7" s="1"/>
  <c r="AG50" i="7" s="1"/>
  <c r="AE50" i="8" s="1"/>
  <c r="AG50" i="8" s="1"/>
  <c r="AE50" i="9" s="1"/>
  <c r="AG50" i="9" s="1"/>
  <c r="AE50" i="10" s="1"/>
  <c r="AG50" i="10" s="1"/>
  <c r="AE50" i="11" s="1"/>
  <c r="AG50" i="11" s="1"/>
  <c r="AE50" i="12" s="1"/>
  <c r="AG50" i="12" s="1"/>
  <c r="AE50" i="13" s="1"/>
  <c r="AG50" i="13" s="1"/>
  <c r="AE50" i="14" s="1"/>
  <c r="AG50" i="14" s="1"/>
  <c r="AE50" i="15" s="1"/>
  <c r="AG50" i="15" s="1"/>
  <c r="AE50" i="16" s="1"/>
  <c r="AG50" i="16" s="1"/>
  <c r="AG51" i="5"/>
  <c r="AE51" i="6" s="1"/>
  <c r="AG51" i="6" s="1"/>
  <c r="AE51" i="7" s="1"/>
  <c r="AG51" i="7" s="1"/>
  <c r="AG52" i="5"/>
  <c r="AG53" i="5"/>
  <c r="AE53" i="6" s="1"/>
  <c r="AG53" i="6" s="1"/>
  <c r="AE53" i="7" s="1"/>
  <c r="AG53" i="7" s="1"/>
  <c r="AE53" i="8" s="1"/>
  <c r="AG54" i="5"/>
  <c r="AE54" i="6" s="1"/>
  <c r="AG54" i="6" s="1"/>
  <c r="AG55" i="5"/>
  <c r="AE55" i="6" s="1"/>
  <c r="AG55" i="6" s="1"/>
  <c r="AE55" i="7" s="1"/>
  <c r="AG55" i="7" s="1"/>
  <c r="AE55" i="8" s="1"/>
  <c r="AG55" i="8" s="1"/>
  <c r="AE55" i="9" s="1"/>
  <c r="AG55" i="9" s="1"/>
  <c r="AE55" i="10" s="1"/>
  <c r="AG55" i="10" s="1"/>
  <c r="AE55" i="11" s="1"/>
  <c r="AG55" i="11" s="1"/>
  <c r="AE55" i="12" s="1"/>
  <c r="AG55" i="12" s="1"/>
  <c r="AE55" i="13" s="1"/>
  <c r="AG55" i="13" s="1"/>
  <c r="AE55" i="14" s="1"/>
  <c r="AG55" i="14" s="1"/>
  <c r="AE55" i="15" s="1"/>
  <c r="AG55" i="15" s="1"/>
  <c r="AE55" i="16" s="1"/>
  <c r="AG55" i="16" s="1"/>
  <c r="AG59" i="5"/>
  <c r="AE59" i="6" s="1"/>
  <c r="AG59" i="6" s="1"/>
  <c r="AE59" i="7" s="1"/>
  <c r="AG60" i="5"/>
  <c r="AG61" i="5"/>
  <c r="AE61" i="6" s="1"/>
  <c r="AG61" i="6" s="1"/>
  <c r="AE61" i="7" s="1"/>
  <c r="AG61" i="7" s="1"/>
  <c r="AE61" i="8" s="1"/>
  <c r="AG61" i="8" s="1"/>
  <c r="AG66" i="5"/>
  <c r="AE66" i="6" s="1"/>
  <c r="AG66" i="6" s="1"/>
  <c r="AE66" i="7" s="1"/>
  <c r="AG66" i="7" s="1"/>
  <c r="AE66" i="8" s="1"/>
  <c r="AG66" i="8" s="1"/>
  <c r="AE66" i="9" s="1"/>
  <c r="AG66" i="9" s="1"/>
  <c r="AE66" i="10" s="1"/>
  <c r="AG66" i="10" s="1"/>
  <c r="AE66" i="11" s="1"/>
  <c r="AG66" i="11" s="1"/>
  <c r="AE66" i="12" s="1"/>
  <c r="AG66" i="12" s="1"/>
  <c r="AE66" i="13" s="1"/>
  <c r="AG66" i="13" s="1"/>
  <c r="AG67" i="5"/>
  <c r="AG68" i="5"/>
  <c r="AE68" i="6" s="1"/>
  <c r="AG68" i="6" s="1"/>
  <c r="AE68" i="7" s="1"/>
  <c r="AG68" i="7" s="1"/>
  <c r="AE68" i="8" s="1"/>
  <c r="AG68" i="8" s="1"/>
  <c r="AE68" i="9" s="1"/>
  <c r="AG68" i="9" s="1"/>
  <c r="AE68" i="10" s="1"/>
  <c r="AG68" i="10" s="1"/>
  <c r="AE68" i="11" s="1"/>
  <c r="AG68" i="11" s="1"/>
  <c r="AE68" i="12" s="1"/>
  <c r="AG68" i="12" s="1"/>
  <c r="AE68" i="13" s="1"/>
  <c r="AG68" i="13" s="1"/>
  <c r="AE68" i="14" s="1"/>
  <c r="AG68" i="14" s="1"/>
  <c r="AE68" i="15" s="1"/>
  <c r="AG68" i="15" s="1"/>
  <c r="AE68" i="16" s="1"/>
  <c r="AG68" i="16" s="1"/>
  <c r="AG70" i="5"/>
  <c r="AE70" i="6" s="1"/>
  <c r="AG70" i="6" s="1"/>
  <c r="AE70" i="7" s="1"/>
  <c r="AG71" i="5"/>
  <c r="AE71" i="6" s="1"/>
  <c r="AG71" i="6" s="1"/>
  <c r="AE71" i="7" s="1"/>
  <c r="AG71" i="7" s="1"/>
  <c r="AE71" i="8" s="1"/>
  <c r="AG71" i="8" s="1"/>
  <c r="AE71" i="9" s="1"/>
  <c r="AG71" i="9" s="1"/>
  <c r="AE71" i="10" s="1"/>
  <c r="AG71" i="10" s="1"/>
  <c r="AE71" i="11" s="1"/>
  <c r="AG71" i="11" s="1"/>
  <c r="AG72" i="5"/>
  <c r="AE72" i="6" s="1"/>
  <c r="AG72" i="6" s="1"/>
  <c r="AG73" i="5"/>
  <c r="AE73" i="6" s="1"/>
  <c r="AG74" i="5"/>
  <c r="AE74" i="6" s="1"/>
  <c r="AG74" i="6" s="1"/>
  <c r="AE74" i="7" s="1"/>
  <c r="AG74" i="7" s="1"/>
  <c r="AE74" i="8" s="1"/>
  <c r="AG74" i="8" s="1"/>
  <c r="AE74" i="9" s="1"/>
  <c r="AG74" i="9" s="1"/>
  <c r="AE74" i="10" s="1"/>
  <c r="AG74" i="10" s="1"/>
  <c r="AE74" i="11" s="1"/>
  <c r="AG74" i="11" s="1"/>
  <c r="AE74" i="12" s="1"/>
  <c r="AG74" i="12" s="1"/>
  <c r="AE74" i="13" s="1"/>
  <c r="AG74" i="13" s="1"/>
  <c r="AE74" i="14" s="1"/>
  <c r="AG74" i="14" s="1"/>
  <c r="AE74" i="15" s="1"/>
  <c r="AG74" i="15" s="1"/>
  <c r="AG75" i="5"/>
  <c r="AE75" i="6" s="1"/>
  <c r="AG75" i="6" s="1"/>
  <c r="AE75" i="7" s="1"/>
  <c r="AG75" i="7" s="1"/>
  <c r="AE75" i="8" s="1"/>
  <c r="AG75" i="8" s="1"/>
  <c r="AG76" i="5"/>
  <c r="AE76" i="6" s="1"/>
  <c r="AG76" i="6" s="1"/>
  <c r="AE76" i="7" s="1"/>
  <c r="AG76" i="7" s="1"/>
  <c r="AE76" i="8" s="1"/>
  <c r="AG76" i="8" s="1"/>
  <c r="AE76" i="9" s="1"/>
  <c r="AG76" i="9" s="1"/>
  <c r="AE76" i="10" s="1"/>
  <c r="AG76" i="10" s="1"/>
  <c r="AE76" i="11" s="1"/>
  <c r="AG76" i="11" s="1"/>
  <c r="AE76" i="12" s="1"/>
  <c r="AG76" i="12" s="1"/>
  <c r="AG77" i="5"/>
  <c r="AE77" i="6" s="1"/>
  <c r="AG77" i="6" s="1"/>
  <c r="AE77" i="7" s="1"/>
  <c r="AG77" i="7" s="1"/>
  <c r="AE77" i="8" s="1"/>
  <c r="AG77" i="8" s="1"/>
  <c r="AG78" i="5"/>
  <c r="AE78" i="6" s="1"/>
  <c r="AG78" i="6" s="1"/>
  <c r="AE78" i="7" s="1"/>
  <c r="AG78" i="7" s="1"/>
  <c r="AE78" i="8" s="1"/>
  <c r="AG78" i="8" s="1"/>
  <c r="AE78" i="9" s="1"/>
  <c r="AG78" i="9" s="1"/>
  <c r="AE78" i="10" s="1"/>
  <c r="AG78" i="10" s="1"/>
  <c r="AE78" i="11" s="1"/>
  <c r="AG78" i="11" s="1"/>
  <c r="AE78" i="12" s="1"/>
  <c r="AG78" i="12" s="1"/>
  <c r="AE78" i="13" s="1"/>
  <c r="AG78" i="13" s="1"/>
  <c r="AG79" i="5"/>
  <c r="AE79" i="6" s="1"/>
  <c r="AG79" i="6" s="1"/>
  <c r="AE79" i="7" s="1"/>
  <c r="AG79" i="7" s="1"/>
  <c r="AE79" i="8" s="1"/>
  <c r="AG79" i="8" s="1"/>
  <c r="AE79" i="9" s="1"/>
  <c r="AG79" i="9" s="1"/>
  <c r="AE79" i="10" s="1"/>
  <c r="AG79" i="10" s="1"/>
  <c r="AE79" i="11" s="1"/>
  <c r="AG79" i="11" s="1"/>
  <c r="AE79" i="12" s="1"/>
  <c r="AG79" i="12" s="1"/>
  <c r="AE79" i="13" s="1"/>
  <c r="AG79" i="13" s="1"/>
  <c r="AG80" i="5"/>
  <c r="AE80" i="6" s="1"/>
  <c r="AG80" i="6" s="1"/>
  <c r="AE80" i="7" s="1"/>
  <c r="AG80" i="7" s="1"/>
  <c r="AE80" i="8" s="1"/>
  <c r="AG80" i="8" s="1"/>
  <c r="AG81" i="5"/>
  <c r="AE81" i="6" s="1"/>
  <c r="AG81" i="6" s="1"/>
  <c r="AE81" i="7" s="1"/>
  <c r="AG84" i="5"/>
  <c r="AE84" i="6" s="1"/>
  <c r="AG84" i="6" s="1"/>
  <c r="AE84" i="7" s="1"/>
  <c r="AG84" i="7" s="1"/>
  <c r="AE84" i="8" s="1"/>
  <c r="AG84" i="8" s="1"/>
  <c r="AG85" i="5"/>
  <c r="AE85" i="6" s="1"/>
  <c r="AG85" i="6" s="1"/>
  <c r="AE85" i="7" s="1"/>
  <c r="AG85" i="7" s="1"/>
  <c r="AG86" i="5"/>
  <c r="AG87" i="5"/>
  <c r="AE87" i="6" s="1"/>
  <c r="AG87" i="6" s="1"/>
  <c r="AE87" i="7" s="1"/>
  <c r="AG87" i="7" s="1"/>
  <c r="AE87" i="8" s="1"/>
  <c r="AG87" i="8" s="1"/>
  <c r="AE87" i="9" s="1"/>
  <c r="AG87" i="9" s="1"/>
  <c r="AE87" i="10" s="1"/>
  <c r="AG87" i="10" s="1"/>
  <c r="AE87" i="11" s="1"/>
  <c r="AG87" i="11" s="1"/>
  <c r="AE87" i="12" s="1"/>
  <c r="AG87" i="12" s="1"/>
  <c r="AE87" i="13" s="1"/>
  <c r="AG87" i="13" s="1"/>
  <c r="AE87" i="14" s="1"/>
  <c r="AG87" i="14" s="1"/>
  <c r="AG88" i="5"/>
  <c r="AE88" i="6" s="1"/>
  <c r="AG88" i="6" s="1"/>
  <c r="AE88" i="7" s="1"/>
  <c r="AG88" i="7" s="1"/>
  <c r="AE88" i="8" s="1"/>
  <c r="AG88" i="8" s="1"/>
  <c r="AE88" i="9" s="1"/>
  <c r="AG88" i="9" s="1"/>
  <c r="AE88" i="10" s="1"/>
  <c r="AG88" i="10" s="1"/>
  <c r="AE88" i="11" s="1"/>
  <c r="AG88" i="11" s="1"/>
  <c r="AE88" i="12" s="1"/>
  <c r="AG88" i="12" s="1"/>
  <c r="AE88" i="13" s="1"/>
  <c r="AG88" i="13" s="1"/>
  <c r="AE88" i="14" s="1"/>
  <c r="AG92" i="5"/>
  <c r="AE92" i="6" s="1"/>
  <c r="AG92" i="6" s="1"/>
  <c r="AE92" i="7" s="1"/>
  <c r="AG92" i="7" s="1"/>
  <c r="AE92" i="8" s="1"/>
  <c r="AG92" i="8" s="1"/>
  <c r="AE92" i="9" s="1"/>
  <c r="AG92" i="9" s="1"/>
  <c r="AE92" i="10" s="1"/>
  <c r="AG92" i="10" s="1"/>
  <c r="AG93" i="5"/>
  <c r="AE93" i="6" s="1"/>
  <c r="AG93" i="6" s="1"/>
  <c r="AE93" i="7" s="1"/>
  <c r="AG93" i="7" s="1"/>
  <c r="AE93" i="8" s="1"/>
  <c r="AG93" i="8" s="1"/>
  <c r="AG94" i="5"/>
  <c r="AE94" i="6" s="1"/>
  <c r="AG95" i="5"/>
  <c r="AE95" i="6" s="1"/>
  <c r="AG95" i="6" s="1"/>
  <c r="AE95" i="7" s="1"/>
  <c r="AG97" i="5"/>
  <c r="AE97" i="6" s="1"/>
  <c r="AG97" i="6" s="1"/>
  <c r="AE97" i="7" s="1"/>
  <c r="AG98" i="5"/>
  <c r="AG99" i="5"/>
  <c r="AE99" i="6" s="1"/>
  <c r="AG99" i="6" s="1"/>
  <c r="AE99" i="7" s="1"/>
  <c r="AG99" i="7" s="1"/>
  <c r="AG100" i="5"/>
  <c r="AE100" i="6" s="1"/>
  <c r="AG100" i="6" s="1"/>
  <c r="AE100" i="7" s="1"/>
  <c r="AG100" i="7" s="1"/>
  <c r="AE100" i="8" s="1"/>
  <c r="AG100" i="8" s="1"/>
  <c r="AE100" i="9" s="1"/>
  <c r="AG100" i="9" s="1"/>
  <c r="AG101" i="5"/>
  <c r="AE101" i="6" s="1"/>
  <c r="AG101" i="6" s="1"/>
  <c r="AE101" i="7" s="1"/>
  <c r="AG101" i="7" s="1"/>
  <c r="AE101" i="8" s="1"/>
  <c r="AG101" i="8" s="1"/>
  <c r="AG102" i="5"/>
  <c r="AE102" i="6" s="1"/>
  <c r="AG102" i="6" s="1"/>
  <c r="AE102" i="7" s="1"/>
  <c r="AG102" i="7" s="1"/>
  <c r="AE102" i="8" s="1"/>
  <c r="AG102" i="8" s="1"/>
  <c r="AE102" i="9" s="1"/>
  <c r="AG102" i="9" s="1"/>
  <c r="AE102" i="10" s="1"/>
  <c r="AG102" i="10" s="1"/>
  <c r="AE102" i="11" s="1"/>
  <c r="AG102" i="11" s="1"/>
  <c r="AE102" i="12" s="1"/>
  <c r="AG102" i="12" s="1"/>
  <c r="AG106" i="5"/>
  <c r="AG107" i="5"/>
  <c r="AE107" i="6" s="1"/>
  <c r="AG107" i="6" s="1"/>
  <c r="AE107" i="7" s="1"/>
  <c r="AG107" i="7" s="1"/>
  <c r="AE107" i="8" s="1"/>
  <c r="AG107" i="8" s="1"/>
  <c r="AE107" i="9" s="1"/>
  <c r="AG107" i="9" s="1"/>
  <c r="AE107" i="10" s="1"/>
  <c r="AG107" i="10" s="1"/>
  <c r="AG108" i="5"/>
  <c r="AE108" i="6" s="1"/>
  <c r="AG108" i="6" s="1"/>
  <c r="AE108" i="7" s="1"/>
  <c r="AG108" i="7" s="1"/>
  <c r="AE108" i="8" s="1"/>
  <c r="AG108" i="8" s="1"/>
  <c r="AE108" i="9" s="1"/>
  <c r="AG108" i="9" s="1"/>
  <c r="AE108" i="10" s="1"/>
  <c r="AG108" i="10" s="1"/>
  <c r="AE108" i="11" s="1"/>
  <c r="AG108" i="11" s="1"/>
  <c r="AE108" i="12" s="1"/>
  <c r="AG108" i="12" s="1"/>
  <c r="AE108" i="13" s="1"/>
  <c r="AG108" i="13" s="1"/>
  <c r="AE108" i="14" s="1"/>
  <c r="AG108" i="14" s="1"/>
  <c r="AG115" i="5"/>
  <c r="AE115" i="6" s="1"/>
  <c r="AG115" i="6" s="1"/>
  <c r="AG116" i="5"/>
  <c r="AE116" i="6" s="1"/>
  <c r="AG116" i="6" s="1"/>
  <c r="AE116" i="7" s="1"/>
  <c r="AG116" i="7" s="1"/>
  <c r="AE116" i="8" s="1"/>
  <c r="AG116" i="8" s="1"/>
  <c r="AE116" i="9" s="1"/>
  <c r="AG116" i="9" s="1"/>
  <c r="AE116" i="10" s="1"/>
  <c r="AG116" i="10" s="1"/>
  <c r="AE116" i="11" s="1"/>
  <c r="AG116" i="11" s="1"/>
  <c r="AE116" i="12" s="1"/>
  <c r="AG116" i="12" s="1"/>
  <c r="AE116" i="13" s="1"/>
  <c r="AG116" i="13" s="1"/>
  <c r="AG117" i="5"/>
  <c r="AE117" i="6" s="1"/>
  <c r="AG118" i="5"/>
  <c r="AE118" i="6" s="1"/>
  <c r="AG118" i="6" s="1"/>
  <c r="AE118" i="7" s="1"/>
  <c r="AG118" i="7" s="1"/>
  <c r="AG119" i="5"/>
  <c r="AE119" i="6" s="1"/>
  <c r="AG119" i="6" s="1"/>
  <c r="AE119" i="7" s="1"/>
  <c r="AG119" i="7" s="1"/>
  <c r="AE119" i="8" s="1"/>
  <c r="AG119" i="8" s="1"/>
  <c r="AG120" i="5"/>
  <c r="AE120" i="6" s="1"/>
  <c r="AG120" i="6" s="1"/>
  <c r="AE120" i="7" s="1"/>
  <c r="AG120" i="7" s="1"/>
  <c r="AE120" i="8" s="1"/>
  <c r="AG120" i="8" s="1"/>
  <c r="AE120" i="9" s="1"/>
  <c r="AG120" i="9" s="1"/>
  <c r="AE120" i="10" s="1"/>
  <c r="AG120" i="10" s="1"/>
  <c r="AE120" i="11" s="1"/>
  <c r="AG120" i="11" s="1"/>
  <c r="AE120" i="12" s="1"/>
  <c r="AG120" i="12" s="1"/>
  <c r="AE120" i="13" s="1"/>
  <c r="AG120" i="13" s="1"/>
  <c r="AE120" i="14" s="1"/>
  <c r="AG120" i="14" s="1"/>
  <c r="AE120" i="15" s="1"/>
  <c r="AG120" i="15" s="1"/>
  <c r="AE120" i="16" s="1"/>
  <c r="AG120" i="16" s="1"/>
  <c r="AG121" i="5"/>
  <c r="AE121" i="6" s="1"/>
  <c r="AG121" i="6" s="1"/>
  <c r="AE121" i="7" s="1"/>
  <c r="AG121" i="7" s="1"/>
  <c r="AE121" i="8" s="1"/>
  <c r="AG121" i="8" s="1"/>
  <c r="AE121" i="9" s="1"/>
  <c r="AG121" i="9" s="1"/>
  <c r="AE121" i="10" s="1"/>
  <c r="AG121" i="10" s="1"/>
  <c r="AE121" i="11" s="1"/>
  <c r="AG121" i="11" s="1"/>
  <c r="AE121" i="12" s="1"/>
  <c r="AG121" i="12" s="1"/>
  <c r="AE121" i="13" s="1"/>
  <c r="AG121" i="13" s="1"/>
  <c r="AE121" i="14" s="1"/>
  <c r="AG121" i="14" s="1"/>
  <c r="AE121" i="15" s="1"/>
  <c r="AG121" i="15" s="1"/>
  <c r="AE121" i="16" s="1"/>
  <c r="AG121" i="16" s="1"/>
  <c r="AG124" i="5"/>
  <c r="AE124" i="6" s="1"/>
  <c r="AG124" i="6" s="1"/>
  <c r="AE124" i="7" s="1"/>
  <c r="AG125" i="5"/>
  <c r="AE125" i="6" s="1"/>
  <c r="AG125" i="6" s="1"/>
  <c r="AE125" i="7" s="1"/>
  <c r="AG125" i="7" s="1"/>
  <c r="AE125" i="8" s="1"/>
  <c r="AG125" i="8" s="1"/>
  <c r="AE125" i="9" s="1"/>
  <c r="AG125" i="9" s="1"/>
  <c r="AE125" i="10" s="1"/>
  <c r="AG125" i="10" s="1"/>
  <c r="AE125" i="11" s="1"/>
  <c r="AG125" i="11" s="1"/>
  <c r="AE125" i="12" s="1"/>
  <c r="AG125" i="12" s="1"/>
  <c r="AE125" i="13" s="1"/>
  <c r="AG125" i="13" s="1"/>
  <c r="AG126" i="5"/>
  <c r="AG127" i="5"/>
  <c r="AE127" i="6" s="1"/>
  <c r="AG127" i="6" s="1"/>
  <c r="AE127" i="7" s="1"/>
  <c r="AG127" i="7" s="1"/>
  <c r="AE127" i="8" s="1"/>
  <c r="AG127" i="8" s="1"/>
  <c r="AE127" i="9" s="1"/>
  <c r="AG127" i="9" s="1"/>
  <c r="AG128" i="5"/>
  <c r="AE128" i="6" s="1"/>
  <c r="AG128" i="6" s="1"/>
  <c r="AE128" i="7" s="1"/>
  <c r="AG128" i="7" s="1"/>
  <c r="AE128" i="8" s="1"/>
  <c r="AG128" i="8" s="1"/>
  <c r="AE128" i="9" s="1"/>
  <c r="AG128" i="9" s="1"/>
  <c r="AE128" i="10" s="1"/>
  <c r="AG128" i="10" s="1"/>
  <c r="AE128" i="11" s="1"/>
  <c r="AG128" i="11" s="1"/>
  <c r="AE128" i="12" s="1"/>
  <c r="AG128" i="12" s="1"/>
  <c r="AE128" i="13" s="1"/>
  <c r="AG128" i="13" s="1"/>
  <c r="AE128" i="14" s="1"/>
  <c r="AG128" i="14" s="1"/>
  <c r="AE128" i="15" s="1"/>
  <c r="AG128" i="15" s="1"/>
  <c r="AE128" i="16" s="1"/>
  <c r="AG128" i="16" s="1"/>
  <c r="AG129" i="5"/>
  <c r="AE129" i="6" s="1"/>
  <c r="AG129" i="6" s="1"/>
  <c r="AE129" i="7" s="1"/>
  <c r="AG129" i="7" s="1"/>
  <c r="AE129" i="8" s="1"/>
  <c r="AG129" i="8" s="1"/>
  <c r="AE129" i="9" s="1"/>
  <c r="AG129" i="9" s="1"/>
  <c r="AE129" i="10" s="1"/>
  <c r="AG129" i="10" s="1"/>
  <c r="AE129" i="11" s="1"/>
  <c r="AG129" i="11" s="1"/>
  <c r="AE129" i="12" s="1"/>
  <c r="AG129" i="12" s="1"/>
  <c r="AE129" i="13" s="1"/>
  <c r="AG129" i="13" s="1"/>
  <c r="AE129" i="14" s="1"/>
  <c r="AG130" i="5"/>
  <c r="AE130" i="6" s="1"/>
  <c r="AG130" i="6" s="1"/>
  <c r="AE130" i="7" s="1"/>
  <c r="AG130" i="7" s="1"/>
  <c r="AE130" i="8" s="1"/>
  <c r="AG130" i="8" s="1"/>
  <c r="AG131" i="5"/>
  <c r="AE131" i="6" s="1"/>
  <c r="AG131" i="6" s="1"/>
  <c r="AE131" i="7" s="1"/>
  <c r="AG131" i="7" s="1"/>
  <c r="AE131" i="8" s="1"/>
  <c r="AG131" i="8" s="1"/>
  <c r="AE131" i="9" s="1"/>
  <c r="AG131" i="9" s="1"/>
  <c r="AE131" i="10" s="1"/>
  <c r="AG131" i="10" s="1"/>
  <c r="AG132" i="5"/>
  <c r="AE132" i="6" s="1"/>
  <c r="AG132" i="6" s="1"/>
  <c r="AE132" i="7" s="1"/>
  <c r="AG132" i="7" s="1"/>
  <c r="AE132" i="8" s="1"/>
  <c r="AG132" i="8" s="1"/>
  <c r="AE132" i="9" s="1"/>
  <c r="AG132" i="9" s="1"/>
  <c r="AE132" i="10" s="1"/>
  <c r="AG132" i="10" s="1"/>
  <c r="AE132" i="11" s="1"/>
  <c r="AG132" i="11" s="1"/>
  <c r="AG133" i="5"/>
  <c r="AE133" i="6" s="1"/>
  <c r="AG133" i="6" s="1"/>
  <c r="AE133" i="7" s="1"/>
  <c r="AG133" i="7" s="1"/>
  <c r="AE133" i="8" s="1"/>
  <c r="AG133" i="8" s="1"/>
  <c r="AE133" i="9" s="1"/>
  <c r="AG133" i="9" s="1"/>
  <c r="AG134" i="5"/>
  <c r="AE134" i="6" s="1"/>
  <c r="AG134" i="6" s="1"/>
  <c r="AE134" i="7" s="1"/>
  <c r="AG134" i="7" s="1"/>
  <c r="AE134" i="8" s="1"/>
  <c r="AG134" i="8" s="1"/>
  <c r="AG135" i="5"/>
  <c r="AE135" i="6" s="1"/>
  <c r="AG135" i="6" s="1"/>
  <c r="AE135" i="7" s="1"/>
  <c r="AG135" i="7" s="1"/>
  <c r="AE135" i="8" s="1"/>
  <c r="AG135" i="8" s="1"/>
  <c r="AE135" i="9" s="1"/>
  <c r="AG135" i="9" s="1"/>
  <c r="AE135" i="10" s="1"/>
  <c r="AG135" i="10" s="1"/>
  <c r="AE135" i="11" s="1"/>
  <c r="AG135" i="11" s="1"/>
  <c r="AE135" i="12" s="1"/>
  <c r="AG135" i="12" s="1"/>
  <c r="AG136" i="5"/>
  <c r="AG137" i="5"/>
  <c r="AG138" i="5"/>
  <c r="AE138" i="6" s="1"/>
  <c r="AG138" i="6" s="1"/>
  <c r="AE138" i="7" s="1"/>
  <c r="AG138" i="7" s="1"/>
  <c r="AE138" i="8" s="1"/>
  <c r="AG138" i="8" s="1"/>
  <c r="AE138" i="9" s="1"/>
  <c r="AG138" i="9" s="1"/>
  <c r="AG139" i="5"/>
  <c r="AE139" i="6" s="1"/>
  <c r="AG139" i="6" s="1"/>
  <c r="AE139" i="7" s="1"/>
  <c r="AG139" i="7" s="1"/>
  <c r="AE139" i="8" s="1"/>
  <c r="AG139" i="8" s="1"/>
  <c r="AE139" i="9" s="1"/>
  <c r="AG139" i="9" s="1"/>
  <c r="AE139" i="10" s="1"/>
  <c r="AG139" i="10" s="1"/>
  <c r="AE139" i="11" s="1"/>
  <c r="AG139" i="11" s="1"/>
  <c r="AE139" i="12" s="1"/>
  <c r="AG139" i="12" s="1"/>
  <c r="AE139" i="13" s="1"/>
  <c r="AG139" i="13" s="1"/>
  <c r="AE139" i="14" s="1"/>
  <c r="AG139" i="14" s="1"/>
  <c r="AE139" i="15" s="1"/>
  <c r="AG139" i="15" s="1"/>
  <c r="AE139" i="16" s="1"/>
  <c r="AG139" i="16" s="1"/>
  <c r="AG142" i="5"/>
  <c r="AE142" i="6" s="1"/>
  <c r="AG143" i="5"/>
  <c r="AG148" i="5"/>
  <c r="AE148" i="6" s="1"/>
  <c r="AG148" i="6" s="1"/>
  <c r="AE148" i="7" s="1"/>
  <c r="AG148" i="7" s="1"/>
  <c r="AE148" i="8" s="1"/>
  <c r="AG148" i="8" s="1"/>
  <c r="AG150" i="5"/>
  <c r="AG151" i="5"/>
  <c r="AE151" i="6" s="1"/>
  <c r="AG151" i="6" s="1"/>
  <c r="AE151" i="7" s="1"/>
  <c r="AG151" i="7" s="1"/>
  <c r="AG152" i="5"/>
  <c r="AE152" i="6" s="1"/>
  <c r="AG152" i="6" s="1"/>
  <c r="AE152" i="7" s="1"/>
  <c r="AG152" i="7" s="1"/>
  <c r="AE152" i="8" s="1"/>
  <c r="AG152" i="8" s="1"/>
  <c r="AE152" i="9" s="1"/>
  <c r="AG152" i="9" s="1"/>
  <c r="AE152" i="10" s="1"/>
  <c r="AG152" i="10" s="1"/>
  <c r="AE152" i="11" s="1"/>
  <c r="AG152" i="11" s="1"/>
  <c r="AE152" i="12" s="1"/>
  <c r="AG152" i="12" s="1"/>
  <c r="AE152" i="13" s="1"/>
  <c r="AG152" i="13" s="1"/>
  <c r="AE152" i="14" s="1"/>
  <c r="AG152" i="14" s="1"/>
  <c r="AE152" i="15" s="1"/>
  <c r="AG152" i="15" s="1"/>
  <c r="AE152" i="16" s="1"/>
  <c r="AG152" i="16" s="1"/>
  <c r="AG153" i="5"/>
  <c r="AE153" i="6" s="1"/>
  <c r="AG153" i="6" s="1"/>
  <c r="AG156" i="5"/>
  <c r="AE156" i="6" s="1"/>
  <c r="AG156" i="6" s="1"/>
  <c r="AE156" i="7" s="1"/>
  <c r="AG156" i="7" s="1"/>
  <c r="AE156" i="8" s="1"/>
  <c r="AG156" i="8" s="1"/>
  <c r="AE156" i="9" s="1"/>
  <c r="AG156" i="9" s="1"/>
  <c r="AE156" i="10" s="1"/>
  <c r="AG156" i="10" s="1"/>
  <c r="AE156" i="11" s="1"/>
  <c r="AG156" i="11" s="1"/>
  <c r="AE156" i="12" s="1"/>
  <c r="AG156" i="12" s="1"/>
  <c r="AE156" i="13" s="1"/>
  <c r="AG156" i="13" s="1"/>
  <c r="AG158" i="5"/>
  <c r="AE158" i="6" s="1"/>
  <c r="AG158" i="6" s="1"/>
  <c r="AG159" i="5"/>
  <c r="AG160" i="5"/>
  <c r="AE160" i="6" s="1"/>
  <c r="AG160" i="6" s="1"/>
  <c r="AE160" i="7" s="1"/>
  <c r="AG160" i="7" s="1"/>
  <c r="AE160" i="8" s="1"/>
  <c r="AG160" i="8" s="1"/>
  <c r="AE160" i="9" s="1"/>
  <c r="AG160" i="9" s="1"/>
  <c r="AE160" i="10" s="1"/>
  <c r="AG160" i="10" s="1"/>
  <c r="AE160" i="11" s="1"/>
  <c r="AG160" i="11" s="1"/>
  <c r="AE160" i="12" s="1"/>
  <c r="AG160" i="12" s="1"/>
  <c r="AE160" i="13" s="1"/>
  <c r="AG160" i="13" s="1"/>
  <c r="AE160" i="14" s="1"/>
  <c r="AG160" i="14" s="1"/>
  <c r="AE160" i="15" s="1"/>
  <c r="AG160" i="15" s="1"/>
  <c r="AE160" i="16" s="1"/>
  <c r="AG160" i="16" s="1"/>
  <c r="AG161" i="5"/>
  <c r="AE161" i="6" s="1"/>
  <c r="AG161" i="6" s="1"/>
  <c r="AE161" i="7" s="1"/>
  <c r="AG161" i="7" s="1"/>
  <c r="AE161" i="8" s="1"/>
  <c r="AG161" i="8" s="1"/>
  <c r="AE161" i="9" s="1"/>
  <c r="AG161" i="9" s="1"/>
  <c r="AE161" i="10" s="1"/>
  <c r="AG161" i="10" s="1"/>
  <c r="AE161" i="11" s="1"/>
  <c r="AG161" i="11" s="1"/>
  <c r="AE161" i="12" s="1"/>
  <c r="AG161" i="12" s="1"/>
  <c r="AG162" i="5"/>
  <c r="AE162" i="6" s="1"/>
  <c r="AG162" i="6" s="1"/>
  <c r="AE162" i="7" s="1"/>
  <c r="AG162" i="7" s="1"/>
  <c r="AE162" i="8" s="1"/>
  <c r="AG162" i="8" s="1"/>
  <c r="AE162" i="9" s="1"/>
  <c r="AG162" i="9" s="1"/>
  <c r="AE162" i="10" s="1"/>
  <c r="AG162" i="10" s="1"/>
  <c r="AE162" i="11" s="1"/>
  <c r="AG162" i="11" s="1"/>
  <c r="AE162" i="12" s="1"/>
  <c r="AG162" i="12" s="1"/>
  <c r="AE162" i="13" s="1"/>
  <c r="AG162" i="13" s="1"/>
  <c r="AE162" i="14" s="1"/>
  <c r="AG162" i="14" s="1"/>
  <c r="AE162" i="15" s="1"/>
  <c r="AG162" i="15" s="1"/>
  <c r="AE162" i="16" s="1"/>
  <c r="AG162" i="16" s="1"/>
  <c r="AG163" i="5"/>
  <c r="AE163" i="6" s="1"/>
  <c r="AG163" i="6" s="1"/>
  <c r="AE163" i="7" s="1"/>
  <c r="AG163" i="7" s="1"/>
  <c r="AE163" i="8" s="1"/>
  <c r="AG163" i="8" s="1"/>
  <c r="AE163" i="9" s="1"/>
  <c r="AG163" i="9" s="1"/>
  <c r="AE163" i="10" s="1"/>
  <c r="AG163" i="10" s="1"/>
  <c r="AE163" i="11" s="1"/>
  <c r="AG163" i="11" s="1"/>
  <c r="AE163" i="12" s="1"/>
  <c r="AG163" i="12" s="1"/>
  <c r="AE163" i="13" s="1"/>
  <c r="AG163" i="13" s="1"/>
  <c r="AE163" i="14" s="1"/>
  <c r="AG163" i="14" s="1"/>
  <c r="AE163" i="15" s="1"/>
  <c r="AG163" i="15" s="1"/>
  <c r="AG164" i="5"/>
  <c r="AE164" i="6" s="1"/>
  <c r="AG164" i="6" s="1"/>
  <c r="AE164" i="7" s="1"/>
  <c r="AG164" i="7" s="1"/>
  <c r="AG165" i="5"/>
  <c r="AE165" i="6" s="1"/>
  <c r="AG165" i="6" s="1"/>
  <c r="AE165" i="7" s="1"/>
  <c r="AG165" i="7" s="1"/>
  <c r="AG166" i="5"/>
  <c r="AE166" i="6" s="1"/>
  <c r="AG166" i="6" s="1"/>
  <c r="AE166" i="7" s="1"/>
  <c r="AG166" i="7" s="1"/>
  <c r="AE166" i="8" s="1"/>
  <c r="AG166" i="8" s="1"/>
  <c r="AE166" i="9" s="1"/>
  <c r="AG166" i="9" s="1"/>
  <c r="AE166" i="10" s="1"/>
  <c r="AG166" i="10" s="1"/>
  <c r="AE166" i="11" s="1"/>
  <c r="AG166" i="11" s="1"/>
  <c r="AG167" i="5"/>
  <c r="AE167" i="6" s="1"/>
  <c r="AG167" i="6" s="1"/>
  <c r="AE167" i="7" s="1"/>
  <c r="AG167" i="7" s="1"/>
  <c r="AE167" i="8" s="1"/>
  <c r="AG167" i="8" s="1"/>
  <c r="AG168" i="5"/>
  <c r="AE168" i="6" s="1"/>
  <c r="AG168" i="6" s="1"/>
  <c r="AE168" i="7" s="1"/>
  <c r="AG168" i="7" s="1"/>
  <c r="AE168" i="8" s="1"/>
  <c r="AG168" i="8" s="1"/>
  <c r="AG173" i="5"/>
  <c r="AE173" i="6" s="1"/>
  <c r="AG174" i="5"/>
  <c r="AE174" i="6" s="1"/>
  <c r="AG174" i="6" s="1"/>
  <c r="AG177" i="5"/>
  <c r="AE177" i="6" s="1"/>
  <c r="AG177" i="6" s="1"/>
  <c r="AG178" i="5"/>
  <c r="AG179" i="5"/>
  <c r="AE179" i="6" s="1"/>
  <c r="AG179" i="6" s="1"/>
  <c r="AE179" i="7" s="1"/>
  <c r="AG179" i="7" s="1"/>
  <c r="AE179" i="8" s="1"/>
  <c r="AG179" i="8" s="1"/>
  <c r="AE179" i="9" s="1"/>
  <c r="AG179" i="9" s="1"/>
  <c r="AE179" i="10" s="1"/>
  <c r="AG179" i="10" s="1"/>
  <c r="AE179" i="11" s="1"/>
  <c r="AG179" i="11" s="1"/>
  <c r="AG180" i="5"/>
  <c r="AE180" i="6" s="1"/>
  <c r="AG180" i="6" s="1"/>
  <c r="AE180" i="7" s="1"/>
  <c r="AG180" i="7" s="1"/>
  <c r="AE180" i="8" s="1"/>
  <c r="AG180" i="8" s="1"/>
  <c r="AE180" i="9" s="1"/>
  <c r="AG180" i="9" s="1"/>
  <c r="AE180" i="10" s="1"/>
  <c r="AG180" i="10" s="1"/>
  <c r="AG181" i="5"/>
  <c r="AE181" i="6" s="1"/>
  <c r="AG181" i="6" s="1"/>
  <c r="AG182" i="5"/>
  <c r="AE182" i="6" s="1"/>
  <c r="AG182" i="6" s="1"/>
  <c r="AE182" i="7" s="1"/>
  <c r="AG182" i="7" s="1"/>
  <c r="AG183" i="5"/>
  <c r="AE183" i="6" s="1"/>
  <c r="AG183" i="6" s="1"/>
  <c r="AE183" i="7" s="1"/>
  <c r="AG183" i="7" s="1"/>
  <c r="AE183" i="8" s="1"/>
  <c r="AG183" i="8" s="1"/>
  <c r="AG186" i="5"/>
  <c r="AE186" i="6" s="1"/>
  <c r="AG186" i="6" s="1"/>
  <c r="AG188" i="5"/>
  <c r="AE188" i="6" s="1"/>
  <c r="AG189" i="5"/>
  <c r="AG190" i="5"/>
  <c r="AE190" i="6" s="1"/>
  <c r="AG190" i="6" s="1"/>
  <c r="AE190" i="7" s="1"/>
  <c r="AG190" i="7" s="1"/>
  <c r="AE190" i="8" s="1"/>
  <c r="AG190" i="8" s="1"/>
  <c r="AE190" i="9" s="1"/>
  <c r="AG190" i="9" s="1"/>
  <c r="AE190" i="10" s="1"/>
  <c r="AG190" i="10" s="1"/>
  <c r="AG191" i="5"/>
  <c r="AE191" i="6" s="1"/>
  <c r="AG191" i="6" s="1"/>
  <c r="AE191" i="7" s="1"/>
  <c r="AG191" i="7" s="1"/>
  <c r="AG196" i="5"/>
  <c r="AE196" i="6" s="1"/>
  <c r="AG196" i="6" s="1"/>
  <c r="AE196" i="7" s="1"/>
  <c r="AG197" i="5"/>
  <c r="AG198" i="5"/>
  <c r="AE198" i="6" s="1"/>
  <c r="AG198" i="6" s="1"/>
  <c r="AE198" i="7" s="1"/>
  <c r="AG198" i="7" s="1"/>
  <c r="AE198" i="8" s="1"/>
  <c r="AG198" i="8" s="1"/>
  <c r="AG199" i="5"/>
  <c r="AE199" i="6" s="1"/>
  <c r="AG199" i="6" s="1"/>
  <c r="AE199" i="7" s="1"/>
  <c r="AG199" i="7" s="1"/>
  <c r="AE199" i="8" s="1"/>
  <c r="AG199" i="8" s="1"/>
  <c r="AG200" i="5"/>
  <c r="AE200" i="6" s="1"/>
  <c r="AG200" i="6" s="1"/>
  <c r="AE200" i="7" s="1"/>
  <c r="AG200" i="7" s="1"/>
  <c r="AE200" i="8" s="1"/>
  <c r="AG200" i="8" s="1"/>
  <c r="AE200" i="9" s="1"/>
  <c r="AG200" i="9" s="1"/>
  <c r="AG201" i="5"/>
  <c r="AE201" i="6" s="1"/>
  <c r="AG201" i="6" s="1"/>
  <c r="AE201" i="7" s="1"/>
  <c r="AG201" i="7" s="1"/>
  <c r="AE201" i="8" s="1"/>
  <c r="AG201" i="8" s="1"/>
  <c r="AE201" i="9" s="1"/>
  <c r="AG201" i="9" s="1"/>
  <c r="AG202" i="5"/>
  <c r="AE202" i="6" s="1"/>
  <c r="AG202" i="6" s="1"/>
  <c r="AE202" i="7" s="1"/>
  <c r="AG202" i="7" s="1"/>
  <c r="AE202" i="8" s="1"/>
  <c r="AG202" i="8" s="1"/>
  <c r="AG204" i="5"/>
  <c r="AE204" i="6" s="1"/>
  <c r="AG204" i="6" s="1"/>
  <c r="AE204" i="7" s="1"/>
  <c r="AE203" i="7" s="1"/>
  <c r="AG205" i="5"/>
  <c r="AE205" i="6" s="1"/>
  <c r="AG205" i="6" s="1"/>
  <c r="AE205" i="7" s="1"/>
  <c r="AG205" i="7" s="1"/>
  <c r="AG212" i="5"/>
  <c r="AE212" i="6" s="1"/>
  <c r="AG212" i="6" s="1"/>
  <c r="AE212" i="7" s="1"/>
  <c r="AG213" i="5"/>
  <c r="AG214" i="5"/>
  <c r="AE214" i="6" s="1"/>
  <c r="AG214" i="6" s="1"/>
  <c r="AE214" i="7" s="1"/>
  <c r="AG214" i="7" s="1"/>
  <c r="AE214" i="8" s="1"/>
  <c r="AG214" i="8" s="1"/>
  <c r="AG215" i="5"/>
  <c r="AE215" i="6" s="1"/>
  <c r="AG216" i="5"/>
  <c r="AE216" i="6" s="1"/>
  <c r="AG216" i="6" s="1"/>
  <c r="AE216" i="7" s="1"/>
  <c r="AG216" i="7" s="1"/>
  <c r="AE216" i="8" s="1"/>
  <c r="AG216" i="8" s="1"/>
  <c r="AE216" i="9" s="1"/>
  <c r="AG216" i="9" s="1"/>
  <c r="AE216" i="10" s="1"/>
  <c r="AG216" i="10" s="1"/>
  <c r="AE216" i="11" s="1"/>
  <c r="AG216" i="11" s="1"/>
  <c r="AE216" i="12" s="1"/>
  <c r="AG216" i="12" s="1"/>
  <c r="AE216" i="13" s="1"/>
  <c r="AG216" i="13" s="1"/>
  <c r="AG217" i="5"/>
  <c r="AE217" i="6" s="1"/>
  <c r="AG217" i="6" s="1"/>
  <c r="AE217" i="7" s="1"/>
  <c r="AG217" i="7" s="1"/>
  <c r="AE217" i="8" s="1"/>
  <c r="AG217" i="8" s="1"/>
  <c r="AE217" i="9" s="1"/>
  <c r="AG217" i="9" s="1"/>
  <c r="AE217" i="10" s="1"/>
  <c r="AG217" i="10" s="1"/>
  <c r="AE217" i="11" s="1"/>
  <c r="AG217" i="11" s="1"/>
  <c r="AG218" i="5"/>
  <c r="AE218" i="6" s="1"/>
  <c r="AG218" i="6" s="1"/>
  <c r="AE218" i="7" s="1"/>
  <c r="AG218" i="7" s="1"/>
  <c r="AE218" i="8" s="1"/>
  <c r="AG218" i="8" s="1"/>
  <c r="AG223" i="5"/>
  <c r="AG224" i="5"/>
  <c r="AE224" i="6" s="1"/>
  <c r="AG224" i="6" s="1"/>
  <c r="AE224" i="7" s="1"/>
  <c r="AG225" i="5"/>
  <c r="AE225" i="6" s="1"/>
  <c r="AG225" i="6" s="1"/>
  <c r="AE225" i="7" s="1"/>
  <c r="AG225" i="7" s="1"/>
  <c r="AE225" i="8" s="1"/>
  <c r="AG225" i="8" s="1"/>
  <c r="AG228" i="5"/>
  <c r="AE228" i="6" s="1"/>
  <c r="AG229" i="5"/>
  <c r="AE229" i="6" s="1"/>
  <c r="AG229" i="6" s="1"/>
  <c r="AE229" i="7" s="1"/>
  <c r="AG230" i="5"/>
  <c r="AE230" i="6" s="1"/>
  <c r="AG230" i="6" s="1"/>
  <c r="AE230" i="7" s="1"/>
  <c r="AG230" i="7" s="1"/>
  <c r="AE230" i="8" s="1"/>
  <c r="AG230" i="8" s="1"/>
  <c r="AE230" i="9" s="1"/>
  <c r="AG230" i="9" s="1"/>
  <c r="AE230" i="10" s="1"/>
  <c r="AG230" i="10" s="1"/>
  <c r="AE230" i="11" s="1"/>
  <c r="AG230" i="11" s="1"/>
  <c r="AG236" i="5"/>
  <c r="AE236" i="6" s="1"/>
  <c r="AG236" i="6" s="1"/>
  <c r="AE236" i="7" s="1"/>
  <c r="AG236" i="7" s="1"/>
  <c r="AE236" i="8" s="1"/>
  <c r="AG236" i="8" s="1"/>
  <c r="AE236" i="9" s="1"/>
  <c r="AG236" i="9" s="1"/>
  <c r="AG237" i="5"/>
  <c r="AE237" i="6" s="1"/>
  <c r="AG237" i="6" s="1"/>
  <c r="AE237" i="7" s="1"/>
  <c r="AG237" i="7" s="1"/>
  <c r="AE237" i="8" s="1"/>
  <c r="AG237" i="8" s="1"/>
  <c r="AG238" i="5"/>
  <c r="AE238" i="6" s="1"/>
  <c r="AG238" i="6" s="1"/>
  <c r="AE238" i="7" s="1"/>
  <c r="AG238" i="7" s="1"/>
  <c r="AG239" i="5"/>
  <c r="AE239" i="6" s="1"/>
  <c r="AG239" i="6" s="1"/>
  <c r="AE239" i="7" s="1"/>
  <c r="AG239" i="7" s="1"/>
  <c r="AG240" i="5"/>
  <c r="AE240" i="6" s="1"/>
  <c r="AG240" i="6" s="1"/>
  <c r="AE240" i="7" s="1"/>
  <c r="AG240" i="7" s="1"/>
  <c r="AE240" i="8" s="1"/>
  <c r="AG240" i="8" s="1"/>
  <c r="AE240" i="9" s="1"/>
  <c r="AG240" i="9" s="1"/>
  <c r="AE240" i="10" s="1"/>
  <c r="AG240" i="10" s="1"/>
  <c r="AG241" i="5"/>
  <c r="AE241" i="6" s="1"/>
  <c r="AG244" i="5"/>
  <c r="AE244" i="6" s="1"/>
  <c r="AG245" i="5"/>
  <c r="AG246" i="5"/>
  <c r="AE246" i="6" s="1"/>
  <c r="AG246" i="6" s="1"/>
  <c r="AG247" i="5"/>
  <c r="AE247" i="6" s="1"/>
  <c r="AG247" i="6" s="1"/>
  <c r="AE247" i="7" s="1"/>
  <c r="AG247" i="7" s="1"/>
  <c r="AE247" i="8" s="1"/>
  <c r="AG247" i="8" s="1"/>
  <c r="AE247" i="9" s="1"/>
  <c r="AG247" i="9" s="1"/>
  <c r="AE247" i="10" s="1"/>
  <c r="AG247" i="10" s="1"/>
  <c r="AG248" i="5"/>
  <c r="AE248" i="6" s="1"/>
  <c r="AG248" i="6" s="1"/>
  <c r="AE248" i="7" s="1"/>
  <c r="AG248" i="7" s="1"/>
  <c r="AE248" i="8" s="1"/>
  <c r="AG248" i="8" s="1"/>
  <c r="AG249" i="5"/>
  <c r="AE249" i="6" s="1"/>
  <c r="AG249" i="6" s="1"/>
  <c r="AE249" i="7" s="1"/>
  <c r="AG249" i="7" s="1"/>
  <c r="AE249" i="8" s="1"/>
  <c r="AG249" i="8" s="1"/>
  <c r="AG250" i="5"/>
  <c r="AE250" i="6" s="1"/>
  <c r="AG250" i="6" s="1"/>
  <c r="AG251" i="5"/>
  <c r="AE251" i="6" s="1"/>
  <c r="AG251" i="6" s="1"/>
  <c r="AE251" i="7" s="1"/>
  <c r="AG251" i="7" s="1"/>
  <c r="AE251" i="8" s="1"/>
  <c r="AG251" i="8" s="1"/>
  <c r="AG252" i="5"/>
  <c r="AE252" i="6" s="1"/>
  <c r="AG252" i="6" s="1"/>
  <c r="AG253" i="5"/>
  <c r="AE253" i="6" s="1"/>
  <c r="AG253" i="6" s="1"/>
  <c r="AE253" i="7" s="1"/>
  <c r="AG253" i="7" s="1"/>
  <c r="AE253" i="8" s="1"/>
  <c r="AG253" i="8" s="1"/>
  <c r="AG254" i="5"/>
  <c r="AE254" i="6" s="1"/>
  <c r="AG254" i="6" s="1"/>
  <c r="AE254" i="7" s="1"/>
  <c r="AG254" i="7" s="1"/>
  <c r="AE254" i="8" s="1"/>
  <c r="AG254" i="8" s="1"/>
  <c r="AG255" i="5"/>
  <c r="AE255" i="6" s="1"/>
  <c r="AG255" i="6" s="1"/>
  <c r="AE255" i="7" s="1"/>
  <c r="AG255" i="7" s="1"/>
  <c r="AE255" i="8" s="1"/>
  <c r="AG255" i="8" s="1"/>
  <c r="AG256" i="5"/>
  <c r="AE256" i="6" s="1"/>
  <c r="AG256" i="6" s="1"/>
  <c r="AE256" i="7" s="1"/>
  <c r="AG256" i="7" s="1"/>
  <c r="AE256" i="8" s="1"/>
  <c r="AG256" i="8" s="1"/>
  <c r="AE256" i="9" s="1"/>
  <c r="AG256" i="9" s="1"/>
  <c r="U17" i="15"/>
  <c r="U18" i="15"/>
  <c r="U19" i="15"/>
  <c r="U21" i="15"/>
  <c r="U22" i="15"/>
  <c r="U23" i="15"/>
  <c r="U24" i="15"/>
  <c r="U25" i="15"/>
  <c r="U26" i="15"/>
  <c r="U27" i="15"/>
  <c r="X27" i="15" s="1"/>
  <c r="U28" i="15"/>
  <c r="U29" i="15"/>
  <c r="U30" i="15"/>
  <c r="U31" i="15"/>
  <c r="U32" i="15"/>
  <c r="U33" i="15"/>
  <c r="U36" i="15"/>
  <c r="U37" i="15"/>
  <c r="U38" i="15"/>
  <c r="U39" i="15"/>
  <c r="U40" i="15"/>
  <c r="U41" i="15"/>
  <c r="X41" i="15" s="1"/>
  <c r="U45" i="15"/>
  <c r="U46" i="15"/>
  <c r="U47" i="15"/>
  <c r="U48" i="15"/>
  <c r="U50" i="15"/>
  <c r="U51" i="15"/>
  <c r="U52" i="15"/>
  <c r="U53" i="15"/>
  <c r="U54" i="15"/>
  <c r="U55" i="15"/>
  <c r="U59" i="15"/>
  <c r="U60" i="15"/>
  <c r="U61" i="15"/>
  <c r="U66" i="15"/>
  <c r="U67" i="15"/>
  <c r="U68" i="15"/>
  <c r="U70" i="15"/>
  <c r="U71" i="15"/>
  <c r="U72" i="15"/>
  <c r="U73" i="15"/>
  <c r="U74" i="15"/>
  <c r="U75" i="15"/>
  <c r="U76" i="15"/>
  <c r="U77" i="15"/>
  <c r="U78" i="15"/>
  <c r="U79" i="15"/>
  <c r="U80" i="15"/>
  <c r="U81" i="15"/>
  <c r="U84" i="15"/>
  <c r="U85" i="15"/>
  <c r="U86" i="15"/>
  <c r="U87" i="15"/>
  <c r="U88" i="15"/>
  <c r="U92" i="15"/>
  <c r="U93" i="15"/>
  <c r="U94" i="15"/>
  <c r="U95" i="15"/>
  <c r="U97" i="15"/>
  <c r="U98" i="15"/>
  <c r="U99" i="15"/>
  <c r="U100" i="15"/>
  <c r="U101" i="15"/>
  <c r="U102" i="15"/>
  <c r="U106" i="15"/>
  <c r="U107" i="15"/>
  <c r="U108" i="15"/>
  <c r="U115" i="15"/>
  <c r="U116" i="15"/>
  <c r="U117" i="15"/>
  <c r="U118" i="15"/>
  <c r="U119" i="15"/>
  <c r="U120" i="15"/>
  <c r="U121" i="15"/>
  <c r="U124" i="15"/>
  <c r="U125" i="15"/>
  <c r="U126" i="15"/>
  <c r="U127" i="15"/>
  <c r="U128" i="15"/>
  <c r="U129" i="15"/>
  <c r="U130" i="15"/>
  <c r="U131" i="15"/>
  <c r="U132" i="15"/>
  <c r="U133" i="15"/>
  <c r="U134" i="15"/>
  <c r="U135" i="15"/>
  <c r="U136" i="15"/>
  <c r="U137" i="15"/>
  <c r="U138" i="15"/>
  <c r="U139" i="15"/>
  <c r="U142" i="15"/>
  <c r="U143" i="15"/>
  <c r="U148" i="15"/>
  <c r="U150" i="15"/>
  <c r="U151" i="15"/>
  <c r="U152" i="15"/>
  <c r="U153" i="15"/>
  <c r="U156" i="15"/>
  <c r="U158" i="15"/>
  <c r="U159" i="15"/>
  <c r="U160" i="15"/>
  <c r="U161" i="15"/>
  <c r="U162" i="15"/>
  <c r="U163" i="15"/>
  <c r="U164" i="15"/>
  <c r="U165" i="15"/>
  <c r="U166" i="15"/>
  <c r="U167" i="15"/>
  <c r="U168" i="15"/>
  <c r="U173" i="15"/>
  <c r="U174" i="15"/>
  <c r="U177" i="15"/>
  <c r="U178" i="15"/>
  <c r="U179" i="15"/>
  <c r="U180" i="15"/>
  <c r="U181" i="15"/>
  <c r="U182" i="15"/>
  <c r="U183" i="15"/>
  <c r="U186" i="15"/>
  <c r="U188" i="15"/>
  <c r="U189" i="15"/>
  <c r="U190" i="15"/>
  <c r="U191" i="15"/>
  <c r="U196" i="15"/>
  <c r="U197" i="15"/>
  <c r="U198" i="15"/>
  <c r="U199" i="15"/>
  <c r="U200" i="15"/>
  <c r="U201" i="15"/>
  <c r="U202" i="15"/>
  <c r="U204" i="15"/>
  <c r="U203" i="15" s="1"/>
  <c r="U205" i="15"/>
  <c r="U212" i="15"/>
  <c r="U213" i="15"/>
  <c r="U214" i="15"/>
  <c r="U215" i="15"/>
  <c r="U216" i="15"/>
  <c r="U217" i="15"/>
  <c r="U218" i="15"/>
  <c r="U223" i="15"/>
  <c r="U224" i="15"/>
  <c r="U225" i="15"/>
  <c r="U228" i="15"/>
  <c r="U229" i="15"/>
  <c r="U230" i="15"/>
  <c r="U236" i="15"/>
  <c r="U237" i="15"/>
  <c r="U238" i="15"/>
  <c r="U239" i="15"/>
  <c r="U240" i="15"/>
  <c r="U241" i="15"/>
  <c r="U244" i="15"/>
  <c r="U245" i="15"/>
  <c r="U246" i="15"/>
  <c r="U247" i="15"/>
  <c r="U248" i="15"/>
  <c r="U249" i="15"/>
  <c r="U250" i="15"/>
  <c r="U251" i="15"/>
  <c r="U252" i="15"/>
  <c r="U253" i="15"/>
  <c r="U254" i="15"/>
  <c r="U255" i="15"/>
  <c r="U256" i="15"/>
  <c r="C12" i="15"/>
  <c r="C13" i="15"/>
  <c r="C14" i="15"/>
  <c r="C15" i="15"/>
  <c r="C23" i="15"/>
  <c r="C24" i="15"/>
  <c r="C26" i="15"/>
  <c r="C27" i="15"/>
  <c r="C30" i="15"/>
  <c r="C31" i="15"/>
  <c r="C33" i="15"/>
  <c r="C34" i="15"/>
  <c r="C36" i="15"/>
  <c r="C37" i="15"/>
  <c r="C35" i="15" s="1"/>
  <c r="C41" i="15"/>
  <c r="C43" i="15"/>
  <c r="C44" i="15"/>
  <c r="C46" i="15"/>
  <c r="C47" i="15"/>
  <c r="C49" i="15"/>
  <c r="C50" i="15"/>
  <c r="C52" i="15"/>
  <c r="C53" i="15"/>
  <c r="C55" i="15"/>
  <c r="C56" i="15"/>
  <c r="C58" i="15"/>
  <c r="C57" i="15" s="1"/>
  <c r="C59" i="15"/>
  <c r="C61" i="15"/>
  <c r="C62" i="15"/>
  <c r="C64" i="15"/>
  <c r="C65" i="15"/>
  <c r="C67" i="15"/>
  <c r="C68" i="15"/>
  <c r="C70" i="15"/>
  <c r="C71" i="15"/>
  <c r="C73" i="15"/>
  <c r="C74" i="15"/>
  <c r="C76" i="15"/>
  <c r="C75" i="15" s="1"/>
  <c r="C77" i="15"/>
  <c r="C79" i="15"/>
  <c r="C80" i="15"/>
  <c r="C82" i="15"/>
  <c r="C83" i="15"/>
  <c r="H78" i="15"/>
  <c r="C81" i="5"/>
  <c r="C12" i="14"/>
  <c r="C13" i="14"/>
  <c r="C14" i="14"/>
  <c r="C15" i="14"/>
  <c r="C23" i="14"/>
  <c r="C22" i="14" s="1"/>
  <c r="C24" i="14"/>
  <c r="C26" i="14"/>
  <c r="C27" i="14"/>
  <c r="C30" i="14"/>
  <c r="C31" i="14"/>
  <c r="C33" i="14"/>
  <c r="C34" i="14"/>
  <c r="C36" i="14"/>
  <c r="C37" i="14"/>
  <c r="C43" i="14"/>
  <c r="C44" i="14"/>
  <c r="C46" i="14"/>
  <c r="C47" i="14"/>
  <c r="C49" i="14"/>
  <c r="C50" i="14"/>
  <c r="C52" i="14"/>
  <c r="C53" i="14"/>
  <c r="C55" i="14"/>
  <c r="C56" i="14"/>
  <c r="C58" i="14"/>
  <c r="C59" i="14"/>
  <c r="C61" i="14"/>
  <c r="C62" i="14"/>
  <c r="C64" i="14"/>
  <c r="C65" i="14"/>
  <c r="C67" i="14"/>
  <c r="C68" i="14"/>
  <c r="C70" i="14"/>
  <c r="C69" i="14" s="1"/>
  <c r="C71" i="14"/>
  <c r="C73" i="14"/>
  <c r="C74" i="14"/>
  <c r="C76" i="14"/>
  <c r="C77" i="14"/>
  <c r="C79" i="14"/>
  <c r="C80" i="14"/>
  <c r="C82" i="14"/>
  <c r="C83" i="14"/>
  <c r="U17" i="14"/>
  <c r="U18" i="14"/>
  <c r="U19" i="14"/>
  <c r="U21" i="14"/>
  <c r="U22" i="14"/>
  <c r="U23" i="14"/>
  <c r="U24" i="14"/>
  <c r="U25" i="14"/>
  <c r="U26" i="14"/>
  <c r="U27" i="14"/>
  <c r="U28" i="14"/>
  <c r="U29" i="14"/>
  <c r="U30" i="14"/>
  <c r="U31" i="14"/>
  <c r="U32" i="14"/>
  <c r="U33" i="14"/>
  <c r="U36" i="14"/>
  <c r="U37" i="14"/>
  <c r="U38" i="14"/>
  <c r="U39" i="14"/>
  <c r="U40" i="14"/>
  <c r="U41" i="14"/>
  <c r="U45" i="14"/>
  <c r="U44" i="14" s="1"/>
  <c r="U46" i="14"/>
  <c r="U47" i="14"/>
  <c r="U48" i="14"/>
  <c r="U50" i="14"/>
  <c r="U51" i="14"/>
  <c r="U52" i="14"/>
  <c r="U53" i="14"/>
  <c r="U54" i="14"/>
  <c r="U55" i="14"/>
  <c r="U59" i="14"/>
  <c r="U60" i="14"/>
  <c r="U61" i="14"/>
  <c r="U66" i="14"/>
  <c r="U67" i="14"/>
  <c r="U68" i="14"/>
  <c r="U70" i="14"/>
  <c r="U71" i="14"/>
  <c r="U72" i="14"/>
  <c r="U73" i="14"/>
  <c r="U74" i="14"/>
  <c r="U75" i="14"/>
  <c r="U76" i="14"/>
  <c r="U77" i="14"/>
  <c r="U78" i="14"/>
  <c r="U79" i="14"/>
  <c r="U80" i="14"/>
  <c r="U81" i="14"/>
  <c r="U84" i="14"/>
  <c r="U85" i="14"/>
  <c r="U86" i="14"/>
  <c r="U87" i="14"/>
  <c r="U88" i="14"/>
  <c r="U92" i="14"/>
  <c r="U93" i="14"/>
  <c r="U94" i="14"/>
  <c r="U95" i="14"/>
  <c r="U97" i="14"/>
  <c r="U98" i="14"/>
  <c r="U99" i="14"/>
  <c r="U100" i="14"/>
  <c r="U101" i="14"/>
  <c r="U102" i="14"/>
  <c r="U106" i="14"/>
  <c r="U107" i="14"/>
  <c r="U108" i="14"/>
  <c r="U115" i="14"/>
  <c r="U116" i="14"/>
  <c r="U117" i="14"/>
  <c r="U118" i="14"/>
  <c r="U119" i="14"/>
  <c r="U120" i="14"/>
  <c r="U121" i="14"/>
  <c r="U124" i="14"/>
  <c r="U125" i="14"/>
  <c r="U126" i="14"/>
  <c r="U127" i="14"/>
  <c r="U128" i="14"/>
  <c r="U129" i="14"/>
  <c r="U130" i="14"/>
  <c r="U131" i="14"/>
  <c r="U132" i="14"/>
  <c r="U133" i="14"/>
  <c r="U134" i="14"/>
  <c r="U135" i="14"/>
  <c r="U136" i="14"/>
  <c r="U137" i="14"/>
  <c r="U138" i="14"/>
  <c r="U139" i="14"/>
  <c r="U142" i="14"/>
  <c r="U143" i="14"/>
  <c r="U148" i="14"/>
  <c r="U150" i="14"/>
  <c r="U151" i="14"/>
  <c r="U152" i="14"/>
  <c r="U153" i="14"/>
  <c r="U156" i="14"/>
  <c r="U158" i="14"/>
  <c r="U159" i="14"/>
  <c r="U160" i="14"/>
  <c r="U161" i="14"/>
  <c r="U162" i="14"/>
  <c r="U163" i="14"/>
  <c r="U164" i="14"/>
  <c r="U165" i="14"/>
  <c r="U166" i="14"/>
  <c r="U167" i="14"/>
  <c r="U168" i="14"/>
  <c r="U173" i="14"/>
  <c r="U174" i="14"/>
  <c r="U177" i="14"/>
  <c r="U178" i="14"/>
  <c r="U179" i="14"/>
  <c r="U180" i="14"/>
  <c r="U181" i="14"/>
  <c r="U182" i="14"/>
  <c r="U183" i="14"/>
  <c r="U186" i="14"/>
  <c r="U188" i="14"/>
  <c r="U189" i="14"/>
  <c r="U190" i="14"/>
  <c r="U191" i="14"/>
  <c r="U196" i="14"/>
  <c r="U197" i="14"/>
  <c r="U198" i="14"/>
  <c r="U199" i="14"/>
  <c r="U200" i="14"/>
  <c r="U201" i="14"/>
  <c r="U202" i="14"/>
  <c r="U204" i="14"/>
  <c r="U205" i="14"/>
  <c r="U212" i="14"/>
  <c r="U213" i="14"/>
  <c r="U214" i="14"/>
  <c r="U215" i="14"/>
  <c r="U216" i="14"/>
  <c r="U217" i="14"/>
  <c r="U218" i="14"/>
  <c r="U223" i="14"/>
  <c r="U224" i="14"/>
  <c r="U225" i="14"/>
  <c r="U228" i="14"/>
  <c r="U229" i="14"/>
  <c r="U230" i="14"/>
  <c r="U236" i="14"/>
  <c r="U237" i="14"/>
  <c r="U238" i="14"/>
  <c r="U239" i="14"/>
  <c r="U240" i="14"/>
  <c r="U241" i="14"/>
  <c r="U244" i="14"/>
  <c r="U245" i="14"/>
  <c r="U246" i="14"/>
  <c r="U247" i="14"/>
  <c r="U248" i="14"/>
  <c r="U249" i="14"/>
  <c r="U250" i="14"/>
  <c r="U251" i="14"/>
  <c r="U252" i="14"/>
  <c r="U253" i="14"/>
  <c r="U254" i="14"/>
  <c r="U255" i="14"/>
  <c r="U256" i="14"/>
  <c r="H78" i="14"/>
  <c r="C12" i="13"/>
  <c r="C13" i="13"/>
  <c r="C14" i="13"/>
  <c r="C15" i="13"/>
  <c r="C23" i="13"/>
  <c r="C24" i="13"/>
  <c r="C26" i="13"/>
  <c r="C27" i="13"/>
  <c r="C30" i="13"/>
  <c r="C31" i="13"/>
  <c r="C33" i="13"/>
  <c r="C34" i="13"/>
  <c r="C36" i="13"/>
  <c r="C37" i="13"/>
  <c r="C43" i="13"/>
  <c r="C44" i="13"/>
  <c r="C46" i="13"/>
  <c r="C45" i="13" s="1"/>
  <c r="C47" i="13"/>
  <c r="C49" i="13"/>
  <c r="C50" i="13"/>
  <c r="C52" i="13"/>
  <c r="C53" i="13"/>
  <c r="C55" i="13"/>
  <c r="C56" i="13"/>
  <c r="C58" i="13"/>
  <c r="C59" i="13"/>
  <c r="C61" i="13"/>
  <c r="C62" i="13"/>
  <c r="C64" i="13"/>
  <c r="C65" i="13"/>
  <c r="C67" i="13"/>
  <c r="C68" i="13"/>
  <c r="C70" i="13"/>
  <c r="C71" i="13"/>
  <c r="C73" i="13"/>
  <c r="C74" i="13"/>
  <c r="C76" i="13"/>
  <c r="C77" i="13"/>
  <c r="C79" i="13"/>
  <c r="C80" i="13"/>
  <c r="C82" i="13"/>
  <c r="C83" i="13"/>
  <c r="U17" i="13"/>
  <c r="U18" i="13"/>
  <c r="X18" i="13" s="1"/>
  <c r="U19" i="13"/>
  <c r="U21" i="13"/>
  <c r="U22" i="13"/>
  <c r="U23" i="13"/>
  <c r="U24" i="13"/>
  <c r="U25" i="13"/>
  <c r="U26" i="13"/>
  <c r="U27" i="13"/>
  <c r="U28" i="13"/>
  <c r="U29" i="13"/>
  <c r="U30" i="13"/>
  <c r="U31" i="13"/>
  <c r="U32" i="13"/>
  <c r="U33" i="13"/>
  <c r="U36" i="13"/>
  <c r="U37" i="13"/>
  <c r="U38" i="13"/>
  <c r="U39" i="13"/>
  <c r="U40" i="13"/>
  <c r="U41" i="13"/>
  <c r="U45" i="13"/>
  <c r="U46" i="13"/>
  <c r="U47" i="13"/>
  <c r="U48" i="13"/>
  <c r="U50" i="13"/>
  <c r="U51" i="13"/>
  <c r="U52" i="13"/>
  <c r="U53" i="13"/>
  <c r="X53" i="13" s="1"/>
  <c r="U54" i="13"/>
  <c r="U55" i="13"/>
  <c r="U59" i="13"/>
  <c r="U60" i="13"/>
  <c r="U61" i="13"/>
  <c r="U66" i="13"/>
  <c r="U67" i="13"/>
  <c r="U68" i="13"/>
  <c r="U70" i="13"/>
  <c r="U71" i="13"/>
  <c r="U72" i="13"/>
  <c r="U73" i="13"/>
  <c r="U74" i="13"/>
  <c r="U75" i="13"/>
  <c r="U76" i="13"/>
  <c r="U77" i="13"/>
  <c r="U78" i="13"/>
  <c r="U79" i="13"/>
  <c r="U80" i="13"/>
  <c r="U81" i="13"/>
  <c r="U84" i="13"/>
  <c r="U85" i="13"/>
  <c r="U86" i="13"/>
  <c r="U87" i="13"/>
  <c r="U88" i="13"/>
  <c r="U92" i="13"/>
  <c r="U93" i="13"/>
  <c r="U94" i="13"/>
  <c r="U95" i="13"/>
  <c r="U97" i="13"/>
  <c r="U98" i="13"/>
  <c r="U99" i="13"/>
  <c r="U100" i="13"/>
  <c r="U101" i="13"/>
  <c r="U102" i="13"/>
  <c r="U106" i="13"/>
  <c r="U107" i="13"/>
  <c r="U108" i="13"/>
  <c r="U115" i="13"/>
  <c r="U116" i="13"/>
  <c r="U117" i="13"/>
  <c r="U118" i="13"/>
  <c r="U119" i="13"/>
  <c r="U120" i="13"/>
  <c r="U121" i="13"/>
  <c r="U124" i="13"/>
  <c r="U125" i="13"/>
  <c r="U126" i="13"/>
  <c r="U127" i="13"/>
  <c r="U128" i="13"/>
  <c r="U129" i="13"/>
  <c r="U130" i="13"/>
  <c r="U131" i="13"/>
  <c r="U132" i="13"/>
  <c r="U133" i="13"/>
  <c r="U134" i="13"/>
  <c r="U135" i="13"/>
  <c r="U136" i="13"/>
  <c r="U137" i="13"/>
  <c r="U138" i="13"/>
  <c r="U139" i="13"/>
  <c r="U142" i="13"/>
  <c r="U143" i="13"/>
  <c r="U148" i="13"/>
  <c r="U150" i="13"/>
  <c r="U151" i="13"/>
  <c r="U152" i="13"/>
  <c r="U153" i="13"/>
  <c r="U156" i="13"/>
  <c r="U158" i="13"/>
  <c r="U159" i="13"/>
  <c r="U160" i="13"/>
  <c r="U161" i="13"/>
  <c r="U162" i="13"/>
  <c r="U163" i="13"/>
  <c r="U164" i="13"/>
  <c r="U165" i="13"/>
  <c r="U166" i="13"/>
  <c r="U167" i="13"/>
  <c r="U168" i="13"/>
  <c r="U173" i="13"/>
  <c r="U174" i="13"/>
  <c r="U177" i="13"/>
  <c r="U178" i="13"/>
  <c r="U179" i="13"/>
  <c r="U180" i="13"/>
  <c r="U181" i="13"/>
  <c r="U182" i="13"/>
  <c r="U183" i="13"/>
  <c r="U186" i="13"/>
  <c r="U188" i="13"/>
  <c r="U189" i="13"/>
  <c r="U190" i="13"/>
  <c r="U191" i="13"/>
  <c r="U196" i="13"/>
  <c r="U197" i="13"/>
  <c r="U198" i="13"/>
  <c r="U199" i="13"/>
  <c r="U200" i="13"/>
  <c r="U201" i="13"/>
  <c r="U202" i="13"/>
  <c r="U204" i="13"/>
  <c r="U203" i="13" s="1"/>
  <c r="U205" i="13"/>
  <c r="U212" i="13"/>
  <c r="U213" i="13"/>
  <c r="U214" i="13"/>
  <c r="U215" i="13"/>
  <c r="U216" i="13"/>
  <c r="U217" i="13"/>
  <c r="U218" i="13"/>
  <c r="U223" i="13"/>
  <c r="U224" i="13"/>
  <c r="U225" i="13"/>
  <c r="U228" i="13"/>
  <c r="U229" i="13"/>
  <c r="U230" i="13"/>
  <c r="U236" i="13"/>
  <c r="U237" i="13"/>
  <c r="U238" i="13"/>
  <c r="U239" i="13"/>
  <c r="U240" i="13"/>
  <c r="U241" i="13"/>
  <c r="U244" i="13"/>
  <c r="U245" i="13"/>
  <c r="U246" i="13"/>
  <c r="U247" i="13"/>
  <c r="U248" i="13"/>
  <c r="U249" i="13"/>
  <c r="U250" i="13"/>
  <c r="U251" i="13"/>
  <c r="U252" i="13"/>
  <c r="U253" i="13"/>
  <c r="U254" i="13"/>
  <c r="U255" i="13"/>
  <c r="U256" i="13"/>
  <c r="H78" i="13"/>
  <c r="C12" i="12"/>
  <c r="C13" i="12"/>
  <c r="C14" i="12"/>
  <c r="C15" i="12"/>
  <c r="C23" i="12"/>
  <c r="C22" i="12" s="1"/>
  <c r="C24" i="12"/>
  <c r="C26" i="12"/>
  <c r="C27" i="12"/>
  <c r="C30" i="12"/>
  <c r="C29" i="12" s="1"/>
  <c r="C31" i="12"/>
  <c r="C33" i="12"/>
  <c r="C34" i="12"/>
  <c r="C36" i="12"/>
  <c r="C35" i="12" s="1"/>
  <c r="C37" i="12"/>
  <c r="C43" i="12"/>
  <c r="C44" i="12"/>
  <c r="C46" i="12"/>
  <c r="C45" i="12" s="1"/>
  <c r="C47" i="12"/>
  <c r="C49" i="12"/>
  <c r="C50" i="12"/>
  <c r="C52" i="12"/>
  <c r="C51" i="12" s="1"/>
  <c r="C53" i="12"/>
  <c r="C55" i="12"/>
  <c r="C56" i="12"/>
  <c r="C58" i="12"/>
  <c r="C57" i="12" s="1"/>
  <c r="C59" i="12"/>
  <c r="C61" i="12"/>
  <c r="C62" i="12"/>
  <c r="C64" i="12"/>
  <c r="C63" i="12" s="1"/>
  <c r="C65" i="12"/>
  <c r="C67" i="12"/>
  <c r="C68" i="12"/>
  <c r="C70" i="12"/>
  <c r="C71" i="12"/>
  <c r="C73" i="12"/>
  <c r="C74" i="12"/>
  <c r="C76" i="12"/>
  <c r="C77" i="12"/>
  <c r="C79" i="12"/>
  <c r="C80" i="12"/>
  <c r="C82" i="12"/>
  <c r="C83" i="12"/>
  <c r="U17" i="12"/>
  <c r="U18" i="12"/>
  <c r="U19" i="12"/>
  <c r="U21" i="12"/>
  <c r="U22" i="12"/>
  <c r="U23" i="12"/>
  <c r="U24" i="12"/>
  <c r="U25" i="12"/>
  <c r="U26" i="12"/>
  <c r="U27" i="12"/>
  <c r="U28" i="12"/>
  <c r="U29" i="12"/>
  <c r="U30" i="12"/>
  <c r="U31" i="12"/>
  <c r="U32" i="12"/>
  <c r="U33" i="12"/>
  <c r="U36" i="12"/>
  <c r="U37" i="12"/>
  <c r="X37" i="12" s="1"/>
  <c r="U38" i="12"/>
  <c r="U39" i="12"/>
  <c r="U40" i="12"/>
  <c r="U41" i="12"/>
  <c r="X41" i="12" s="1"/>
  <c r="U45" i="12"/>
  <c r="U46" i="12"/>
  <c r="U47" i="12"/>
  <c r="U48" i="12"/>
  <c r="U50" i="12"/>
  <c r="U51" i="12"/>
  <c r="U52" i="12"/>
  <c r="U53" i="12"/>
  <c r="U54" i="12"/>
  <c r="U55" i="12"/>
  <c r="U59" i="12"/>
  <c r="U60" i="12"/>
  <c r="U61" i="12"/>
  <c r="U66" i="12"/>
  <c r="U67" i="12"/>
  <c r="U68" i="12"/>
  <c r="U70" i="12"/>
  <c r="U71" i="12"/>
  <c r="U72" i="12"/>
  <c r="U73" i="12"/>
  <c r="U74" i="12"/>
  <c r="U75" i="12"/>
  <c r="U76" i="12"/>
  <c r="U77" i="12"/>
  <c r="U78" i="12"/>
  <c r="U79" i="12"/>
  <c r="U80" i="12"/>
  <c r="U81" i="12"/>
  <c r="U84" i="12"/>
  <c r="U85" i="12"/>
  <c r="U86" i="12"/>
  <c r="U87" i="12"/>
  <c r="U88" i="12"/>
  <c r="U92" i="12"/>
  <c r="U93" i="12"/>
  <c r="U94" i="12"/>
  <c r="U95" i="12"/>
  <c r="U97" i="12"/>
  <c r="U98" i="12"/>
  <c r="U99" i="12"/>
  <c r="U100" i="12"/>
  <c r="U101" i="12"/>
  <c r="U102" i="12"/>
  <c r="U106" i="12"/>
  <c r="U107" i="12"/>
  <c r="U108" i="12"/>
  <c r="U115" i="12"/>
  <c r="U116" i="12"/>
  <c r="U117" i="12"/>
  <c r="U118" i="12"/>
  <c r="U119" i="12"/>
  <c r="U120" i="12"/>
  <c r="U121" i="12"/>
  <c r="U124" i="12"/>
  <c r="U125" i="12"/>
  <c r="U126" i="12"/>
  <c r="U127" i="12"/>
  <c r="U128" i="12"/>
  <c r="U129" i="12"/>
  <c r="U130" i="12"/>
  <c r="X130" i="12" s="1"/>
  <c r="U131" i="12"/>
  <c r="U132" i="12"/>
  <c r="U133" i="12"/>
  <c r="U134" i="12"/>
  <c r="U135" i="12"/>
  <c r="U136" i="12"/>
  <c r="U137" i="12"/>
  <c r="U138" i="12"/>
  <c r="U139" i="12"/>
  <c r="U142" i="12"/>
  <c r="U143" i="12"/>
  <c r="U148" i="12"/>
  <c r="U150" i="12"/>
  <c r="U151" i="12"/>
  <c r="U152" i="12"/>
  <c r="U153" i="12"/>
  <c r="X153" i="12" s="1"/>
  <c r="AI153" i="12" s="1"/>
  <c r="U156" i="12"/>
  <c r="U158" i="12"/>
  <c r="U159" i="12"/>
  <c r="U160" i="12"/>
  <c r="U161" i="12"/>
  <c r="U162" i="12"/>
  <c r="U163" i="12"/>
  <c r="U164" i="12"/>
  <c r="U165" i="12"/>
  <c r="U166" i="12"/>
  <c r="U167" i="12"/>
  <c r="U168" i="12"/>
  <c r="U173" i="12"/>
  <c r="U174" i="12"/>
  <c r="U177" i="12"/>
  <c r="U178" i="12"/>
  <c r="U179" i="12"/>
  <c r="U180" i="12"/>
  <c r="U181" i="12"/>
  <c r="U182" i="12"/>
  <c r="X182" i="12" s="1"/>
  <c r="U183" i="12"/>
  <c r="U186" i="12"/>
  <c r="U188" i="12"/>
  <c r="U189" i="12"/>
  <c r="U190" i="12"/>
  <c r="U191" i="12"/>
  <c r="U196" i="12"/>
  <c r="U197" i="12"/>
  <c r="U198" i="12"/>
  <c r="U199" i="12"/>
  <c r="U200" i="12"/>
  <c r="U201" i="12"/>
  <c r="U202" i="12"/>
  <c r="U204" i="12"/>
  <c r="U203" i="12" s="1"/>
  <c r="U205" i="12"/>
  <c r="U212" i="12"/>
  <c r="U213" i="12"/>
  <c r="U214" i="12"/>
  <c r="U215" i="12"/>
  <c r="U216" i="12"/>
  <c r="U217" i="12"/>
  <c r="U218" i="12"/>
  <c r="U223" i="12"/>
  <c r="U224" i="12"/>
  <c r="U225" i="12"/>
  <c r="U228" i="12"/>
  <c r="U229" i="12"/>
  <c r="U230" i="12"/>
  <c r="U236" i="12"/>
  <c r="U237" i="12"/>
  <c r="U238" i="12"/>
  <c r="U239" i="12"/>
  <c r="U240" i="12"/>
  <c r="U241" i="12"/>
  <c r="U244" i="12"/>
  <c r="U245" i="12"/>
  <c r="U246" i="12"/>
  <c r="U247" i="12"/>
  <c r="U248" i="12"/>
  <c r="U249" i="12"/>
  <c r="U250" i="12"/>
  <c r="U251" i="12"/>
  <c r="U252" i="12"/>
  <c r="U253" i="12"/>
  <c r="U254" i="12"/>
  <c r="U255" i="12"/>
  <c r="U256" i="12"/>
  <c r="H78" i="12"/>
  <c r="C12" i="11"/>
  <c r="C13" i="11"/>
  <c r="C14" i="11"/>
  <c r="C15" i="11"/>
  <c r="C23" i="11"/>
  <c r="C24" i="11"/>
  <c r="C26" i="11"/>
  <c r="C27" i="11"/>
  <c r="C30" i="11"/>
  <c r="C31" i="11"/>
  <c r="C33" i="11"/>
  <c r="C34" i="11"/>
  <c r="C36" i="11"/>
  <c r="C37" i="11"/>
  <c r="C43" i="11"/>
  <c r="C44" i="11"/>
  <c r="C46" i="11"/>
  <c r="C47" i="11"/>
  <c r="C49" i="11"/>
  <c r="C50" i="11"/>
  <c r="C52" i="11"/>
  <c r="C53" i="11"/>
  <c r="C55" i="11"/>
  <c r="C56" i="11"/>
  <c r="C58" i="11"/>
  <c r="C59" i="11"/>
  <c r="C61" i="11"/>
  <c r="C62" i="11"/>
  <c r="C64" i="11"/>
  <c r="C65" i="11"/>
  <c r="C67" i="11"/>
  <c r="C68" i="11"/>
  <c r="C70" i="11"/>
  <c r="C71" i="11"/>
  <c r="C73" i="11"/>
  <c r="C74" i="11"/>
  <c r="C76" i="11"/>
  <c r="C77" i="11"/>
  <c r="C79" i="11"/>
  <c r="C80" i="11"/>
  <c r="C82" i="11"/>
  <c r="C83" i="11"/>
  <c r="U17" i="11"/>
  <c r="U18" i="11"/>
  <c r="U19" i="11"/>
  <c r="U21" i="11"/>
  <c r="U22" i="11"/>
  <c r="U23" i="11"/>
  <c r="U24" i="11"/>
  <c r="U25" i="11"/>
  <c r="U26" i="11"/>
  <c r="U27" i="11"/>
  <c r="U28" i="11"/>
  <c r="U29" i="11"/>
  <c r="U30" i="11"/>
  <c r="U31" i="11"/>
  <c r="U32" i="11"/>
  <c r="U33" i="11"/>
  <c r="U36" i="11"/>
  <c r="U37" i="11"/>
  <c r="U38" i="11"/>
  <c r="U39" i="11"/>
  <c r="U40" i="11"/>
  <c r="U41" i="11"/>
  <c r="U45" i="11"/>
  <c r="U46" i="11"/>
  <c r="U47" i="11"/>
  <c r="U48" i="11"/>
  <c r="U50" i="11"/>
  <c r="U51" i="11"/>
  <c r="U52" i="11"/>
  <c r="U53" i="11"/>
  <c r="U54" i="11"/>
  <c r="U55" i="11"/>
  <c r="U59" i="11"/>
  <c r="U60" i="11"/>
  <c r="U61" i="11"/>
  <c r="U66" i="11"/>
  <c r="U67" i="11"/>
  <c r="U68" i="11"/>
  <c r="U70" i="11"/>
  <c r="U71" i="11"/>
  <c r="U72" i="11"/>
  <c r="U73" i="11"/>
  <c r="U74" i="11"/>
  <c r="U75" i="11"/>
  <c r="U76" i="11"/>
  <c r="U77" i="11"/>
  <c r="U78" i="11"/>
  <c r="U79" i="11"/>
  <c r="U80" i="11"/>
  <c r="U81" i="11"/>
  <c r="U84" i="11"/>
  <c r="U85" i="11"/>
  <c r="U86" i="11"/>
  <c r="U87" i="11"/>
  <c r="U88" i="11"/>
  <c r="U92" i="11"/>
  <c r="U93" i="11"/>
  <c r="U94" i="11"/>
  <c r="U95" i="11"/>
  <c r="U97" i="11"/>
  <c r="U98" i="11"/>
  <c r="U99" i="11"/>
  <c r="U100" i="11"/>
  <c r="U96" i="11" s="1"/>
  <c r="U101" i="11"/>
  <c r="U102" i="11"/>
  <c r="U106" i="11"/>
  <c r="U107" i="11"/>
  <c r="U108" i="11"/>
  <c r="U115" i="11"/>
  <c r="U116" i="11"/>
  <c r="U117" i="11"/>
  <c r="U118" i="11"/>
  <c r="U119" i="11"/>
  <c r="U120" i="11"/>
  <c r="U121" i="11"/>
  <c r="U124" i="11"/>
  <c r="U125" i="11"/>
  <c r="U126" i="11"/>
  <c r="U127" i="11"/>
  <c r="U128" i="11"/>
  <c r="U129" i="11"/>
  <c r="U130" i="11"/>
  <c r="X130" i="11" s="1"/>
  <c r="U131" i="11"/>
  <c r="U132" i="11"/>
  <c r="U133" i="11"/>
  <c r="U134" i="11"/>
  <c r="U135" i="11"/>
  <c r="U136" i="11"/>
  <c r="U137" i="11"/>
  <c r="U138" i="11"/>
  <c r="U139" i="11"/>
  <c r="U142" i="11"/>
  <c r="U143" i="11"/>
  <c r="U148" i="11"/>
  <c r="U150" i="11"/>
  <c r="U151" i="11"/>
  <c r="U152" i="11"/>
  <c r="U153" i="11"/>
  <c r="X153" i="11" s="1"/>
  <c r="AI153" i="11" s="1"/>
  <c r="U156" i="11"/>
  <c r="U158" i="11"/>
  <c r="U159" i="11"/>
  <c r="U160" i="11"/>
  <c r="U161" i="11"/>
  <c r="U162" i="11"/>
  <c r="U163" i="11"/>
  <c r="U164" i="11"/>
  <c r="U165" i="11"/>
  <c r="U166" i="11"/>
  <c r="U167" i="11"/>
  <c r="U168" i="11"/>
  <c r="U173" i="11"/>
  <c r="U172" i="11" s="1"/>
  <c r="U174" i="11"/>
  <c r="U177" i="11"/>
  <c r="U178" i="11"/>
  <c r="U179" i="11"/>
  <c r="U180" i="11"/>
  <c r="U181" i="11"/>
  <c r="U182" i="11"/>
  <c r="U183" i="11"/>
  <c r="U186" i="11"/>
  <c r="U188" i="11"/>
  <c r="U189" i="11"/>
  <c r="U190" i="11"/>
  <c r="U191" i="11"/>
  <c r="U196" i="11"/>
  <c r="U197" i="11"/>
  <c r="U198" i="11"/>
  <c r="U199" i="11"/>
  <c r="U200" i="11"/>
  <c r="U201" i="11"/>
  <c r="U202" i="11"/>
  <c r="U204" i="11"/>
  <c r="U205" i="11"/>
  <c r="U212" i="11"/>
  <c r="U213" i="11"/>
  <c r="U214" i="11"/>
  <c r="U215" i="11"/>
  <c r="U216" i="11"/>
  <c r="U217" i="11"/>
  <c r="U218" i="11"/>
  <c r="U223" i="11"/>
  <c r="U224" i="11"/>
  <c r="U225" i="11"/>
  <c r="U228" i="11"/>
  <c r="U229" i="11"/>
  <c r="U230" i="11"/>
  <c r="U236" i="11"/>
  <c r="U237" i="11"/>
  <c r="U238" i="11"/>
  <c r="U239" i="11"/>
  <c r="U240" i="11"/>
  <c r="U241" i="11"/>
  <c r="U244" i="11"/>
  <c r="U245" i="11"/>
  <c r="U246" i="11"/>
  <c r="U247" i="11"/>
  <c r="U248" i="11"/>
  <c r="U249" i="11"/>
  <c r="U250" i="11"/>
  <c r="U251" i="11"/>
  <c r="U252" i="11"/>
  <c r="U253" i="11"/>
  <c r="U254" i="11"/>
  <c r="U255" i="11"/>
  <c r="U256" i="11"/>
  <c r="H78" i="11"/>
  <c r="C12" i="10"/>
  <c r="C13" i="10"/>
  <c r="C14" i="10"/>
  <c r="C15" i="10"/>
  <c r="C23" i="10"/>
  <c r="C24" i="10"/>
  <c r="C26" i="10"/>
  <c r="C27" i="10"/>
  <c r="C30" i="10"/>
  <c r="C31" i="10"/>
  <c r="C33" i="10"/>
  <c r="C34" i="10"/>
  <c r="C36" i="10"/>
  <c r="C37" i="10"/>
  <c r="C43" i="10"/>
  <c r="C44" i="10"/>
  <c r="C46" i="10"/>
  <c r="C47" i="10"/>
  <c r="C49" i="10"/>
  <c r="C50" i="10"/>
  <c r="C52" i="10"/>
  <c r="C53" i="10"/>
  <c r="C55" i="10"/>
  <c r="C56" i="10"/>
  <c r="C58" i="10"/>
  <c r="C59" i="10"/>
  <c r="C61" i="10"/>
  <c r="C62" i="10"/>
  <c r="C64" i="10"/>
  <c r="C65" i="10"/>
  <c r="C67" i="10"/>
  <c r="C68" i="10"/>
  <c r="C70" i="10"/>
  <c r="C71" i="10"/>
  <c r="C73" i="10"/>
  <c r="C74" i="10"/>
  <c r="C76" i="10"/>
  <c r="C77" i="10"/>
  <c r="C79" i="10"/>
  <c r="C80" i="10"/>
  <c r="C82" i="10"/>
  <c r="C83" i="10"/>
  <c r="U17" i="10"/>
  <c r="U18" i="10"/>
  <c r="U19" i="10"/>
  <c r="U21" i="10"/>
  <c r="U22" i="10"/>
  <c r="U23" i="10"/>
  <c r="U24" i="10"/>
  <c r="U25" i="10"/>
  <c r="U26" i="10"/>
  <c r="U27" i="10"/>
  <c r="U28" i="10"/>
  <c r="U29" i="10"/>
  <c r="U30" i="10"/>
  <c r="U31" i="10"/>
  <c r="X31" i="10" s="1"/>
  <c r="U32" i="10"/>
  <c r="U33" i="10"/>
  <c r="U36" i="10"/>
  <c r="U37" i="10"/>
  <c r="X37" i="10" s="1"/>
  <c r="U38" i="10"/>
  <c r="U39" i="10"/>
  <c r="U40" i="10"/>
  <c r="U41" i="10"/>
  <c r="X41" i="10" s="1"/>
  <c r="U45" i="10"/>
  <c r="U46" i="10"/>
  <c r="U47" i="10"/>
  <c r="U48" i="10"/>
  <c r="U50" i="10"/>
  <c r="U51" i="10"/>
  <c r="U52" i="10"/>
  <c r="U53" i="10"/>
  <c r="U54" i="10"/>
  <c r="U55" i="10"/>
  <c r="U59" i="10"/>
  <c r="U60" i="10"/>
  <c r="U61" i="10"/>
  <c r="U66" i="10"/>
  <c r="U67" i="10"/>
  <c r="U68" i="10"/>
  <c r="U70" i="10"/>
  <c r="U71" i="10"/>
  <c r="U72" i="10"/>
  <c r="U73" i="10"/>
  <c r="U74" i="10"/>
  <c r="U75" i="10"/>
  <c r="U76" i="10"/>
  <c r="U77" i="10"/>
  <c r="U78" i="10"/>
  <c r="U79" i="10"/>
  <c r="U80" i="10"/>
  <c r="U81" i="10"/>
  <c r="U84" i="10"/>
  <c r="U85" i="10"/>
  <c r="U86" i="10"/>
  <c r="U87" i="10"/>
  <c r="U88" i="10"/>
  <c r="U92" i="10"/>
  <c r="U93" i="10"/>
  <c r="U94" i="10"/>
  <c r="U95" i="10"/>
  <c r="U97" i="10"/>
  <c r="U98" i="10"/>
  <c r="U99" i="10"/>
  <c r="U100" i="10"/>
  <c r="U101" i="10"/>
  <c r="U102" i="10"/>
  <c r="U106" i="10"/>
  <c r="U107" i="10"/>
  <c r="U108" i="10"/>
  <c r="U115" i="10"/>
  <c r="U116" i="10"/>
  <c r="U117" i="10"/>
  <c r="U118" i="10"/>
  <c r="U119" i="10"/>
  <c r="U120" i="10"/>
  <c r="U121" i="10"/>
  <c r="U124" i="10"/>
  <c r="U125" i="10"/>
  <c r="U126" i="10"/>
  <c r="U127" i="10"/>
  <c r="U128" i="10"/>
  <c r="U129" i="10"/>
  <c r="U130" i="10"/>
  <c r="U131" i="10"/>
  <c r="U132" i="10"/>
  <c r="U133" i="10"/>
  <c r="U134" i="10"/>
  <c r="U135" i="10"/>
  <c r="U136" i="10"/>
  <c r="U137" i="10"/>
  <c r="U138" i="10"/>
  <c r="U139" i="10"/>
  <c r="U142" i="10"/>
  <c r="U143" i="10"/>
  <c r="U148" i="10"/>
  <c r="U150" i="10"/>
  <c r="U151" i="10"/>
  <c r="U152" i="10"/>
  <c r="U153" i="10"/>
  <c r="U156" i="10"/>
  <c r="U158" i="10"/>
  <c r="U159" i="10"/>
  <c r="U160" i="10"/>
  <c r="U161" i="10"/>
  <c r="U162" i="10"/>
  <c r="U163" i="10"/>
  <c r="U164" i="10"/>
  <c r="U165" i="10"/>
  <c r="U166" i="10"/>
  <c r="U167" i="10"/>
  <c r="U168" i="10"/>
  <c r="U173" i="10"/>
  <c r="U174" i="10"/>
  <c r="U177" i="10"/>
  <c r="U178" i="10"/>
  <c r="U179" i="10"/>
  <c r="U180" i="10"/>
  <c r="U181" i="10"/>
  <c r="U182" i="10"/>
  <c r="U183" i="10"/>
  <c r="U186" i="10"/>
  <c r="U188" i="10"/>
  <c r="U189" i="10"/>
  <c r="U190" i="10"/>
  <c r="U191" i="10"/>
  <c r="U196" i="10"/>
  <c r="U197" i="10"/>
  <c r="U198" i="10"/>
  <c r="U199" i="10"/>
  <c r="U200" i="10"/>
  <c r="U201" i="10"/>
  <c r="U202" i="10"/>
  <c r="U204" i="10"/>
  <c r="U205" i="10"/>
  <c r="U212" i="10"/>
  <c r="U213" i="10"/>
  <c r="U214" i="10"/>
  <c r="U215" i="10"/>
  <c r="U216" i="10"/>
  <c r="U217" i="10"/>
  <c r="U218" i="10"/>
  <c r="U223" i="10"/>
  <c r="U224" i="10"/>
  <c r="U225" i="10"/>
  <c r="U228" i="10"/>
  <c r="U229" i="10"/>
  <c r="U230" i="10"/>
  <c r="U236" i="10"/>
  <c r="U237" i="10"/>
  <c r="U238" i="10"/>
  <c r="U239" i="10"/>
  <c r="U240" i="10"/>
  <c r="U241" i="10"/>
  <c r="U244" i="10"/>
  <c r="U245" i="10"/>
  <c r="U246" i="10"/>
  <c r="U247" i="10"/>
  <c r="U248" i="10"/>
  <c r="U249" i="10"/>
  <c r="U250" i="10"/>
  <c r="U251" i="10"/>
  <c r="U252" i="10"/>
  <c r="U253" i="10"/>
  <c r="U254" i="10"/>
  <c r="U255" i="10"/>
  <c r="U256" i="10"/>
  <c r="H78" i="10"/>
  <c r="C12" i="7"/>
  <c r="C13" i="7"/>
  <c r="C14" i="7"/>
  <c r="C15" i="7"/>
  <c r="C23" i="7"/>
  <c r="C22" i="7" s="1"/>
  <c r="C24" i="7"/>
  <c r="C26" i="7"/>
  <c r="C27" i="7"/>
  <c r="C30" i="7"/>
  <c r="C31" i="7"/>
  <c r="C33" i="7"/>
  <c r="C34" i="7"/>
  <c r="C36" i="7"/>
  <c r="C37" i="7"/>
  <c r="C41" i="7"/>
  <c r="C43" i="7"/>
  <c r="C44" i="7"/>
  <c r="C46" i="7"/>
  <c r="C47" i="7"/>
  <c r="C49" i="7"/>
  <c r="C50" i="7"/>
  <c r="C52" i="7"/>
  <c r="C53" i="7"/>
  <c r="C55" i="7"/>
  <c r="C56" i="7"/>
  <c r="C54" i="7" s="1"/>
  <c r="C58" i="7"/>
  <c r="C59" i="7"/>
  <c r="C61" i="7"/>
  <c r="C62" i="7"/>
  <c r="C64" i="7"/>
  <c r="C65" i="7"/>
  <c r="C67" i="7"/>
  <c r="C68" i="7"/>
  <c r="C70" i="7"/>
  <c r="C71" i="7"/>
  <c r="C73" i="7"/>
  <c r="C74" i="7"/>
  <c r="C76" i="7"/>
  <c r="C77" i="7"/>
  <c r="C79" i="7"/>
  <c r="C80" i="7"/>
  <c r="C82" i="7"/>
  <c r="C83" i="7"/>
  <c r="U17" i="7"/>
  <c r="U18" i="7"/>
  <c r="U19" i="7"/>
  <c r="U21" i="7"/>
  <c r="U22" i="7"/>
  <c r="U23" i="7"/>
  <c r="U24" i="7"/>
  <c r="U25" i="7"/>
  <c r="U26" i="7"/>
  <c r="U27" i="7"/>
  <c r="U28" i="7"/>
  <c r="U29" i="7"/>
  <c r="U30" i="7"/>
  <c r="U31" i="7"/>
  <c r="U32" i="7"/>
  <c r="U33" i="7"/>
  <c r="U36" i="7"/>
  <c r="U37" i="7"/>
  <c r="U38" i="7"/>
  <c r="U39" i="7"/>
  <c r="U40" i="7"/>
  <c r="U41" i="7"/>
  <c r="U45" i="7"/>
  <c r="U46" i="7"/>
  <c r="U47" i="7"/>
  <c r="U48" i="7"/>
  <c r="U50" i="7"/>
  <c r="U51" i="7"/>
  <c r="U52" i="7"/>
  <c r="U53" i="7"/>
  <c r="U54" i="7"/>
  <c r="U55" i="7"/>
  <c r="U59" i="7"/>
  <c r="U60" i="7"/>
  <c r="U61" i="7"/>
  <c r="U66" i="7"/>
  <c r="U67" i="7"/>
  <c r="U68" i="7"/>
  <c r="U70" i="7"/>
  <c r="U71" i="7"/>
  <c r="U72" i="7"/>
  <c r="U73" i="7"/>
  <c r="U74" i="7"/>
  <c r="U75" i="7"/>
  <c r="U76" i="7"/>
  <c r="U77" i="7"/>
  <c r="U78" i="7"/>
  <c r="U79" i="7"/>
  <c r="U80" i="7"/>
  <c r="U81" i="7"/>
  <c r="X81" i="7" s="1"/>
  <c r="AI81" i="7" s="1"/>
  <c r="U84" i="7"/>
  <c r="U85" i="7"/>
  <c r="U86" i="7"/>
  <c r="U87" i="7"/>
  <c r="U88" i="7"/>
  <c r="U92" i="7"/>
  <c r="U93" i="7"/>
  <c r="U94" i="7"/>
  <c r="U95" i="7"/>
  <c r="U97" i="7"/>
  <c r="U98" i="7"/>
  <c r="U99" i="7"/>
  <c r="U100" i="7"/>
  <c r="U101" i="7"/>
  <c r="U102" i="7"/>
  <c r="U106" i="7"/>
  <c r="U105" i="7" s="1"/>
  <c r="U107" i="7"/>
  <c r="U108" i="7"/>
  <c r="U115" i="7"/>
  <c r="U116" i="7"/>
  <c r="U117" i="7"/>
  <c r="U118" i="7"/>
  <c r="U119" i="7"/>
  <c r="U120" i="7"/>
  <c r="U121" i="7"/>
  <c r="U124" i="7"/>
  <c r="U125" i="7"/>
  <c r="U126" i="7"/>
  <c r="U127" i="7"/>
  <c r="U128" i="7"/>
  <c r="U129" i="7"/>
  <c r="U130" i="7"/>
  <c r="U131" i="7"/>
  <c r="U132" i="7"/>
  <c r="U133" i="7"/>
  <c r="U134" i="7"/>
  <c r="U135" i="7"/>
  <c r="U136" i="7"/>
  <c r="U137" i="7"/>
  <c r="U138" i="7"/>
  <c r="U139" i="7"/>
  <c r="U142" i="7"/>
  <c r="U143" i="7"/>
  <c r="U148" i="7"/>
  <c r="U150" i="7"/>
  <c r="U151" i="7"/>
  <c r="U152" i="7"/>
  <c r="U153" i="7"/>
  <c r="U156" i="7"/>
  <c r="U158" i="7"/>
  <c r="U159" i="7"/>
  <c r="U160" i="7"/>
  <c r="X160" i="7" s="1"/>
  <c r="U161" i="7"/>
  <c r="U162" i="7"/>
  <c r="U163" i="7"/>
  <c r="U164" i="7"/>
  <c r="U165" i="7"/>
  <c r="U166" i="7"/>
  <c r="U167" i="7"/>
  <c r="U168" i="7"/>
  <c r="X168" i="7" s="1"/>
  <c r="U173" i="7"/>
  <c r="U174" i="7"/>
  <c r="U177" i="7"/>
  <c r="U178" i="7"/>
  <c r="U179" i="7"/>
  <c r="U180" i="7"/>
  <c r="U181" i="7"/>
  <c r="U182" i="7"/>
  <c r="U183" i="7"/>
  <c r="U186" i="7"/>
  <c r="U188" i="7"/>
  <c r="U189" i="7"/>
  <c r="U190" i="7"/>
  <c r="U191" i="7"/>
  <c r="U196" i="7"/>
  <c r="U197" i="7"/>
  <c r="U198" i="7"/>
  <c r="U199" i="7"/>
  <c r="U200" i="7"/>
  <c r="U201" i="7"/>
  <c r="U202" i="7"/>
  <c r="U204" i="7"/>
  <c r="U203" i="7" s="1"/>
  <c r="U205" i="7"/>
  <c r="U212" i="7"/>
  <c r="U213" i="7"/>
  <c r="U214" i="7"/>
  <c r="U215" i="7"/>
  <c r="U216" i="7"/>
  <c r="U217" i="7"/>
  <c r="U218" i="7"/>
  <c r="U223" i="7"/>
  <c r="U224" i="7"/>
  <c r="U225" i="7"/>
  <c r="U228" i="7"/>
  <c r="U229" i="7"/>
  <c r="U230" i="7"/>
  <c r="U236" i="7"/>
  <c r="U237" i="7"/>
  <c r="U238" i="7"/>
  <c r="U239" i="7"/>
  <c r="U240" i="7"/>
  <c r="U241" i="7"/>
  <c r="U244" i="7"/>
  <c r="U245" i="7"/>
  <c r="U246" i="7"/>
  <c r="U247" i="7"/>
  <c r="U248" i="7"/>
  <c r="U249" i="7"/>
  <c r="U250" i="7"/>
  <c r="U251" i="7"/>
  <c r="U252" i="7"/>
  <c r="U253" i="7"/>
  <c r="U254" i="7"/>
  <c r="U255" i="7"/>
  <c r="U256" i="7"/>
  <c r="H10" i="7"/>
  <c r="H22" i="7"/>
  <c r="H25" i="7"/>
  <c r="H29" i="7"/>
  <c r="H32" i="7"/>
  <c r="H35" i="7"/>
  <c r="H42" i="7"/>
  <c r="H45" i="7"/>
  <c r="H48" i="7"/>
  <c r="H51" i="7"/>
  <c r="H54" i="7"/>
  <c r="H57" i="7"/>
  <c r="H60" i="7"/>
  <c r="H63" i="7"/>
  <c r="H66" i="7"/>
  <c r="H69" i="7"/>
  <c r="H72" i="7"/>
  <c r="H75" i="7"/>
  <c r="H78" i="7"/>
  <c r="H81" i="7"/>
  <c r="Z20" i="7"/>
  <c r="Z16" i="7" s="1"/>
  <c r="Z35" i="7"/>
  <c r="Z44" i="7"/>
  <c r="Z49" i="7"/>
  <c r="Z58" i="7"/>
  <c r="Z57" i="7" s="1"/>
  <c r="Z69" i="7"/>
  <c r="Z65" i="7" s="1"/>
  <c r="Z83" i="7"/>
  <c r="Z91" i="7"/>
  <c r="Z96" i="7"/>
  <c r="Z105" i="7"/>
  <c r="Z104" i="7" s="1"/>
  <c r="Z114" i="7"/>
  <c r="Z123" i="7"/>
  <c r="Z141" i="7"/>
  <c r="Z149" i="7"/>
  <c r="Z147" i="7" s="1"/>
  <c r="Z157" i="7"/>
  <c r="Z155" i="7" s="1"/>
  <c r="Z172" i="7"/>
  <c r="Z176" i="7"/>
  <c r="Z187" i="7"/>
  <c r="Z185" i="7" s="1"/>
  <c r="Z195" i="7"/>
  <c r="Z203" i="7"/>
  <c r="Z211" i="7"/>
  <c r="Z210" i="7" s="1"/>
  <c r="Z209" i="7" s="1"/>
  <c r="Z207" i="7" s="1"/>
  <c r="Z222" i="7"/>
  <c r="Z227" i="7"/>
  <c r="Z235" i="7"/>
  <c r="Z243" i="7"/>
  <c r="K22" i="7"/>
  <c r="K25" i="7"/>
  <c r="K29" i="7"/>
  <c r="K32" i="7"/>
  <c r="K35" i="7"/>
  <c r="K42" i="7"/>
  <c r="K45" i="7"/>
  <c r="K48" i="7"/>
  <c r="K51" i="7"/>
  <c r="K54" i="7"/>
  <c r="K57" i="7"/>
  <c r="K60" i="7"/>
  <c r="K63" i="7"/>
  <c r="K66" i="7"/>
  <c r="K69" i="7"/>
  <c r="K72" i="7"/>
  <c r="K75" i="7"/>
  <c r="K78" i="7"/>
  <c r="K81" i="7"/>
  <c r="H23" i="20"/>
  <c r="AC20" i="7"/>
  <c r="AC16" i="7" s="1"/>
  <c r="AC35" i="7"/>
  <c r="AC44" i="7"/>
  <c r="AC49" i="7"/>
  <c r="AC58" i="7"/>
  <c r="AC57" i="7" s="1"/>
  <c r="AC69" i="7"/>
  <c r="AC65" i="7" s="1"/>
  <c r="AC83" i="7"/>
  <c r="AC91" i="7"/>
  <c r="AC96" i="7"/>
  <c r="AC105" i="7"/>
  <c r="AC104" i="7" s="1"/>
  <c r="AC114" i="7"/>
  <c r="AC123" i="7"/>
  <c r="AC141" i="7"/>
  <c r="AC149" i="7"/>
  <c r="AC147" i="7" s="1"/>
  <c r="AC157" i="7"/>
  <c r="AC155" i="7" s="1"/>
  <c r="AC172" i="7"/>
  <c r="AC176" i="7"/>
  <c r="AC187" i="7"/>
  <c r="AC185" i="7" s="1"/>
  <c r="AC195" i="7"/>
  <c r="AC203" i="7"/>
  <c r="AC211" i="7"/>
  <c r="AC210" i="7" s="1"/>
  <c r="AC209" i="7" s="1"/>
  <c r="AC207" i="7" s="1"/>
  <c r="AC222" i="7"/>
  <c r="AC227" i="7"/>
  <c r="AC235" i="7"/>
  <c r="AC243" i="7"/>
  <c r="AF20" i="7"/>
  <c r="AF16" i="7" s="1"/>
  <c r="AF35" i="7"/>
  <c r="AF44" i="7"/>
  <c r="AF49" i="7"/>
  <c r="AF58" i="7"/>
  <c r="AF57" i="7" s="1"/>
  <c r="AF69" i="7"/>
  <c r="AF65" i="7" s="1"/>
  <c r="AF83" i="7"/>
  <c r="AF91" i="7"/>
  <c r="AF96" i="7"/>
  <c r="AF105" i="7"/>
  <c r="AF104" i="7" s="1"/>
  <c r="AF114" i="7"/>
  <c r="AF123" i="7"/>
  <c r="AF141" i="7"/>
  <c r="BQ20" i="7" s="1"/>
  <c r="H44" i="20" s="1"/>
  <c r="AF149" i="7"/>
  <c r="AF147" i="7" s="1"/>
  <c r="AF157" i="7"/>
  <c r="AF155" i="7" s="1"/>
  <c r="AF172" i="7"/>
  <c r="AF176" i="7"/>
  <c r="AF187" i="7"/>
  <c r="AF185" i="7" s="1"/>
  <c r="AF195" i="7"/>
  <c r="AF203" i="7"/>
  <c r="AF211" i="7"/>
  <c r="AF210" i="7" s="1"/>
  <c r="AF209" i="7" s="1"/>
  <c r="AF222" i="7"/>
  <c r="AF227" i="7"/>
  <c r="AF235" i="7"/>
  <c r="AF243" i="7"/>
  <c r="P10" i="7"/>
  <c r="P22" i="7"/>
  <c r="P25" i="7"/>
  <c r="P29" i="7"/>
  <c r="P32" i="7"/>
  <c r="P35" i="7"/>
  <c r="P42" i="7"/>
  <c r="P45" i="7"/>
  <c r="P48" i="7"/>
  <c r="P51" i="7"/>
  <c r="P54" i="7"/>
  <c r="P57" i="7"/>
  <c r="P60" i="7"/>
  <c r="P63" i="7"/>
  <c r="P66" i="7"/>
  <c r="P69" i="7"/>
  <c r="P72" i="7"/>
  <c r="P75" i="7"/>
  <c r="P78" i="7"/>
  <c r="P81" i="7"/>
  <c r="Q10" i="7"/>
  <c r="Q22" i="7"/>
  <c r="Q25" i="7"/>
  <c r="Q29" i="7"/>
  <c r="Q32" i="7"/>
  <c r="Q35" i="7"/>
  <c r="Q42" i="7"/>
  <c r="Q45" i="7"/>
  <c r="Q48" i="7"/>
  <c r="Q51" i="7"/>
  <c r="Q54" i="7"/>
  <c r="Q57" i="7"/>
  <c r="Q60" i="7"/>
  <c r="Q63" i="7"/>
  <c r="Q66" i="7"/>
  <c r="Q69" i="7"/>
  <c r="Q72" i="7"/>
  <c r="Q75" i="7"/>
  <c r="Q78" i="7"/>
  <c r="Q81" i="7"/>
  <c r="C12" i="9"/>
  <c r="C13" i="9"/>
  <c r="C14" i="9"/>
  <c r="C15" i="9"/>
  <c r="C23" i="9"/>
  <c r="C24" i="9"/>
  <c r="C26" i="9"/>
  <c r="C27" i="9"/>
  <c r="C30" i="9"/>
  <c r="C31" i="9"/>
  <c r="C33" i="9"/>
  <c r="C34" i="9"/>
  <c r="C36" i="9"/>
  <c r="C37" i="9"/>
  <c r="C43" i="9"/>
  <c r="C44" i="9"/>
  <c r="C46" i="9"/>
  <c r="C47" i="9"/>
  <c r="C49" i="9"/>
  <c r="C50" i="9"/>
  <c r="C52" i="9"/>
  <c r="C53" i="9"/>
  <c r="C55" i="9"/>
  <c r="C56" i="9"/>
  <c r="C58" i="9"/>
  <c r="C59" i="9"/>
  <c r="C61" i="9"/>
  <c r="C62" i="9"/>
  <c r="C64" i="9"/>
  <c r="C65" i="9"/>
  <c r="C67" i="9"/>
  <c r="C68" i="9"/>
  <c r="C70" i="9"/>
  <c r="C71" i="9"/>
  <c r="C73" i="9"/>
  <c r="C74" i="9"/>
  <c r="C76" i="9"/>
  <c r="C77" i="9"/>
  <c r="C79" i="9"/>
  <c r="C80" i="9"/>
  <c r="C82" i="9"/>
  <c r="C83" i="9"/>
  <c r="U17" i="9"/>
  <c r="U18" i="9"/>
  <c r="U19" i="9"/>
  <c r="U21" i="9"/>
  <c r="U22" i="9"/>
  <c r="U23" i="9"/>
  <c r="U24" i="9"/>
  <c r="U25" i="9"/>
  <c r="U26" i="9"/>
  <c r="U27" i="9"/>
  <c r="U28" i="9"/>
  <c r="U29" i="9"/>
  <c r="U30" i="9"/>
  <c r="U31" i="9"/>
  <c r="U32" i="9"/>
  <c r="U33" i="9"/>
  <c r="U36" i="9"/>
  <c r="U37" i="9"/>
  <c r="U38" i="9"/>
  <c r="U39" i="9"/>
  <c r="U40" i="9"/>
  <c r="U41" i="9"/>
  <c r="U45" i="9"/>
  <c r="U46" i="9"/>
  <c r="U47" i="9"/>
  <c r="U48" i="9"/>
  <c r="U50" i="9"/>
  <c r="U51" i="9"/>
  <c r="U52" i="9"/>
  <c r="U53" i="9"/>
  <c r="U54" i="9"/>
  <c r="U55" i="9"/>
  <c r="U59" i="9"/>
  <c r="U60" i="9"/>
  <c r="U61" i="9"/>
  <c r="U66" i="9"/>
  <c r="U67" i="9"/>
  <c r="U68" i="9"/>
  <c r="U70" i="9"/>
  <c r="U71" i="9"/>
  <c r="U72" i="9"/>
  <c r="U73" i="9"/>
  <c r="U74" i="9"/>
  <c r="U75" i="9"/>
  <c r="U76" i="9"/>
  <c r="U77" i="9"/>
  <c r="U78" i="9"/>
  <c r="U79" i="9"/>
  <c r="U80" i="9"/>
  <c r="U81" i="9"/>
  <c r="U84" i="9"/>
  <c r="U85" i="9"/>
  <c r="U86" i="9"/>
  <c r="U87" i="9"/>
  <c r="U88" i="9"/>
  <c r="U92" i="9"/>
  <c r="U91" i="9" s="1"/>
  <c r="U93" i="9"/>
  <c r="U94" i="9"/>
  <c r="U95" i="9"/>
  <c r="U97" i="9"/>
  <c r="U98" i="9"/>
  <c r="U99" i="9"/>
  <c r="U100" i="9"/>
  <c r="U101" i="9"/>
  <c r="U102" i="9"/>
  <c r="U106" i="9"/>
  <c r="U107" i="9"/>
  <c r="U108" i="9"/>
  <c r="U115" i="9"/>
  <c r="U116" i="9"/>
  <c r="U117" i="9"/>
  <c r="U118" i="9"/>
  <c r="U119" i="9"/>
  <c r="U120" i="9"/>
  <c r="U121" i="9"/>
  <c r="U124" i="9"/>
  <c r="U125" i="9"/>
  <c r="U126" i="9"/>
  <c r="U127" i="9"/>
  <c r="U128" i="9"/>
  <c r="U129" i="9"/>
  <c r="U130" i="9"/>
  <c r="U131" i="9"/>
  <c r="U132" i="9"/>
  <c r="U133" i="9"/>
  <c r="U134" i="9"/>
  <c r="U135" i="9"/>
  <c r="U136" i="9"/>
  <c r="U137" i="9"/>
  <c r="U138" i="9"/>
  <c r="U139" i="9"/>
  <c r="U142" i="9"/>
  <c r="U143" i="9"/>
  <c r="U148" i="9"/>
  <c r="U150" i="9"/>
  <c r="U151" i="9"/>
  <c r="U152" i="9"/>
  <c r="U153" i="9"/>
  <c r="U156" i="9"/>
  <c r="U158" i="9"/>
  <c r="U159" i="9"/>
  <c r="U160" i="9"/>
  <c r="U161" i="9"/>
  <c r="U162" i="9"/>
  <c r="U163" i="9"/>
  <c r="U164" i="9"/>
  <c r="U165" i="9"/>
  <c r="U166" i="9"/>
  <c r="U167" i="9"/>
  <c r="U168" i="9"/>
  <c r="U173" i="9"/>
  <c r="U174" i="9"/>
  <c r="U177" i="9"/>
  <c r="U178" i="9"/>
  <c r="U179" i="9"/>
  <c r="U180" i="9"/>
  <c r="U181" i="9"/>
  <c r="U182" i="9"/>
  <c r="U183" i="9"/>
  <c r="U186" i="9"/>
  <c r="U188" i="9"/>
  <c r="U189" i="9"/>
  <c r="U190" i="9"/>
  <c r="U191" i="9"/>
  <c r="U196" i="9"/>
  <c r="U197" i="9"/>
  <c r="U198" i="9"/>
  <c r="U199" i="9"/>
  <c r="U200" i="9"/>
  <c r="U201" i="9"/>
  <c r="U202" i="9"/>
  <c r="U204" i="9"/>
  <c r="U203" i="9" s="1"/>
  <c r="U205" i="9"/>
  <c r="U212" i="9"/>
  <c r="U213" i="9"/>
  <c r="U214" i="9"/>
  <c r="U215" i="9"/>
  <c r="U216" i="9"/>
  <c r="U217" i="9"/>
  <c r="U218" i="9"/>
  <c r="U223" i="9"/>
  <c r="U224" i="9"/>
  <c r="U225" i="9"/>
  <c r="U228" i="9"/>
  <c r="U229" i="9"/>
  <c r="U230" i="9"/>
  <c r="U236" i="9"/>
  <c r="U237" i="9"/>
  <c r="U238" i="9"/>
  <c r="U239" i="9"/>
  <c r="U240" i="9"/>
  <c r="U241" i="9"/>
  <c r="U244" i="9"/>
  <c r="U245" i="9"/>
  <c r="U246" i="9"/>
  <c r="U247" i="9"/>
  <c r="U248" i="9"/>
  <c r="U249" i="9"/>
  <c r="U250" i="9"/>
  <c r="U251" i="9"/>
  <c r="U252" i="9"/>
  <c r="U253" i="9"/>
  <c r="U254" i="9"/>
  <c r="U255" i="9"/>
  <c r="U256" i="9"/>
  <c r="H78" i="9"/>
  <c r="C12" i="8"/>
  <c r="C13" i="8"/>
  <c r="C14" i="8"/>
  <c r="C15" i="8"/>
  <c r="C23" i="8"/>
  <c r="C24" i="8"/>
  <c r="C26" i="8"/>
  <c r="C27" i="8"/>
  <c r="C31" i="8"/>
  <c r="C29" i="8" s="1"/>
  <c r="C33" i="8"/>
  <c r="C32" i="8" s="1"/>
  <c r="C34" i="8"/>
  <c r="C36" i="8"/>
  <c r="C37" i="8"/>
  <c r="C41" i="8"/>
  <c r="C43" i="8"/>
  <c r="C44" i="8"/>
  <c r="C46" i="8"/>
  <c r="C47" i="8"/>
  <c r="C49" i="8"/>
  <c r="C50" i="8"/>
  <c r="C52" i="8"/>
  <c r="C53" i="8"/>
  <c r="C55" i="8"/>
  <c r="C56" i="8"/>
  <c r="C58" i="8"/>
  <c r="C59" i="8"/>
  <c r="C61" i="8"/>
  <c r="C62" i="8"/>
  <c r="C64" i="8"/>
  <c r="C65" i="8"/>
  <c r="C67" i="8"/>
  <c r="C68" i="8"/>
  <c r="C70" i="8"/>
  <c r="C71" i="8"/>
  <c r="C73" i="8"/>
  <c r="C74" i="8"/>
  <c r="C76" i="8"/>
  <c r="C77" i="8"/>
  <c r="C79" i="8"/>
  <c r="C80" i="8"/>
  <c r="C82" i="8"/>
  <c r="C83" i="8"/>
  <c r="U17" i="8"/>
  <c r="U18" i="8"/>
  <c r="U19" i="8"/>
  <c r="U21" i="8"/>
  <c r="U22" i="8"/>
  <c r="U23" i="8"/>
  <c r="U24" i="8"/>
  <c r="U25" i="8"/>
  <c r="U26" i="8"/>
  <c r="U27" i="8"/>
  <c r="U28" i="8"/>
  <c r="U29" i="8"/>
  <c r="U30" i="8"/>
  <c r="U31" i="8"/>
  <c r="U32" i="8"/>
  <c r="U33" i="8"/>
  <c r="U36" i="8"/>
  <c r="U37" i="8"/>
  <c r="U38" i="8"/>
  <c r="U39" i="8"/>
  <c r="U40" i="8"/>
  <c r="U41" i="8"/>
  <c r="U45" i="8"/>
  <c r="U46" i="8"/>
  <c r="U47" i="8"/>
  <c r="U48" i="8"/>
  <c r="U50" i="8"/>
  <c r="U51" i="8"/>
  <c r="U52" i="8"/>
  <c r="U53" i="8"/>
  <c r="U54" i="8"/>
  <c r="U55" i="8"/>
  <c r="U59" i="8"/>
  <c r="U60" i="8"/>
  <c r="U61" i="8"/>
  <c r="U66" i="8"/>
  <c r="U67" i="8"/>
  <c r="U68" i="8"/>
  <c r="U70" i="8"/>
  <c r="U71" i="8"/>
  <c r="U72" i="8"/>
  <c r="U73" i="8"/>
  <c r="U74" i="8"/>
  <c r="U75" i="8"/>
  <c r="U76" i="8"/>
  <c r="U77" i="8"/>
  <c r="U78" i="8"/>
  <c r="U79" i="8"/>
  <c r="U80" i="8"/>
  <c r="U81" i="8"/>
  <c r="U84" i="8"/>
  <c r="U85" i="8"/>
  <c r="U86" i="8"/>
  <c r="U87" i="8"/>
  <c r="U88" i="8"/>
  <c r="U92" i="8"/>
  <c r="U93" i="8"/>
  <c r="U94" i="8"/>
  <c r="U95" i="8"/>
  <c r="U97" i="8"/>
  <c r="U98" i="8"/>
  <c r="U99" i="8"/>
  <c r="U100" i="8"/>
  <c r="U101" i="8"/>
  <c r="U102" i="8"/>
  <c r="U106" i="8"/>
  <c r="U107" i="8"/>
  <c r="U108" i="8"/>
  <c r="U115" i="8"/>
  <c r="U116" i="8"/>
  <c r="U117" i="8"/>
  <c r="U118" i="8"/>
  <c r="U119" i="8"/>
  <c r="U120" i="8"/>
  <c r="U121" i="8"/>
  <c r="U124" i="8"/>
  <c r="U125" i="8"/>
  <c r="U126" i="8"/>
  <c r="U127" i="8"/>
  <c r="U128" i="8"/>
  <c r="U129" i="8"/>
  <c r="U130" i="8"/>
  <c r="U131" i="8"/>
  <c r="U132" i="8"/>
  <c r="U133" i="8"/>
  <c r="U134" i="8"/>
  <c r="U135" i="8"/>
  <c r="U136" i="8"/>
  <c r="U137" i="8"/>
  <c r="U138" i="8"/>
  <c r="U139" i="8"/>
  <c r="U142" i="8"/>
  <c r="U141" i="8" s="1"/>
  <c r="U143" i="8"/>
  <c r="U148" i="8"/>
  <c r="U150" i="8"/>
  <c r="U151" i="8"/>
  <c r="U152" i="8"/>
  <c r="U153" i="8"/>
  <c r="U156" i="8"/>
  <c r="U158" i="8"/>
  <c r="U159" i="8"/>
  <c r="U160" i="8"/>
  <c r="U161" i="8"/>
  <c r="U162" i="8"/>
  <c r="U163" i="8"/>
  <c r="U164" i="8"/>
  <c r="U165" i="8"/>
  <c r="U166" i="8"/>
  <c r="U167" i="8"/>
  <c r="U168" i="8"/>
  <c r="U173" i="8"/>
  <c r="U174" i="8"/>
  <c r="U177" i="8"/>
  <c r="U178" i="8"/>
  <c r="U179" i="8"/>
  <c r="U180" i="8"/>
  <c r="U181" i="8"/>
  <c r="U182" i="8"/>
  <c r="U183" i="8"/>
  <c r="U186" i="8"/>
  <c r="U188" i="8"/>
  <c r="U189" i="8"/>
  <c r="U190" i="8"/>
  <c r="U191" i="8"/>
  <c r="X191" i="8" s="1"/>
  <c r="AH191" i="8" s="1"/>
  <c r="U196" i="8"/>
  <c r="U197" i="8"/>
  <c r="U198" i="8"/>
  <c r="U199" i="8"/>
  <c r="U200" i="8"/>
  <c r="U201" i="8"/>
  <c r="U202" i="8"/>
  <c r="U204" i="8"/>
  <c r="U203" i="8" s="1"/>
  <c r="U205" i="8"/>
  <c r="U212" i="8"/>
  <c r="U213" i="8"/>
  <c r="U214" i="8"/>
  <c r="U215" i="8"/>
  <c r="U216" i="8"/>
  <c r="U217" i="8"/>
  <c r="U218" i="8"/>
  <c r="U223" i="8"/>
  <c r="U224" i="8"/>
  <c r="U225" i="8"/>
  <c r="U228" i="8"/>
  <c r="U229" i="8"/>
  <c r="U230" i="8"/>
  <c r="U236" i="8"/>
  <c r="U237" i="8"/>
  <c r="U238" i="8"/>
  <c r="U239" i="8"/>
  <c r="U240" i="8"/>
  <c r="U241" i="8"/>
  <c r="U244" i="8"/>
  <c r="U245" i="8"/>
  <c r="U246" i="8"/>
  <c r="U247" i="8"/>
  <c r="U248" i="8"/>
  <c r="U249" i="8"/>
  <c r="U250" i="8"/>
  <c r="U251" i="8"/>
  <c r="U252" i="8"/>
  <c r="U253" i="8"/>
  <c r="U254" i="8"/>
  <c r="U255" i="8"/>
  <c r="U256" i="8"/>
  <c r="H78" i="8"/>
  <c r="C81" i="8"/>
  <c r="E60" i="6"/>
  <c r="C12" i="6"/>
  <c r="C13" i="6"/>
  <c r="C14" i="6"/>
  <c r="C15" i="6"/>
  <c r="F15" i="6" s="1"/>
  <c r="C23" i="6"/>
  <c r="C24" i="6"/>
  <c r="C26" i="6"/>
  <c r="C27" i="6"/>
  <c r="C30" i="6"/>
  <c r="C31" i="6"/>
  <c r="C33" i="6"/>
  <c r="C34" i="6"/>
  <c r="C36" i="6"/>
  <c r="C37" i="6"/>
  <c r="C41" i="6"/>
  <c r="C43" i="6"/>
  <c r="C42" i="6" s="1"/>
  <c r="C44" i="6"/>
  <c r="C46" i="6"/>
  <c r="C47" i="6"/>
  <c r="C49" i="6"/>
  <c r="C50" i="6"/>
  <c r="C52" i="6"/>
  <c r="C53" i="6"/>
  <c r="C55" i="6"/>
  <c r="C56" i="6"/>
  <c r="C58" i="6"/>
  <c r="C59" i="6"/>
  <c r="C61" i="6"/>
  <c r="C62" i="6"/>
  <c r="C64" i="6"/>
  <c r="C65" i="6"/>
  <c r="C67" i="6"/>
  <c r="C68" i="6"/>
  <c r="C70" i="6"/>
  <c r="C71" i="6"/>
  <c r="C73" i="6"/>
  <c r="C72" i="6" s="1"/>
  <c r="C74" i="6"/>
  <c r="C76" i="6"/>
  <c r="C77" i="6"/>
  <c r="C79" i="6"/>
  <c r="C78" i="6" s="1"/>
  <c r="C80" i="6"/>
  <c r="C82" i="6"/>
  <c r="C83" i="6"/>
  <c r="U17" i="6"/>
  <c r="U18" i="6"/>
  <c r="U19" i="6"/>
  <c r="U21" i="6"/>
  <c r="U22" i="6"/>
  <c r="U23" i="6"/>
  <c r="U24" i="6"/>
  <c r="U25" i="6"/>
  <c r="U26" i="6"/>
  <c r="U27" i="6"/>
  <c r="U28" i="6"/>
  <c r="U29" i="6"/>
  <c r="U30" i="6"/>
  <c r="U31" i="6"/>
  <c r="U32" i="6"/>
  <c r="U33" i="6"/>
  <c r="U36" i="6"/>
  <c r="U37" i="6"/>
  <c r="U38" i="6"/>
  <c r="U39" i="6"/>
  <c r="U40" i="6"/>
  <c r="U41" i="6"/>
  <c r="U45" i="6"/>
  <c r="U46" i="6"/>
  <c r="U47" i="6"/>
  <c r="U44" i="6" s="1"/>
  <c r="U48" i="6"/>
  <c r="U50" i="6"/>
  <c r="U51" i="6"/>
  <c r="U52" i="6"/>
  <c r="U53" i="6"/>
  <c r="U54" i="6"/>
  <c r="U55" i="6"/>
  <c r="U59" i="6"/>
  <c r="U60" i="6"/>
  <c r="U61" i="6"/>
  <c r="U66" i="6"/>
  <c r="U67" i="6"/>
  <c r="U68" i="6"/>
  <c r="U70" i="6"/>
  <c r="U71" i="6"/>
  <c r="U72" i="6"/>
  <c r="U73" i="6"/>
  <c r="U74" i="6"/>
  <c r="U75" i="6"/>
  <c r="U76" i="6"/>
  <c r="U77" i="6"/>
  <c r="U78" i="6"/>
  <c r="U79" i="6"/>
  <c r="U80" i="6"/>
  <c r="U81" i="6"/>
  <c r="U84" i="6"/>
  <c r="U85" i="6"/>
  <c r="U86" i="6"/>
  <c r="U87" i="6"/>
  <c r="U88" i="6"/>
  <c r="U92" i="6"/>
  <c r="U93" i="6"/>
  <c r="U94" i="6"/>
  <c r="U95" i="6"/>
  <c r="U97" i="6"/>
  <c r="U98" i="6"/>
  <c r="U99" i="6"/>
  <c r="U100" i="6"/>
  <c r="U101" i="6"/>
  <c r="U102" i="6"/>
  <c r="U106" i="6"/>
  <c r="U107" i="6"/>
  <c r="U108" i="6"/>
  <c r="U115" i="6"/>
  <c r="U116" i="6"/>
  <c r="U117" i="6"/>
  <c r="U118" i="6"/>
  <c r="U119" i="6"/>
  <c r="U120" i="6"/>
  <c r="U121" i="6"/>
  <c r="U124" i="6"/>
  <c r="U125" i="6"/>
  <c r="U126" i="6"/>
  <c r="U127" i="6"/>
  <c r="U128" i="6"/>
  <c r="U129" i="6"/>
  <c r="U130" i="6"/>
  <c r="U131" i="6"/>
  <c r="U132" i="6"/>
  <c r="U133" i="6"/>
  <c r="U134" i="6"/>
  <c r="U135" i="6"/>
  <c r="U136" i="6"/>
  <c r="U137" i="6"/>
  <c r="U138" i="6"/>
  <c r="U139" i="6"/>
  <c r="U142" i="6"/>
  <c r="U143" i="6"/>
  <c r="U148" i="6"/>
  <c r="U150" i="6"/>
  <c r="U151" i="6"/>
  <c r="X151" i="6" s="1"/>
  <c r="U152" i="6"/>
  <c r="U153" i="6"/>
  <c r="U156" i="6"/>
  <c r="U158" i="6"/>
  <c r="U159" i="6"/>
  <c r="U160" i="6"/>
  <c r="U161" i="6"/>
  <c r="U162" i="6"/>
  <c r="U163" i="6"/>
  <c r="U164" i="6"/>
  <c r="U165" i="6"/>
  <c r="U166" i="6"/>
  <c r="U167" i="6"/>
  <c r="U168" i="6"/>
  <c r="U173" i="6"/>
  <c r="U174" i="6"/>
  <c r="U177" i="6"/>
  <c r="U178" i="6"/>
  <c r="U179" i="6"/>
  <c r="U180" i="6"/>
  <c r="U181" i="6"/>
  <c r="U182" i="6"/>
  <c r="U183" i="6"/>
  <c r="U186" i="6"/>
  <c r="U188" i="6"/>
  <c r="X188" i="6" s="1"/>
  <c r="U189" i="6"/>
  <c r="U190" i="6"/>
  <c r="U191" i="6"/>
  <c r="U196" i="6"/>
  <c r="U197" i="6"/>
  <c r="U198" i="6"/>
  <c r="U199" i="6"/>
  <c r="U200" i="6"/>
  <c r="U201" i="6"/>
  <c r="U202" i="6"/>
  <c r="U204" i="6"/>
  <c r="U203" i="6" s="1"/>
  <c r="U205" i="6"/>
  <c r="U212" i="6"/>
  <c r="U213" i="6"/>
  <c r="U214" i="6"/>
  <c r="U215" i="6"/>
  <c r="U216" i="6"/>
  <c r="U217" i="6"/>
  <c r="U218" i="6"/>
  <c r="U223" i="6"/>
  <c r="U224" i="6"/>
  <c r="U225" i="6"/>
  <c r="U228" i="6"/>
  <c r="U229" i="6"/>
  <c r="U230" i="6"/>
  <c r="U236" i="6"/>
  <c r="U237" i="6"/>
  <c r="U238" i="6"/>
  <c r="U239" i="6"/>
  <c r="U240" i="6"/>
  <c r="U241" i="6"/>
  <c r="U244" i="6"/>
  <c r="U245" i="6"/>
  <c r="U246" i="6"/>
  <c r="X246" i="6" s="1"/>
  <c r="U247" i="6"/>
  <c r="U248" i="6"/>
  <c r="X248" i="6" s="1"/>
  <c r="U249" i="6"/>
  <c r="U250" i="6"/>
  <c r="U251" i="6"/>
  <c r="U252" i="6"/>
  <c r="U253" i="6"/>
  <c r="U254" i="6"/>
  <c r="U255" i="6"/>
  <c r="U256" i="6"/>
  <c r="H10" i="6"/>
  <c r="H22" i="6"/>
  <c r="H25" i="6"/>
  <c r="H29" i="6"/>
  <c r="H32" i="6"/>
  <c r="H35" i="6"/>
  <c r="H42" i="6"/>
  <c r="H45" i="6"/>
  <c r="H48" i="6"/>
  <c r="H51" i="6"/>
  <c r="H54" i="6"/>
  <c r="H57" i="6"/>
  <c r="H60" i="6"/>
  <c r="H63" i="6"/>
  <c r="H66" i="6"/>
  <c r="H69" i="6"/>
  <c r="H72" i="6"/>
  <c r="H75" i="6"/>
  <c r="H78" i="6"/>
  <c r="H81" i="6"/>
  <c r="Z20" i="6"/>
  <c r="Z16" i="6" s="1"/>
  <c r="Z35" i="6"/>
  <c r="Z44" i="6"/>
  <c r="Z49" i="6"/>
  <c r="Z58" i="6"/>
  <c r="Z57" i="6" s="1"/>
  <c r="Z69" i="6"/>
  <c r="Z65" i="6" s="1"/>
  <c r="Z83" i="6"/>
  <c r="Z91" i="6"/>
  <c r="Z96" i="6"/>
  <c r="Z105" i="6"/>
  <c r="Z104" i="6" s="1"/>
  <c r="Z114" i="6"/>
  <c r="Z123" i="6"/>
  <c r="Z141" i="6"/>
  <c r="Z149" i="6"/>
  <c r="Z147" i="6" s="1"/>
  <c r="Z157" i="6"/>
  <c r="Z155" i="6" s="1"/>
  <c r="Z172" i="6"/>
  <c r="Z176" i="6"/>
  <c r="Z187" i="6"/>
  <c r="Z185" i="6" s="1"/>
  <c r="Z195" i="6"/>
  <c r="Z203" i="6"/>
  <c r="Z211" i="6"/>
  <c r="Z210" i="6" s="1"/>
  <c r="Z209" i="6" s="1"/>
  <c r="Z207" i="6" s="1"/>
  <c r="Z222" i="6"/>
  <c r="Z227" i="6"/>
  <c r="Z235" i="6"/>
  <c r="Z243" i="6"/>
  <c r="K22" i="6"/>
  <c r="K25" i="6"/>
  <c r="K29" i="6"/>
  <c r="K32" i="6"/>
  <c r="K35" i="6"/>
  <c r="K42" i="6"/>
  <c r="K45" i="6"/>
  <c r="K48" i="6"/>
  <c r="K51" i="6"/>
  <c r="K54" i="6"/>
  <c r="K57" i="6"/>
  <c r="K60" i="6"/>
  <c r="K63" i="6"/>
  <c r="K66" i="6"/>
  <c r="K69" i="6"/>
  <c r="K72" i="6"/>
  <c r="K75" i="6"/>
  <c r="K78" i="6"/>
  <c r="K81" i="6"/>
  <c r="AC20" i="6"/>
  <c r="AC16" i="6" s="1"/>
  <c r="AC35" i="6"/>
  <c r="AC44" i="6"/>
  <c r="AC49" i="6"/>
  <c r="AC58" i="6"/>
  <c r="AC57" i="6" s="1"/>
  <c r="AC69" i="6"/>
  <c r="AC65" i="6" s="1"/>
  <c r="AC83" i="6"/>
  <c r="AC91" i="6"/>
  <c r="AC96" i="6"/>
  <c r="AC105" i="6"/>
  <c r="AC104" i="6" s="1"/>
  <c r="AC114" i="6"/>
  <c r="AC123" i="6"/>
  <c r="AC141" i="6"/>
  <c r="AC149" i="6"/>
  <c r="AC147" i="6" s="1"/>
  <c r="AC145" i="6" s="1"/>
  <c r="AC157" i="6"/>
  <c r="AC155" i="6" s="1"/>
  <c r="AC172" i="6"/>
  <c r="AC176" i="6"/>
  <c r="AC187" i="6"/>
  <c r="AC185" i="6" s="1"/>
  <c r="AC195" i="6"/>
  <c r="AC203" i="6"/>
  <c r="AC211" i="6"/>
  <c r="AC210" i="6" s="1"/>
  <c r="AC209" i="6" s="1"/>
  <c r="AC207" i="6" s="1"/>
  <c r="AC222" i="6"/>
  <c r="AC220" i="6" s="1"/>
  <c r="AC227" i="6"/>
  <c r="AC235" i="6"/>
  <c r="AC243" i="6"/>
  <c r="AF20" i="6"/>
  <c r="AF16" i="6" s="1"/>
  <c r="AF35" i="6"/>
  <c r="AF44" i="6"/>
  <c r="AF49" i="6"/>
  <c r="AF58" i="6"/>
  <c r="AF57" i="6" s="1"/>
  <c r="AF69" i="6"/>
  <c r="AF65" i="6" s="1"/>
  <c r="AF83" i="6"/>
  <c r="AF91" i="6"/>
  <c r="AF96" i="6"/>
  <c r="AF105" i="6"/>
  <c r="AF104" i="6" s="1"/>
  <c r="AF114" i="6"/>
  <c r="AF123" i="6"/>
  <c r="AF141" i="6"/>
  <c r="BQ20" i="6" s="1"/>
  <c r="G44" i="20" s="1"/>
  <c r="AF149" i="6"/>
  <c r="AF147" i="6" s="1"/>
  <c r="AF157" i="6"/>
  <c r="AF155" i="6" s="1"/>
  <c r="AF172" i="6"/>
  <c r="AF176" i="6"/>
  <c r="AF187" i="6"/>
  <c r="AF185" i="6" s="1"/>
  <c r="AF195" i="6"/>
  <c r="AF203" i="6"/>
  <c r="AF211" i="6"/>
  <c r="AF210" i="6" s="1"/>
  <c r="AF209" i="6" s="1"/>
  <c r="AF222" i="6"/>
  <c r="AF227" i="6"/>
  <c r="AF235" i="6"/>
  <c r="AF243" i="6"/>
  <c r="P10" i="6"/>
  <c r="P22" i="6"/>
  <c r="P25" i="6"/>
  <c r="P29" i="6"/>
  <c r="P32" i="6"/>
  <c r="P35" i="6"/>
  <c r="P42" i="6"/>
  <c r="P45" i="6"/>
  <c r="P48" i="6"/>
  <c r="P51" i="6"/>
  <c r="P54" i="6"/>
  <c r="P57" i="6"/>
  <c r="P60" i="6"/>
  <c r="P63" i="6"/>
  <c r="P66" i="6"/>
  <c r="P69" i="6"/>
  <c r="P72" i="6"/>
  <c r="P75" i="6"/>
  <c r="P78" i="6"/>
  <c r="P81" i="6"/>
  <c r="Q10" i="6"/>
  <c r="Q22" i="6"/>
  <c r="Q25" i="6"/>
  <c r="Q29" i="6"/>
  <c r="Q32" i="6"/>
  <c r="Q35" i="6"/>
  <c r="Q42" i="6"/>
  <c r="Q45" i="6"/>
  <c r="Q48" i="6"/>
  <c r="Q51" i="6"/>
  <c r="Q54" i="6"/>
  <c r="Q57" i="6"/>
  <c r="Q60" i="6"/>
  <c r="Q63" i="6"/>
  <c r="Q66" i="6"/>
  <c r="Q69" i="6"/>
  <c r="Q72" i="6"/>
  <c r="Q75" i="6"/>
  <c r="Q78" i="6"/>
  <c r="Q81" i="6"/>
  <c r="F59" i="5"/>
  <c r="C78" i="5"/>
  <c r="F14" i="5"/>
  <c r="X22" i="5"/>
  <c r="X23" i="5"/>
  <c r="X25" i="5"/>
  <c r="X27" i="5"/>
  <c r="X31" i="5"/>
  <c r="X37" i="5"/>
  <c r="X41" i="5"/>
  <c r="X46" i="5"/>
  <c r="X53" i="5"/>
  <c r="AH53" i="5" s="1"/>
  <c r="X98" i="5"/>
  <c r="X124" i="5"/>
  <c r="X125" i="5"/>
  <c r="AH125" i="5" s="1"/>
  <c r="X148" i="5"/>
  <c r="X162" i="5"/>
  <c r="X178" i="5"/>
  <c r="AI178" i="5" s="1"/>
  <c r="X189" i="5"/>
  <c r="X218" i="5"/>
  <c r="AH218" i="5" s="1"/>
  <c r="X244" i="5"/>
  <c r="X252" i="5"/>
  <c r="X255" i="5"/>
  <c r="H10" i="5"/>
  <c r="H22" i="5"/>
  <c r="H25" i="5"/>
  <c r="H29" i="5"/>
  <c r="H32" i="5"/>
  <c r="H35" i="5"/>
  <c r="H42" i="5"/>
  <c r="H45" i="5"/>
  <c r="H48" i="5"/>
  <c r="H51" i="5"/>
  <c r="H54" i="5"/>
  <c r="H57" i="5"/>
  <c r="H60" i="5"/>
  <c r="H63" i="5"/>
  <c r="H66" i="5"/>
  <c r="H69" i="5"/>
  <c r="H72" i="5"/>
  <c r="H75" i="5"/>
  <c r="H78" i="5"/>
  <c r="H81" i="5"/>
  <c r="Z20" i="5"/>
  <c r="Z16" i="5" s="1"/>
  <c r="Z35" i="5"/>
  <c r="Z44" i="5"/>
  <c r="Z49" i="5"/>
  <c r="Z58" i="5"/>
  <c r="Z57" i="5" s="1"/>
  <c r="Z69" i="5"/>
  <c r="Z65" i="5" s="1"/>
  <c r="Z83" i="5"/>
  <c r="Z91" i="5"/>
  <c r="Z96" i="5"/>
  <c r="Z105" i="5"/>
  <c r="Z104" i="5" s="1"/>
  <c r="Z114" i="5"/>
  <c r="Z123" i="5"/>
  <c r="Z141" i="5"/>
  <c r="Z149" i="5"/>
  <c r="Z147" i="5" s="1"/>
  <c r="Z157" i="5"/>
  <c r="Z155" i="5" s="1"/>
  <c r="Z172" i="5"/>
  <c r="Z176" i="5"/>
  <c r="Z187" i="5"/>
  <c r="Z185" i="5" s="1"/>
  <c r="Z195" i="5"/>
  <c r="Z203" i="5"/>
  <c r="Z211" i="5"/>
  <c r="Z210" i="5" s="1"/>
  <c r="Z209" i="5" s="1"/>
  <c r="Z207" i="5" s="1"/>
  <c r="Z222" i="5"/>
  <c r="Z227" i="5"/>
  <c r="Z235" i="5"/>
  <c r="Z243" i="5"/>
  <c r="I42" i="5"/>
  <c r="K22" i="5"/>
  <c r="K25" i="5"/>
  <c r="K29" i="5"/>
  <c r="K32" i="5"/>
  <c r="K35" i="5"/>
  <c r="K42" i="5"/>
  <c r="K45" i="5"/>
  <c r="K48" i="5"/>
  <c r="K51" i="5"/>
  <c r="K54" i="5"/>
  <c r="K57" i="5"/>
  <c r="K60" i="5"/>
  <c r="K63" i="5"/>
  <c r="K66" i="5"/>
  <c r="K69" i="5"/>
  <c r="K72" i="5"/>
  <c r="K75" i="5"/>
  <c r="K78" i="5"/>
  <c r="K81" i="5"/>
  <c r="AC20" i="5"/>
  <c r="AC16" i="5" s="1"/>
  <c r="AC35" i="5"/>
  <c r="AC44" i="5"/>
  <c r="AC49" i="5"/>
  <c r="AC58" i="5"/>
  <c r="AC57" i="5" s="1"/>
  <c r="AC69" i="5"/>
  <c r="AC65" i="5" s="1"/>
  <c r="AC83" i="5"/>
  <c r="AC91" i="5"/>
  <c r="AC96" i="5"/>
  <c r="AC105" i="5"/>
  <c r="AC104" i="5" s="1"/>
  <c r="AC114" i="5"/>
  <c r="AC123" i="5"/>
  <c r="AC112" i="5" s="1"/>
  <c r="AC141" i="5"/>
  <c r="AC149" i="5"/>
  <c r="AC147" i="5" s="1"/>
  <c r="AC157" i="5"/>
  <c r="AC155" i="5" s="1"/>
  <c r="AC172" i="5"/>
  <c r="AC176" i="5"/>
  <c r="AC187" i="5"/>
  <c r="AC185" i="5" s="1"/>
  <c r="AC195" i="5"/>
  <c r="AC203" i="5"/>
  <c r="AC194" i="5" s="1"/>
  <c r="AC193" i="5" s="1"/>
  <c r="AC211" i="5"/>
  <c r="AC210" i="5" s="1"/>
  <c r="AC209" i="5" s="1"/>
  <c r="AC207" i="5" s="1"/>
  <c r="AC222" i="5"/>
  <c r="AC227" i="5"/>
  <c r="AC235" i="5"/>
  <c r="AC243" i="5"/>
  <c r="AF20" i="5"/>
  <c r="AF16" i="5" s="1"/>
  <c r="AF35" i="5"/>
  <c r="AF44" i="5"/>
  <c r="AF49" i="5"/>
  <c r="AF58" i="5"/>
  <c r="AF57" i="5" s="1"/>
  <c r="AF69" i="5"/>
  <c r="AF65" i="5" s="1"/>
  <c r="AF83" i="5"/>
  <c r="AF91" i="5"/>
  <c r="AF96" i="5"/>
  <c r="AF105" i="5"/>
  <c r="AF104" i="5" s="1"/>
  <c r="AF114" i="5"/>
  <c r="AF123" i="5"/>
  <c r="AF141" i="5"/>
  <c r="AF149" i="5"/>
  <c r="AF147" i="5" s="1"/>
  <c r="AF157" i="5"/>
  <c r="AF155" i="5" s="1"/>
  <c r="AF172" i="5"/>
  <c r="AF176" i="5"/>
  <c r="AF187" i="5"/>
  <c r="AF185" i="5" s="1"/>
  <c r="AF195" i="5"/>
  <c r="AF203" i="5"/>
  <c r="AF211" i="5"/>
  <c r="AF210" i="5" s="1"/>
  <c r="AF209" i="5" s="1"/>
  <c r="AF222" i="5"/>
  <c r="AF227" i="5"/>
  <c r="AF235" i="5"/>
  <c r="AF243" i="5"/>
  <c r="P10" i="5"/>
  <c r="P22" i="5"/>
  <c r="P25" i="5"/>
  <c r="P29" i="5"/>
  <c r="P32" i="5"/>
  <c r="P35" i="5"/>
  <c r="P42" i="5"/>
  <c r="P45" i="5"/>
  <c r="P48" i="5"/>
  <c r="P51" i="5"/>
  <c r="P54" i="5"/>
  <c r="P57" i="5"/>
  <c r="P60" i="5"/>
  <c r="P63" i="5"/>
  <c r="P66" i="5"/>
  <c r="P69" i="5"/>
  <c r="P72" i="5"/>
  <c r="P75" i="5"/>
  <c r="P78" i="5"/>
  <c r="P81" i="5"/>
  <c r="Q10" i="5"/>
  <c r="Q22" i="5"/>
  <c r="Q25" i="5"/>
  <c r="Q29" i="5"/>
  <c r="Q32" i="5"/>
  <c r="Q35" i="5"/>
  <c r="Q42" i="5"/>
  <c r="Q45" i="5"/>
  <c r="Q48" i="5"/>
  <c r="Q51" i="5"/>
  <c r="Q54" i="5"/>
  <c r="Q57" i="5"/>
  <c r="Q60" i="5"/>
  <c r="Q63" i="5"/>
  <c r="Q66" i="5"/>
  <c r="Q69" i="5"/>
  <c r="Q72" i="5"/>
  <c r="Q75" i="5"/>
  <c r="Q78" i="5"/>
  <c r="Q81" i="5"/>
  <c r="D63" i="5"/>
  <c r="V187" i="5"/>
  <c r="E32" i="5"/>
  <c r="E48" i="5"/>
  <c r="E60" i="5"/>
  <c r="E72" i="5"/>
  <c r="C22" i="5"/>
  <c r="C25" i="5"/>
  <c r="C29" i="5"/>
  <c r="C32" i="5"/>
  <c r="C35" i="5"/>
  <c r="C42" i="5"/>
  <c r="C45" i="5"/>
  <c r="C48" i="5"/>
  <c r="C51" i="5"/>
  <c r="C54" i="5"/>
  <c r="C57" i="5"/>
  <c r="C60" i="5"/>
  <c r="C63" i="5"/>
  <c r="C66" i="5"/>
  <c r="C69" i="5"/>
  <c r="C72" i="5"/>
  <c r="C75" i="5"/>
  <c r="C10" i="5"/>
  <c r="U20" i="5"/>
  <c r="U16" i="5" s="1"/>
  <c r="U35" i="5"/>
  <c r="U44" i="5"/>
  <c r="U49" i="5"/>
  <c r="U58" i="5"/>
  <c r="U57" i="5" s="1"/>
  <c r="U69" i="5"/>
  <c r="U65" i="5" s="1"/>
  <c r="U83" i="5"/>
  <c r="U91" i="5"/>
  <c r="U96" i="5"/>
  <c r="U105" i="5"/>
  <c r="U104" i="5" s="1"/>
  <c r="U114" i="5"/>
  <c r="U123" i="5"/>
  <c r="U141" i="5"/>
  <c r="U149" i="5"/>
  <c r="U147" i="5" s="1"/>
  <c r="U157" i="5"/>
  <c r="U155" i="5" s="1"/>
  <c r="U176" i="5"/>
  <c r="U187" i="5"/>
  <c r="U185" i="5" s="1"/>
  <c r="U195" i="5"/>
  <c r="U203" i="5"/>
  <c r="U211" i="5"/>
  <c r="U210" i="5" s="1"/>
  <c r="U209" i="5" s="1"/>
  <c r="U207" i="5" s="1"/>
  <c r="U222" i="5"/>
  <c r="U227" i="5"/>
  <c r="U235" i="5"/>
  <c r="U243" i="5"/>
  <c r="BQ19" i="16"/>
  <c r="Q43" i="20" s="1"/>
  <c r="BQ18" i="16"/>
  <c r="Q42" i="20" s="1"/>
  <c r="BQ19" i="15"/>
  <c r="P43" i="20" s="1"/>
  <c r="BQ18" i="15"/>
  <c r="P42" i="20" s="1"/>
  <c r="BQ19" i="14"/>
  <c r="O43" i="20" s="1"/>
  <c r="BQ18" i="14"/>
  <c r="O42" i="20" s="1"/>
  <c r="BQ19" i="13"/>
  <c r="N43" i="20" s="1"/>
  <c r="BQ18" i="13"/>
  <c r="N42" i="20" s="1"/>
  <c r="BQ19" i="12"/>
  <c r="M43" i="20" s="1"/>
  <c r="BQ18" i="12"/>
  <c r="M42" i="20" s="1"/>
  <c r="BQ19" i="11"/>
  <c r="L43" i="20" s="1"/>
  <c r="BQ18" i="11"/>
  <c r="L42" i="20" s="1"/>
  <c r="BQ19" i="10"/>
  <c r="K43" i="20" s="1"/>
  <c r="BQ18" i="10"/>
  <c r="K42" i="20" s="1"/>
  <c r="BQ19" i="9"/>
  <c r="J43" i="20" s="1"/>
  <c r="BQ18" i="9"/>
  <c r="J42" i="20" s="1"/>
  <c r="BQ19" i="8"/>
  <c r="I43" i="20" s="1"/>
  <c r="BQ18" i="8"/>
  <c r="I42" i="20" s="1"/>
  <c r="BQ19" i="7"/>
  <c r="H43" i="20" s="1"/>
  <c r="BQ18" i="7"/>
  <c r="H42" i="20" s="1"/>
  <c r="BQ19" i="6"/>
  <c r="G43" i="20" s="1"/>
  <c r="BQ18" i="6"/>
  <c r="G42" i="20" s="1"/>
  <c r="BQ19" i="5"/>
  <c r="F43" i="20" s="1"/>
  <c r="B15" i="5"/>
  <c r="B15" i="6" s="1"/>
  <c r="Z123" i="16"/>
  <c r="Z157" i="16"/>
  <c r="Z155" i="16" s="1"/>
  <c r="AM157" i="16"/>
  <c r="AM155" i="16" s="1"/>
  <c r="AL157" i="16"/>
  <c r="AL155" i="16" s="1"/>
  <c r="AF157" i="16"/>
  <c r="AC157" i="16"/>
  <c r="AC155" i="16" s="1"/>
  <c r="AM157" i="15"/>
  <c r="AM155" i="15" s="1"/>
  <c r="AL157" i="15"/>
  <c r="AL155" i="15" s="1"/>
  <c r="AF157" i="15"/>
  <c r="AF155" i="15" s="1"/>
  <c r="AC157" i="15"/>
  <c r="Z157" i="15"/>
  <c r="Z155" i="15" s="1"/>
  <c r="T167" i="6"/>
  <c r="T167" i="7" s="1"/>
  <c r="T167" i="8" s="1"/>
  <c r="T167" i="9" s="1"/>
  <c r="T167" i="10" s="1"/>
  <c r="T167" i="11" s="1"/>
  <c r="T167" i="12" s="1"/>
  <c r="T167" i="13" s="1"/>
  <c r="T167" i="14" s="1"/>
  <c r="T167" i="15" s="1"/>
  <c r="T167" i="16" s="1"/>
  <c r="S167" i="6"/>
  <c r="S167" i="7" s="1"/>
  <c r="S167" i="8" s="1"/>
  <c r="S167" i="9" s="1"/>
  <c r="S167" i="10" s="1"/>
  <c r="S167" i="11" s="1"/>
  <c r="S167" i="12" s="1"/>
  <c r="S167" i="13" s="1"/>
  <c r="S167" i="14" s="1"/>
  <c r="S167" i="15" s="1"/>
  <c r="S167" i="16" s="1"/>
  <c r="Z123" i="15"/>
  <c r="Z123" i="14"/>
  <c r="Z157" i="14"/>
  <c r="Z155" i="14" s="1"/>
  <c r="AM157" i="14"/>
  <c r="AM155" i="14" s="1"/>
  <c r="AL157" i="14"/>
  <c r="AL155" i="14" s="1"/>
  <c r="AF157" i="14"/>
  <c r="AF155" i="14" s="1"/>
  <c r="AC157" i="14"/>
  <c r="AM157" i="13"/>
  <c r="AM155" i="13" s="1"/>
  <c r="AL157" i="13"/>
  <c r="AL155" i="13" s="1"/>
  <c r="AF157" i="13"/>
  <c r="AF155" i="13" s="1"/>
  <c r="AC157" i="13"/>
  <c r="AC155" i="13" s="1"/>
  <c r="Z157" i="13"/>
  <c r="Z155" i="13" s="1"/>
  <c r="AM157" i="12"/>
  <c r="AM155" i="12" s="1"/>
  <c r="AL157" i="12"/>
  <c r="AL155" i="12" s="1"/>
  <c r="AF157" i="12"/>
  <c r="AF155" i="12" s="1"/>
  <c r="AC157" i="12"/>
  <c r="AC155" i="12" s="1"/>
  <c r="Z157" i="12"/>
  <c r="Z155" i="12" s="1"/>
  <c r="Z123" i="13"/>
  <c r="Z123" i="12"/>
  <c r="Z123" i="11"/>
  <c r="Z157" i="11"/>
  <c r="Z155" i="11" s="1"/>
  <c r="AM157" i="11"/>
  <c r="AM155" i="11" s="1"/>
  <c r="AL157" i="11"/>
  <c r="AL155" i="11" s="1"/>
  <c r="AF157" i="11"/>
  <c r="AF155" i="11" s="1"/>
  <c r="AC157" i="11"/>
  <c r="AC155" i="11" s="1"/>
  <c r="AM157" i="9"/>
  <c r="AM155" i="9" s="1"/>
  <c r="AL157" i="9"/>
  <c r="AF157" i="9"/>
  <c r="AF155" i="9" s="1"/>
  <c r="AC157" i="9"/>
  <c r="AC155" i="9" s="1"/>
  <c r="Z157" i="9"/>
  <c r="Z155" i="9" s="1"/>
  <c r="AM157" i="10"/>
  <c r="AM155" i="10" s="1"/>
  <c r="AL157" i="10"/>
  <c r="AF157" i="10"/>
  <c r="AF155" i="10" s="1"/>
  <c r="AC157" i="10"/>
  <c r="AC155" i="10" s="1"/>
  <c r="Z157" i="10"/>
  <c r="Z155" i="10" s="1"/>
  <c r="Z123" i="10"/>
  <c r="Z123" i="9"/>
  <c r="Z123" i="8"/>
  <c r="Z157" i="8"/>
  <c r="Z155" i="8" s="1"/>
  <c r="AM157" i="8"/>
  <c r="AM155" i="8" s="1"/>
  <c r="AL157" i="8"/>
  <c r="AL155" i="8" s="1"/>
  <c r="AF157" i="8"/>
  <c r="AF155" i="8" s="1"/>
  <c r="AC157" i="8"/>
  <c r="AC155" i="8" s="1"/>
  <c r="AL157" i="7"/>
  <c r="AM157" i="7"/>
  <c r="AM155" i="7" s="1"/>
  <c r="AL157" i="6"/>
  <c r="AL155" i="6" s="1"/>
  <c r="AM157" i="6"/>
  <c r="AM155" i="6" s="1"/>
  <c r="AM157" i="5"/>
  <c r="AM155" i="5" s="1"/>
  <c r="AL157" i="5"/>
  <c r="AL155" i="5" s="1"/>
  <c r="Y157" i="5"/>
  <c r="Y155" i="5" s="1"/>
  <c r="AB157" i="5"/>
  <c r="AB155" i="5" s="1"/>
  <c r="AE157" i="5"/>
  <c r="AE155" i="5" s="1"/>
  <c r="BQ11" i="5"/>
  <c r="F35" i="20" s="1"/>
  <c r="BQ11" i="6"/>
  <c r="G35" i="20" s="1"/>
  <c r="BQ11" i="7"/>
  <c r="H35" i="20" s="1"/>
  <c r="BQ11" i="8"/>
  <c r="I35" i="20" s="1"/>
  <c r="BQ11" i="9"/>
  <c r="J35" i="20" s="1"/>
  <c r="BQ11" i="10"/>
  <c r="K35" i="20" s="1"/>
  <c r="BQ11" i="11"/>
  <c r="L35" i="20" s="1"/>
  <c r="BQ11" i="12"/>
  <c r="M35" i="20" s="1"/>
  <c r="BQ11" i="13"/>
  <c r="N35" i="20" s="1"/>
  <c r="BQ11" i="14"/>
  <c r="O35" i="20" s="1"/>
  <c r="BQ11" i="15"/>
  <c r="P35" i="20" s="1"/>
  <c r="BQ11" i="16"/>
  <c r="Q35" i="20" s="1"/>
  <c r="BQ10" i="5"/>
  <c r="F34" i="20" s="1"/>
  <c r="BQ10" i="6"/>
  <c r="BQ10" i="7"/>
  <c r="H34" i="20" s="1"/>
  <c r="AF20" i="8"/>
  <c r="AF16" i="8" s="1"/>
  <c r="AF69" i="8"/>
  <c r="AF65" i="8" s="1"/>
  <c r="BQ10" i="8"/>
  <c r="I34" i="20" s="1"/>
  <c r="AF20" i="9"/>
  <c r="AF16" i="9" s="1"/>
  <c r="BQ10" i="9"/>
  <c r="J34" i="20" s="1"/>
  <c r="AF69" i="9"/>
  <c r="AF65" i="9" s="1"/>
  <c r="AF20" i="10"/>
  <c r="AF16" i="10" s="1"/>
  <c r="BQ10" i="10"/>
  <c r="K34" i="20" s="1"/>
  <c r="AF69" i="10"/>
  <c r="AF65" i="10" s="1"/>
  <c r="AF20" i="11"/>
  <c r="AF16" i="11" s="1"/>
  <c r="BQ10" i="11"/>
  <c r="L34" i="20" s="1"/>
  <c r="AF69" i="11"/>
  <c r="AF65" i="11" s="1"/>
  <c r="AF20" i="12"/>
  <c r="AF16" i="12" s="1"/>
  <c r="BQ10" i="12"/>
  <c r="M34" i="20" s="1"/>
  <c r="AF69" i="12"/>
  <c r="AF65" i="12" s="1"/>
  <c r="AF20" i="13"/>
  <c r="AF16" i="13" s="1"/>
  <c r="BQ10" i="13"/>
  <c r="N34" i="20" s="1"/>
  <c r="AF69" i="13"/>
  <c r="AF65" i="13" s="1"/>
  <c r="AF20" i="14"/>
  <c r="AF16" i="14" s="1"/>
  <c r="BQ10" i="14"/>
  <c r="O34" i="20" s="1"/>
  <c r="AF69" i="14"/>
  <c r="AF65" i="14" s="1"/>
  <c r="AF20" i="15"/>
  <c r="AF16" i="15" s="1"/>
  <c r="BQ10" i="15"/>
  <c r="P34" i="20" s="1"/>
  <c r="AF69" i="15"/>
  <c r="AF65" i="15" s="1"/>
  <c r="AF20" i="16"/>
  <c r="AF16" i="16" s="1"/>
  <c r="BQ10" i="16"/>
  <c r="Q34" i="20" s="1"/>
  <c r="AF69" i="16"/>
  <c r="AF65" i="16" s="1"/>
  <c r="AF44" i="8"/>
  <c r="AF49" i="8"/>
  <c r="AF58" i="8"/>
  <c r="AF57" i="8" s="1"/>
  <c r="AF91" i="8"/>
  <c r="AF96" i="8"/>
  <c r="AF105" i="8"/>
  <c r="AF104" i="8" s="1"/>
  <c r="AF44" i="9"/>
  <c r="AF49" i="9"/>
  <c r="AF58" i="9"/>
  <c r="AF57" i="9" s="1"/>
  <c r="AF91" i="9"/>
  <c r="AF96" i="9"/>
  <c r="AF105" i="9"/>
  <c r="AF104" i="9" s="1"/>
  <c r="AF44" i="10"/>
  <c r="AF49" i="10"/>
  <c r="AF58" i="10"/>
  <c r="AF57" i="10" s="1"/>
  <c r="AF91" i="10"/>
  <c r="AF96" i="10"/>
  <c r="AF105" i="10"/>
  <c r="AF104" i="10" s="1"/>
  <c r="AF44" i="11"/>
  <c r="AF49" i="11"/>
  <c r="AF58" i="11"/>
  <c r="AF57" i="11" s="1"/>
  <c r="AF91" i="11"/>
  <c r="AF96" i="11"/>
  <c r="AF105" i="11"/>
  <c r="AF104" i="11" s="1"/>
  <c r="AF44" i="12"/>
  <c r="AF49" i="12"/>
  <c r="AF58" i="12"/>
  <c r="AF57" i="12" s="1"/>
  <c r="AF91" i="12"/>
  <c r="AF96" i="12"/>
  <c r="AF105" i="12"/>
  <c r="AF104" i="12" s="1"/>
  <c r="AF44" i="13"/>
  <c r="AF49" i="13"/>
  <c r="AF58" i="13"/>
  <c r="AF57" i="13" s="1"/>
  <c r="AF91" i="13"/>
  <c r="AF96" i="13"/>
  <c r="AF105" i="13"/>
  <c r="AF104" i="13" s="1"/>
  <c r="AF44" i="14"/>
  <c r="AF49" i="14"/>
  <c r="AF58" i="14"/>
  <c r="AF57" i="14" s="1"/>
  <c r="AF91" i="14"/>
  <c r="AF96" i="14"/>
  <c r="AF105" i="14"/>
  <c r="AF104" i="14" s="1"/>
  <c r="AF44" i="15"/>
  <c r="AF49" i="15"/>
  <c r="AF58" i="15"/>
  <c r="AF57" i="15" s="1"/>
  <c r="AF91" i="15"/>
  <c r="AF96" i="15"/>
  <c r="AF105" i="15"/>
  <c r="AF104" i="15" s="1"/>
  <c r="AF44" i="16"/>
  <c r="AF49" i="16"/>
  <c r="AF58" i="16"/>
  <c r="AF57" i="16" s="1"/>
  <c r="AF91" i="16"/>
  <c r="AF96" i="16"/>
  <c r="AF105" i="16"/>
  <c r="AF104" i="16" s="1"/>
  <c r="Q22" i="16"/>
  <c r="Q25" i="16"/>
  <c r="Q29" i="16"/>
  <c r="Q32" i="16"/>
  <c r="Q35" i="16"/>
  <c r="Q42" i="16"/>
  <c r="Q45" i="16"/>
  <c r="Q48" i="16"/>
  <c r="Q51" i="16"/>
  <c r="Q54" i="16"/>
  <c r="Q57" i="16"/>
  <c r="Q60" i="16"/>
  <c r="Q63" i="16"/>
  <c r="Q66" i="16"/>
  <c r="Q69" i="16"/>
  <c r="Q72" i="16"/>
  <c r="Q75" i="16"/>
  <c r="Q78" i="16"/>
  <c r="Q81" i="16"/>
  <c r="P22" i="16"/>
  <c r="P25" i="16"/>
  <c r="P29" i="16"/>
  <c r="P32" i="16"/>
  <c r="P35" i="16"/>
  <c r="P42" i="16"/>
  <c r="P45" i="16"/>
  <c r="P48" i="16"/>
  <c r="P51" i="16"/>
  <c r="P54" i="16"/>
  <c r="P57" i="16"/>
  <c r="P60" i="16"/>
  <c r="P63" i="16"/>
  <c r="P66" i="16"/>
  <c r="P69" i="16"/>
  <c r="P72" i="16"/>
  <c r="P75" i="16"/>
  <c r="P78" i="16"/>
  <c r="P81" i="16"/>
  <c r="K78" i="16"/>
  <c r="K22" i="16"/>
  <c r="K25" i="16"/>
  <c r="K29" i="16"/>
  <c r="K32" i="16"/>
  <c r="K35" i="16"/>
  <c r="K42" i="16"/>
  <c r="K45" i="16"/>
  <c r="K48" i="16"/>
  <c r="K51" i="16"/>
  <c r="K54" i="16"/>
  <c r="K57" i="16"/>
  <c r="K60" i="16"/>
  <c r="K63" i="16"/>
  <c r="K66" i="16"/>
  <c r="K69" i="16"/>
  <c r="K72" i="16"/>
  <c r="K75" i="16"/>
  <c r="K81" i="16"/>
  <c r="H22" i="16"/>
  <c r="H25" i="16"/>
  <c r="H29" i="16"/>
  <c r="H32" i="16"/>
  <c r="H35" i="16"/>
  <c r="H42" i="16"/>
  <c r="H45" i="16"/>
  <c r="H48" i="16"/>
  <c r="H51" i="16"/>
  <c r="H54" i="16"/>
  <c r="H57" i="16"/>
  <c r="H60" i="16"/>
  <c r="H63" i="16"/>
  <c r="H66" i="16"/>
  <c r="H69" i="16"/>
  <c r="H72" i="16"/>
  <c r="H75" i="16"/>
  <c r="H81" i="16"/>
  <c r="Q22" i="15"/>
  <c r="Q25" i="15"/>
  <c r="Q29" i="15"/>
  <c r="Q32" i="15"/>
  <c r="Q35" i="15"/>
  <c r="Q42" i="15"/>
  <c r="Q45" i="15"/>
  <c r="Q48" i="15"/>
  <c r="Q51" i="15"/>
  <c r="Q54" i="15"/>
  <c r="Q57" i="15"/>
  <c r="Q60" i="15"/>
  <c r="Q63" i="15"/>
  <c r="Q66" i="15"/>
  <c r="Q69" i="15"/>
  <c r="Q72" i="15"/>
  <c r="Q75" i="15"/>
  <c r="Q78" i="15"/>
  <c r="Q81" i="15"/>
  <c r="P22" i="15"/>
  <c r="P25" i="15"/>
  <c r="P29" i="15"/>
  <c r="P32" i="15"/>
  <c r="P35" i="15"/>
  <c r="P42" i="15"/>
  <c r="P45" i="15"/>
  <c r="P48" i="15"/>
  <c r="P51" i="15"/>
  <c r="P54" i="15"/>
  <c r="P57" i="15"/>
  <c r="P60" i="15"/>
  <c r="P63" i="15"/>
  <c r="P66" i="15"/>
  <c r="P69" i="15"/>
  <c r="P72" i="15"/>
  <c r="P75" i="15"/>
  <c r="P78" i="15"/>
  <c r="P81" i="15"/>
  <c r="K78" i="15"/>
  <c r="K22" i="15"/>
  <c r="K25" i="15"/>
  <c r="K29" i="15"/>
  <c r="K32" i="15"/>
  <c r="K35" i="15"/>
  <c r="K42" i="15"/>
  <c r="K45" i="15"/>
  <c r="K48" i="15"/>
  <c r="K51" i="15"/>
  <c r="K54" i="15"/>
  <c r="K57" i="15"/>
  <c r="K60" i="15"/>
  <c r="K63" i="15"/>
  <c r="K66" i="15"/>
  <c r="K69" i="15"/>
  <c r="K72" i="15"/>
  <c r="K75" i="15"/>
  <c r="K81" i="15"/>
  <c r="H22" i="15"/>
  <c r="H25" i="15"/>
  <c r="H29" i="15"/>
  <c r="H32" i="15"/>
  <c r="H35" i="15"/>
  <c r="H42" i="15"/>
  <c r="H45" i="15"/>
  <c r="H48" i="15"/>
  <c r="H51" i="15"/>
  <c r="H54" i="15"/>
  <c r="H57" i="15"/>
  <c r="H60" i="15"/>
  <c r="H63" i="15"/>
  <c r="H66" i="15"/>
  <c r="H69" i="15"/>
  <c r="H72" i="15"/>
  <c r="H75" i="15"/>
  <c r="H81" i="15"/>
  <c r="Q22" i="14"/>
  <c r="Q25" i="14"/>
  <c r="Q29" i="14"/>
  <c r="Q32" i="14"/>
  <c r="Q35" i="14"/>
  <c r="Q42" i="14"/>
  <c r="Q45" i="14"/>
  <c r="Q48" i="14"/>
  <c r="Q51" i="14"/>
  <c r="Q54" i="14"/>
  <c r="Q57" i="14"/>
  <c r="Q60" i="14"/>
  <c r="Q63" i="14"/>
  <c r="Q66" i="14"/>
  <c r="Q69" i="14"/>
  <c r="Q72" i="14"/>
  <c r="Q75" i="14"/>
  <c r="Q78" i="14"/>
  <c r="Q81" i="14"/>
  <c r="P22" i="14"/>
  <c r="P25" i="14"/>
  <c r="P29" i="14"/>
  <c r="P32" i="14"/>
  <c r="P35" i="14"/>
  <c r="P42" i="14"/>
  <c r="P45" i="14"/>
  <c r="P48" i="14"/>
  <c r="P51" i="14"/>
  <c r="P54" i="14"/>
  <c r="P57" i="14"/>
  <c r="P60" i="14"/>
  <c r="P63" i="14"/>
  <c r="P66" i="14"/>
  <c r="P69" i="14"/>
  <c r="P72" i="14"/>
  <c r="P75" i="14"/>
  <c r="P78" i="14"/>
  <c r="P81" i="14"/>
  <c r="K78" i="14"/>
  <c r="K22" i="14"/>
  <c r="K25" i="14"/>
  <c r="K29" i="14"/>
  <c r="K32" i="14"/>
  <c r="K35" i="14"/>
  <c r="K42" i="14"/>
  <c r="K45" i="14"/>
  <c r="K48" i="14"/>
  <c r="K51" i="14"/>
  <c r="K54" i="14"/>
  <c r="K57" i="14"/>
  <c r="K60" i="14"/>
  <c r="K63" i="14"/>
  <c r="K66" i="14"/>
  <c r="K69" i="14"/>
  <c r="K72" i="14"/>
  <c r="K75" i="14"/>
  <c r="K81" i="14"/>
  <c r="H22" i="14"/>
  <c r="H25" i="14"/>
  <c r="H29" i="14"/>
  <c r="H32" i="14"/>
  <c r="H35" i="14"/>
  <c r="H42" i="14"/>
  <c r="H45" i="14"/>
  <c r="H48" i="14"/>
  <c r="H51" i="14"/>
  <c r="H54" i="14"/>
  <c r="H57" i="14"/>
  <c r="H60" i="14"/>
  <c r="H63" i="14"/>
  <c r="H66" i="14"/>
  <c r="H69" i="14"/>
  <c r="H72" i="14"/>
  <c r="H75" i="14"/>
  <c r="H81" i="14"/>
  <c r="Q22" i="13"/>
  <c r="Q25" i="13"/>
  <c r="Q29" i="13"/>
  <c r="Q32" i="13"/>
  <c r="Q35" i="13"/>
  <c r="Q42" i="13"/>
  <c r="Q45" i="13"/>
  <c r="Q48" i="13"/>
  <c r="Q51" i="13"/>
  <c r="Q54" i="13"/>
  <c r="Q57" i="13"/>
  <c r="Q60" i="13"/>
  <c r="Q63" i="13"/>
  <c r="Q66" i="13"/>
  <c r="Q69" i="13"/>
  <c r="Q72" i="13"/>
  <c r="Q75" i="13"/>
  <c r="Q78" i="13"/>
  <c r="Q81" i="13"/>
  <c r="P22" i="13"/>
  <c r="P25" i="13"/>
  <c r="P29" i="13"/>
  <c r="P32" i="13"/>
  <c r="P35" i="13"/>
  <c r="P42" i="13"/>
  <c r="P45" i="13"/>
  <c r="P48" i="13"/>
  <c r="P51" i="13"/>
  <c r="P54" i="13"/>
  <c r="P57" i="13"/>
  <c r="P60" i="13"/>
  <c r="P63" i="13"/>
  <c r="P66" i="13"/>
  <c r="P69" i="13"/>
  <c r="P72" i="13"/>
  <c r="P75" i="13"/>
  <c r="P78" i="13"/>
  <c r="P81" i="13"/>
  <c r="K78" i="13"/>
  <c r="K22" i="13"/>
  <c r="K25" i="13"/>
  <c r="K29" i="13"/>
  <c r="K32" i="13"/>
  <c r="K35" i="13"/>
  <c r="K42" i="13"/>
  <c r="K45" i="13"/>
  <c r="K48" i="13"/>
  <c r="K51" i="13"/>
  <c r="K54" i="13"/>
  <c r="K57" i="13"/>
  <c r="K60" i="13"/>
  <c r="K63" i="13"/>
  <c r="K66" i="13"/>
  <c r="K69" i="13"/>
  <c r="K72" i="13"/>
  <c r="K75" i="13"/>
  <c r="K81" i="13"/>
  <c r="H22" i="13"/>
  <c r="H25" i="13"/>
  <c r="H29" i="13"/>
  <c r="H32" i="13"/>
  <c r="H35" i="13"/>
  <c r="H42" i="13"/>
  <c r="H45" i="13"/>
  <c r="H48" i="13"/>
  <c r="H51" i="13"/>
  <c r="H54" i="13"/>
  <c r="H57" i="13"/>
  <c r="H60" i="13"/>
  <c r="H63" i="13"/>
  <c r="H66" i="13"/>
  <c r="H69" i="13"/>
  <c r="H72" i="13"/>
  <c r="H75" i="13"/>
  <c r="H81" i="13"/>
  <c r="Q22" i="12"/>
  <c r="Q25" i="12"/>
  <c r="Q29" i="12"/>
  <c r="Q32" i="12"/>
  <c r="Q35" i="12"/>
  <c r="Q42" i="12"/>
  <c r="Q45" i="12"/>
  <c r="Q48" i="12"/>
  <c r="Q51" i="12"/>
  <c r="Q54" i="12"/>
  <c r="Q57" i="12"/>
  <c r="Q60" i="12"/>
  <c r="Q63" i="12"/>
  <c r="Q66" i="12"/>
  <c r="Q69" i="12"/>
  <c r="Q72" i="12"/>
  <c r="Q75" i="12"/>
  <c r="Q78" i="12"/>
  <c r="Q81" i="12"/>
  <c r="P22" i="12"/>
  <c r="P25" i="12"/>
  <c r="P29" i="12"/>
  <c r="P32" i="12"/>
  <c r="P35" i="12"/>
  <c r="P42" i="12"/>
  <c r="P45" i="12"/>
  <c r="P48" i="12"/>
  <c r="P51" i="12"/>
  <c r="P54" i="12"/>
  <c r="P57" i="12"/>
  <c r="P60" i="12"/>
  <c r="P63" i="12"/>
  <c r="P66" i="12"/>
  <c r="P69" i="12"/>
  <c r="P72" i="12"/>
  <c r="P75" i="12"/>
  <c r="P78" i="12"/>
  <c r="P81" i="12"/>
  <c r="K78" i="12"/>
  <c r="K22" i="12"/>
  <c r="K25" i="12"/>
  <c r="K29" i="12"/>
  <c r="K32" i="12"/>
  <c r="K35" i="12"/>
  <c r="K42" i="12"/>
  <c r="K45" i="12"/>
  <c r="K48" i="12"/>
  <c r="K51" i="12"/>
  <c r="K54" i="12"/>
  <c r="K57" i="12"/>
  <c r="K60" i="12"/>
  <c r="K63" i="12"/>
  <c r="K66" i="12"/>
  <c r="K69" i="12"/>
  <c r="K72" i="12"/>
  <c r="K75" i="12"/>
  <c r="K81" i="12"/>
  <c r="H22" i="12"/>
  <c r="H25" i="12"/>
  <c r="H29" i="12"/>
  <c r="H32" i="12"/>
  <c r="H35" i="12"/>
  <c r="H42" i="12"/>
  <c r="H45" i="12"/>
  <c r="H48" i="12"/>
  <c r="H51" i="12"/>
  <c r="H54" i="12"/>
  <c r="H57" i="12"/>
  <c r="H60" i="12"/>
  <c r="H63" i="12"/>
  <c r="H66" i="12"/>
  <c r="H69" i="12"/>
  <c r="H72" i="12"/>
  <c r="H75" i="12"/>
  <c r="H81" i="12"/>
  <c r="Q22" i="11"/>
  <c r="Q25" i="11"/>
  <c r="Q29" i="11"/>
  <c r="Q32" i="11"/>
  <c r="Q35" i="11"/>
  <c r="Q42" i="11"/>
  <c r="Q45" i="11"/>
  <c r="Q48" i="11"/>
  <c r="Q51" i="11"/>
  <c r="Q54" i="11"/>
  <c r="Q57" i="11"/>
  <c r="Q60" i="11"/>
  <c r="Q63" i="11"/>
  <c r="Q66" i="11"/>
  <c r="Q69" i="11"/>
  <c r="Q72" i="11"/>
  <c r="Q75" i="11"/>
  <c r="Q78" i="11"/>
  <c r="Q81" i="11"/>
  <c r="P22" i="11"/>
  <c r="P25" i="11"/>
  <c r="P29" i="11"/>
  <c r="P32" i="11"/>
  <c r="P35" i="11"/>
  <c r="P42" i="11"/>
  <c r="P45" i="11"/>
  <c r="P48" i="11"/>
  <c r="P51" i="11"/>
  <c r="P54" i="11"/>
  <c r="P57" i="11"/>
  <c r="P60" i="11"/>
  <c r="P63" i="11"/>
  <c r="P66" i="11"/>
  <c r="P69" i="11"/>
  <c r="P72" i="11"/>
  <c r="P75" i="11"/>
  <c r="P78" i="11"/>
  <c r="P81" i="11"/>
  <c r="K78" i="11"/>
  <c r="K22" i="11"/>
  <c r="K25" i="11"/>
  <c r="K29" i="11"/>
  <c r="K32" i="11"/>
  <c r="K35" i="11"/>
  <c r="K42" i="11"/>
  <c r="K45" i="11"/>
  <c r="K48" i="11"/>
  <c r="K51" i="11"/>
  <c r="K54" i="11"/>
  <c r="K57" i="11"/>
  <c r="K60" i="11"/>
  <c r="K63" i="11"/>
  <c r="K66" i="11"/>
  <c r="K69" i="11"/>
  <c r="K72" i="11"/>
  <c r="K75" i="11"/>
  <c r="K81" i="11"/>
  <c r="H22" i="11"/>
  <c r="H25" i="11"/>
  <c r="H29" i="11"/>
  <c r="H32" i="11"/>
  <c r="H35" i="11"/>
  <c r="H42" i="11"/>
  <c r="H45" i="11"/>
  <c r="H48" i="11"/>
  <c r="H51" i="11"/>
  <c r="H54" i="11"/>
  <c r="H57" i="11"/>
  <c r="H60" i="11"/>
  <c r="H63" i="11"/>
  <c r="H66" i="11"/>
  <c r="H69" i="11"/>
  <c r="H72" i="11"/>
  <c r="H75" i="11"/>
  <c r="H81" i="11"/>
  <c r="Q22" i="10"/>
  <c r="Q25" i="10"/>
  <c r="Q29" i="10"/>
  <c r="Q32" i="10"/>
  <c r="Q35" i="10"/>
  <c r="Q42" i="10"/>
  <c r="Q45" i="10"/>
  <c r="Q48" i="10"/>
  <c r="Q51" i="10"/>
  <c r="Q54" i="10"/>
  <c r="Q57" i="10"/>
  <c r="Q60" i="10"/>
  <c r="Q63" i="10"/>
  <c r="Q66" i="10"/>
  <c r="Q69" i="10"/>
  <c r="Q72" i="10"/>
  <c r="Q75" i="10"/>
  <c r="Q78" i="10"/>
  <c r="Q81" i="10"/>
  <c r="P22" i="10"/>
  <c r="P25" i="10"/>
  <c r="P29" i="10"/>
  <c r="P32" i="10"/>
  <c r="P35" i="10"/>
  <c r="P42" i="10"/>
  <c r="P45" i="10"/>
  <c r="P48" i="10"/>
  <c r="P51" i="10"/>
  <c r="P54" i="10"/>
  <c r="P57" i="10"/>
  <c r="P60" i="10"/>
  <c r="P63" i="10"/>
  <c r="P66" i="10"/>
  <c r="P69" i="10"/>
  <c r="P72" i="10"/>
  <c r="P75" i="10"/>
  <c r="P78" i="10"/>
  <c r="P81" i="10"/>
  <c r="K78" i="10"/>
  <c r="K22" i="10"/>
  <c r="K25" i="10"/>
  <c r="K29" i="10"/>
  <c r="K32" i="10"/>
  <c r="K35" i="10"/>
  <c r="K42" i="10"/>
  <c r="K45" i="10"/>
  <c r="K48" i="10"/>
  <c r="K51" i="10"/>
  <c r="K54" i="10"/>
  <c r="K57" i="10"/>
  <c r="K60" i="10"/>
  <c r="K63" i="10"/>
  <c r="K66" i="10"/>
  <c r="K69" i="10"/>
  <c r="K72" i="10"/>
  <c r="K75" i="10"/>
  <c r="K81" i="10"/>
  <c r="H22" i="10"/>
  <c r="H25" i="10"/>
  <c r="H29" i="10"/>
  <c r="H32" i="10"/>
  <c r="H35" i="10"/>
  <c r="H42" i="10"/>
  <c r="H45" i="10"/>
  <c r="H48" i="10"/>
  <c r="H51" i="10"/>
  <c r="H54" i="10"/>
  <c r="H57" i="10"/>
  <c r="H60" i="10"/>
  <c r="H63" i="10"/>
  <c r="H66" i="10"/>
  <c r="H69" i="10"/>
  <c r="H72" i="10"/>
  <c r="H75" i="10"/>
  <c r="H81" i="10"/>
  <c r="Q22" i="9"/>
  <c r="Q25" i="9"/>
  <c r="Q29" i="9"/>
  <c r="Q32" i="9"/>
  <c r="Q35" i="9"/>
  <c r="Q42" i="9"/>
  <c r="Q45" i="9"/>
  <c r="Q48" i="9"/>
  <c r="Q51" i="9"/>
  <c r="Q54" i="9"/>
  <c r="Q57" i="9"/>
  <c r="Q60" i="9"/>
  <c r="Q63" i="9"/>
  <c r="Q66" i="9"/>
  <c r="Q69" i="9"/>
  <c r="Q72" i="9"/>
  <c r="Q75" i="9"/>
  <c r="Q78" i="9"/>
  <c r="Q81" i="9"/>
  <c r="P22" i="9"/>
  <c r="P25" i="9"/>
  <c r="P29" i="9"/>
  <c r="P32" i="9"/>
  <c r="P35" i="9"/>
  <c r="P42" i="9"/>
  <c r="P45" i="9"/>
  <c r="P48" i="9"/>
  <c r="P51" i="9"/>
  <c r="P54" i="9"/>
  <c r="P57" i="9"/>
  <c r="P60" i="9"/>
  <c r="P63" i="9"/>
  <c r="P66" i="9"/>
  <c r="P69" i="9"/>
  <c r="P72" i="9"/>
  <c r="P75" i="9"/>
  <c r="P78" i="9"/>
  <c r="P81" i="9"/>
  <c r="K78" i="9"/>
  <c r="K22" i="9"/>
  <c r="K25" i="9"/>
  <c r="K29" i="9"/>
  <c r="K32" i="9"/>
  <c r="K35" i="9"/>
  <c r="K42" i="9"/>
  <c r="K45" i="9"/>
  <c r="K48" i="9"/>
  <c r="K51" i="9"/>
  <c r="K54" i="9"/>
  <c r="K57" i="9"/>
  <c r="K60" i="9"/>
  <c r="K63" i="9"/>
  <c r="K66" i="9"/>
  <c r="K69" i="9"/>
  <c r="K72" i="9"/>
  <c r="K75" i="9"/>
  <c r="K81" i="9"/>
  <c r="H22" i="9"/>
  <c r="H25" i="9"/>
  <c r="H29" i="9"/>
  <c r="H32" i="9"/>
  <c r="H35" i="9"/>
  <c r="H42" i="9"/>
  <c r="H45" i="9"/>
  <c r="H48" i="9"/>
  <c r="H51" i="9"/>
  <c r="H54" i="9"/>
  <c r="H57" i="9"/>
  <c r="H60" i="9"/>
  <c r="H63" i="9"/>
  <c r="H66" i="9"/>
  <c r="H69" i="9"/>
  <c r="H72" i="9"/>
  <c r="H75" i="9"/>
  <c r="H81" i="9"/>
  <c r="Q22" i="8"/>
  <c r="Q25" i="8"/>
  <c r="Q29" i="8"/>
  <c r="Q32" i="8"/>
  <c r="Q35" i="8"/>
  <c r="Q42" i="8"/>
  <c r="Q45" i="8"/>
  <c r="Q48" i="8"/>
  <c r="Q51" i="8"/>
  <c r="Q54" i="8"/>
  <c r="Q57" i="8"/>
  <c r="Q60" i="8"/>
  <c r="Q63" i="8"/>
  <c r="Q66" i="8"/>
  <c r="Q69" i="8"/>
  <c r="Q72" i="8"/>
  <c r="Q75" i="8"/>
  <c r="Q78" i="8"/>
  <c r="Q81" i="8"/>
  <c r="P22" i="8"/>
  <c r="P25" i="8"/>
  <c r="P29" i="8"/>
  <c r="P32" i="8"/>
  <c r="P35" i="8"/>
  <c r="P42" i="8"/>
  <c r="P45" i="8"/>
  <c r="P48" i="8"/>
  <c r="P51" i="8"/>
  <c r="P54" i="8"/>
  <c r="P57" i="8"/>
  <c r="P60" i="8"/>
  <c r="P63" i="8"/>
  <c r="P66" i="8"/>
  <c r="P69" i="8"/>
  <c r="P72" i="8"/>
  <c r="P75" i="8"/>
  <c r="P78" i="8"/>
  <c r="P81" i="8"/>
  <c r="K78" i="8"/>
  <c r="K22" i="8"/>
  <c r="K25" i="8"/>
  <c r="K29" i="8"/>
  <c r="K32" i="8"/>
  <c r="K35" i="8"/>
  <c r="K42" i="8"/>
  <c r="K45" i="8"/>
  <c r="K48" i="8"/>
  <c r="K51" i="8"/>
  <c r="K54" i="8"/>
  <c r="K57" i="8"/>
  <c r="K60" i="8"/>
  <c r="K63" i="8"/>
  <c r="K66" i="8"/>
  <c r="K69" i="8"/>
  <c r="K72" i="8"/>
  <c r="K75" i="8"/>
  <c r="K81" i="8"/>
  <c r="H22" i="8"/>
  <c r="H25" i="8"/>
  <c r="H29" i="8"/>
  <c r="H32" i="8"/>
  <c r="H35" i="8"/>
  <c r="H42" i="8"/>
  <c r="H45" i="8"/>
  <c r="H48" i="8"/>
  <c r="H51" i="8"/>
  <c r="H54" i="8"/>
  <c r="H57" i="8"/>
  <c r="H60" i="8"/>
  <c r="H63" i="8"/>
  <c r="H66" i="8"/>
  <c r="H69" i="8"/>
  <c r="H72" i="8"/>
  <c r="H75" i="8"/>
  <c r="H81" i="8"/>
  <c r="Q10" i="16"/>
  <c r="P10" i="16"/>
  <c r="K10" i="16"/>
  <c r="BE7" i="16" s="1"/>
  <c r="H10" i="16"/>
  <c r="Q10" i="15"/>
  <c r="P10" i="15"/>
  <c r="K10" i="15"/>
  <c r="BE7" i="15" s="1"/>
  <c r="H10" i="15"/>
  <c r="Q10" i="14"/>
  <c r="P10" i="14"/>
  <c r="K10" i="14"/>
  <c r="H10" i="14"/>
  <c r="Q10" i="13"/>
  <c r="P10" i="13"/>
  <c r="K10" i="13"/>
  <c r="BE7" i="13" s="1"/>
  <c r="H10" i="13"/>
  <c r="Q10" i="12"/>
  <c r="P10" i="12"/>
  <c r="K10" i="12"/>
  <c r="BE7" i="12" s="1"/>
  <c r="H10" i="12"/>
  <c r="Q10" i="11"/>
  <c r="P10" i="11"/>
  <c r="K10" i="11"/>
  <c r="H10" i="11"/>
  <c r="Q10" i="10"/>
  <c r="P10" i="10"/>
  <c r="H10" i="10"/>
  <c r="Q10" i="9"/>
  <c r="P10" i="9"/>
  <c r="H10" i="9"/>
  <c r="Q10" i="8"/>
  <c r="P10" i="8"/>
  <c r="H10" i="8"/>
  <c r="A8" i="6"/>
  <c r="A8" i="7" s="1"/>
  <c r="A8" i="8" s="1"/>
  <c r="A8" i="9" s="1"/>
  <c r="A8" i="10" s="1"/>
  <c r="A8" i="11" s="1"/>
  <c r="A8" i="12" s="1"/>
  <c r="A8" i="13" s="1"/>
  <c r="A8" i="14" s="1"/>
  <c r="A8" i="15" s="1"/>
  <c r="A8" i="16" s="1"/>
  <c r="B8" i="6"/>
  <c r="B8" i="7" s="1"/>
  <c r="B8" i="8" s="1"/>
  <c r="B8" i="9" s="1"/>
  <c r="B8" i="10" s="1"/>
  <c r="B8" i="11" s="1"/>
  <c r="B8" i="12" s="1"/>
  <c r="B8" i="13" s="1"/>
  <c r="B8" i="14" s="1"/>
  <c r="B8" i="15" s="1"/>
  <c r="B8" i="16" s="1"/>
  <c r="A17" i="6"/>
  <c r="A17" i="7" s="1"/>
  <c r="A17" i="8" s="1"/>
  <c r="A17" i="9" s="1"/>
  <c r="A17" i="10" s="1"/>
  <c r="A17" i="11" s="1"/>
  <c r="A17" i="12" s="1"/>
  <c r="A17" i="13" s="1"/>
  <c r="A17" i="14" s="1"/>
  <c r="A17" i="15" s="1"/>
  <c r="A17" i="16" s="1"/>
  <c r="B17" i="6"/>
  <c r="B17" i="7" s="1"/>
  <c r="B17" i="8" s="1"/>
  <c r="B17" i="9" s="1"/>
  <c r="B17" i="10" s="1"/>
  <c r="B17" i="11" s="1"/>
  <c r="B17" i="12" s="1"/>
  <c r="B17" i="13" s="1"/>
  <c r="B17" i="14" s="1"/>
  <c r="B17" i="15" s="1"/>
  <c r="B17" i="16" s="1"/>
  <c r="AM187" i="8"/>
  <c r="AM185" i="8" s="1"/>
  <c r="AL187" i="8"/>
  <c r="AL185" i="8" s="1"/>
  <c r="J81" i="5"/>
  <c r="G81" i="5"/>
  <c r="AM243" i="7"/>
  <c r="AM243" i="9"/>
  <c r="AM243" i="11"/>
  <c r="AM243" i="13"/>
  <c r="AM243" i="15"/>
  <c r="AM235" i="6"/>
  <c r="AM235" i="7"/>
  <c r="AM235" i="8"/>
  <c r="AM235" i="9"/>
  <c r="AM235" i="10"/>
  <c r="AM235" i="11"/>
  <c r="AM235" i="12"/>
  <c r="AM235" i="13"/>
  <c r="AM235" i="14"/>
  <c r="AM235" i="15"/>
  <c r="AM235" i="16"/>
  <c r="AM227" i="7"/>
  <c r="AM227" i="9"/>
  <c r="AM227" i="11"/>
  <c r="AM227" i="13"/>
  <c r="AM227" i="15"/>
  <c r="AM222" i="7"/>
  <c r="AM222" i="9"/>
  <c r="AM222" i="11"/>
  <c r="AM222" i="13"/>
  <c r="AM222" i="15"/>
  <c r="AM203" i="6"/>
  <c r="AM203" i="7"/>
  <c r="AM203" i="8"/>
  <c r="AM203" i="9"/>
  <c r="AM203" i="10"/>
  <c r="AM203" i="11"/>
  <c r="AM203" i="12"/>
  <c r="AM203" i="13"/>
  <c r="AM203" i="14"/>
  <c r="AM203" i="15"/>
  <c r="AM203" i="16"/>
  <c r="AM187" i="6"/>
  <c r="AM185" i="6" s="1"/>
  <c r="AM187" i="7"/>
  <c r="AM187" i="9"/>
  <c r="AM185" i="9" s="1"/>
  <c r="AM187" i="10"/>
  <c r="AM185" i="10" s="1"/>
  <c r="AM187" i="11"/>
  <c r="AM185" i="11" s="1"/>
  <c r="AM187" i="12"/>
  <c r="AM185" i="12" s="1"/>
  <c r="AM187" i="13"/>
  <c r="AM187" i="14"/>
  <c r="AM187" i="15"/>
  <c r="AM185" i="15" s="1"/>
  <c r="AM187" i="16"/>
  <c r="AM185" i="16" s="1"/>
  <c r="AM176" i="6"/>
  <c r="AM176" i="8"/>
  <c r="AM176" i="9"/>
  <c r="AM176" i="10"/>
  <c r="AM176" i="11"/>
  <c r="AM176" i="13"/>
  <c r="AM176" i="15"/>
  <c r="AM176" i="16"/>
  <c r="AM172" i="6"/>
  <c r="AM172" i="7"/>
  <c r="AM172" i="8"/>
  <c r="AM172" i="9"/>
  <c r="AM172" i="10"/>
  <c r="AM172" i="11"/>
  <c r="AM172" i="12"/>
  <c r="AM172" i="13"/>
  <c r="AM172" i="14"/>
  <c r="AM172" i="15"/>
  <c r="AM172" i="16"/>
  <c r="AM149" i="6"/>
  <c r="AM147" i="6" s="1"/>
  <c r="AM149" i="7"/>
  <c r="AM147" i="7" s="1"/>
  <c r="AM149" i="8"/>
  <c r="AM147" i="8" s="1"/>
  <c r="AM149" i="9"/>
  <c r="AM147" i="9" s="1"/>
  <c r="AM149" i="10"/>
  <c r="AM147" i="10" s="1"/>
  <c r="AM149" i="11"/>
  <c r="AM147" i="11" s="1"/>
  <c r="AM149" i="12"/>
  <c r="AM147" i="12" s="1"/>
  <c r="AM149" i="13"/>
  <c r="AM149" i="14"/>
  <c r="AM147" i="14" s="1"/>
  <c r="AM149" i="15"/>
  <c r="AM147" i="15" s="1"/>
  <c r="AM149" i="16"/>
  <c r="AM147" i="16" s="1"/>
  <c r="AM123" i="6"/>
  <c r="AM123" i="7"/>
  <c r="AM123" i="8"/>
  <c r="AM123" i="9"/>
  <c r="AM123" i="10"/>
  <c r="AM123" i="11"/>
  <c r="AM123" i="12"/>
  <c r="AM123" i="13"/>
  <c r="AM123" i="14"/>
  <c r="AM123" i="15"/>
  <c r="AM123" i="16"/>
  <c r="AM105" i="7"/>
  <c r="AM104" i="7" s="1"/>
  <c r="AM105" i="9"/>
  <c r="AM104" i="9" s="1"/>
  <c r="AM69" i="9"/>
  <c r="AM65" i="9" s="1"/>
  <c r="AM83" i="9"/>
  <c r="AM91" i="9"/>
  <c r="AM96" i="9"/>
  <c r="AM20" i="9"/>
  <c r="AM16" i="9" s="1"/>
  <c r="AM35" i="9"/>
  <c r="AM44" i="9"/>
  <c r="AM49" i="9"/>
  <c r="AM58" i="9"/>
  <c r="AM57" i="9" s="1"/>
  <c r="AM105" i="11"/>
  <c r="AM104" i="11" s="1"/>
  <c r="AM105" i="13"/>
  <c r="AM104" i="13" s="1"/>
  <c r="AM105" i="15"/>
  <c r="AM104" i="15" s="1"/>
  <c r="AM96" i="6"/>
  <c r="AM96" i="7"/>
  <c r="AM96" i="8"/>
  <c r="AM96" i="10"/>
  <c r="AM96" i="11"/>
  <c r="AM96" i="12"/>
  <c r="AM96" i="13"/>
  <c r="AM96" i="14"/>
  <c r="AM96" i="15"/>
  <c r="AM96" i="16"/>
  <c r="AM91" i="7"/>
  <c r="AM91" i="11"/>
  <c r="AM91" i="13"/>
  <c r="AM91" i="15"/>
  <c r="AM83" i="7"/>
  <c r="AM83" i="10"/>
  <c r="AM83" i="12"/>
  <c r="AM83" i="13"/>
  <c r="AM83" i="15"/>
  <c r="AM83" i="16"/>
  <c r="AM58" i="6"/>
  <c r="AM57" i="6" s="1"/>
  <c r="AM58" i="8"/>
  <c r="AM57" i="8" s="1"/>
  <c r="AM58" i="10"/>
  <c r="AM57" i="10" s="1"/>
  <c r="AM58" i="11"/>
  <c r="AM57" i="11" s="1"/>
  <c r="AM58" i="13"/>
  <c r="AM57" i="13" s="1"/>
  <c r="AM58" i="14"/>
  <c r="AM57" i="14" s="1"/>
  <c r="AM58" i="15"/>
  <c r="AM57" i="15" s="1"/>
  <c r="AM58" i="16"/>
  <c r="AM57" i="16" s="1"/>
  <c r="AM20" i="16"/>
  <c r="AM16" i="16" s="1"/>
  <c r="AM35" i="16"/>
  <c r="AM44" i="16"/>
  <c r="AM49" i="16"/>
  <c r="AM49" i="6"/>
  <c r="AM49" i="7"/>
  <c r="AM49" i="8"/>
  <c r="AM49" i="10"/>
  <c r="AM49" i="11"/>
  <c r="AM49" i="12"/>
  <c r="AM49" i="13"/>
  <c r="AM49" i="14"/>
  <c r="AM49" i="15"/>
  <c r="AM44" i="7"/>
  <c r="AM43" i="7" s="1"/>
  <c r="AM44" i="8"/>
  <c r="AM43" i="8" s="1"/>
  <c r="AM44" i="10"/>
  <c r="AM44" i="11"/>
  <c r="AM44" i="12"/>
  <c r="AM43" i="12" s="1"/>
  <c r="AM44" i="13"/>
  <c r="AM44" i="14"/>
  <c r="AM43" i="14" s="1"/>
  <c r="AM44" i="15"/>
  <c r="AM35" i="6"/>
  <c r="AM35" i="7"/>
  <c r="AM35" i="8"/>
  <c r="AM35" i="10"/>
  <c r="AM35" i="11"/>
  <c r="AM35" i="12"/>
  <c r="AM35" i="13"/>
  <c r="AM35" i="14"/>
  <c r="AM35" i="15"/>
  <c r="AM20" i="7"/>
  <c r="AM16" i="7" s="1"/>
  <c r="AM20" i="15"/>
  <c r="AL235" i="6"/>
  <c r="AL235" i="7"/>
  <c r="AL235" i="8"/>
  <c r="AL235" i="9"/>
  <c r="AL235" i="10"/>
  <c r="AL235" i="11"/>
  <c r="AL235" i="12"/>
  <c r="AL235" i="13"/>
  <c r="AL235" i="14"/>
  <c r="AL235" i="15"/>
  <c r="AL235" i="16"/>
  <c r="B14" i="5"/>
  <c r="B14" i="6" s="1"/>
  <c r="B13" i="5"/>
  <c r="B13" i="6" s="1"/>
  <c r="B13" i="7" s="1"/>
  <c r="B13" i="8" s="1"/>
  <c r="B13" i="9" s="1"/>
  <c r="B13" i="10" s="1"/>
  <c r="B13" i="11" s="1"/>
  <c r="B13" i="12" s="1"/>
  <c r="B13" i="13" s="1"/>
  <c r="B13" i="14" s="1"/>
  <c r="B13" i="15" s="1"/>
  <c r="B13" i="16" s="1"/>
  <c r="B12" i="5"/>
  <c r="BQ31" i="8"/>
  <c r="I55" i="20" s="1"/>
  <c r="BQ31" i="9"/>
  <c r="AL187" i="6"/>
  <c r="AL185" i="6" s="1"/>
  <c r="AL187" i="7"/>
  <c r="AL185" i="7" s="1"/>
  <c r="AL187" i="9"/>
  <c r="AL185" i="9" s="1"/>
  <c r="AL187" i="10"/>
  <c r="AL185" i="10" s="1"/>
  <c r="AL187" i="11"/>
  <c r="AL187" i="12"/>
  <c r="AL185" i="12" s="1"/>
  <c r="AL187" i="13"/>
  <c r="AL185" i="13" s="1"/>
  <c r="AL187" i="14"/>
  <c r="AL187" i="15"/>
  <c r="AL187" i="16"/>
  <c r="AL185" i="16" s="1"/>
  <c r="AL187" i="5"/>
  <c r="AL185" i="5" s="1"/>
  <c r="T256" i="6"/>
  <c r="T256" i="7" s="1"/>
  <c r="T256" i="8" s="1"/>
  <c r="T256" i="9" s="1"/>
  <c r="T256" i="10" s="1"/>
  <c r="T256" i="11" s="1"/>
  <c r="T256" i="12" s="1"/>
  <c r="T256" i="13" s="1"/>
  <c r="T256" i="14" s="1"/>
  <c r="T256" i="15" s="1"/>
  <c r="T256" i="16" s="1"/>
  <c r="S256" i="6"/>
  <c r="S256" i="7" s="1"/>
  <c r="S256" i="8" s="1"/>
  <c r="S256" i="9" s="1"/>
  <c r="S256" i="10" s="1"/>
  <c r="S256" i="11" s="1"/>
  <c r="S256" i="12" s="1"/>
  <c r="S256" i="13" s="1"/>
  <c r="S256" i="14" s="1"/>
  <c r="S256" i="15" s="1"/>
  <c r="S256" i="16" s="1"/>
  <c r="T255" i="6"/>
  <c r="T255" i="7" s="1"/>
  <c r="T255" i="8" s="1"/>
  <c r="T255" i="9" s="1"/>
  <c r="T255" i="10" s="1"/>
  <c r="T255" i="11" s="1"/>
  <c r="T255" i="12" s="1"/>
  <c r="T255" i="13" s="1"/>
  <c r="T255" i="14" s="1"/>
  <c r="T255" i="15" s="1"/>
  <c r="T255" i="16" s="1"/>
  <c r="S255" i="6"/>
  <c r="S255" i="7" s="1"/>
  <c r="S255" i="8" s="1"/>
  <c r="S255" i="9" s="1"/>
  <c r="S255" i="10" s="1"/>
  <c r="S255" i="11" s="1"/>
  <c r="S255" i="12" s="1"/>
  <c r="S255" i="13" s="1"/>
  <c r="S255" i="14" s="1"/>
  <c r="S255" i="15" s="1"/>
  <c r="S255" i="16" s="1"/>
  <c r="T254" i="6"/>
  <c r="T254" i="7" s="1"/>
  <c r="T254" i="8" s="1"/>
  <c r="T254" i="9" s="1"/>
  <c r="T254" i="10" s="1"/>
  <c r="T254" i="11" s="1"/>
  <c r="T254" i="12" s="1"/>
  <c r="T254" i="13" s="1"/>
  <c r="T254" i="14" s="1"/>
  <c r="T254" i="15" s="1"/>
  <c r="T254" i="16" s="1"/>
  <c r="S254" i="6"/>
  <c r="S254" i="7" s="1"/>
  <c r="S254" i="8" s="1"/>
  <c r="S254" i="9" s="1"/>
  <c r="S254" i="10" s="1"/>
  <c r="S254" i="11" s="1"/>
  <c r="S254" i="12" s="1"/>
  <c r="S254" i="13" s="1"/>
  <c r="S254" i="14" s="1"/>
  <c r="S254" i="15" s="1"/>
  <c r="S254" i="16" s="1"/>
  <c r="T253" i="6"/>
  <c r="T253" i="7" s="1"/>
  <c r="T253" i="8" s="1"/>
  <c r="T253" i="9" s="1"/>
  <c r="T253" i="10" s="1"/>
  <c r="T253" i="11" s="1"/>
  <c r="T253" i="12" s="1"/>
  <c r="T253" i="13" s="1"/>
  <c r="T253" i="14" s="1"/>
  <c r="T253" i="15" s="1"/>
  <c r="T253" i="16" s="1"/>
  <c r="S253" i="6"/>
  <c r="S253" i="7" s="1"/>
  <c r="S253" i="8" s="1"/>
  <c r="S253" i="9" s="1"/>
  <c r="S253" i="10" s="1"/>
  <c r="S253" i="11" s="1"/>
  <c r="S253" i="12" s="1"/>
  <c r="S253" i="13" s="1"/>
  <c r="S253" i="14" s="1"/>
  <c r="S253" i="15" s="1"/>
  <c r="S253" i="16" s="1"/>
  <c r="T252" i="6"/>
  <c r="T252" i="7" s="1"/>
  <c r="T252" i="8" s="1"/>
  <c r="T252" i="9" s="1"/>
  <c r="T252" i="10" s="1"/>
  <c r="T252" i="11" s="1"/>
  <c r="T252" i="12" s="1"/>
  <c r="T252" i="13" s="1"/>
  <c r="T252" i="14" s="1"/>
  <c r="T252" i="15" s="1"/>
  <c r="T252" i="16" s="1"/>
  <c r="S252" i="6"/>
  <c r="S252" i="7" s="1"/>
  <c r="S252" i="8" s="1"/>
  <c r="S252" i="9" s="1"/>
  <c r="S252" i="10" s="1"/>
  <c r="S252" i="11" s="1"/>
  <c r="S252" i="12" s="1"/>
  <c r="S252" i="13" s="1"/>
  <c r="S252" i="14" s="1"/>
  <c r="S252" i="15" s="1"/>
  <c r="S252" i="16" s="1"/>
  <c r="T251" i="6"/>
  <c r="T251" i="7" s="1"/>
  <c r="T251" i="8" s="1"/>
  <c r="T251" i="9" s="1"/>
  <c r="T251" i="10" s="1"/>
  <c r="T251" i="11" s="1"/>
  <c r="T251" i="12" s="1"/>
  <c r="T251" i="13" s="1"/>
  <c r="T251" i="14" s="1"/>
  <c r="T251" i="15" s="1"/>
  <c r="T251" i="16" s="1"/>
  <c r="S251" i="6"/>
  <c r="S251" i="7" s="1"/>
  <c r="S251" i="8" s="1"/>
  <c r="S251" i="9" s="1"/>
  <c r="S251" i="10" s="1"/>
  <c r="S251" i="11" s="1"/>
  <c r="S251" i="12" s="1"/>
  <c r="S251" i="13" s="1"/>
  <c r="S251" i="14" s="1"/>
  <c r="S251" i="15" s="1"/>
  <c r="S251" i="16" s="1"/>
  <c r="T250" i="6"/>
  <c r="T250" i="7" s="1"/>
  <c r="T250" i="8" s="1"/>
  <c r="T250" i="9" s="1"/>
  <c r="T250" i="10" s="1"/>
  <c r="T250" i="11" s="1"/>
  <c r="T250" i="12" s="1"/>
  <c r="T250" i="13" s="1"/>
  <c r="T250" i="14" s="1"/>
  <c r="T250" i="15" s="1"/>
  <c r="T250" i="16" s="1"/>
  <c r="S250" i="6"/>
  <c r="S250" i="7" s="1"/>
  <c r="S250" i="8" s="1"/>
  <c r="S250" i="9" s="1"/>
  <c r="S250" i="10" s="1"/>
  <c r="S250" i="11" s="1"/>
  <c r="S250" i="12" s="1"/>
  <c r="S250" i="13" s="1"/>
  <c r="S250" i="14" s="1"/>
  <c r="S250" i="15" s="1"/>
  <c r="S250" i="16" s="1"/>
  <c r="T249" i="6"/>
  <c r="T249" i="7" s="1"/>
  <c r="T249" i="8" s="1"/>
  <c r="T249" i="9" s="1"/>
  <c r="T249" i="10" s="1"/>
  <c r="T249" i="11" s="1"/>
  <c r="T249" i="12" s="1"/>
  <c r="T249" i="13" s="1"/>
  <c r="T249" i="14" s="1"/>
  <c r="T249" i="15" s="1"/>
  <c r="T249" i="16" s="1"/>
  <c r="S249" i="6"/>
  <c r="S249" i="7" s="1"/>
  <c r="S249" i="8" s="1"/>
  <c r="S249" i="9" s="1"/>
  <c r="S249" i="10" s="1"/>
  <c r="S249" i="11" s="1"/>
  <c r="S249" i="12" s="1"/>
  <c r="S249" i="13" s="1"/>
  <c r="S249" i="14" s="1"/>
  <c r="S249" i="15" s="1"/>
  <c r="S249" i="16" s="1"/>
  <c r="T248" i="6"/>
  <c r="T248" i="7" s="1"/>
  <c r="T248" i="8" s="1"/>
  <c r="T248" i="9" s="1"/>
  <c r="T248" i="10" s="1"/>
  <c r="T248" i="11" s="1"/>
  <c r="T248" i="12" s="1"/>
  <c r="T248" i="13" s="1"/>
  <c r="T248" i="14" s="1"/>
  <c r="T248" i="15" s="1"/>
  <c r="T248" i="16" s="1"/>
  <c r="S248" i="6"/>
  <c r="S248" i="7" s="1"/>
  <c r="S248" i="8" s="1"/>
  <c r="S248" i="9" s="1"/>
  <c r="S248" i="10" s="1"/>
  <c r="S248" i="11" s="1"/>
  <c r="S248" i="12" s="1"/>
  <c r="S248" i="13" s="1"/>
  <c r="S248" i="14" s="1"/>
  <c r="S248" i="15" s="1"/>
  <c r="S248" i="16" s="1"/>
  <c r="T247" i="6"/>
  <c r="T247" i="7" s="1"/>
  <c r="T247" i="8" s="1"/>
  <c r="T247" i="9" s="1"/>
  <c r="T247" i="10" s="1"/>
  <c r="T247" i="11" s="1"/>
  <c r="T247" i="12" s="1"/>
  <c r="T247" i="13" s="1"/>
  <c r="T247" i="14" s="1"/>
  <c r="T247" i="15" s="1"/>
  <c r="T247" i="16" s="1"/>
  <c r="S247" i="6"/>
  <c r="S247" i="7" s="1"/>
  <c r="S247" i="8" s="1"/>
  <c r="S247" i="9" s="1"/>
  <c r="S247" i="10" s="1"/>
  <c r="S247" i="11" s="1"/>
  <c r="S247" i="12" s="1"/>
  <c r="S247" i="13" s="1"/>
  <c r="S247" i="14" s="1"/>
  <c r="S247" i="15" s="1"/>
  <c r="S247" i="16" s="1"/>
  <c r="T246" i="6"/>
  <c r="T246" i="7" s="1"/>
  <c r="T246" i="8" s="1"/>
  <c r="T246" i="9" s="1"/>
  <c r="T246" i="10" s="1"/>
  <c r="T246" i="11" s="1"/>
  <c r="T246" i="12" s="1"/>
  <c r="T246" i="13" s="1"/>
  <c r="T246" i="14" s="1"/>
  <c r="T246" i="15" s="1"/>
  <c r="T246" i="16" s="1"/>
  <c r="S246" i="6"/>
  <c r="S246" i="7" s="1"/>
  <c r="S246" i="8" s="1"/>
  <c r="S246" i="9" s="1"/>
  <c r="S246" i="10" s="1"/>
  <c r="S246" i="11" s="1"/>
  <c r="S246" i="12" s="1"/>
  <c r="S246" i="13" s="1"/>
  <c r="S246" i="14" s="1"/>
  <c r="S246" i="15" s="1"/>
  <c r="S246" i="16" s="1"/>
  <c r="S245" i="6"/>
  <c r="S245" i="7" s="1"/>
  <c r="S245" i="8" s="1"/>
  <c r="S245" i="9" s="1"/>
  <c r="S245" i="10" s="1"/>
  <c r="S245" i="11" s="1"/>
  <c r="S245" i="12" s="1"/>
  <c r="S245" i="13" s="1"/>
  <c r="S245" i="14" s="1"/>
  <c r="S245" i="15" s="1"/>
  <c r="S245" i="16" s="1"/>
  <c r="T245" i="6"/>
  <c r="T245" i="7" s="1"/>
  <c r="T245" i="8" s="1"/>
  <c r="T245" i="9" s="1"/>
  <c r="T245" i="10" s="1"/>
  <c r="T245" i="11" s="1"/>
  <c r="T245" i="12" s="1"/>
  <c r="T245" i="13" s="1"/>
  <c r="T245" i="14" s="1"/>
  <c r="T245" i="15" s="1"/>
  <c r="T245" i="16" s="1"/>
  <c r="T202" i="6"/>
  <c r="T202" i="7" s="1"/>
  <c r="T202" i="8" s="1"/>
  <c r="T202" i="9" s="1"/>
  <c r="T202" i="10" s="1"/>
  <c r="T202" i="11" s="1"/>
  <c r="T202" i="12" s="1"/>
  <c r="T202" i="13" s="1"/>
  <c r="T202" i="14" s="1"/>
  <c r="T202" i="15" s="1"/>
  <c r="T202" i="16" s="1"/>
  <c r="S202" i="6"/>
  <c r="S202" i="7" s="1"/>
  <c r="S202" i="8" s="1"/>
  <c r="S202" i="9" s="1"/>
  <c r="S202" i="10" s="1"/>
  <c r="S202" i="11" s="1"/>
  <c r="S202" i="12" s="1"/>
  <c r="S202" i="13" s="1"/>
  <c r="S202" i="14" s="1"/>
  <c r="S202" i="15" s="1"/>
  <c r="S202" i="16" s="1"/>
  <c r="T201" i="6"/>
  <c r="T201" i="7" s="1"/>
  <c r="T201" i="8" s="1"/>
  <c r="T201" i="9" s="1"/>
  <c r="T201" i="10" s="1"/>
  <c r="T201" i="11" s="1"/>
  <c r="T201" i="12" s="1"/>
  <c r="T201" i="13" s="1"/>
  <c r="T201" i="14" s="1"/>
  <c r="T201" i="15" s="1"/>
  <c r="T201" i="16" s="1"/>
  <c r="S201" i="6"/>
  <c r="S201" i="7" s="1"/>
  <c r="S201" i="8" s="1"/>
  <c r="S201" i="9" s="1"/>
  <c r="S201" i="10" s="1"/>
  <c r="S201" i="11" s="1"/>
  <c r="S201" i="12" s="1"/>
  <c r="S201" i="13" s="1"/>
  <c r="S201" i="14" s="1"/>
  <c r="S201" i="15" s="1"/>
  <c r="S201" i="16" s="1"/>
  <c r="T182" i="6"/>
  <c r="T182" i="7" s="1"/>
  <c r="T182" i="8" s="1"/>
  <c r="T182" i="9" s="1"/>
  <c r="T182" i="10" s="1"/>
  <c r="T182" i="11" s="1"/>
  <c r="T182" i="12" s="1"/>
  <c r="T182" i="13" s="1"/>
  <c r="T182" i="14" s="1"/>
  <c r="T182" i="15" s="1"/>
  <c r="T182" i="16" s="1"/>
  <c r="S182" i="6"/>
  <c r="S182" i="7" s="1"/>
  <c r="S182" i="8" s="1"/>
  <c r="S182" i="9" s="1"/>
  <c r="S182" i="10" s="1"/>
  <c r="S182" i="11" s="1"/>
  <c r="S182" i="12" s="1"/>
  <c r="S182" i="13" s="1"/>
  <c r="S182" i="14" s="1"/>
  <c r="S182" i="15" s="1"/>
  <c r="S182" i="16" s="1"/>
  <c r="T181" i="6"/>
  <c r="T181" i="7" s="1"/>
  <c r="T181" i="8" s="1"/>
  <c r="T181" i="9" s="1"/>
  <c r="T181" i="10" s="1"/>
  <c r="T181" i="11" s="1"/>
  <c r="T181" i="12" s="1"/>
  <c r="T181" i="13" s="1"/>
  <c r="T181" i="14" s="1"/>
  <c r="T181" i="15" s="1"/>
  <c r="T181" i="16" s="1"/>
  <c r="S181" i="6"/>
  <c r="S181" i="7" s="1"/>
  <c r="S181" i="8" s="1"/>
  <c r="S181" i="9" s="1"/>
  <c r="S181" i="10" s="1"/>
  <c r="S181" i="11" s="1"/>
  <c r="S181" i="12" s="1"/>
  <c r="S181" i="13" s="1"/>
  <c r="S181" i="14" s="1"/>
  <c r="S181" i="15" s="1"/>
  <c r="S181" i="16" s="1"/>
  <c r="T138" i="6"/>
  <c r="T138" i="7" s="1"/>
  <c r="T138" i="8" s="1"/>
  <c r="T138" i="9" s="1"/>
  <c r="T138" i="10" s="1"/>
  <c r="T138" i="11" s="1"/>
  <c r="T138" i="12" s="1"/>
  <c r="T138" i="13" s="1"/>
  <c r="T138" i="14" s="1"/>
  <c r="T138" i="15" s="1"/>
  <c r="T138" i="16" s="1"/>
  <c r="S138" i="6"/>
  <c r="S138" i="7" s="1"/>
  <c r="S138" i="8" s="1"/>
  <c r="S138" i="9" s="1"/>
  <c r="S138" i="10" s="1"/>
  <c r="S138" i="11" s="1"/>
  <c r="S138" i="12" s="1"/>
  <c r="S138" i="13" s="1"/>
  <c r="S138" i="14" s="1"/>
  <c r="S138" i="15" s="1"/>
  <c r="S138" i="16" s="1"/>
  <c r="T137" i="6"/>
  <c r="T137" i="7" s="1"/>
  <c r="T137" i="8" s="1"/>
  <c r="T137" i="9" s="1"/>
  <c r="T137" i="10" s="1"/>
  <c r="T137" i="11" s="1"/>
  <c r="T137" i="12" s="1"/>
  <c r="T137" i="13" s="1"/>
  <c r="T137" i="14" s="1"/>
  <c r="T137" i="15" s="1"/>
  <c r="T137" i="16" s="1"/>
  <c r="S137" i="6"/>
  <c r="S137" i="7" s="1"/>
  <c r="S137" i="8" s="1"/>
  <c r="S137" i="9" s="1"/>
  <c r="S137" i="10" s="1"/>
  <c r="S137" i="11" s="1"/>
  <c r="S137" i="12" s="1"/>
  <c r="S137" i="13" s="1"/>
  <c r="S137" i="14" s="1"/>
  <c r="S137" i="15" s="1"/>
  <c r="S137" i="16" s="1"/>
  <c r="T136" i="6"/>
  <c r="T136" i="7" s="1"/>
  <c r="T136" i="8" s="1"/>
  <c r="T136" i="9" s="1"/>
  <c r="T136" i="10" s="1"/>
  <c r="T136" i="11" s="1"/>
  <c r="T136" i="12" s="1"/>
  <c r="T136" i="13" s="1"/>
  <c r="T136" i="14" s="1"/>
  <c r="T136" i="15" s="1"/>
  <c r="T136" i="16" s="1"/>
  <c r="S136" i="6"/>
  <c r="S136" i="7" s="1"/>
  <c r="S136" i="8" s="1"/>
  <c r="S136" i="9" s="1"/>
  <c r="S136" i="10" s="1"/>
  <c r="S136" i="11" s="1"/>
  <c r="S136" i="12" s="1"/>
  <c r="S136" i="13" s="1"/>
  <c r="S136" i="14" s="1"/>
  <c r="S136" i="15" s="1"/>
  <c r="S136" i="16" s="1"/>
  <c r="T135" i="6"/>
  <c r="T135" i="7" s="1"/>
  <c r="T135" i="8" s="1"/>
  <c r="T135" i="9" s="1"/>
  <c r="T135" i="10" s="1"/>
  <c r="T135" i="11" s="1"/>
  <c r="T135" i="12" s="1"/>
  <c r="T135" i="13" s="1"/>
  <c r="T135" i="14" s="1"/>
  <c r="T135" i="15" s="1"/>
  <c r="T135" i="16" s="1"/>
  <c r="S135" i="6"/>
  <c r="S135" i="7" s="1"/>
  <c r="S135" i="8" s="1"/>
  <c r="S135" i="9" s="1"/>
  <c r="S135" i="10" s="1"/>
  <c r="S135" i="11" s="1"/>
  <c r="S135" i="12" s="1"/>
  <c r="S135" i="13" s="1"/>
  <c r="S135" i="14" s="1"/>
  <c r="S135" i="15" s="1"/>
  <c r="S135" i="16" s="1"/>
  <c r="T121" i="6"/>
  <c r="T121" i="7" s="1"/>
  <c r="T121" i="8" s="1"/>
  <c r="T121" i="9" s="1"/>
  <c r="T121" i="10" s="1"/>
  <c r="T121" i="11" s="1"/>
  <c r="T121" i="12" s="1"/>
  <c r="T121" i="13" s="1"/>
  <c r="T121" i="14" s="1"/>
  <c r="T121" i="15" s="1"/>
  <c r="T121" i="16" s="1"/>
  <c r="S121" i="6"/>
  <c r="S121" i="7" s="1"/>
  <c r="S121" i="8" s="1"/>
  <c r="S121" i="9" s="1"/>
  <c r="S121" i="10" s="1"/>
  <c r="S121" i="11" s="1"/>
  <c r="S121" i="12" s="1"/>
  <c r="S121" i="13" s="1"/>
  <c r="S121" i="14" s="1"/>
  <c r="S121" i="15" s="1"/>
  <c r="S121" i="16" s="1"/>
  <c r="T120" i="6"/>
  <c r="T120" i="7" s="1"/>
  <c r="T120" i="8" s="1"/>
  <c r="T120" i="9" s="1"/>
  <c r="T120" i="10" s="1"/>
  <c r="T120" i="11" s="1"/>
  <c r="T120" i="12" s="1"/>
  <c r="T120" i="13" s="1"/>
  <c r="T120" i="14" s="1"/>
  <c r="T120" i="15" s="1"/>
  <c r="T120" i="16" s="1"/>
  <c r="S120" i="6"/>
  <c r="S120" i="7" s="1"/>
  <c r="S120" i="8" s="1"/>
  <c r="S120" i="9" s="1"/>
  <c r="S120" i="10" s="1"/>
  <c r="S120" i="11" s="1"/>
  <c r="S120" i="12" s="1"/>
  <c r="S120" i="13" s="1"/>
  <c r="S120" i="14" s="1"/>
  <c r="S120" i="15" s="1"/>
  <c r="S120" i="16" s="1"/>
  <c r="T119" i="6"/>
  <c r="T119" i="7" s="1"/>
  <c r="T119" i="8" s="1"/>
  <c r="T119" i="9" s="1"/>
  <c r="T119" i="10" s="1"/>
  <c r="T119" i="11" s="1"/>
  <c r="T119" i="12" s="1"/>
  <c r="T119" i="13" s="1"/>
  <c r="T119" i="14" s="1"/>
  <c r="T119" i="15" s="1"/>
  <c r="T119" i="16" s="1"/>
  <c r="S119" i="6"/>
  <c r="S119" i="7" s="1"/>
  <c r="S119" i="8" s="1"/>
  <c r="S119" i="9" s="1"/>
  <c r="S119" i="10" s="1"/>
  <c r="S119" i="11" s="1"/>
  <c r="S119" i="12" s="1"/>
  <c r="S119" i="13" s="1"/>
  <c r="S119" i="14" s="1"/>
  <c r="S119" i="15" s="1"/>
  <c r="S119" i="16" s="1"/>
  <c r="T118" i="6"/>
  <c r="T118" i="7" s="1"/>
  <c r="T118" i="8" s="1"/>
  <c r="T118" i="9" s="1"/>
  <c r="T118" i="10" s="1"/>
  <c r="T118" i="11" s="1"/>
  <c r="T118" i="12" s="1"/>
  <c r="T118" i="13" s="1"/>
  <c r="T118" i="14" s="1"/>
  <c r="T118" i="15" s="1"/>
  <c r="T118" i="16" s="1"/>
  <c r="S118" i="6"/>
  <c r="S118" i="7" s="1"/>
  <c r="S118" i="8" s="1"/>
  <c r="S118" i="9" s="1"/>
  <c r="S118" i="10" s="1"/>
  <c r="S118" i="11" s="1"/>
  <c r="S118" i="12" s="1"/>
  <c r="S118" i="13" s="1"/>
  <c r="S118" i="14" s="1"/>
  <c r="S118" i="15" s="1"/>
  <c r="S118" i="16" s="1"/>
  <c r="T117" i="6"/>
  <c r="T117" i="7" s="1"/>
  <c r="T117" i="8" s="1"/>
  <c r="T117" i="9" s="1"/>
  <c r="T117" i="10" s="1"/>
  <c r="T117" i="11" s="1"/>
  <c r="T117" i="12" s="1"/>
  <c r="T117" i="13" s="1"/>
  <c r="T117" i="14" s="1"/>
  <c r="T117" i="15" s="1"/>
  <c r="T117" i="16" s="1"/>
  <c r="S117" i="6"/>
  <c r="S117" i="7" s="1"/>
  <c r="S117" i="8" s="1"/>
  <c r="S117" i="9" s="1"/>
  <c r="S117" i="10" s="1"/>
  <c r="S117" i="11" s="1"/>
  <c r="S117" i="12" s="1"/>
  <c r="S117" i="13" s="1"/>
  <c r="S117" i="14" s="1"/>
  <c r="S117" i="15" s="1"/>
  <c r="S117" i="16" s="1"/>
  <c r="T87" i="6"/>
  <c r="T87" i="7" s="1"/>
  <c r="T87" i="8" s="1"/>
  <c r="T87" i="9" s="1"/>
  <c r="T87" i="10" s="1"/>
  <c r="T87" i="11" s="1"/>
  <c r="T87" i="12" s="1"/>
  <c r="T87" i="13" s="1"/>
  <c r="T87" i="14" s="1"/>
  <c r="T87" i="15" s="1"/>
  <c r="T87" i="16" s="1"/>
  <c r="S87" i="6"/>
  <c r="S87" i="7" s="1"/>
  <c r="S87" i="8" s="1"/>
  <c r="S87" i="9" s="1"/>
  <c r="S87" i="10" s="1"/>
  <c r="S87" i="11" s="1"/>
  <c r="S87" i="12" s="1"/>
  <c r="S87" i="13" s="1"/>
  <c r="S87" i="14" s="1"/>
  <c r="S87" i="15" s="1"/>
  <c r="S87" i="16" s="1"/>
  <c r="AL195" i="6"/>
  <c r="AM195" i="6"/>
  <c r="AL195" i="7"/>
  <c r="AM195" i="7"/>
  <c r="AL195" i="8"/>
  <c r="AM195" i="8"/>
  <c r="AL195" i="9"/>
  <c r="AM195" i="9"/>
  <c r="AL195" i="10"/>
  <c r="AM195" i="10"/>
  <c r="AL195" i="11"/>
  <c r="AM195" i="11"/>
  <c r="AL195" i="12"/>
  <c r="AM195" i="12"/>
  <c r="AL195" i="13"/>
  <c r="AM195" i="13"/>
  <c r="AL195" i="14"/>
  <c r="AM195" i="14"/>
  <c r="AM194" i="14" s="1"/>
  <c r="AL195" i="15"/>
  <c r="AM195" i="15"/>
  <c r="AL195" i="16"/>
  <c r="AM195" i="16"/>
  <c r="AL195" i="5"/>
  <c r="AM195" i="5"/>
  <c r="Y195" i="5"/>
  <c r="AB195" i="5"/>
  <c r="AE195" i="5"/>
  <c r="G10" i="5"/>
  <c r="B82" i="6"/>
  <c r="B82" i="7"/>
  <c r="B82" i="8"/>
  <c r="B82" i="9"/>
  <c r="B82" i="10"/>
  <c r="B82" i="11"/>
  <c r="B82" i="12"/>
  <c r="B82" i="13"/>
  <c r="B82" i="14"/>
  <c r="B82" i="15"/>
  <c r="B82" i="16"/>
  <c r="B82" i="5"/>
  <c r="B79" i="6"/>
  <c r="B79" i="7"/>
  <c r="B79" i="8"/>
  <c r="B79" i="9"/>
  <c r="B79" i="10"/>
  <c r="B79" i="11"/>
  <c r="B79" i="12"/>
  <c r="B79" i="13"/>
  <c r="B79" i="14"/>
  <c r="B79" i="15"/>
  <c r="B79" i="16"/>
  <c r="B79" i="5"/>
  <c r="B76" i="6"/>
  <c r="B76" i="7"/>
  <c r="B76" i="8"/>
  <c r="B76" i="9"/>
  <c r="B76" i="10"/>
  <c r="B76" i="11"/>
  <c r="B76" i="12"/>
  <c r="B76" i="13"/>
  <c r="B76" i="14"/>
  <c r="B76" i="15"/>
  <c r="B76" i="16"/>
  <c r="B76" i="5"/>
  <c r="B73" i="6"/>
  <c r="B73" i="7"/>
  <c r="B73" i="8"/>
  <c r="B73" i="9"/>
  <c r="B73" i="10"/>
  <c r="B73" i="11"/>
  <c r="B73" i="12"/>
  <c r="B73" i="13"/>
  <c r="B73" i="14"/>
  <c r="B73" i="15"/>
  <c r="B73" i="16"/>
  <c r="B73" i="5"/>
  <c r="B70" i="6"/>
  <c r="B70" i="7"/>
  <c r="B70" i="8"/>
  <c r="B70" i="9"/>
  <c r="B70" i="10"/>
  <c r="B70" i="11"/>
  <c r="B70" i="12"/>
  <c r="B70" i="13"/>
  <c r="B70" i="14"/>
  <c r="B70" i="15"/>
  <c r="B70" i="16"/>
  <c r="B70" i="5"/>
  <c r="B67" i="6"/>
  <c r="B67" i="7"/>
  <c r="B67" i="8"/>
  <c r="B67" i="9"/>
  <c r="B67" i="10"/>
  <c r="B67" i="11"/>
  <c r="B67" i="12"/>
  <c r="B67" i="13"/>
  <c r="B67" i="14"/>
  <c r="B67" i="15"/>
  <c r="B67" i="16"/>
  <c r="B67" i="5"/>
  <c r="B64" i="6"/>
  <c r="B64" i="7"/>
  <c r="B64" i="8"/>
  <c r="B64" i="9"/>
  <c r="B64" i="10"/>
  <c r="B64" i="11"/>
  <c r="B64" i="12"/>
  <c r="B64" i="13"/>
  <c r="B64" i="14"/>
  <c r="B64" i="15"/>
  <c r="B64" i="16"/>
  <c r="B64" i="5"/>
  <c r="B61" i="6"/>
  <c r="B61" i="7"/>
  <c r="B61" i="8"/>
  <c r="B61" i="9"/>
  <c r="B61" i="10"/>
  <c r="B61" i="11"/>
  <c r="B61" i="12"/>
  <c r="B61" i="13"/>
  <c r="B61" i="14"/>
  <c r="B61" i="15"/>
  <c r="B61" i="16"/>
  <c r="B61" i="5"/>
  <c r="B58" i="6"/>
  <c r="B58" i="7"/>
  <c r="B58" i="8"/>
  <c r="B58" i="9"/>
  <c r="B58" i="10"/>
  <c r="B58" i="11"/>
  <c r="B58" i="12"/>
  <c r="B58" i="13"/>
  <c r="B58" i="14"/>
  <c r="B58" i="15"/>
  <c r="B58" i="16"/>
  <c r="B58" i="5"/>
  <c r="B55" i="6"/>
  <c r="B55" i="7"/>
  <c r="B55" i="8"/>
  <c r="B55" i="9"/>
  <c r="B55" i="10"/>
  <c r="B55" i="11"/>
  <c r="B55" i="12"/>
  <c r="B55" i="13"/>
  <c r="B55" i="14"/>
  <c r="B55" i="15"/>
  <c r="B55" i="16"/>
  <c r="B55" i="5"/>
  <c r="B52" i="6"/>
  <c r="B52" i="7"/>
  <c r="B52" i="8"/>
  <c r="B52" i="9"/>
  <c r="B52" i="10"/>
  <c r="B52" i="11"/>
  <c r="B52" i="12"/>
  <c r="B52" i="13"/>
  <c r="B52" i="14"/>
  <c r="B52" i="15"/>
  <c r="B52" i="16"/>
  <c r="B52" i="5"/>
  <c r="B49" i="6"/>
  <c r="B49" i="7"/>
  <c r="B49" i="8"/>
  <c r="B49" i="9"/>
  <c r="B49" i="10"/>
  <c r="B49" i="11"/>
  <c r="B49" i="12"/>
  <c r="B49" i="13"/>
  <c r="B49" i="14"/>
  <c r="B49" i="15"/>
  <c r="B49" i="16"/>
  <c r="B49" i="5"/>
  <c r="B46" i="6"/>
  <c r="B46" i="7"/>
  <c r="B46" i="8"/>
  <c r="B46" i="9"/>
  <c r="B46" i="10"/>
  <c r="B46" i="11"/>
  <c r="B46" i="12"/>
  <c r="B46" i="13"/>
  <c r="B46" i="14"/>
  <c r="B46" i="15"/>
  <c r="B46" i="16"/>
  <c r="B46" i="5"/>
  <c r="B43" i="6"/>
  <c r="B43" i="7"/>
  <c r="B43" i="8"/>
  <c r="B43" i="9"/>
  <c r="B43" i="10"/>
  <c r="B43" i="11"/>
  <c r="B43" i="12"/>
  <c r="B43" i="13"/>
  <c r="B43" i="14"/>
  <c r="B43" i="15"/>
  <c r="B43" i="16"/>
  <c r="B43" i="5"/>
  <c r="B36" i="6"/>
  <c r="B36" i="7"/>
  <c r="B36" i="8"/>
  <c r="B36" i="9"/>
  <c r="B36" i="10"/>
  <c r="B36" i="11"/>
  <c r="B36" i="12"/>
  <c r="B36" i="13"/>
  <c r="B36" i="14"/>
  <c r="B36" i="15"/>
  <c r="B36" i="16"/>
  <c r="B36" i="5"/>
  <c r="B33" i="6"/>
  <c r="B33" i="7"/>
  <c r="B33" i="8"/>
  <c r="B33" i="9"/>
  <c r="B33" i="10"/>
  <c r="B33" i="11"/>
  <c r="B33" i="12"/>
  <c r="B33" i="13"/>
  <c r="B33" i="14"/>
  <c r="B33" i="15"/>
  <c r="B33" i="16"/>
  <c r="B33" i="5"/>
  <c r="B30" i="6"/>
  <c r="B30" i="7"/>
  <c r="B30" i="8"/>
  <c r="B30" i="9"/>
  <c r="B30" i="10"/>
  <c r="B30" i="11"/>
  <c r="B30" i="12"/>
  <c r="B30" i="13"/>
  <c r="B30" i="14"/>
  <c r="B30" i="15"/>
  <c r="B30" i="16"/>
  <c r="B30" i="5"/>
  <c r="B26" i="6"/>
  <c r="B26" i="7"/>
  <c r="B26" i="8"/>
  <c r="B26" i="9"/>
  <c r="B26" i="10"/>
  <c r="B26" i="11"/>
  <c r="B26" i="12"/>
  <c r="B26" i="13"/>
  <c r="B26" i="14"/>
  <c r="B26" i="15"/>
  <c r="B26" i="16"/>
  <c r="B26" i="5"/>
  <c r="B23" i="6"/>
  <c r="B23" i="7"/>
  <c r="B23" i="8"/>
  <c r="B23" i="9"/>
  <c r="B23" i="10"/>
  <c r="B23" i="11"/>
  <c r="B23" i="12"/>
  <c r="B23" i="13"/>
  <c r="B23" i="14"/>
  <c r="B23" i="15"/>
  <c r="B23" i="16"/>
  <c r="B23" i="5"/>
  <c r="B24" i="6"/>
  <c r="B24" i="7" s="1"/>
  <c r="B24" i="8" s="1"/>
  <c r="B24" i="9" s="1"/>
  <c r="B83" i="6"/>
  <c r="B83" i="7" s="1"/>
  <c r="B83" i="8" s="1"/>
  <c r="B83" i="9" s="1"/>
  <c r="B83" i="10" s="1"/>
  <c r="B83" i="11" s="1"/>
  <c r="B83" i="12" s="1"/>
  <c r="B83" i="13" s="1"/>
  <c r="B83" i="14" s="1"/>
  <c r="B83" i="15" s="1"/>
  <c r="B83" i="16" s="1"/>
  <c r="B81" i="6"/>
  <c r="B81" i="7" s="1"/>
  <c r="B81" i="8" s="1"/>
  <c r="B81" i="9" s="1"/>
  <c r="B81" i="10" s="1"/>
  <c r="B81" i="11" s="1"/>
  <c r="B81" i="12" s="1"/>
  <c r="B81" i="13" s="1"/>
  <c r="B81" i="14" s="1"/>
  <c r="B81" i="15" s="1"/>
  <c r="B81" i="16" s="1"/>
  <c r="B80" i="6"/>
  <c r="B80" i="7" s="1"/>
  <c r="B80" i="8" s="1"/>
  <c r="B80" i="9" s="1"/>
  <c r="B80" i="10" s="1"/>
  <c r="B80" i="11" s="1"/>
  <c r="B80" i="12" s="1"/>
  <c r="B80" i="13" s="1"/>
  <c r="B80" i="14" s="1"/>
  <c r="B80" i="15" s="1"/>
  <c r="B80" i="16" s="1"/>
  <c r="B78" i="6"/>
  <c r="B78" i="7" s="1"/>
  <c r="B78" i="8" s="1"/>
  <c r="B78" i="9" s="1"/>
  <c r="B78" i="10" s="1"/>
  <c r="B78" i="11" s="1"/>
  <c r="B78" i="12" s="1"/>
  <c r="B78" i="13" s="1"/>
  <c r="B78" i="14" s="1"/>
  <c r="B78" i="15" s="1"/>
  <c r="B78" i="16" s="1"/>
  <c r="B77" i="6"/>
  <c r="B77" i="7" s="1"/>
  <c r="B77" i="8" s="1"/>
  <c r="B77" i="9" s="1"/>
  <c r="B77" i="10" s="1"/>
  <c r="B77" i="11" s="1"/>
  <c r="B77" i="12" s="1"/>
  <c r="B77" i="13" s="1"/>
  <c r="B77" i="14" s="1"/>
  <c r="B77" i="15" s="1"/>
  <c r="B77" i="16" s="1"/>
  <c r="B75" i="6"/>
  <c r="B75" i="7" s="1"/>
  <c r="B75" i="8" s="1"/>
  <c r="B75" i="9" s="1"/>
  <c r="B75" i="10" s="1"/>
  <c r="B75" i="11" s="1"/>
  <c r="B75" i="12" s="1"/>
  <c r="B75" i="13" s="1"/>
  <c r="B75" i="14" s="1"/>
  <c r="B75" i="15" s="1"/>
  <c r="B75" i="16" s="1"/>
  <c r="B74" i="6"/>
  <c r="B74" i="7" s="1"/>
  <c r="B74" i="8" s="1"/>
  <c r="B74" i="9" s="1"/>
  <c r="B74" i="10" s="1"/>
  <c r="B74" i="11" s="1"/>
  <c r="B74" i="12" s="1"/>
  <c r="B74" i="13" s="1"/>
  <c r="B74" i="14" s="1"/>
  <c r="B74" i="15" s="1"/>
  <c r="B74" i="16" s="1"/>
  <c r="B72" i="6"/>
  <c r="B72" i="7" s="1"/>
  <c r="B72" i="8" s="1"/>
  <c r="B72" i="9" s="1"/>
  <c r="B72" i="10" s="1"/>
  <c r="B72" i="11" s="1"/>
  <c r="B72" i="12" s="1"/>
  <c r="B72" i="13" s="1"/>
  <c r="B72" i="14" s="1"/>
  <c r="B72" i="15" s="1"/>
  <c r="B72" i="16" s="1"/>
  <c r="B71" i="6"/>
  <c r="B71" i="7" s="1"/>
  <c r="B71" i="8" s="1"/>
  <c r="B71" i="9" s="1"/>
  <c r="B71" i="10" s="1"/>
  <c r="B71" i="11" s="1"/>
  <c r="B71" i="12" s="1"/>
  <c r="B71" i="13" s="1"/>
  <c r="B71" i="14" s="1"/>
  <c r="B71" i="15" s="1"/>
  <c r="B71" i="16" s="1"/>
  <c r="B69" i="6"/>
  <c r="B69" i="7" s="1"/>
  <c r="B69" i="8" s="1"/>
  <c r="B69" i="9" s="1"/>
  <c r="B69" i="10" s="1"/>
  <c r="B69" i="11" s="1"/>
  <c r="B69" i="12" s="1"/>
  <c r="B69" i="13" s="1"/>
  <c r="B69" i="14" s="1"/>
  <c r="B69" i="15" s="1"/>
  <c r="B69" i="16" s="1"/>
  <c r="B68" i="6"/>
  <c r="B68" i="7" s="1"/>
  <c r="B68" i="8" s="1"/>
  <c r="B68" i="9" s="1"/>
  <c r="B68" i="10" s="1"/>
  <c r="B68" i="11" s="1"/>
  <c r="B68" i="12" s="1"/>
  <c r="B68" i="13" s="1"/>
  <c r="B68" i="14" s="1"/>
  <c r="B68" i="15" s="1"/>
  <c r="B68" i="16" s="1"/>
  <c r="B66" i="6"/>
  <c r="B66" i="7" s="1"/>
  <c r="B66" i="8" s="1"/>
  <c r="B66" i="9" s="1"/>
  <c r="B66" i="10" s="1"/>
  <c r="B66" i="11" s="1"/>
  <c r="B66" i="12" s="1"/>
  <c r="B66" i="13" s="1"/>
  <c r="B66" i="14" s="1"/>
  <c r="B66" i="15" s="1"/>
  <c r="B66" i="16" s="1"/>
  <c r="B65" i="6"/>
  <c r="B65" i="7" s="1"/>
  <c r="B65" i="8" s="1"/>
  <c r="B65" i="9" s="1"/>
  <c r="B65" i="10" s="1"/>
  <c r="B65" i="11" s="1"/>
  <c r="B65" i="12" s="1"/>
  <c r="B65" i="13" s="1"/>
  <c r="B65" i="14" s="1"/>
  <c r="B65" i="15" s="1"/>
  <c r="B65" i="16" s="1"/>
  <c r="B63" i="6"/>
  <c r="B63" i="7" s="1"/>
  <c r="B63" i="8" s="1"/>
  <c r="B63" i="9" s="1"/>
  <c r="B63" i="10" s="1"/>
  <c r="B63" i="11" s="1"/>
  <c r="B63" i="12" s="1"/>
  <c r="B63" i="13" s="1"/>
  <c r="B63" i="14" s="1"/>
  <c r="B63" i="15" s="1"/>
  <c r="B63" i="16" s="1"/>
  <c r="B62" i="6"/>
  <c r="B62" i="7" s="1"/>
  <c r="B62" i="8" s="1"/>
  <c r="B62" i="9" s="1"/>
  <c r="B62" i="10" s="1"/>
  <c r="B62" i="11" s="1"/>
  <c r="B62" i="12" s="1"/>
  <c r="B62" i="13" s="1"/>
  <c r="B62" i="14" s="1"/>
  <c r="B62" i="15" s="1"/>
  <c r="B62" i="16" s="1"/>
  <c r="B60" i="6"/>
  <c r="B60" i="7" s="1"/>
  <c r="B60" i="8" s="1"/>
  <c r="B60" i="9" s="1"/>
  <c r="B60" i="10" s="1"/>
  <c r="B60" i="11" s="1"/>
  <c r="B60" i="12" s="1"/>
  <c r="B60" i="13" s="1"/>
  <c r="B60" i="14" s="1"/>
  <c r="B60" i="15" s="1"/>
  <c r="B60" i="16" s="1"/>
  <c r="B59" i="6"/>
  <c r="B59" i="7" s="1"/>
  <c r="B59" i="8" s="1"/>
  <c r="B59" i="9" s="1"/>
  <c r="B59" i="10" s="1"/>
  <c r="B59" i="11" s="1"/>
  <c r="B59" i="12" s="1"/>
  <c r="B59" i="13" s="1"/>
  <c r="B59" i="14" s="1"/>
  <c r="B59" i="15" s="1"/>
  <c r="B59" i="16" s="1"/>
  <c r="B57" i="6"/>
  <c r="B57" i="7" s="1"/>
  <c r="B57" i="8" s="1"/>
  <c r="B57" i="9" s="1"/>
  <c r="B57" i="10" s="1"/>
  <c r="B57" i="11" s="1"/>
  <c r="B57" i="12" s="1"/>
  <c r="B57" i="13" s="1"/>
  <c r="B57" i="14" s="1"/>
  <c r="B57" i="15" s="1"/>
  <c r="B57" i="16" s="1"/>
  <c r="B56" i="6"/>
  <c r="B56" i="7" s="1"/>
  <c r="B56" i="8" s="1"/>
  <c r="B56" i="9" s="1"/>
  <c r="B56" i="10" s="1"/>
  <c r="B56" i="11" s="1"/>
  <c r="B56" i="12" s="1"/>
  <c r="B56" i="13" s="1"/>
  <c r="B56" i="14" s="1"/>
  <c r="B56" i="15" s="1"/>
  <c r="B56" i="16" s="1"/>
  <c r="B54" i="6"/>
  <c r="B54" i="7" s="1"/>
  <c r="B54" i="8" s="1"/>
  <c r="B54" i="9" s="1"/>
  <c r="B54" i="10" s="1"/>
  <c r="B54" i="11" s="1"/>
  <c r="B54" i="12" s="1"/>
  <c r="B54" i="13" s="1"/>
  <c r="B54" i="14" s="1"/>
  <c r="B54" i="15" s="1"/>
  <c r="B54" i="16" s="1"/>
  <c r="B53" i="6"/>
  <c r="B53" i="7" s="1"/>
  <c r="B53" i="8" s="1"/>
  <c r="B53" i="9" s="1"/>
  <c r="B53" i="10" s="1"/>
  <c r="B53" i="11" s="1"/>
  <c r="B53" i="12" s="1"/>
  <c r="B53" i="13" s="1"/>
  <c r="B53" i="14" s="1"/>
  <c r="B53" i="15" s="1"/>
  <c r="B53" i="16" s="1"/>
  <c r="B51" i="6"/>
  <c r="B51" i="7" s="1"/>
  <c r="B51" i="8" s="1"/>
  <c r="B51" i="9" s="1"/>
  <c r="B51" i="10" s="1"/>
  <c r="B51" i="11" s="1"/>
  <c r="B51" i="12" s="1"/>
  <c r="B51" i="13" s="1"/>
  <c r="B51" i="14" s="1"/>
  <c r="B51" i="15" s="1"/>
  <c r="B51" i="16" s="1"/>
  <c r="B50" i="6"/>
  <c r="B50" i="7" s="1"/>
  <c r="B50" i="8" s="1"/>
  <c r="B50" i="9" s="1"/>
  <c r="B50" i="10" s="1"/>
  <c r="B50" i="11" s="1"/>
  <c r="B50" i="12" s="1"/>
  <c r="B50" i="13" s="1"/>
  <c r="B50" i="14" s="1"/>
  <c r="B50" i="15" s="1"/>
  <c r="B50" i="16" s="1"/>
  <c r="B48" i="6"/>
  <c r="B48" i="7" s="1"/>
  <c r="B48" i="8" s="1"/>
  <c r="B48" i="9" s="1"/>
  <c r="B48" i="10" s="1"/>
  <c r="B48" i="11" s="1"/>
  <c r="B48" i="12" s="1"/>
  <c r="B48" i="13" s="1"/>
  <c r="B48" i="14" s="1"/>
  <c r="B48" i="15" s="1"/>
  <c r="B48" i="16" s="1"/>
  <c r="B47" i="6"/>
  <c r="B47" i="7" s="1"/>
  <c r="B47" i="8" s="1"/>
  <c r="B47" i="9" s="1"/>
  <c r="B47" i="10" s="1"/>
  <c r="B47" i="11" s="1"/>
  <c r="B47" i="12" s="1"/>
  <c r="B47" i="13" s="1"/>
  <c r="B47" i="14" s="1"/>
  <c r="B47" i="15" s="1"/>
  <c r="B47" i="16" s="1"/>
  <c r="B45" i="6"/>
  <c r="B45" i="7" s="1"/>
  <c r="B45" i="8" s="1"/>
  <c r="B45" i="9" s="1"/>
  <c r="B45" i="10" s="1"/>
  <c r="B45" i="11" s="1"/>
  <c r="B45" i="12" s="1"/>
  <c r="B45" i="13" s="1"/>
  <c r="B45" i="14" s="1"/>
  <c r="B45" i="15" s="1"/>
  <c r="B45" i="16" s="1"/>
  <c r="B44" i="6"/>
  <c r="B44" i="7" s="1"/>
  <c r="B44" i="8" s="1"/>
  <c r="B44" i="9" s="1"/>
  <c r="B44" i="10" s="1"/>
  <c r="B44" i="11" s="1"/>
  <c r="B44" i="12" s="1"/>
  <c r="B44" i="13" s="1"/>
  <c r="B44" i="14" s="1"/>
  <c r="B44" i="15" s="1"/>
  <c r="B44" i="16" s="1"/>
  <c r="B42" i="6"/>
  <c r="B42" i="7" s="1"/>
  <c r="B42" i="8" s="1"/>
  <c r="B42" i="9" s="1"/>
  <c r="B42" i="10" s="1"/>
  <c r="B42" i="11" s="1"/>
  <c r="B42" i="12" s="1"/>
  <c r="B42" i="13" s="1"/>
  <c r="B42" i="14" s="1"/>
  <c r="B42" i="15" s="1"/>
  <c r="B42" i="16" s="1"/>
  <c r="B41" i="6"/>
  <c r="B41" i="7" s="1"/>
  <c r="B41" i="8" s="1"/>
  <c r="B37" i="6"/>
  <c r="B37" i="7" s="1"/>
  <c r="B37" i="8" s="1"/>
  <c r="B37" i="9" s="1"/>
  <c r="B37" i="10" s="1"/>
  <c r="B37" i="11" s="1"/>
  <c r="B37" i="12" s="1"/>
  <c r="B37" i="13" s="1"/>
  <c r="B37" i="14" s="1"/>
  <c r="B37" i="15" s="1"/>
  <c r="B37" i="16" s="1"/>
  <c r="B35" i="6"/>
  <c r="B35" i="7" s="1"/>
  <c r="B35" i="8" s="1"/>
  <c r="B35" i="9" s="1"/>
  <c r="B35" i="10" s="1"/>
  <c r="B35" i="11" s="1"/>
  <c r="B35" i="12" s="1"/>
  <c r="B35" i="13" s="1"/>
  <c r="B35" i="14" s="1"/>
  <c r="B35" i="15" s="1"/>
  <c r="B35" i="16" s="1"/>
  <c r="B34" i="6"/>
  <c r="B34" i="7" s="1"/>
  <c r="B34" i="8" s="1"/>
  <c r="B34" i="9" s="1"/>
  <c r="B34" i="10" s="1"/>
  <c r="B34" i="11" s="1"/>
  <c r="B34" i="12" s="1"/>
  <c r="B34" i="13" s="1"/>
  <c r="B34" i="14" s="1"/>
  <c r="B34" i="15" s="1"/>
  <c r="B34" i="16" s="1"/>
  <c r="B32" i="6"/>
  <c r="B32" i="7" s="1"/>
  <c r="B32" i="8" s="1"/>
  <c r="B32" i="9" s="1"/>
  <c r="B32" i="10" s="1"/>
  <c r="B32" i="11" s="1"/>
  <c r="B32" i="12" s="1"/>
  <c r="B32" i="13" s="1"/>
  <c r="B32" i="14" s="1"/>
  <c r="B32" i="15" s="1"/>
  <c r="B32" i="16" s="1"/>
  <c r="B31" i="6"/>
  <c r="B31" i="7" s="1"/>
  <c r="B31" i="8" s="1"/>
  <c r="B31" i="9" s="1"/>
  <c r="B31" i="10" s="1"/>
  <c r="B31" i="11" s="1"/>
  <c r="B31" i="12" s="1"/>
  <c r="B31" i="13" s="1"/>
  <c r="B31" i="14" s="1"/>
  <c r="B31" i="15" s="1"/>
  <c r="B31" i="16" s="1"/>
  <c r="B29" i="6"/>
  <c r="B29" i="7" s="1"/>
  <c r="B29" i="8" s="1"/>
  <c r="B29" i="9" s="1"/>
  <c r="B29" i="10" s="1"/>
  <c r="B29" i="11" s="1"/>
  <c r="B29" i="12" s="1"/>
  <c r="B29" i="13" s="1"/>
  <c r="B29" i="14" s="1"/>
  <c r="B29" i="15" s="1"/>
  <c r="B29" i="16" s="1"/>
  <c r="B28" i="6"/>
  <c r="B28" i="7" s="1"/>
  <c r="B28" i="8" s="1"/>
  <c r="B28" i="9" s="1"/>
  <c r="B28" i="10" s="1"/>
  <c r="B28" i="11" s="1"/>
  <c r="B28" i="12" s="1"/>
  <c r="B28" i="13" s="1"/>
  <c r="B28" i="14" s="1"/>
  <c r="B28" i="15" s="1"/>
  <c r="B28" i="16" s="1"/>
  <c r="B27" i="6"/>
  <c r="B27" i="7" s="1"/>
  <c r="B27" i="8" s="1"/>
  <c r="B27" i="9" s="1"/>
  <c r="B27" i="10" s="1"/>
  <c r="B27" i="11" s="1"/>
  <c r="B27" i="12" s="1"/>
  <c r="B27" i="13" s="1"/>
  <c r="B27" i="14" s="1"/>
  <c r="B27" i="15" s="1"/>
  <c r="B27" i="16" s="1"/>
  <c r="B25" i="6"/>
  <c r="B25" i="7" s="1"/>
  <c r="B25" i="8" s="1"/>
  <c r="B25" i="9" s="1"/>
  <c r="B25" i="10" s="1"/>
  <c r="B25" i="11" s="1"/>
  <c r="B25" i="12" s="1"/>
  <c r="B25" i="13" s="1"/>
  <c r="B25" i="14" s="1"/>
  <c r="B25" i="15" s="1"/>
  <c r="B25" i="16" s="1"/>
  <c r="B22" i="6"/>
  <c r="B22" i="7" s="1"/>
  <c r="B22" i="8" s="1"/>
  <c r="B22" i="9" s="1"/>
  <c r="B22" i="10" s="1"/>
  <c r="B22" i="11" s="1"/>
  <c r="B22" i="12" s="1"/>
  <c r="B22" i="13" s="1"/>
  <c r="B22" i="14" s="1"/>
  <c r="B22" i="15" s="1"/>
  <c r="B22" i="16" s="1"/>
  <c r="B21" i="6"/>
  <c r="B21" i="7" s="1"/>
  <c r="B21" i="8" s="1"/>
  <c r="B21" i="9" s="1"/>
  <c r="B21" i="10" s="1"/>
  <c r="B21" i="11" s="1"/>
  <c r="B21" i="12" s="1"/>
  <c r="B21" i="13" s="1"/>
  <c r="B21" i="14" s="1"/>
  <c r="B21" i="15" s="1"/>
  <c r="B21" i="16" s="1"/>
  <c r="B20" i="6"/>
  <c r="B20" i="7" s="1"/>
  <c r="B20" i="8" s="1"/>
  <c r="B20" i="9" s="1"/>
  <c r="B20" i="10" s="1"/>
  <c r="B20" i="11" s="1"/>
  <c r="B20" i="12" s="1"/>
  <c r="B20" i="13" s="1"/>
  <c r="B20" i="14" s="1"/>
  <c r="B20" i="15" s="1"/>
  <c r="B20" i="16" s="1"/>
  <c r="B19" i="6"/>
  <c r="B19" i="7" s="1"/>
  <c r="B19" i="8" s="1"/>
  <c r="B19" i="9" s="1"/>
  <c r="B19" i="10" s="1"/>
  <c r="B19" i="11" s="1"/>
  <c r="B19" i="12" s="1"/>
  <c r="B19" i="13" s="1"/>
  <c r="B19" i="14" s="1"/>
  <c r="B19" i="15" s="1"/>
  <c r="B19" i="16" s="1"/>
  <c r="B18" i="6"/>
  <c r="B18" i="7" s="1"/>
  <c r="B18" i="8" s="1"/>
  <c r="B18" i="9" s="1"/>
  <c r="B18" i="10" s="1"/>
  <c r="B18" i="11" s="1"/>
  <c r="B18" i="12" s="1"/>
  <c r="B18" i="13" s="1"/>
  <c r="B18" i="14" s="1"/>
  <c r="B18" i="15" s="1"/>
  <c r="B18" i="16" s="1"/>
  <c r="B16" i="6"/>
  <c r="B16" i="7" s="1"/>
  <c r="B16" i="8" s="1"/>
  <c r="B16" i="9" s="1"/>
  <c r="B16" i="10" s="1"/>
  <c r="B16" i="11" s="1"/>
  <c r="B16" i="12" s="1"/>
  <c r="B16" i="13" s="1"/>
  <c r="B16" i="14" s="1"/>
  <c r="B16" i="15" s="1"/>
  <c r="B16" i="16" s="1"/>
  <c r="B10" i="6"/>
  <c r="B10" i="7" s="1"/>
  <c r="B10" i="8" s="1"/>
  <c r="B10" i="9" s="1"/>
  <c r="B10" i="10" s="1"/>
  <c r="B10" i="11" s="1"/>
  <c r="B10" i="12" s="1"/>
  <c r="B10" i="13" s="1"/>
  <c r="B10" i="14" s="1"/>
  <c r="B10" i="15" s="1"/>
  <c r="B10" i="16" s="1"/>
  <c r="C1" i="5"/>
  <c r="AL259" i="6"/>
  <c r="AL259" i="7"/>
  <c r="AL259" i="8"/>
  <c r="AL259" i="9"/>
  <c r="AL259" i="10"/>
  <c r="AL259" i="11"/>
  <c r="AL259" i="12"/>
  <c r="AL259" i="13"/>
  <c r="AL259" i="14"/>
  <c r="AL259" i="15"/>
  <c r="AL259" i="16"/>
  <c r="AL259" i="5"/>
  <c r="A10" i="6"/>
  <c r="A10" i="7" s="1"/>
  <c r="A10" i="8" s="1"/>
  <c r="A10" i="9" s="1"/>
  <c r="A10" i="10" s="1"/>
  <c r="A10" i="11" s="1"/>
  <c r="A10" i="12" s="1"/>
  <c r="A10" i="13" s="1"/>
  <c r="A10" i="14" s="1"/>
  <c r="A10" i="15" s="1"/>
  <c r="A10" i="16" s="1"/>
  <c r="A12" i="6"/>
  <c r="A12" i="7" s="1"/>
  <c r="A12" i="8" s="1"/>
  <c r="A12" i="9" s="1"/>
  <c r="A12" i="10" s="1"/>
  <c r="A12" i="11" s="1"/>
  <c r="A12" i="12" s="1"/>
  <c r="A12" i="13" s="1"/>
  <c r="A12" i="14" s="1"/>
  <c r="A12" i="15" s="1"/>
  <c r="A12" i="16" s="1"/>
  <c r="A13" i="6"/>
  <c r="A13" i="7" s="1"/>
  <c r="A13" i="8" s="1"/>
  <c r="A13" i="9" s="1"/>
  <c r="A13" i="10" s="1"/>
  <c r="A13" i="11" s="1"/>
  <c r="A13" i="12" s="1"/>
  <c r="A13" i="13" s="1"/>
  <c r="A13" i="14" s="1"/>
  <c r="A13" i="15" s="1"/>
  <c r="A13" i="16" s="1"/>
  <c r="A14" i="6"/>
  <c r="A14" i="7" s="1"/>
  <c r="A14" i="8" s="1"/>
  <c r="A14" i="9" s="1"/>
  <c r="A14" i="10" s="1"/>
  <c r="A14" i="11" s="1"/>
  <c r="A14" i="12" s="1"/>
  <c r="A14" i="13" s="1"/>
  <c r="A14" i="14" s="1"/>
  <c r="A14" i="15" s="1"/>
  <c r="A14" i="16" s="1"/>
  <c r="A15" i="6"/>
  <c r="A15" i="7" s="1"/>
  <c r="A15" i="8" s="1"/>
  <c r="A15" i="9" s="1"/>
  <c r="A15" i="10" s="1"/>
  <c r="A15" i="11" s="1"/>
  <c r="A15" i="12" s="1"/>
  <c r="A15" i="13" s="1"/>
  <c r="A15" i="14" s="1"/>
  <c r="A15" i="15" s="1"/>
  <c r="A15" i="16" s="1"/>
  <c r="A16" i="6"/>
  <c r="A16" i="7" s="1"/>
  <c r="A16" i="8" s="1"/>
  <c r="A16" i="9" s="1"/>
  <c r="A16" i="10" s="1"/>
  <c r="A16" i="11" s="1"/>
  <c r="A16" i="12" s="1"/>
  <c r="A16" i="13" s="1"/>
  <c r="A16" i="14" s="1"/>
  <c r="A16" i="15" s="1"/>
  <c r="A16" i="16" s="1"/>
  <c r="A18" i="6"/>
  <c r="A18" i="7" s="1"/>
  <c r="A18" i="8" s="1"/>
  <c r="A18" i="9" s="1"/>
  <c r="A18" i="10" s="1"/>
  <c r="A18" i="11" s="1"/>
  <c r="A18" i="12" s="1"/>
  <c r="A18" i="13" s="1"/>
  <c r="A18" i="14" s="1"/>
  <c r="A18" i="15" s="1"/>
  <c r="A18" i="16" s="1"/>
  <c r="A19" i="6"/>
  <c r="A19" i="7" s="1"/>
  <c r="A19" i="8" s="1"/>
  <c r="A19" i="9" s="1"/>
  <c r="A19" i="10" s="1"/>
  <c r="A19" i="11" s="1"/>
  <c r="A19" i="12" s="1"/>
  <c r="A19" i="13" s="1"/>
  <c r="A19" i="14" s="1"/>
  <c r="A19" i="15" s="1"/>
  <c r="A19" i="16" s="1"/>
  <c r="A20" i="6"/>
  <c r="A20" i="7" s="1"/>
  <c r="A20" i="8" s="1"/>
  <c r="A20" i="9" s="1"/>
  <c r="A20" i="10" s="1"/>
  <c r="A20" i="11" s="1"/>
  <c r="A20" i="12" s="1"/>
  <c r="A20" i="13" s="1"/>
  <c r="A20" i="14" s="1"/>
  <c r="A20" i="15" s="1"/>
  <c r="A20" i="16" s="1"/>
  <c r="A21" i="6"/>
  <c r="A21" i="7" s="1"/>
  <c r="A21" i="8" s="1"/>
  <c r="A21" i="9" s="1"/>
  <c r="A21" i="10" s="1"/>
  <c r="A21" i="11" s="1"/>
  <c r="A21" i="12" s="1"/>
  <c r="A21" i="13" s="1"/>
  <c r="A21" i="14" s="1"/>
  <c r="A21" i="15" s="1"/>
  <c r="A21" i="16" s="1"/>
  <c r="A22" i="6"/>
  <c r="A22" i="7" s="1"/>
  <c r="A22" i="8" s="1"/>
  <c r="A22" i="9" s="1"/>
  <c r="A22" i="10" s="1"/>
  <c r="A22" i="11" s="1"/>
  <c r="A22" i="12" s="1"/>
  <c r="A22" i="13" s="1"/>
  <c r="A22" i="14" s="1"/>
  <c r="A22" i="15" s="1"/>
  <c r="A22" i="16" s="1"/>
  <c r="A23" i="6"/>
  <c r="A23" i="7" s="1"/>
  <c r="A23" i="8" s="1"/>
  <c r="A23" i="9" s="1"/>
  <c r="A23" i="10" s="1"/>
  <c r="A23" i="11" s="1"/>
  <c r="A23" i="12" s="1"/>
  <c r="A23" i="13" s="1"/>
  <c r="A23" i="14" s="1"/>
  <c r="A23" i="15" s="1"/>
  <c r="A23" i="16" s="1"/>
  <c r="A24" i="6"/>
  <c r="A24" i="7" s="1"/>
  <c r="A24" i="8" s="1"/>
  <c r="A24" i="9" s="1"/>
  <c r="A24" i="10" s="1"/>
  <c r="A24" i="11" s="1"/>
  <c r="A24" i="12" s="1"/>
  <c r="A24" i="13" s="1"/>
  <c r="A24" i="14" s="1"/>
  <c r="A24" i="15" s="1"/>
  <c r="A24" i="16" s="1"/>
  <c r="A25" i="6"/>
  <c r="A25" i="7" s="1"/>
  <c r="A25" i="8" s="1"/>
  <c r="A25" i="9" s="1"/>
  <c r="A25" i="10" s="1"/>
  <c r="A25" i="11" s="1"/>
  <c r="A25" i="12" s="1"/>
  <c r="A25" i="13" s="1"/>
  <c r="A25" i="14" s="1"/>
  <c r="A25" i="15" s="1"/>
  <c r="A25" i="16" s="1"/>
  <c r="A26" i="6"/>
  <c r="A26" i="7" s="1"/>
  <c r="A26" i="8" s="1"/>
  <c r="A26" i="9" s="1"/>
  <c r="A26" i="10" s="1"/>
  <c r="A26" i="11" s="1"/>
  <c r="A26" i="12" s="1"/>
  <c r="A26" i="13" s="1"/>
  <c r="A26" i="14" s="1"/>
  <c r="A26" i="15" s="1"/>
  <c r="A26" i="16" s="1"/>
  <c r="A27" i="6"/>
  <c r="A27" i="7" s="1"/>
  <c r="A27" i="8" s="1"/>
  <c r="A27" i="9" s="1"/>
  <c r="A27" i="10" s="1"/>
  <c r="A27" i="11" s="1"/>
  <c r="A27" i="12" s="1"/>
  <c r="A27" i="13" s="1"/>
  <c r="A27" i="14" s="1"/>
  <c r="A27" i="15" s="1"/>
  <c r="A27" i="16" s="1"/>
  <c r="A28" i="6"/>
  <c r="A28" i="7" s="1"/>
  <c r="A28" i="8" s="1"/>
  <c r="A28" i="9" s="1"/>
  <c r="A28" i="10" s="1"/>
  <c r="A28" i="11" s="1"/>
  <c r="A28" i="12" s="1"/>
  <c r="A28" i="13" s="1"/>
  <c r="A28" i="14" s="1"/>
  <c r="A28" i="15" s="1"/>
  <c r="A28" i="16" s="1"/>
  <c r="A29" i="6"/>
  <c r="A29" i="7" s="1"/>
  <c r="A29" i="8" s="1"/>
  <c r="A29" i="9" s="1"/>
  <c r="A29" i="10" s="1"/>
  <c r="A29" i="11" s="1"/>
  <c r="A29" i="12" s="1"/>
  <c r="A29" i="13" s="1"/>
  <c r="A29" i="14" s="1"/>
  <c r="A29" i="15" s="1"/>
  <c r="A29" i="16" s="1"/>
  <c r="A30" i="6"/>
  <c r="A30" i="7" s="1"/>
  <c r="A30" i="8" s="1"/>
  <c r="A30" i="9" s="1"/>
  <c r="A30" i="10" s="1"/>
  <c r="A30" i="11" s="1"/>
  <c r="A30" i="12" s="1"/>
  <c r="A30" i="13" s="1"/>
  <c r="A30" i="14" s="1"/>
  <c r="A30" i="15" s="1"/>
  <c r="A30" i="16" s="1"/>
  <c r="A31" i="6"/>
  <c r="A31" i="7" s="1"/>
  <c r="A31" i="8" s="1"/>
  <c r="A31" i="9" s="1"/>
  <c r="A31" i="10" s="1"/>
  <c r="A31" i="11" s="1"/>
  <c r="A31" i="12" s="1"/>
  <c r="A31" i="13" s="1"/>
  <c r="A31" i="14" s="1"/>
  <c r="A31" i="15" s="1"/>
  <c r="A31" i="16" s="1"/>
  <c r="A32" i="6"/>
  <c r="A32" i="7" s="1"/>
  <c r="A32" i="8" s="1"/>
  <c r="A32" i="9" s="1"/>
  <c r="A32" i="10" s="1"/>
  <c r="A32" i="11" s="1"/>
  <c r="A32" i="12" s="1"/>
  <c r="A32" i="13" s="1"/>
  <c r="A32" i="14" s="1"/>
  <c r="A32" i="15" s="1"/>
  <c r="A32" i="16" s="1"/>
  <c r="A33" i="6"/>
  <c r="A33" i="7" s="1"/>
  <c r="A33" i="8" s="1"/>
  <c r="A33" i="9" s="1"/>
  <c r="A33" i="10" s="1"/>
  <c r="A33" i="11" s="1"/>
  <c r="A33" i="12" s="1"/>
  <c r="A33" i="13" s="1"/>
  <c r="A33" i="14" s="1"/>
  <c r="A33" i="15" s="1"/>
  <c r="A33" i="16" s="1"/>
  <c r="A34" i="6"/>
  <c r="A34" i="7" s="1"/>
  <c r="A34" i="8" s="1"/>
  <c r="A34" i="9" s="1"/>
  <c r="A34" i="10" s="1"/>
  <c r="A34" i="11" s="1"/>
  <c r="A34" i="12" s="1"/>
  <c r="A34" i="13" s="1"/>
  <c r="A34" i="14" s="1"/>
  <c r="A34" i="15" s="1"/>
  <c r="A34" i="16" s="1"/>
  <c r="A35" i="6"/>
  <c r="A35" i="7" s="1"/>
  <c r="A35" i="8" s="1"/>
  <c r="A35" i="9" s="1"/>
  <c r="A35" i="10" s="1"/>
  <c r="A35" i="11" s="1"/>
  <c r="A35" i="12" s="1"/>
  <c r="A35" i="13" s="1"/>
  <c r="A35" i="14" s="1"/>
  <c r="A35" i="15" s="1"/>
  <c r="A35" i="16" s="1"/>
  <c r="A36" i="6"/>
  <c r="A36" i="7" s="1"/>
  <c r="A36" i="8" s="1"/>
  <c r="A36" i="9" s="1"/>
  <c r="A36" i="10" s="1"/>
  <c r="A36" i="11" s="1"/>
  <c r="A36" i="12" s="1"/>
  <c r="A36" i="13" s="1"/>
  <c r="A36" i="14" s="1"/>
  <c r="A36" i="15" s="1"/>
  <c r="A36" i="16" s="1"/>
  <c r="A37" i="6"/>
  <c r="A37" i="7" s="1"/>
  <c r="A37" i="8" s="1"/>
  <c r="A37" i="9" s="1"/>
  <c r="A37" i="10" s="1"/>
  <c r="A37" i="11" s="1"/>
  <c r="A37" i="12" s="1"/>
  <c r="A37" i="13" s="1"/>
  <c r="A37" i="14" s="1"/>
  <c r="A37" i="15" s="1"/>
  <c r="A37" i="16" s="1"/>
  <c r="A38" i="13"/>
  <c r="A38" i="14" s="1"/>
  <c r="A38" i="15" s="1"/>
  <c r="A38" i="16" s="1"/>
  <c r="A41" i="6"/>
  <c r="A41" i="7" s="1"/>
  <c r="A41" i="8" s="1"/>
  <c r="A41" i="9" s="1"/>
  <c r="A41" i="10" s="1"/>
  <c r="A41" i="11" s="1"/>
  <c r="A41" i="12" s="1"/>
  <c r="A41" i="13" s="1"/>
  <c r="A41" i="14" s="1"/>
  <c r="A41" i="15" s="1"/>
  <c r="A41" i="16" s="1"/>
  <c r="A42" i="6"/>
  <c r="A42" i="7" s="1"/>
  <c r="A42" i="8" s="1"/>
  <c r="A42" i="9" s="1"/>
  <c r="A42" i="10" s="1"/>
  <c r="A42" i="11" s="1"/>
  <c r="A42" i="12" s="1"/>
  <c r="A42" i="13" s="1"/>
  <c r="A42" i="14" s="1"/>
  <c r="A42" i="15" s="1"/>
  <c r="A42" i="16" s="1"/>
  <c r="A43" i="6"/>
  <c r="A43" i="7" s="1"/>
  <c r="A43" i="8" s="1"/>
  <c r="A43" i="9" s="1"/>
  <c r="A43" i="10" s="1"/>
  <c r="A43" i="11" s="1"/>
  <c r="A43" i="12" s="1"/>
  <c r="A43" i="13" s="1"/>
  <c r="A43" i="14" s="1"/>
  <c r="A43" i="15" s="1"/>
  <c r="A43" i="16" s="1"/>
  <c r="A44" i="6"/>
  <c r="A44" i="7" s="1"/>
  <c r="A44" i="8" s="1"/>
  <c r="A44" i="9" s="1"/>
  <c r="A44" i="10" s="1"/>
  <c r="A44" i="11" s="1"/>
  <c r="A44" i="12" s="1"/>
  <c r="A44" i="13" s="1"/>
  <c r="A44" i="14" s="1"/>
  <c r="A44" i="15" s="1"/>
  <c r="A44" i="16" s="1"/>
  <c r="A45" i="6"/>
  <c r="A45" i="7" s="1"/>
  <c r="A45" i="8" s="1"/>
  <c r="A45" i="9" s="1"/>
  <c r="A45" i="10" s="1"/>
  <c r="A45" i="11" s="1"/>
  <c r="A45" i="12" s="1"/>
  <c r="A45" i="13" s="1"/>
  <c r="A45" i="14" s="1"/>
  <c r="A45" i="15" s="1"/>
  <c r="A45" i="16" s="1"/>
  <c r="A46" i="6"/>
  <c r="A46" i="7" s="1"/>
  <c r="A46" i="8" s="1"/>
  <c r="A46" i="9" s="1"/>
  <c r="A46" i="10" s="1"/>
  <c r="A46" i="11" s="1"/>
  <c r="A46" i="12" s="1"/>
  <c r="A46" i="13" s="1"/>
  <c r="A46" i="14" s="1"/>
  <c r="A46" i="15" s="1"/>
  <c r="A46" i="16" s="1"/>
  <c r="A47" i="6"/>
  <c r="A47" i="7" s="1"/>
  <c r="A47" i="8" s="1"/>
  <c r="A47" i="9" s="1"/>
  <c r="A47" i="10" s="1"/>
  <c r="A47" i="11" s="1"/>
  <c r="A47" i="12" s="1"/>
  <c r="A47" i="13" s="1"/>
  <c r="A47" i="14" s="1"/>
  <c r="A47" i="15" s="1"/>
  <c r="A47" i="16" s="1"/>
  <c r="A48" i="6"/>
  <c r="A48" i="7" s="1"/>
  <c r="A48" i="8" s="1"/>
  <c r="A48" i="9" s="1"/>
  <c r="A48" i="10" s="1"/>
  <c r="A48" i="11" s="1"/>
  <c r="A48" i="12" s="1"/>
  <c r="A48" i="13" s="1"/>
  <c r="A48" i="14" s="1"/>
  <c r="A48" i="15" s="1"/>
  <c r="A48" i="16" s="1"/>
  <c r="A49" i="6"/>
  <c r="A49" i="7" s="1"/>
  <c r="A49" i="8" s="1"/>
  <c r="A49" i="9" s="1"/>
  <c r="A49" i="10" s="1"/>
  <c r="A49" i="11" s="1"/>
  <c r="A49" i="12" s="1"/>
  <c r="A49" i="13" s="1"/>
  <c r="A49" i="14" s="1"/>
  <c r="A49" i="15" s="1"/>
  <c r="A49" i="16" s="1"/>
  <c r="A50" i="6"/>
  <c r="A50" i="7" s="1"/>
  <c r="A50" i="8" s="1"/>
  <c r="A50" i="9" s="1"/>
  <c r="A50" i="10" s="1"/>
  <c r="A50" i="11" s="1"/>
  <c r="A50" i="12" s="1"/>
  <c r="A50" i="13" s="1"/>
  <c r="A50" i="14" s="1"/>
  <c r="A50" i="15" s="1"/>
  <c r="A50" i="16" s="1"/>
  <c r="A51" i="6"/>
  <c r="A51" i="7" s="1"/>
  <c r="A51" i="8" s="1"/>
  <c r="A51" i="9" s="1"/>
  <c r="A51" i="10" s="1"/>
  <c r="A51" i="11" s="1"/>
  <c r="A51" i="12" s="1"/>
  <c r="A51" i="13" s="1"/>
  <c r="A51" i="14" s="1"/>
  <c r="A51" i="15" s="1"/>
  <c r="A51" i="16" s="1"/>
  <c r="A52" i="6"/>
  <c r="A52" i="7" s="1"/>
  <c r="A52" i="8" s="1"/>
  <c r="A52" i="9" s="1"/>
  <c r="A52" i="10" s="1"/>
  <c r="A52" i="11" s="1"/>
  <c r="A52" i="12" s="1"/>
  <c r="A52" i="13" s="1"/>
  <c r="A52" i="14" s="1"/>
  <c r="A52" i="15" s="1"/>
  <c r="A52" i="16" s="1"/>
  <c r="A53" i="6"/>
  <c r="A53" i="7" s="1"/>
  <c r="A53" i="8" s="1"/>
  <c r="A53" i="9" s="1"/>
  <c r="A53" i="10" s="1"/>
  <c r="A53" i="11" s="1"/>
  <c r="A53" i="12" s="1"/>
  <c r="A53" i="13" s="1"/>
  <c r="A53" i="14" s="1"/>
  <c r="A53" i="15" s="1"/>
  <c r="A53" i="16" s="1"/>
  <c r="A54" i="6"/>
  <c r="A54" i="7" s="1"/>
  <c r="A54" i="8" s="1"/>
  <c r="A54" i="9" s="1"/>
  <c r="A54" i="10" s="1"/>
  <c r="A54" i="11" s="1"/>
  <c r="A54" i="12" s="1"/>
  <c r="A54" i="13" s="1"/>
  <c r="A54" i="14" s="1"/>
  <c r="A54" i="15" s="1"/>
  <c r="A54" i="16" s="1"/>
  <c r="A55" i="6"/>
  <c r="A55" i="7" s="1"/>
  <c r="A55" i="8" s="1"/>
  <c r="A55" i="9" s="1"/>
  <c r="A55" i="10" s="1"/>
  <c r="A55" i="11" s="1"/>
  <c r="A55" i="12" s="1"/>
  <c r="A55" i="13" s="1"/>
  <c r="A55" i="14" s="1"/>
  <c r="A55" i="15" s="1"/>
  <c r="A55" i="16" s="1"/>
  <c r="A56" i="6"/>
  <c r="A56" i="7" s="1"/>
  <c r="A56" i="8" s="1"/>
  <c r="A56" i="9" s="1"/>
  <c r="A56" i="10" s="1"/>
  <c r="A56" i="11" s="1"/>
  <c r="A56" i="12" s="1"/>
  <c r="A56" i="13" s="1"/>
  <c r="A56" i="14" s="1"/>
  <c r="A56" i="15" s="1"/>
  <c r="A56" i="16" s="1"/>
  <c r="A57" i="6"/>
  <c r="A57" i="7" s="1"/>
  <c r="A57" i="8" s="1"/>
  <c r="A57" i="9" s="1"/>
  <c r="A57" i="10" s="1"/>
  <c r="A57" i="11" s="1"/>
  <c r="A57" i="12" s="1"/>
  <c r="A57" i="13" s="1"/>
  <c r="A57" i="14" s="1"/>
  <c r="A57" i="15" s="1"/>
  <c r="A57" i="16" s="1"/>
  <c r="A58" i="6"/>
  <c r="A58" i="7" s="1"/>
  <c r="A58" i="8" s="1"/>
  <c r="A58" i="9" s="1"/>
  <c r="A58" i="10" s="1"/>
  <c r="A58" i="11" s="1"/>
  <c r="A58" i="12" s="1"/>
  <c r="A58" i="13" s="1"/>
  <c r="A58" i="14" s="1"/>
  <c r="A58" i="15" s="1"/>
  <c r="A58" i="16" s="1"/>
  <c r="A59" i="6"/>
  <c r="A59" i="7" s="1"/>
  <c r="A59" i="8" s="1"/>
  <c r="A59" i="9" s="1"/>
  <c r="A59" i="10" s="1"/>
  <c r="A59" i="11" s="1"/>
  <c r="A59" i="12" s="1"/>
  <c r="A59" i="13" s="1"/>
  <c r="A59" i="14" s="1"/>
  <c r="A59" i="15" s="1"/>
  <c r="A59" i="16" s="1"/>
  <c r="A60" i="6"/>
  <c r="A60" i="7" s="1"/>
  <c r="A60" i="8" s="1"/>
  <c r="A60" i="9" s="1"/>
  <c r="A60" i="10" s="1"/>
  <c r="A60" i="11" s="1"/>
  <c r="A60" i="12" s="1"/>
  <c r="A60" i="13" s="1"/>
  <c r="A60" i="14" s="1"/>
  <c r="A60" i="15" s="1"/>
  <c r="A60" i="16" s="1"/>
  <c r="A61" i="6"/>
  <c r="A61" i="7" s="1"/>
  <c r="A61" i="8" s="1"/>
  <c r="A61" i="9" s="1"/>
  <c r="A61" i="10" s="1"/>
  <c r="A61" i="11" s="1"/>
  <c r="A61" i="12" s="1"/>
  <c r="A61" i="13" s="1"/>
  <c r="A61" i="14" s="1"/>
  <c r="A61" i="15" s="1"/>
  <c r="A61" i="16" s="1"/>
  <c r="A62" i="6"/>
  <c r="A62" i="7" s="1"/>
  <c r="A62" i="8" s="1"/>
  <c r="A62" i="9" s="1"/>
  <c r="A62" i="10" s="1"/>
  <c r="A62" i="11" s="1"/>
  <c r="A62" i="12" s="1"/>
  <c r="A62" i="13" s="1"/>
  <c r="A62" i="14" s="1"/>
  <c r="A62" i="15" s="1"/>
  <c r="A62" i="16" s="1"/>
  <c r="A63" i="6"/>
  <c r="A63" i="7" s="1"/>
  <c r="A63" i="8" s="1"/>
  <c r="A63" i="9" s="1"/>
  <c r="A63" i="10" s="1"/>
  <c r="A63" i="11" s="1"/>
  <c r="A63" i="12" s="1"/>
  <c r="A63" i="13" s="1"/>
  <c r="A63" i="14" s="1"/>
  <c r="A63" i="15" s="1"/>
  <c r="A63" i="16" s="1"/>
  <c r="A64" i="6"/>
  <c r="A64" i="7" s="1"/>
  <c r="A64" i="8" s="1"/>
  <c r="A64" i="9" s="1"/>
  <c r="A64" i="10" s="1"/>
  <c r="A64" i="11" s="1"/>
  <c r="A64" i="12" s="1"/>
  <c r="A64" i="13" s="1"/>
  <c r="A64" i="14" s="1"/>
  <c r="A64" i="15" s="1"/>
  <c r="A64" i="16" s="1"/>
  <c r="A65" i="6"/>
  <c r="A65" i="7" s="1"/>
  <c r="A65" i="8" s="1"/>
  <c r="A65" i="9" s="1"/>
  <c r="A65" i="10" s="1"/>
  <c r="A65" i="11" s="1"/>
  <c r="A65" i="12" s="1"/>
  <c r="A65" i="13" s="1"/>
  <c r="A65" i="14" s="1"/>
  <c r="A65" i="15" s="1"/>
  <c r="A65" i="16" s="1"/>
  <c r="A66" i="6"/>
  <c r="A66" i="7" s="1"/>
  <c r="A66" i="8" s="1"/>
  <c r="A66" i="9" s="1"/>
  <c r="A66" i="10" s="1"/>
  <c r="A66" i="11" s="1"/>
  <c r="A66" i="12" s="1"/>
  <c r="A66" i="13" s="1"/>
  <c r="A66" i="14" s="1"/>
  <c r="A66" i="15" s="1"/>
  <c r="A66" i="16" s="1"/>
  <c r="A67" i="6"/>
  <c r="A67" i="7" s="1"/>
  <c r="A67" i="8" s="1"/>
  <c r="A67" i="9" s="1"/>
  <c r="A67" i="10" s="1"/>
  <c r="A67" i="11" s="1"/>
  <c r="A67" i="12" s="1"/>
  <c r="A67" i="13" s="1"/>
  <c r="A67" i="14" s="1"/>
  <c r="A67" i="15" s="1"/>
  <c r="A67" i="16" s="1"/>
  <c r="A68" i="6"/>
  <c r="A68" i="7" s="1"/>
  <c r="A68" i="8" s="1"/>
  <c r="A68" i="9" s="1"/>
  <c r="A68" i="10" s="1"/>
  <c r="A68" i="11" s="1"/>
  <c r="A68" i="12" s="1"/>
  <c r="A68" i="13" s="1"/>
  <c r="A68" i="14" s="1"/>
  <c r="A68" i="15" s="1"/>
  <c r="A68" i="16" s="1"/>
  <c r="A69" i="6"/>
  <c r="A69" i="7" s="1"/>
  <c r="A69" i="8" s="1"/>
  <c r="A69" i="9" s="1"/>
  <c r="A69" i="10" s="1"/>
  <c r="A69" i="11" s="1"/>
  <c r="A69" i="12" s="1"/>
  <c r="A69" i="13" s="1"/>
  <c r="A69" i="14" s="1"/>
  <c r="A69" i="15" s="1"/>
  <c r="A69" i="16" s="1"/>
  <c r="A70" i="6"/>
  <c r="A70" i="7" s="1"/>
  <c r="A70" i="8" s="1"/>
  <c r="A70" i="9" s="1"/>
  <c r="A70" i="10" s="1"/>
  <c r="A70" i="11" s="1"/>
  <c r="A70" i="12" s="1"/>
  <c r="A70" i="13" s="1"/>
  <c r="A70" i="14" s="1"/>
  <c r="A70" i="15" s="1"/>
  <c r="A70" i="16" s="1"/>
  <c r="A71" i="6"/>
  <c r="A71" i="7" s="1"/>
  <c r="A71" i="8" s="1"/>
  <c r="A71" i="9" s="1"/>
  <c r="A71" i="10" s="1"/>
  <c r="A71" i="11" s="1"/>
  <c r="A71" i="12" s="1"/>
  <c r="A71" i="13" s="1"/>
  <c r="A71" i="14" s="1"/>
  <c r="A71" i="15" s="1"/>
  <c r="A71" i="16" s="1"/>
  <c r="A72" i="6"/>
  <c r="A72" i="7" s="1"/>
  <c r="A72" i="8" s="1"/>
  <c r="A72" i="9" s="1"/>
  <c r="A72" i="10" s="1"/>
  <c r="A72" i="11" s="1"/>
  <c r="A72" i="12" s="1"/>
  <c r="A72" i="13" s="1"/>
  <c r="A72" i="14" s="1"/>
  <c r="A72" i="15" s="1"/>
  <c r="A72" i="16" s="1"/>
  <c r="A73" i="6"/>
  <c r="A73" i="7" s="1"/>
  <c r="A73" i="8" s="1"/>
  <c r="A73" i="9" s="1"/>
  <c r="A73" i="10" s="1"/>
  <c r="A73" i="11" s="1"/>
  <c r="A73" i="12" s="1"/>
  <c r="A73" i="13" s="1"/>
  <c r="A73" i="14" s="1"/>
  <c r="A73" i="15" s="1"/>
  <c r="A73" i="16" s="1"/>
  <c r="A74" i="6"/>
  <c r="A74" i="7" s="1"/>
  <c r="A74" i="8" s="1"/>
  <c r="A74" i="9" s="1"/>
  <c r="A74" i="10" s="1"/>
  <c r="A74" i="11" s="1"/>
  <c r="A74" i="12" s="1"/>
  <c r="A74" i="13" s="1"/>
  <c r="A74" i="14" s="1"/>
  <c r="A74" i="15" s="1"/>
  <c r="A74" i="16" s="1"/>
  <c r="A75" i="6"/>
  <c r="A75" i="7" s="1"/>
  <c r="A75" i="8" s="1"/>
  <c r="A75" i="9" s="1"/>
  <c r="A75" i="10" s="1"/>
  <c r="A75" i="11" s="1"/>
  <c r="A75" i="12" s="1"/>
  <c r="A75" i="13" s="1"/>
  <c r="A75" i="14" s="1"/>
  <c r="A75" i="15" s="1"/>
  <c r="A75" i="16" s="1"/>
  <c r="A76" i="6"/>
  <c r="A76" i="7" s="1"/>
  <c r="A76" i="8" s="1"/>
  <c r="A76" i="9" s="1"/>
  <c r="A76" i="10" s="1"/>
  <c r="A76" i="11" s="1"/>
  <c r="A76" i="12" s="1"/>
  <c r="A76" i="13" s="1"/>
  <c r="A76" i="14" s="1"/>
  <c r="A76" i="15" s="1"/>
  <c r="A76" i="16" s="1"/>
  <c r="A77" i="6"/>
  <c r="A77" i="7" s="1"/>
  <c r="A77" i="8" s="1"/>
  <c r="A77" i="9" s="1"/>
  <c r="A77" i="10" s="1"/>
  <c r="A77" i="11" s="1"/>
  <c r="A77" i="12" s="1"/>
  <c r="A77" i="13" s="1"/>
  <c r="A77" i="14" s="1"/>
  <c r="A77" i="15" s="1"/>
  <c r="A77" i="16" s="1"/>
  <c r="A78" i="6"/>
  <c r="A78" i="7" s="1"/>
  <c r="A78" i="8" s="1"/>
  <c r="A78" i="9" s="1"/>
  <c r="A78" i="10" s="1"/>
  <c r="A78" i="11" s="1"/>
  <c r="A78" i="12" s="1"/>
  <c r="A78" i="13" s="1"/>
  <c r="A78" i="14" s="1"/>
  <c r="A78" i="15" s="1"/>
  <c r="A78" i="16" s="1"/>
  <c r="A79" i="6"/>
  <c r="A79" i="7" s="1"/>
  <c r="A79" i="8" s="1"/>
  <c r="A79" i="9" s="1"/>
  <c r="A79" i="10" s="1"/>
  <c r="A79" i="11" s="1"/>
  <c r="A79" i="12" s="1"/>
  <c r="A79" i="13" s="1"/>
  <c r="A79" i="14" s="1"/>
  <c r="A79" i="15" s="1"/>
  <c r="A79" i="16" s="1"/>
  <c r="A80" i="6"/>
  <c r="A80" i="7" s="1"/>
  <c r="A80" i="8" s="1"/>
  <c r="A80" i="9" s="1"/>
  <c r="A80" i="10" s="1"/>
  <c r="A80" i="11" s="1"/>
  <c r="A80" i="12" s="1"/>
  <c r="A80" i="13" s="1"/>
  <c r="A80" i="14" s="1"/>
  <c r="A80" i="15" s="1"/>
  <c r="A80" i="16" s="1"/>
  <c r="A81" i="6"/>
  <c r="A81" i="7" s="1"/>
  <c r="A81" i="8" s="1"/>
  <c r="A81" i="9" s="1"/>
  <c r="A81" i="10" s="1"/>
  <c r="A81" i="11" s="1"/>
  <c r="A81" i="12" s="1"/>
  <c r="A81" i="13" s="1"/>
  <c r="A81" i="14" s="1"/>
  <c r="A81" i="15" s="1"/>
  <c r="A81" i="16" s="1"/>
  <c r="A82" i="6"/>
  <c r="A82" i="7" s="1"/>
  <c r="A82" i="8" s="1"/>
  <c r="A82" i="9" s="1"/>
  <c r="A82" i="10" s="1"/>
  <c r="A82" i="11" s="1"/>
  <c r="A82" i="12" s="1"/>
  <c r="A82" i="13" s="1"/>
  <c r="A82" i="14" s="1"/>
  <c r="A82" i="15" s="1"/>
  <c r="A82" i="16" s="1"/>
  <c r="A83" i="6"/>
  <c r="A83" i="7" s="1"/>
  <c r="A83" i="8" s="1"/>
  <c r="A83" i="9" s="1"/>
  <c r="A83" i="10" s="1"/>
  <c r="A83" i="11" s="1"/>
  <c r="A83" i="12" s="1"/>
  <c r="A83" i="13" s="1"/>
  <c r="A83" i="14" s="1"/>
  <c r="A83" i="15" s="1"/>
  <c r="A83" i="16" s="1"/>
  <c r="S8" i="6"/>
  <c r="S8" i="7" s="1"/>
  <c r="S8" i="8" s="1"/>
  <c r="S8" i="9" s="1"/>
  <c r="S8" i="10" s="1"/>
  <c r="S8" i="11" s="1"/>
  <c r="S8" i="12" s="1"/>
  <c r="S8" i="13" s="1"/>
  <c r="S8" i="14" s="1"/>
  <c r="S8" i="15" s="1"/>
  <c r="S8" i="16" s="1"/>
  <c r="T8" i="6"/>
  <c r="T8" i="7" s="1"/>
  <c r="T8" i="8" s="1"/>
  <c r="T8" i="9" s="1"/>
  <c r="T8" i="10" s="1"/>
  <c r="T8" i="11" s="1"/>
  <c r="T8" i="12" s="1"/>
  <c r="T8" i="13" s="1"/>
  <c r="T8" i="14" s="1"/>
  <c r="T8" i="15" s="1"/>
  <c r="T8" i="16" s="1"/>
  <c r="S10" i="6"/>
  <c r="S10" i="7" s="1"/>
  <c r="S10" i="8" s="1"/>
  <c r="S10" i="9" s="1"/>
  <c r="S10" i="10" s="1"/>
  <c r="S10" i="11" s="1"/>
  <c r="S10" i="12" s="1"/>
  <c r="S10" i="13" s="1"/>
  <c r="S10" i="14" s="1"/>
  <c r="S10" i="15" s="1"/>
  <c r="S10" i="16" s="1"/>
  <c r="T10" i="6"/>
  <c r="T10" i="7" s="1"/>
  <c r="T10" i="8" s="1"/>
  <c r="T10" i="9" s="1"/>
  <c r="T10" i="10" s="1"/>
  <c r="T10" i="11" s="1"/>
  <c r="T10" i="12" s="1"/>
  <c r="T10" i="13" s="1"/>
  <c r="T10" i="14" s="1"/>
  <c r="T10" i="15" s="1"/>
  <c r="T10" i="16" s="1"/>
  <c r="S12" i="6"/>
  <c r="S12" i="7" s="1"/>
  <c r="S12" i="8" s="1"/>
  <c r="S12" i="9" s="1"/>
  <c r="S12" i="10" s="1"/>
  <c r="S12" i="11" s="1"/>
  <c r="S12" i="12" s="1"/>
  <c r="S12" i="13" s="1"/>
  <c r="S12" i="14" s="1"/>
  <c r="S12" i="15" s="1"/>
  <c r="S12" i="16" s="1"/>
  <c r="T12" i="6"/>
  <c r="T12" i="7" s="1"/>
  <c r="T12" i="8" s="1"/>
  <c r="T12" i="9" s="1"/>
  <c r="T12" i="10" s="1"/>
  <c r="T12" i="11" s="1"/>
  <c r="T12" i="12" s="1"/>
  <c r="T12" i="13" s="1"/>
  <c r="T12" i="14" s="1"/>
  <c r="T12" i="15" s="1"/>
  <c r="T12" i="16" s="1"/>
  <c r="S14" i="6"/>
  <c r="S14" i="7" s="1"/>
  <c r="S14" i="8" s="1"/>
  <c r="S14" i="9" s="1"/>
  <c r="S14" i="10" s="1"/>
  <c r="S14" i="11" s="1"/>
  <c r="S14" i="12" s="1"/>
  <c r="S14" i="13" s="1"/>
  <c r="S14" i="14" s="1"/>
  <c r="S14" i="15" s="1"/>
  <c r="S14" i="16" s="1"/>
  <c r="T14" i="6"/>
  <c r="T14" i="7" s="1"/>
  <c r="T14" i="8" s="1"/>
  <c r="T14" i="9" s="1"/>
  <c r="T14" i="10" s="1"/>
  <c r="T14" i="11" s="1"/>
  <c r="T14" i="12" s="1"/>
  <c r="T14" i="13" s="1"/>
  <c r="T14" i="14" s="1"/>
  <c r="T14" i="15" s="1"/>
  <c r="T14" i="16" s="1"/>
  <c r="S15" i="6"/>
  <c r="S15" i="7" s="1"/>
  <c r="S15" i="8" s="1"/>
  <c r="S15" i="9" s="1"/>
  <c r="S15" i="10" s="1"/>
  <c r="S15" i="11" s="1"/>
  <c r="S15" i="12" s="1"/>
  <c r="S15" i="13" s="1"/>
  <c r="S15" i="14" s="1"/>
  <c r="S15" i="15" s="1"/>
  <c r="S15" i="16" s="1"/>
  <c r="S16" i="6"/>
  <c r="S16" i="7" s="1"/>
  <c r="S16" i="8" s="1"/>
  <c r="S16" i="9" s="1"/>
  <c r="S16" i="10" s="1"/>
  <c r="S16" i="11" s="1"/>
  <c r="S16" i="12" s="1"/>
  <c r="S16" i="13" s="1"/>
  <c r="S16" i="14" s="1"/>
  <c r="S16" i="15" s="1"/>
  <c r="S16" i="16" s="1"/>
  <c r="T16" i="6"/>
  <c r="T16" i="7" s="1"/>
  <c r="T16" i="8" s="1"/>
  <c r="T16" i="9" s="1"/>
  <c r="T16" i="10" s="1"/>
  <c r="T16" i="11" s="1"/>
  <c r="T16" i="12" s="1"/>
  <c r="T16" i="13" s="1"/>
  <c r="T16" i="14" s="1"/>
  <c r="T16" i="15" s="1"/>
  <c r="T16" i="16" s="1"/>
  <c r="S17" i="6"/>
  <c r="S17" i="7" s="1"/>
  <c r="S17" i="8" s="1"/>
  <c r="S17" i="9" s="1"/>
  <c r="S17" i="10" s="1"/>
  <c r="S17" i="11" s="1"/>
  <c r="S17" i="12" s="1"/>
  <c r="S17" i="13" s="1"/>
  <c r="S17" i="14" s="1"/>
  <c r="S17" i="15" s="1"/>
  <c r="S17" i="16" s="1"/>
  <c r="T17" i="6"/>
  <c r="T17" i="7" s="1"/>
  <c r="T17" i="8" s="1"/>
  <c r="T17" i="9" s="1"/>
  <c r="T17" i="10" s="1"/>
  <c r="T17" i="11" s="1"/>
  <c r="T17" i="12" s="1"/>
  <c r="T17" i="13" s="1"/>
  <c r="T17" i="14" s="1"/>
  <c r="T17" i="15" s="1"/>
  <c r="T17" i="16" s="1"/>
  <c r="S18" i="6"/>
  <c r="S18" i="7" s="1"/>
  <c r="S18" i="8" s="1"/>
  <c r="S18" i="9" s="1"/>
  <c r="S18" i="10" s="1"/>
  <c r="S18" i="11" s="1"/>
  <c r="S18" i="12" s="1"/>
  <c r="S18" i="13" s="1"/>
  <c r="S18" i="14" s="1"/>
  <c r="S18" i="15" s="1"/>
  <c r="S18" i="16" s="1"/>
  <c r="T18" i="6"/>
  <c r="T18" i="7" s="1"/>
  <c r="T18" i="8" s="1"/>
  <c r="T18" i="9" s="1"/>
  <c r="T18" i="10" s="1"/>
  <c r="T18" i="11" s="1"/>
  <c r="T18" i="12" s="1"/>
  <c r="T18" i="13" s="1"/>
  <c r="T18" i="14" s="1"/>
  <c r="T18" i="15" s="1"/>
  <c r="T18" i="16" s="1"/>
  <c r="S19" i="6"/>
  <c r="S19" i="7" s="1"/>
  <c r="S19" i="8" s="1"/>
  <c r="S19" i="9" s="1"/>
  <c r="S19" i="10" s="1"/>
  <c r="S19" i="11" s="1"/>
  <c r="S19" i="12" s="1"/>
  <c r="S19" i="13" s="1"/>
  <c r="S19" i="14" s="1"/>
  <c r="S19" i="15" s="1"/>
  <c r="S19" i="16" s="1"/>
  <c r="T19" i="6"/>
  <c r="T19" i="7" s="1"/>
  <c r="T19" i="8" s="1"/>
  <c r="T19" i="9" s="1"/>
  <c r="T19" i="10" s="1"/>
  <c r="T19" i="11" s="1"/>
  <c r="T19" i="12" s="1"/>
  <c r="T19" i="13" s="1"/>
  <c r="T19" i="14" s="1"/>
  <c r="T19" i="15" s="1"/>
  <c r="T19" i="16" s="1"/>
  <c r="S20" i="6"/>
  <c r="S20" i="7" s="1"/>
  <c r="S20" i="8" s="1"/>
  <c r="S20" i="9" s="1"/>
  <c r="S20" i="10" s="1"/>
  <c r="S20" i="11" s="1"/>
  <c r="S20" i="12" s="1"/>
  <c r="S20" i="13" s="1"/>
  <c r="S20" i="14" s="1"/>
  <c r="S20" i="15" s="1"/>
  <c r="S20" i="16" s="1"/>
  <c r="T20" i="6"/>
  <c r="T20" i="7" s="1"/>
  <c r="T20" i="8" s="1"/>
  <c r="T20" i="9" s="1"/>
  <c r="T20" i="10" s="1"/>
  <c r="T20" i="11" s="1"/>
  <c r="T20" i="12" s="1"/>
  <c r="T20" i="13" s="1"/>
  <c r="T20" i="14" s="1"/>
  <c r="T20" i="15" s="1"/>
  <c r="T20" i="16" s="1"/>
  <c r="S21" i="6"/>
  <c r="S21" i="7" s="1"/>
  <c r="S21" i="8" s="1"/>
  <c r="S21" i="9" s="1"/>
  <c r="S21" i="10" s="1"/>
  <c r="S21" i="11" s="1"/>
  <c r="S21" i="12" s="1"/>
  <c r="S21" i="13" s="1"/>
  <c r="S21" i="14" s="1"/>
  <c r="S21" i="15" s="1"/>
  <c r="S21" i="16" s="1"/>
  <c r="T21" i="6"/>
  <c r="T21" i="7" s="1"/>
  <c r="T21" i="8" s="1"/>
  <c r="T21" i="9" s="1"/>
  <c r="T21" i="10" s="1"/>
  <c r="T21" i="11" s="1"/>
  <c r="T21" i="12" s="1"/>
  <c r="T21" i="13" s="1"/>
  <c r="T21" i="14" s="1"/>
  <c r="T21" i="15" s="1"/>
  <c r="T21" i="16" s="1"/>
  <c r="S22" i="6"/>
  <c r="S22" i="7" s="1"/>
  <c r="S22" i="8" s="1"/>
  <c r="S22" i="9" s="1"/>
  <c r="S22" i="10" s="1"/>
  <c r="S22" i="11" s="1"/>
  <c r="S22" i="12" s="1"/>
  <c r="S22" i="13" s="1"/>
  <c r="S22" i="14" s="1"/>
  <c r="S22" i="15" s="1"/>
  <c r="S22" i="16" s="1"/>
  <c r="T22" i="6"/>
  <c r="T22" i="7" s="1"/>
  <c r="T22" i="8" s="1"/>
  <c r="T22" i="9" s="1"/>
  <c r="T22" i="10" s="1"/>
  <c r="T22" i="11" s="1"/>
  <c r="T22" i="12" s="1"/>
  <c r="T22" i="13" s="1"/>
  <c r="T22" i="14" s="1"/>
  <c r="T22" i="15" s="1"/>
  <c r="T22" i="16" s="1"/>
  <c r="S23" i="6"/>
  <c r="S23" i="7" s="1"/>
  <c r="S23" i="8" s="1"/>
  <c r="S23" i="9" s="1"/>
  <c r="S23" i="10" s="1"/>
  <c r="S23" i="11" s="1"/>
  <c r="S23" i="12" s="1"/>
  <c r="S23" i="13" s="1"/>
  <c r="S23" i="14" s="1"/>
  <c r="S23" i="15" s="1"/>
  <c r="S23" i="16" s="1"/>
  <c r="T23" i="6"/>
  <c r="T23" i="7" s="1"/>
  <c r="T23" i="8" s="1"/>
  <c r="T23" i="9" s="1"/>
  <c r="T23" i="10" s="1"/>
  <c r="T23" i="11" s="1"/>
  <c r="T23" i="12" s="1"/>
  <c r="T23" i="13" s="1"/>
  <c r="T23" i="14" s="1"/>
  <c r="T23" i="15" s="1"/>
  <c r="T23" i="16" s="1"/>
  <c r="S24" i="6"/>
  <c r="S24" i="7" s="1"/>
  <c r="S24" i="8" s="1"/>
  <c r="S24" i="9" s="1"/>
  <c r="S24" i="10" s="1"/>
  <c r="S24" i="11" s="1"/>
  <c r="S24" i="12" s="1"/>
  <c r="S24" i="13" s="1"/>
  <c r="S24" i="14" s="1"/>
  <c r="S24" i="15" s="1"/>
  <c r="S24" i="16" s="1"/>
  <c r="T24" i="6"/>
  <c r="T24" i="7" s="1"/>
  <c r="T24" i="8" s="1"/>
  <c r="T24" i="9" s="1"/>
  <c r="T24" i="10" s="1"/>
  <c r="T24" i="11" s="1"/>
  <c r="T24" i="12" s="1"/>
  <c r="T24" i="13" s="1"/>
  <c r="T24" i="14" s="1"/>
  <c r="T24" i="15" s="1"/>
  <c r="T24" i="16" s="1"/>
  <c r="S25" i="6"/>
  <c r="S25" i="7" s="1"/>
  <c r="S25" i="8" s="1"/>
  <c r="S25" i="9" s="1"/>
  <c r="S25" i="10" s="1"/>
  <c r="S25" i="11" s="1"/>
  <c r="S25" i="12" s="1"/>
  <c r="S25" i="13" s="1"/>
  <c r="S25" i="14" s="1"/>
  <c r="S25" i="15" s="1"/>
  <c r="S25" i="16" s="1"/>
  <c r="T25" i="6"/>
  <c r="T25" i="7" s="1"/>
  <c r="T25" i="8" s="1"/>
  <c r="T25" i="9" s="1"/>
  <c r="T25" i="10" s="1"/>
  <c r="T25" i="11" s="1"/>
  <c r="T25" i="12" s="1"/>
  <c r="T25" i="13" s="1"/>
  <c r="T25" i="14" s="1"/>
  <c r="T25" i="15" s="1"/>
  <c r="T25" i="16" s="1"/>
  <c r="S26" i="6"/>
  <c r="S26" i="7" s="1"/>
  <c r="S26" i="8" s="1"/>
  <c r="S26" i="9" s="1"/>
  <c r="S26" i="10" s="1"/>
  <c r="S26" i="11" s="1"/>
  <c r="S26" i="12" s="1"/>
  <c r="S26" i="13" s="1"/>
  <c r="S26" i="14" s="1"/>
  <c r="S26" i="15" s="1"/>
  <c r="S26" i="16" s="1"/>
  <c r="T26" i="6"/>
  <c r="T26" i="7" s="1"/>
  <c r="T26" i="8" s="1"/>
  <c r="T26" i="9" s="1"/>
  <c r="T26" i="10" s="1"/>
  <c r="T26" i="11" s="1"/>
  <c r="T26" i="12" s="1"/>
  <c r="T26" i="13" s="1"/>
  <c r="T26" i="14" s="1"/>
  <c r="T26" i="15" s="1"/>
  <c r="T26" i="16" s="1"/>
  <c r="S27" i="6"/>
  <c r="S27" i="7" s="1"/>
  <c r="S27" i="8" s="1"/>
  <c r="S27" i="9" s="1"/>
  <c r="S27" i="10" s="1"/>
  <c r="S27" i="11" s="1"/>
  <c r="S27" i="12" s="1"/>
  <c r="S27" i="13" s="1"/>
  <c r="S27" i="14" s="1"/>
  <c r="S27" i="15" s="1"/>
  <c r="S27" i="16" s="1"/>
  <c r="T27" i="6"/>
  <c r="T27" i="7" s="1"/>
  <c r="T27" i="8" s="1"/>
  <c r="T27" i="9" s="1"/>
  <c r="T27" i="10" s="1"/>
  <c r="T27" i="11" s="1"/>
  <c r="T27" i="12" s="1"/>
  <c r="T27" i="13" s="1"/>
  <c r="T27" i="14" s="1"/>
  <c r="T27" i="15" s="1"/>
  <c r="T27" i="16" s="1"/>
  <c r="S28" i="6"/>
  <c r="S28" i="7" s="1"/>
  <c r="S28" i="8" s="1"/>
  <c r="S28" i="9" s="1"/>
  <c r="S28" i="10" s="1"/>
  <c r="S28" i="11" s="1"/>
  <c r="S28" i="12" s="1"/>
  <c r="S28" i="13" s="1"/>
  <c r="S28" i="14" s="1"/>
  <c r="S28" i="15" s="1"/>
  <c r="S28" i="16" s="1"/>
  <c r="T28" i="6"/>
  <c r="T28" i="7" s="1"/>
  <c r="T28" i="8" s="1"/>
  <c r="T28" i="9" s="1"/>
  <c r="T28" i="10" s="1"/>
  <c r="T28" i="11" s="1"/>
  <c r="T28" i="12" s="1"/>
  <c r="T28" i="13" s="1"/>
  <c r="T28" i="14" s="1"/>
  <c r="T28" i="15" s="1"/>
  <c r="T28" i="16" s="1"/>
  <c r="S29" i="6"/>
  <c r="S29" i="7" s="1"/>
  <c r="S29" i="8" s="1"/>
  <c r="S29" i="9" s="1"/>
  <c r="S29" i="10" s="1"/>
  <c r="S29" i="11" s="1"/>
  <c r="S29" i="12" s="1"/>
  <c r="S29" i="13" s="1"/>
  <c r="S29" i="14" s="1"/>
  <c r="S29" i="15" s="1"/>
  <c r="S29" i="16" s="1"/>
  <c r="T29" i="6"/>
  <c r="T29" i="7" s="1"/>
  <c r="T29" i="8" s="1"/>
  <c r="T29" i="9" s="1"/>
  <c r="T29" i="10" s="1"/>
  <c r="T29" i="11" s="1"/>
  <c r="T29" i="12" s="1"/>
  <c r="T29" i="13" s="1"/>
  <c r="T29" i="14" s="1"/>
  <c r="T29" i="15" s="1"/>
  <c r="T29" i="16" s="1"/>
  <c r="S30" i="6"/>
  <c r="S30" i="7" s="1"/>
  <c r="S30" i="8" s="1"/>
  <c r="S30" i="9" s="1"/>
  <c r="S30" i="10" s="1"/>
  <c r="S30" i="11" s="1"/>
  <c r="S30" i="12" s="1"/>
  <c r="S30" i="13" s="1"/>
  <c r="S30" i="14" s="1"/>
  <c r="S30" i="15" s="1"/>
  <c r="S30" i="16" s="1"/>
  <c r="T30" i="6"/>
  <c r="T30" i="7" s="1"/>
  <c r="T30" i="8" s="1"/>
  <c r="T30" i="9" s="1"/>
  <c r="T30" i="10" s="1"/>
  <c r="T30" i="11" s="1"/>
  <c r="T30" i="12" s="1"/>
  <c r="T30" i="13" s="1"/>
  <c r="T30" i="14" s="1"/>
  <c r="T30" i="15" s="1"/>
  <c r="T30" i="16" s="1"/>
  <c r="S31" i="6"/>
  <c r="S31" i="7" s="1"/>
  <c r="S31" i="8" s="1"/>
  <c r="S31" i="9" s="1"/>
  <c r="S31" i="10" s="1"/>
  <c r="S31" i="11" s="1"/>
  <c r="S31" i="12" s="1"/>
  <c r="S31" i="13" s="1"/>
  <c r="S31" i="14" s="1"/>
  <c r="S31" i="15" s="1"/>
  <c r="S31" i="16" s="1"/>
  <c r="T31" i="6"/>
  <c r="T31" i="7" s="1"/>
  <c r="T31" i="8" s="1"/>
  <c r="T31" i="9" s="1"/>
  <c r="T31" i="10" s="1"/>
  <c r="T31" i="11" s="1"/>
  <c r="T31" i="12" s="1"/>
  <c r="T31" i="13" s="1"/>
  <c r="T31" i="14" s="1"/>
  <c r="T31" i="15" s="1"/>
  <c r="T31" i="16" s="1"/>
  <c r="S32" i="6"/>
  <c r="S32" i="7" s="1"/>
  <c r="S32" i="8" s="1"/>
  <c r="S32" i="9" s="1"/>
  <c r="S32" i="10" s="1"/>
  <c r="S32" i="11" s="1"/>
  <c r="S32" i="12" s="1"/>
  <c r="S32" i="13" s="1"/>
  <c r="S32" i="14" s="1"/>
  <c r="S32" i="15" s="1"/>
  <c r="S32" i="16" s="1"/>
  <c r="T32" i="6"/>
  <c r="T32" i="7" s="1"/>
  <c r="T32" i="8" s="1"/>
  <c r="T32" i="9" s="1"/>
  <c r="T32" i="10" s="1"/>
  <c r="T32" i="11" s="1"/>
  <c r="T32" i="12" s="1"/>
  <c r="T32" i="13" s="1"/>
  <c r="T32" i="14" s="1"/>
  <c r="T32" i="15" s="1"/>
  <c r="T32" i="16" s="1"/>
  <c r="S33" i="6"/>
  <c r="S33" i="7" s="1"/>
  <c r="S33" i="8" s="1"/>
  <c r="S33" i="9" s="1"/>
  <c r="S33" i="10" s="1"/>
  <c r="S33" i="11" s="1"/>
  <c r="S33" i="12" s="1"/>
  <c r="S33" i="13" s="1"/>
  <c r="S33" i="14" s="1"/>
  <c r="S33" i="15" s="1"/>
  <c r="S33" i="16" s="1"/>
  <c r="T33" i="6"/>
  <c r="T33" i="7" s="1"/>
  <c r="T33" i="8" s="1"/>
  <c r="T33" i="9" s="1"/>
  <c r="T33" i="10" s="1"/>
  <c r="T33" i="11" s="1"/>
  <c r="T33" i="12" s="1"/>
  <c r="T33" i="13" s="1"/>
  <c r="T33" i="14" s="1"/>
  <c r="T33" i="15" s="1"/>
  <c r="T33" i="16" s="1"/>
  <c r="S34" i="6"/>
  <c r="S34" i="7" s="1"/>
  <c r="S34" i="8" s="1"/>
  <c r="S34" i="9" s="1"/>
  <c r="S34" i="10" s="1"/>
  <c r="S34" i="11" s="1"/>
  <c r="S34" i="12" s="1"/>
  <c r="S34" i="13" s="1"/>
  <c r="S34" i="14" s="1"/>
  <c r="S34" i="15" s="1"/>
  <c r="S34" i="16" s="1"/>
  <c r="T34" i="6"/>
  <c r="T34" i="7" s="1"/>
  <c r="T34" i="8" s="1"/>
  <c r="T34" i="9" s="1"/>
  <c r="T34" i="10" s="1"/>
  <c r="T34" i="11" s="1"/>
  <c r="T34" i="12" s="1"/>
  <c r="T34" i="13" s="1"/>
  <c r="T34" i="14" s="1"/>
  <c r="T34" i="15" s="1"/>
  <c r="T34" i="16" s="1"/>
  <c r="S35" i="6"/>
  <c r="S35" i="7" s="1"/>
  <c r="S35" i="8" s="1"/>
  <c r="S35" i="9" s="1"/>
  <c r="S35" i="10" s="1"/>
  <c r="S35" i="11" s="1"/>
  <c r="S35" i="12" s="1"/>
  <c r="S35" i="13" s="1"/>
  <c r="S35" i="14" s="1"/>
  <c r="S35" i="15" s="1"/>
  <c r="S35" i="16" s="1"/>
  <c r="T35" i="6"/>
  <c r="T35" i="7" s="1"/>
  <c r="T35" i="8" s="1"/>
  <c r="T35" i="9" s="1"/>
  <c r="T35" i="10" s="1"/>
  <c r="T35" i="11" s="1"/>
  <c r="T35" i="12" s="1"/>
  <c r="T35" i="13" s="1"/>
  <c r="T35" i="14" s="1"/>
  <c r="T35" i="15" s="1"/>
  <c r="T35" i="16" s="1"/>
  <c r="S36" i="6"/>
  <c r="S36" i="7" s="1"/>
  <c r="S36" i="8" s="1"/>
  <c r="S36" i="9" s="1"/>
  <c r="S36" i="10" s="1"/>
  <c r="S36" i="11" s="1"/>
  <c r="S36" i="12" s="1"/>
  <c r="S36" i="13" s="1"/>
  <c r="S36" i="14" s="1"/>
  <c r="S36" i="15" s="1"/>
  <c r="S36" i="16" s="1"/>
  <c r="T36" i="6"/>
  <c r="T36" i="7" s="1"/>
  <c r="T36" i="8" s="1"/>
  <c r="T36" i="9" s="1"/>
  <c r="T36" i="10" s="1"/>
  <c r="T36" i="11" s="1"/>
  <c r="T36" i="12" s="1"/>
  <c r="T36" i="13" s="1"/>
  <c r="T36" i="14" s="1"/>
  <c r="T36" i="15" s="1"/>
  <c r="T36" i="16" s="1"/>
  <c r="S37" i="6"/>
  <c r="S37" i="7" s="1"/>
  <c r="S37" i="8" s="1"/>
  <c r="S37" i="9" s="1"/>
  <c r="S37" i="10" s="1"/>
  <c r="S37" i="11" s="1"/>
  <c r="S37" i="12" s="1"/>
  <c r="S37" i="13" s="1"/>
  <c r="S37" i="14" s="1"/>
  <c r="S37" i="15" s="1"/>
  <c r="S37" i="16" s="1"/>
  <c r="T37" i="6"/>
  <c r="T37" i="7" s="1"/>
  <c r="T37" i="8" s="1"/>
  <c r="T37" i="9" s="1"/>
  <c r="T37" i="10" s="1"/>
  <c r="T37" i="11" s="1"/>
  <c r="T37" i="12" s="1"/>
  <c r="T37" i="13" s="1"/>
  <c r="T37" i="14" s="1"/>
  <c r="T37" i="15" s="1"/>
  <c r="T37" i="16" s="1"/>
  <c r="S38" i="6"/>
  <c r="S38" i="7" s="1"/>
  <c r="S38" i="8" s="1"/>
  <c r="S38" i="9" s="1"/>
  <c r="S38" i="10" s="1"/>
  <c r="S38" i="11" s="1"/>
  <c r="S38" i="12" s="1"/>
  <c r="S38" i="13" s="1"/>
  <c r="S38" i="14" s="1"/>
  <c r="S38" i="15" s="1"/>
  <c r="S38" i="16" s="1"/>
  <c r="T38" i="6"/>
  <c r="T38" i="7" s="1"/>
  <c r="T38" i="8" s="1"/>
  <c r="T38" i="9" s="1"/>
  <c r="T38" i="10" s="1"/>
  <c r="T38" i="11" s="1"/>
  <c r="T38" i="12" s="1"/>
  <c r="T38" i="13" s="1"/>
  <c r="T38" i="14" s="1"/>
  <c r="T38" i="15" s="1"/>
  <c r="T38" i="16" s="1"/>
  <c r="S39" i="6"/>
  <c r="S39" i="7" s="1"/>
  <c r="S39" i="8" s="1"/>
  <c r="S39" i="9" s="1"/>
  <c r="S39" i="10" s="1"/>
  <c r="S39" i="11" s="1"/>
  <c r="S39" i="12" s="1"/>
  <c r="S39" i="13" s="1"/>
  <c r="S39" i="14" s="1"/>
  <c r="S39" i="15" s="1"/>
  <c r="S39" i="16" s="1"/>
  <c r="T39" i="6"/>
  <c r="T39" i="7" s="1"/>
  <c r="T39" i="8" s="1"/>
  <c r="T39" i="9" s="1"/>
  <c r="T39" i="10" s="1"/>
  <c r="T39" i="11" s="1"/>
  <c r="T39" i="12" s="1"/>
  <c r="T39" i="13" s="1"/>
  <c r="T39" i="14" s="1"/>
  <c r="T39" i="15" s="1"/>
  <c r="T39" i="16" s="1"/>
  <c r="S40" i="6"/>
  <c r="S40" i="7" s="1"/>
  <c r="S40" i="8" s="1"/>
  <c r="S40" i="9" s="1"/>
  <c r="S40" i="10" s="1"/>
  <c r="S40" i="11" s="1"/>
  <c r="S40" i="12" s="1"/>
  <c r="S40" i="13" s="1"/>
  <c r="S40" i="14" s="1"/>
  <c r="S40" i="15" s="1"/>
  <c r="S40" i="16" s="1"/>
  <c r="T40" i="6"/>
  <c r="T40" i="7" s="1"/>
  <c r="T40" i="8" s="1"/>
  <c r="T40" i="9" s="1"/>
  <c r="T40" i="10" s="1"/>
  <c r="T40" i="11" s="1"/>
  <c r="T40" i="12" s="1"/>
  <c r="T40" i="13" s="1"/>
  <c r="T40" i="14" s="1"/>
  <c r="T40" i="15" s="1"/>
  <c r="T40" i="16" s="1"/>
  <c r="S41" i="6"/>
  <c r="S41" i="7" s="1"/>
  <c r="S41" i="8" s="1"/>
  <c r="S41" i="9" s="1"/>
  <c r="S41" i="10" s="1"/>
  <c r="S41" i="11" s="1"/>
  <c r="S41" i="12" s="1"/>
  <c r="S41" i="13" s="1"/>
  <c r="S41" i="14" s="1"/>
  <c r="S41" i="15" s="1"/>
  <c r="S41" i="16" s="1"/>
  <c r="T41" i="6"/>
  <c r="T41" i="7" s="1"/>
  <c r="T41" i="8" s="1"/>
  <c r="T41" i="9" s="1"/>
  <c r="T41" i="10" s="1"/>
  <c r="T41" i="11" s="1"/>
  <c r="T41" i="12" s="1"/>
  <c r="T41" i="13" s="1"/>
  <c r="T41" i="14" s="1"/>
  <c r="T41" i="15" s="1"/>
  <c r="T41" i="16" s="1"/>
  <c r="S42" i="6"/>
  <c r="S42" i="7" s="1"/>
  <c r="S42" i="8" s="1"/>
  <c r="S42" i="9" s="1"/>
  <c r="S42" i="10" s="1"/>
  <c r="S42" i="11" s="1"/>
  <c r="S42" i="12" s="1"/>
  <c r="S42" i="13" s="1"/>
  <c r="S42" i="14" s="1"/>
  <c r="S42" i="15" s="1"/>
  <c r="S42" i="16" s="1"/>
  <c r="T42" i="6"/>
  <c r="T42" i="7" s="1"/>
  <c r="T42" i="8" s="1"/>
  <c r="T42" i="9" s="1"/>
  <c r="T42" i="10" s="1"/>
  <c r="T42" i="11" s="1"/>
  <c r="T42" i="12" s="1"/>
  <c r="T42" i="13" s="1"/>
  <c r="T42" i="14" s="1"/>
  <c r="T42" i="15" s="1"/>
  <c r="T42" i="16" s="1"/>
  <c r="S43" i="6"/>
  <c r="S43" i="7" s="1"/>
  <c r="S43" i="8" s="1"/>
  <c r="S43" i="9" s="1"/>
  <c r="S43" i="10" s="1"/>
  <c r="S43" i="11" s="1"/>
  <c r="S43" i="12" s="1"/>
  <c r="S43" i="13" s="1"/>
  <c r="S43" i="14" s="1"/>
  <c r="S43" i="15" s="1"/>
  <c r="S43" i="16" s="1"/>
  <c r="T43" i="6"/>
  <c r="T43" i="7" s="1"/>
  <c r="T43" i="8" s="1"/>
  <c r="T43" i="9" s="1"/>
  <c r="T43" i="10" s="1"/>
  <c r="T43" i="11" s="1"/>
  <c r="T43" i="12" s="1"/>
  <c r="T43" i="13" s="1"/>
  <c r="T43" i="14" s="1"/>
  <c r="T43" i="15" s="1"/>
  <c r="T43" i="16" s="1"/>
  <c r="S44" i="6"/>
  <c r="S44" i="7" s="1"/>
  <c r="S44" i="8" s="1"/>
  <c r="S44" i="9" s="1"/>
  <c r="S44" i="10" s="1"/>
  <c r="S44" i="11" s="1"/>
  <c r="S44" i="12" s="1"/>
  <c r="S44" i="13" s="1"/>
  <c r="S44" i="14" s="1"/>
  <c r="S44" i="15" s="1"/>
  <c r="S44" i="16" s="1"/>
  <c r="T44" i="6"/>
  <c r="T44" i="7" s="1"/>
  <c r="T44" i="8" s="1"/>
  <c r="T44" i="9" s="1"/>
  <c r="T44" i="10" s="1"/>
  <c r="T44" i="11" s="1"/>
  <c r="T44" i="12" s="1"/>
  <c r="T44" i="13" s="1"/>
  <c r="T44" i="14" s="1"/>
  <c r="T44" i="15" s="1"/>
  <c r="T44" i="16" s="1"/>
  <c r="S45" i="6"/>
  <c r="S45" i="7" s="1"/>
  <c r="S45" i="8" s="1"/>
  <c r="S45" i="9" s="1"/>
  <c r="S45" i="10" s="1"/>
  <c r="S45" i="11" s="1"/>
  <c r="S45" i="12" s="1"/>
  <c r="S45" i="13" s="1"/>
  <c r="S45" i="14" s="1"/>
  <c r="S45" i="15" s="1"/>
  <c r="S45" i="16" s="1"/>
  <c r="T45" i="6"/>
  <c r="T45" i="7" s="1"/>
  <c r="T45" i="8" s="1"/>
  <c r="T45" i="9" s="1"/>
  <c r="T45" i="10" s="1"/>
  <c r="T45" i="11" s="1"/>
  <c r="T45" i="12" s="1"/>
  <c r="T45" i="13" s="1"/>
  <c r="T45" i="14" s="1"/>
  <c r="T45" i="15" s="1"/>
  <c r="T45" i="16" s="1"/>
  <c r="S46" i="6"/>
  <c r="S46" i="7" s="1"/>
  <c r="S46" i="8" s="1"/>
  <c r="S46" i="9" s="1"/>
  <c r="S46" i="10" s="1"/>
  <c r="S46" i="11" s="1"/>
  <c r="S46" i="12" s="1"/>
  <c r="S46" i="13" s="1"/>
  <c r="S46" i="14" s="1"/>
  <c r="S46" i="15" s="1"/>
  <c r="S46" i="16" s="1"/>
  <c r="T46" i="6"/>
  <c r="T46" i="7" s="1"/>
  <c r="T46" i="8" s="1"/>
  <c r="T46" i="9" s="1"/>
  <c r="T46" i="10" s="1"/>
  <c r="T46" i="11" s="1"/>
  <c r="T46" i="12" s="1"/>
  <c r="T46" i="13" s="1"/>
  <c r="T46" i="14" s="1"/>
  <c r="T46" i="15" s="1"/>
  <c r="T46" i="16" s="1"/>
  <c r="S47" i="6"/>
  <c r="S47" i="7" s="1"/>
  <c r="S47" i="8" s="1"/>
  <c r="S47" i="9" s="1"/>
  <c r="S47" i="10" s="1"/>
  <c r="S47" i="11" s="1"/>
  <c r="S47" i="12" s="1"/>
  <c r="S47" i="13" s="1"/>
  <c r="S47" i="14" s="1"/>
  <c r="S47" i="15" s="1"/>
  <c r="S47" i="16" s="1"/>
  <c r="T47" i="6"/>
  <c r="T47" i="7" s="1"/>
  <c r="T47" i="8" s="1"/>
  <c r="T47" i="9" s="1"/>
  <c r="T47" i="10" s="1"/>
  <c r="T47" i="11" s="1"/>
  <c r="T47" i="12" s="1"/>
  <c r="T47" i="13" s="1"/>
  <c r="T47" i="14" s="1"/>
  <c r="T47" i="15" s="1"/>
  <c r="T47" i="16" s="1"/>
  <c r="S48" i="6"/>
  <c r="S48" i="7" s="1"/>
  <c r="S48" i="8" s="1"/>
  <c r="S48" i="9" s="1"/>
  <c r="S48" i="10" s="1"/>
  <c r="S48" i="11" s="1"/>
  <c r="S48" i="12" s="1"/>
  <c r="S48" i="13" s="1"/>
  <c r="S48" i="14" s="1"/>
  <c r="S48" i="15" s="1"/>
  <c r="S48" i="16" s="1"/>
  <c r="T48" i="6"/>
  <c r="T48" i="7" s="1"/>
  <c r="T48" i="8" s="1"/>
  <c r="T48" i="9" s="1"/>
  <c r="T48" i="10" s="1"/>
  <c r="T48" i="11" s="1"/>
  <c r="T48" i="12" s="1"/>
  <c r="T48" i="13" s="1"/>
  <c r="T48" i="14" s="1"/>
  <c r="T48" i="15" s="1"/>
  <c r="T48" i="16" s="1"/>
  <c r="S49" i="6"/>
  <c r="S49" i="7" s="1"/>
  <c r="S49" i="8" s="1"/>
  <c r="S49" i="9" s="1"/>
  <c r="S49" i="10" s="1"/>
  <c r="S49" i="11" s="1"/>
  <c r="S49" i="12" s="1"/>
  <c r="S49" i="13" s="1"/>
  <c r="S49" i="14" s="1"/>
  <c r="S49" i="15" s="1"/>
  <c r="S49" i="16" s="1"/>
  <c r="T49" i="6"/>
  <c r="T49" i="7" s="1"/>
  <c r="T49" i="8" s="1"/>
  <c r="T49" i="9" s="1"/>
  <c r="T49" i="10" s="1"/>
  <c r="T49" i="11" s="1"/>
  <c r="T49" i="12" s="1"/>
  <c r="T49" i="13" s="1"/>
  <c r="T49" i="14" s="1"/>
  <c r="T49" i="15" s="1"/>
  <c r="T49" i="16" s="1"/>
  <c r="S50" i="6"/>
  <c r="S50" i="7" s="1"/>
  <c r="S50" i="8" s="1"/>
  <c r="S50" i="9" s="1"/>
  <c r="S50" i="10" s="1"/>
  <c r="S50" i="11" s="1"/>
  <c r="S50" i="12" s="1"/>
  <c r="S50" i="13" s="1"/>
  <c r="S50" i="14" s="1"/>
  <c r="S50" i="15" s="1"/>
  <c r="S50" i="16" s="1"/>
  <c r="T50" i="6"/>
  <c r="T50" i="7" s="1"/>
  <c r="T50" i="8" s="1"/>
  <c r="T50" i="9" s="1"/>
  <c r="T50" i="10" s="1"/>
  <c r="T50" i="11" s="1"/>
  <c r="T50" i="12" s="1"/>
  <c r="T50" i="13" s="1"/>
  <c r="T50" i="14" s="1"/>
  <c r="T50" i="15" s="1"/>
  <c r="T50" i="16" s="1"/>
  <c r="S51" i="6"/>
  <c r="S51" i="7" s="1"/>
  <c r="S51" i="8" s="1"/>
  <c r="S51" i="9" s="1"/>
  <c r="S51" i="10" s="1"/>
  <c r="S51" i="11" s="1"/>
  <c r="S51" i="12" s="1"/>
  <c r="S51" i="13" s="1"/>
  <c r="S51" i="14" s="1"/>
  <c r="S51" i="15" s="1"/>
  <c r="S51" i="16" s="1"/>
  <c r="T51" i="6"/>
  <c r="T51" i="7" s="1"/>
  <c r="T51" i="8" s="1"/>
  <c r="T51" i="9" s="1"/>
  <c r="T51" i="10" s="1"/>
  <c r="T51" i="11" s="1"/>
  <c r="T51" i="12" s="1"/>
  <c r="T51" i="13" s="1"/>
  <c r="T51" i="14" s="1"/>
  <c r="T51" i="15" s="1"/>
  <c r="T51" i="16" s="1"/>
  <c r="S52" i="6"/>
  <c r="S52" i="7" s="1"/>
  <c r="S52" i="8" s="1"/>
  <c r="S52" i="9" s="1"/>
  <c r="S52" i="10" s="1"/>
  <c r="S52" i="11" s="1"/>
  <c r="S52" i="12" s="1"/>
  <c r="S52" i="13" s="1"/>
  <c r="S52" i="14" s="1"/>
  <c r="S52" i="15" s="1"/>
  <c r="S52" i="16" s="1"/>
  <c r="T52" i="6"/>
  <c r="T52" i="7" s="1"/>
  <c r="T52" i="8" s="1"/>
  <c r="T52" i="9" s="1"/>
  <c r="T52" i="10" s="1"/>
  <c r="T52" i="11" s="1"/>
  <c r="T52" i="12" s="1"/>
  <c r="T52" i="13" s="1"/>
  <c r="T52" i="14" s="1"/>
  <c r="T52" i="15" s="1"/>
  <c r="T52" i="16" s="1"/>
  <c r="S53" i="6"/>
  <c r="S53" i="7" s="1"/>
  <c r="S53" i="8" s="1"/>
  <c r="S53" i="9" s="1"/>
  <c r="S53" i="10" s="1"/>
  <c r="S53" i="11" s="1"/>
  <c r="S53" i="12" s="1"/>
  <c r="S53" i="13" s="1"/>
  <c r="S53" i="14" s="1"/>
  <c r="S53" i="15" s="1"/>
  <c r="S53" i="16" s="1"/>
  <c r="T53" i="6"/>
  <c r="T53" i="7" s="1"/>
  <c r="T53" i="8" s="1"/>
  <c r="T53" i="9" s="1"/>
  <c r="T53" i="10" s="1"/>
  <c r="T53" i="11" s="1"/>
  <c r="T53" i="12" s="1"/>
  <c r="T53" i="13" s="1"/>
  <c r="T53" i="14" s="1"/>
  <c r="T53" i="15" s="1"/>
  <c r="T53" i="16" s="1"/>
  <c r="S54" i="6"/>
  <c r="S54" i="7" s="1"/>
  <c r="S54" i="8" s="1"/>
  <c r="S54" i="9" s="1"/>
  <c r="S54" i="10" s="1"/>
  <c r="S54" i="11" s="1"/>
  <c r="S54" i="12" s="1"/>
  <c r="S54" i="13" s="1"/>
  <c r="S54" i="14" s="1"/>
  <c r="S54" i="15" s="1"/>
  <c r="S54" i="16" s="1"/>
  <c r="T54" i="6"/>
  <c r="T54" i="7" s="1"/>
  <c r="T54" i="8" s="1"/>
  <c r="T54" i="9" s="1"/>
  <c r="T54" i="10" s="1"/>
  <c r="T54" i="11" s="1"/>
  <c r="T54" i="12" s="1"/>
  <c r="T54" i="13" s="1"/>
  <c r="T54" i="14" s="1"/>
  <c r="T54" i="15" s="1"/>
  <c r="T54" i="16" s="1"/>
  <c r="S55" i="6"/>
  <c r="S55" i="7" s="1"/>
  <c r="S55" i="8" s="1"/>
  <c r="S55" i="9" s="1"/>
  <c r="S55" i="10" s="1"/>
  <c r="S55" i="11" s="1"/>
  <c r="S55" i="12" s="1"/>
  <c r="S55" i="13" s="1"/>
  <c r="S55" i="14" s="1"/>
  <c r="S55" i="15" s="1"/>
  <c r="S55" i="16" s="1"/>
  <c r="T55" i="6"/>
  <c r="T55" i="7" s="1"/>
  <c r="T55" i="8" s="1"/>
  <c r="T55" i="9" s="1"/>
  <c r="T55" i="10" s="1"/>
  <c r="T55" i="11" s="1"/>
  <c r="T55" i="12" s="1"/>
  <c r="T55" i="13" s="1"/>
  <c r="T55" i="14" s="1"/>
  <c r="T55" i="15" s="1"/>
  <c r="T55" i="16" s="1"/>
  <c r="S56" i="6"/>
  <c r="S56" i="7" s="1"/>
  <c r="S56" i="8" s="1"/>
  <c r="S56" i="9" s="1"/>
  <c r="S56" i="10" s="1"/>
  <c r="S56" i="11" s="1"/>
  <c r="S56" i="12" s="1"/>
  <c r="S56" i="13" s="1"/>
  <c r="S56" i="14" s="1"/>
  <c r="S56" i="15" s="1"/>
  <c r="S56" i="16" s="1"/>
  <c r="T56" i="6"/>
  <c r="T56" i="7" s="1"/>
  <c r="T56" i="8" s="1"/>
  <c r="T56" i="9" s="1"/>
  <c r="T56" i="10" s="1"/>
  <c r="T56" i="11" s="1"/>
  <c r="T56" i="12" s="1"/>
  <c r="T56" i="13" s="1"/>
  <c r="T56" i="14" s="1"/>
  <c r="T56" i="15" s="1"/>
  <c r="T56" i="16" s="1"/>
  <c r="S57" i="6"/>
  <c r="S57" i="7" s="1"/>
  <c r="S57" i="8" s="1"/>
  <c r="S57" i="9" s="1"/>
  <c r="S57" i="10" s="1"/>
  <c r="S57" i="11" s="1"/>
  <c r="S57" i="12" s="1"/>
  <c r="S57" i="13" s="1"/>
  <c r="S57" i="14" s="1"/>
  <c r="S57" i="15" s="1"/>
  <c r="S57" i="16" s="1"/>
  <c r="T57" i="6"/>
  <c r="T57" i="7" s="1"/>
  <c r="T57" i="8" s="1"/>
  <c r="T57" i="9" s="1"/>
  <c r="T57" i="10" s="1"/>
  <c r="T57" i="11" s="1"/>
  <c r="T57" i="12" s="1"/>
  <c r="T57" i="13" s="1"/>
  <c r="T57" i="14" s="1"/>
  <c r="T57" i="15" s="1"/>
  <c r="T57" i="16" s="1"/>
  <c r="S58" i="6"/>
  <c r="S58" i="7" s="1"/>
  <c r="S58" i="8" s="1"/>
  <c r="S58" i="9" s="1"/>
  <c r="S58" i="10" s="1"/>
  <c r="S58" i="11" s="1"/>
  <c r="S58" i="12" s="1"/>
  <c r="S58" i="13" s="1"/>
  <c r="S58" i="14" s="1"/>
  <c r="S58" i="15" s="1"/>
  <c r="S58" i="16" s="1"/>
  <c r="T58" i="6"/>
  <c r="T58" i="7" s="1"/>
  <c r="T58" i="8" s="1"/>
  <c r="T58" i="9" s="1"/>
  <c r="T58" i="10" s="1"/>
  <c r="T58" i="11" s="1"/>
  <c r="T58" i="12" s="1"/>
  <c r="T58" i="13" s="1"/>
  <c r="T58" i="14" s="1"/>
  <c r="T58" i="15" s="1"/>
  <c r="T58" i="16" s="1"/>
  <c r="S59" i="6"/>
  <c r="S59" i="7" s="1"/>
  <c r="S59" i="8" s="1"/>
  <c r="S59" i="9" s="1"/>
  <c r="S59" i="10" s="1"/>
  <c r="S59" i="11" s="1"/>
  <c r="S59" i="12" s="1"/>
  <c r="S59" i="13" s="1"/>
  <c r="S59" i="14" s="1"/>
  <c r="S59" i="15" s="1"/>
  <c r="S59" i="16" s="1"/>
  <c r="S60" i="6"/>
  <c r="S60" i="7" s="1"/>
  <c r="S60" i="8" s="1"/>
  <c r="S60" i="9" s="1"/>
  <c r="S60" i="10" s="1"/>
  <c r="S60" i="11" s="1"/>
  <c r="S60" i="12" s="1"/>
  <c r="S60" i="13" s="1"/>
  <c r="S60" i="14" s="1"/>
  <c r="S60" i="15" s="1"/>
  <c r="S60" i="16" s="1"/>
  <c r="S61" i="6"/>
  <c r="S61" i="7" s="1"/>
  <c r="S61" i="8" s="1"/>
  <c r="S61" i="9" s="1"/>
  <c r="S61" i="10" s="1"/>
  <c r="S61" i="11" s="1"/>
  <c r="S61" i="12" s="1"/>
  <c r="S61" i="13" s="1"/>
  <c r="S61" i="14" s="1"/>
  <c r="S61" i="15" s="1"/>
  <c r="S61" i="16" s="1"/>
  <c r="T61" i="6"/>
  <c r="T61" i="7" s="1"/>
  <c r="T61" i="8" s="1"/>
  <c r="T61" i="9" s="1"/>
  <c r="T61" i="10" s="1"/>
  <c r="T61" i="11" s="1"/>
  <c r="T61" i="12" s="1"/>
  <c r="T61" i="13" s="1"/>
  <c r="T61" i="14" s="1"/>
  <c r="T61" i="15" s="1"/>
  <c r="T61" i="16" s="1"/>
  <c r="S62" i="6"/>
  <c r="S62" i="7" s="1"/>
  <c r="S62" i="8" s="1"/>
  <c r="S62" i="9" s="1"/>
  <c r="S62" i="10" s="1"/>
  <c r="S62" i="11" s="1"/>
  <c r="S62" i="12" s="1"/>
  <c r="S62" i="13" s="1"/>
  <c r="S62" i="14" s="1"/>
  <c r="S62" i="15" s="1"/>
  <c r="S62" i="16" s="1"/>
  <c r="T62" i="6"/>
  <c r="T62" i="7" s="1"/>
  <c r="T62" i="8" s="1"/>
  <c r="T62" i="9" s="1"/>
  <c r="T62" i="10" s="1"/>
  <c r="T62" i="11" s="1"/>
  <c r="T62" i="12" s="1"/>
  <c r="T62" i="13" s="1"/>
  <c r="T62" i="14" s="1"/>
  <c r="T62" i="15" s="1"/>
  <c r="T62" i="16" s="1"/>
  <c r="S63" i="6"/>
  <c r="S63" i="7" s="1"/>
  <c r="S63" i="8" s="1"/>
  <c r="S63" i="9" s="1"/>
  <c r="S63" i="10" s="1"/>
  <c r="S63" i="11" s="1"/>
  <c r="S63" i="12" s="1"/>
  <c r="S63" i="13" s="1"/>
  <c r="S63" i="14" s="1"/>
  <c r="S63" i="15" s="1"/>
  <c r="S63" i="16" s="1"/>
  <c r="T63" i="6"/>
  <c r="T63" i="7" s="1"/>
  <c r="T63" i="8" s="1"/>
  <c r="T63" i="9" s="1"/>
  <c r="T63" i="10" s="1"/>
  <c r="T63" i="11" s="1"/>
  <c r="T63" i="12" s="1"/>
  <c r="T63" i="13" s="1"/>
  <c r="T63" i="14" s="1"/>
  <c r="T63" i="15" s="1"/>
  <c r="T63" i="16" s="1"/>
  <c r="S64" i="6"/>
  <c r="S64" i="7" s="1"/>
  <c r="S64" i="8" s="1"/>
  <c r="S64" i="9" s="1"/>
  <c r="S64" i="10" s="1"/>
  <c r="S64" i="11" s="1"/>
  <c r="S64" i="12" s="1"/>
  <c r="S64" i="13" s="1"/>
  <c r="S64" i="14" s="1"/>
  <c r="S64" i="15" s="1"/>
  <c r="S64" i="16" s="1"/>
  <c r="T64" i="6"/>
  <c r="T64" i="7" s="1"/>
  <c r="T64" i="8" s="1"/>
  <c r="T64" i="9" s="1"/>
  <c r="T64" i="10" s="1"/>
  <c r="T64" i="11" s="1"/>
  <c r="T64" i="12" s="1"/>
  <c r="T64" i="13" s="1"/>
  <c r="T64" i="14" s="1"/>
  <c r="T64" i="15" s="1"/>
  <c r="T64" i="16" s="1"/>
  <c r="S65" i="6"/>
  <c r="S65" i="7" s="1"/>
  <c r="S65" i="8" s="1"/>
  <c r="S65" i="9" s="1"/>
  <c r="S65" i="10" s="1"/>
  <c r="S65" i="11" s="1"/>
  <c r="S65" i="12" s="1"/>
  <c r="S65" i="13" s="1"/>
  <c r="S65" i="14" s="1"/>
  <c r="S65" i="15" s="1"/>
  <c r="S65" i="16" s="1"/>
  <c r="T65" i="6"/>
  <c r="T65" i="7" s="1"/>
  <c r="T65" i="8" s="1"/>
  <c r="T65" i="9" s="1"/>
  <c r="T65" i="10" s="1"/>
  <c r="T65" i="11" s="1"/>
  <c r="T65" i="12" s="1"/>
  <c r="T65" i="13" s="1"/>
  <c r="T65" i="14" s="1"/>
  <c r="T65" i="15" s="1"/>
  <c r="T65" i="16" s="1"/>
  <c r="S66" i="6"/>
  <c r="S66" i="7" s="1"/>
  <c r="S66" i="8" s="1"/>
  <c r="S66" i="9" s="1"/>
  <c r="S66" i="10" s="1"/>
  <c r="S66" i="11" s="1"/>
  <c r="S66" i="12" s="1"/>
  <c r="S66" i="13" s="1"/>
  <c r="S66" i="14" s="1"/>
  <c r="S66" i="15" s="1"/>
  <c r="S66" i="16" s="1"/>
  <c r="T66" i="6"/>
  <c r="T66" i="7" s="1"/>
  <c r="T66" i="8" s="1"/>
  <c r="T66" i="9" s="1"/>
  <c r="T66" i="10" s="1"/>
  <c r="T66" i="11" s="1"/>
  <c r="T66" i="12" s="1"/>
  <c r="T66" i="13" s="1"/>
  <c r="T66" i="14" s="1"/>
  <c r="T66" i="15" s="1"/>
  <c r="T66" i="16" s="1"/>
  <c r="S67" i="6"/>
  <c r="S67" i="7" s="1"/>
  <c r="S67" i="8" s="1"/>
  <c r="S67" i="9" s="1"/>
  <c r="S67" i="10" s="1"/>
  <c r="S67" i="11" s="1"/>
  <c r="S67" i="12" s="1"/>
  <c r="S67" i="13" s="1"/>
  <c r="S67" i="14" s="1"/>
  <c r="S67" i="15" s="1"/>
  <c r="S67" i="16" s="1"/>
  <c r="T67" i="6"/>
  <c r="T67" i="7" s="1"/>
  <c r="T67" i="8" s="1"/>
  <c r="T67" i="9" s="1"/>
  <c r="T67" i="10" s="1"/>
  <c r="T67" i="11" s="1"/>
  <c r="T67" i="12" s="1"/>
  <c r="T67" i="13" s="1"/>
  <c r="T67" i="14" s="1"/>
  <c r="T67" i="15" s="1"/>
  <c r="T67" i="16" s="1"/>
  <c r="S68" i="6"/>
  <c r="S68" i="7" s="1"/>
  <c r="S68" i="8" s="1"/>
  <c r="S68" i="9" s="1"/>
  <c r="S68" i="10" s="1"/>
  <c r="S68" i="11" s="1"/>
  <c r="S68" i="12" s="1"/>
  <c r="S68" i="13" s="1"/>
  <c r="S68" i="14" s="1"/>
  <c r="S68" i="15" s="1"/>
  <c r="S68" i="16" s="1"/>
  <c r="T68" i="6"/>
  <c r="T68" i="7" s="1"/>
  <c r="T68" i="8" s="1"/>
  <c r="T68" i="9" s="1"/>
  <c r="T68" i="10" s="1"/>
  <c r="T68" i="11" s="1"/>
  <c r="T68" i="12" s="1"/>
  <c r="T68" i="13" s="1"/>
  <c r="T68" i="14" s="1"/>
  <c r="T68" i="15" s="1"/>
  <c r="T68" i="16" s="1"/>
  <c r="S69" i="6"/>
  <c r="S69" i="7" s="1"/>
  <c r="S69" i="8" s="1"/>
  <c r="S69" i="9" s="1"/>
  <c r="S69" i="10" s="1"/>
  <c r="S69" i="11" s="1"/>
  <c r="S69" i="12" s="1"/>
  <c r="S69" i="13" s="1"/>
  <c r="S69" i="14" s="1"/>
  <c r="S69" i="15" s="1"/>
  <c r="S69" i="16" s="1"/>
  <c r="T69" i="6"/>
  <c r="T69" i="7" s="1"/>
  <c r="T69" i="8" s="1"/>
  <c r="T69" i="9" s="1"/>
  <c r="T69" i="10" s="1"/>
  <c r="T69" i="11" s="1"/>
  <c r="T69" i="12" s="1"/>
  <c r="T69" i="13" s="1"/>
  <c r="T69" i="14" s="1"/>
  <c r="T69" i="15" s="1"/>
  <c r="T69" i="16" s="1"/>
  <c r="S70" i="6"/>
  <c r="S70" i="7" s="1"/>
  <c r="S70" i="8" s="1"/>
  <c r="S70" i="9" s="1"/>
  <c r="S70" i="10" s="1"/>
  <c r="S70" i="11" s="1"/>
  <c r="S70" i="12" s="1"/>
  <c r="S70" i="13" s="1"/>
  <c r="S70" i="14" s="1"/>
  <c r="S70" i="15" s="1"/>
  <c r="S70" i="16" s="1"/>
  <c r="T70" i="6"/>
  <c r="T70" i="7" s="1"/>
  <c r="T70" i="8" s="1"/>
  <c r="T70" i="9" s="1"/>
  <c r="T70" i="10" s="1"/>
  <c r="T70" i="11" s="1"/>
  <c r="T70" i="12" s="1"/>
  <c r="T70" i="13" s="1"/>
  <c r="T70" i="14" s="1"/>
  <c r="T70" i="15" s="1"/>
  <c r="T70" i="16" s="1"/>
  <c r="S71" i="6"/>
  <c r="S71" i="7" s="1"/>
  <c r="S71" i="8" s="1"/>
  <c r="S71" i="9" s="1"/>
  <c r="S71" i="10" s="1"/>
  <c r="S71" i="11" s="1"/>
  <c r="S71" i="12" s="1"/>
  <c r="S71" i="13" s="1"/>
  <c r="S71" i="14" s="1"/>
  <c r="S71" i="15" s="1"/>
  <c r="S71" i="16" s="1"/>
  <c r="T71" i="6"/>
  <c r="T71" i="7" s="1"/>
  <c r="T71" i="8" s="1"/>
  <c r="T71" i="9" s="1"/>
  <c r="T71" i="10" s="1"/>
  <c r="T71" i="11" s="1"/>
  <c r="T71" i="12" s="1"/>
  <c r="T71" i="13" s="1"/>
  <c r="T71" i="14" s="1"/>
  <c r="T71" i="15" s="1"/>
  <c r="T71" i="16" s="1"/>
  <c r="S72" i="6"/>
  <c r="S72" i="7" s="1"/>
  <c r="S72" i="8" s="1"/>
  <c r="S72" i="9" s="1"/>
  <c r="S72" i="10" s="1"/>
  <c r="S72" i="11" s="1"/>
  <c r="S72" i="12" s="1"/>
  <c r="S72" i="13" s="1"/>
  <c r="S72" i="14" s="1"/>
  <c r="S72" i="15" s="1"/>
  <c r="S72" i="16" s="1"/>
  <c r="T72" i="6"/>
  <c r="T72" i="7" s="1"/>
  <c r="T72" i="8" s="1"/>
  <c r="T72" i="9" s="1"/>
  <c r="T72" i="10" s="1"/>
  <c r="T72" i="11" s="1"/>
  <c r="T72" i="12" s="1"/>
  <c r="T72" i="13" s="1"/>
  <c r="T72" i="14" s="1"/>
  <c r="T72" i="15" s="1"/>
  <c r="T72" i="16" s="1"/>
  <c r="S73" i="6"/>
  <c r="S73" i="7" s="1"/>
  <c r="S73" i="8" s="1"/>
  <c r="S73" i="9" s="1"/>
  <c r="S73" i="10" s="1"/>
  <c r="S73" i="11" s="1"/>
  <c r="S73" i="12" s="1"/>
  <c r="S73" i="13" s="1"/>
  <c r="S73" i="14" s="1"/>
  <c r="S73" i="15" s="1"/>
  <c r="S73" i="16" s="1"/>
  <c r="T73" i="6"/>
  <c r="T73" i="7" s="1"/>
  <c r="T73" i="8" s="1"/>
  <c r="T73" i="9" s="1"/>
  <c r="T73" i="10" s="1"/>
  <c r="T73" i="11" s="1"/>
  <c r="T73" i="12" s="1"/>
  <c r="T73" i="13" s="1"/>
  <c r="T73" i="14" s="1"/>
  <c r="T73" i="15" s="1"/>
  <c r="T73" i="16" s="1"/>
  <c r="S74" i="6"/>
  <c r="S74" i="7" s="1"/>
  <c r="S74" i="8" s="1"/>
  <c r="S74" i="9" s="1"/>
  <c r="S74" i="10" s="1"/>
  <c r="S74" i="11" s="1"/>
  <c r="S74" i="12" s="1"/>
  <c r="S74" i="13" s="1"/>
  <c r="S74" i="14" s="1"/>
  <c r="S74" i="15" s="1"/>
  <c r="S74" i="16" s="1"/>
  <c r="T74" i="6"/>
  <c r="T74" i="7" s="1"/>
  <c r="T74" i="8" s="1"/>
  <c r="T74" i="9" s="1"/>
  <c r="T74" i="10" s="1"/>
  <c r="T74" i="11" s="1"/>
  <c r="T74" i="12" s="1"/>
  <c r="T74" i="13" s="1"/>
  <c r="T74" i="14" s="1"/>
  <c r="T74" i="15" s="1"/>
  <c r="T74" i="16" s="1"/>
  <c r="S75" i="6"/>
  <c r="S75" i="7" s="1"/>
  <c r="S75" i="8" s="1"/>
  <c r="S75" i="9" s="1"/>
  <c r="S75" i="10" s="1"/>
  <c r="S75" i="11" s="1"/>
  <c r="S75" i="12" s="1"/>
  <c r="S75" i="13" s="1"/>
  <c r="S75" i="14" s="1"/>
  <c r="S75" i="15" s="1"/>
  <c r="S75" i="16" s="1"/>
  <c r="T75" i="6"/>
  <c r="T75" i="7" s="1"/>
  <c r="T75" i="8" s="1"/>
  <c r="T75" i="9" s="1"/>
  <c r="T75" i="10" s="1"/>
  <c r="T75" i="11" s="1"/>
  <c r="T75" i="12" s="1"/>
  <c r="T75" i="13" s="1"/>
  <c r="T75" i="14" s="1"/>
  <c r="T75" i="15" s="1"/>
  <c r="T75" i="16" s="1"/>
  <c r="S76" i="6"/>
  <c r="S76" i="7" s="1"/>
  <c r="S76" i="8" s="1"/>
  <c r="S76" i="9" s="1"/>
  <c r="S76" i="10" s="1"/>
  <c r="S76" i="11" s="1"/>
  <c r="S76" i="12" s="1"/>
  <c r="S76" i="13" s="1"/>
  <c r="S76" i="14" s="1"/>
  <c r="S76" i="15" s="1"/>
  <c r="S76" i="16" s="1"/>
  <c r="T76" i="6"/>
  <c r="T76" i="7" s="1"/>
  <c r="T76" i="8" s="1"/>
  <c r="T76" i="9" s="1"/>
  <c r="T76" i="10" s="1"/>
  <c r="T76" i="11" s="1"/>
  <c r="T76" i="12" s="1"/>
  <c r="T76" i="13" s="1"/>
  <c r="T76" i="14" s="1"/>
  <c r="T76" i="15" s="1"/>
  <c r="T76" i="16" s="1"/>
  <c r="S77" i="6"/>
  <c r="S77" i="7" s="1"/>
  <c r="S77" i="8" s="1"/>
  <c r="S77" i="9" s="1"/>
  <c r="S77" i="10" s="1"/>
  <c r="S77" i="11" s="1"/>
  <c r="S77" i="12" s="1"/>
  <c r="S77" i="13" s="1"/>
  <c r="S77" i="14" s="1"/>
  <c r="S77" i="15" s="1"/>
  <c r="S77" i="16" s="1"/>
  <c r="T77" i="6"/>
  <c r="T77" i="7" s="1"/>
  <c r="T77" i="8" s="1"/>
  <c r="T77" i="9" s="1"/>
  <c r="T77" i="10" s="1"/>
  <c r="T77" i="11" s="1"/>
  <c r="T77" i="12" s="1"/>
  <c r="T77" i="13" s="1"/>
  <c r="T77" i="14" s="1"/>
  <c r="T77" i="15" s="1"/>
  <c r="T77" i="16" s="1"/>
  <c r="S78" i="6"/>
  <c r="S78" i="7" s="1"/>
  <c r="S78" i="8" s="1"/>
  <c r="S78" i="9" s="1"/>
  <c r="S78" i="10" s="1"/>
  <c r="S78" i="11" s="1"/>
  <c r="S78" i="12" s="1"/>
  <c r="S78" i="13" s="1"/>
  <c r="S78" i="14" s="1"/>
  <c r="S78" i="15" s="1"/>
  <c r="S78" i="16" s="1"/>
  <c r="T78" i="6"/>
  <c r="T78" i="7" s="1"/>
  <c r="T78" i="8" s="1"/>
  <c r="T78" i="9" s="1"/>
  <c r="T78" i="10" s="1"/>
  <c r="T78" i="11" s="1"/>
  <c r="T78" i="12" s="1"/>
  <c r="T78" i="13" s="1"/>
  <c r="T78" i="14" s="1"/>
  <c r="T78" i="15" s="1"/>
  <c r="T78" i="16" s="1"/>
  <c r="S79" i="6"/>
  <c r="S79" i="7" s="1"/>
  <c r="S79" i="8" s="1"/>
  <c r="S79" i="9" s="1"/>
  <c r="S79" i="10" s="1"/>
  <c r="S79" i="11" s="1"/>
  <c r="S79" i="12" s="1"/>
  <c r="S79" i="13" s="1"/>
  <c r="S79" i="14" s="1"/>
  <c r="S79" i="15" s="1"/>
  <c r="S79" i="16" s="1"/>
  <c r="T79" i="6"/>
  <c r="T79" i="7" s="1"/>
  <c r="T79" i="8" s="1"/>
  <c r="T79" i="9" s="1"/>
  <c r="T79" i="10" s="1"/>
  <c r="T79" i="11" s="1"/>
  <c r="T79" i="12" s="1"/>
  <c r="T79" i="13" s="1"/>
  <c r="T79" i="14" s="1"/>
  <c r="T79" i="15" s="1"/>
  <c r="T79" i="16" s="1"/>
  <c r="S80" i="6"/>
  <c r="S80" i="7" s="1"/>
  <c r="S80" i="8" s="1"/>
  <c r="S80" i="9" s="1"/>
  <c r="S80" i="10" s="1"/>
  <c r="S80" i="11" s="1"/>
  <c r="S80" i="12" s="1"/>
  <c r="S80" i="13" s="1"/>
  <c r="S80" i="14" s="1"/>
  <c r="S80" i="15" s="1"/>
  <c r="S80" i="16" s="1"/>
  <c r="T80" i="6"/>
  <c r="T80" i="7" s="1"/>
  <c r="T80" i="8" s="1"/>
  <c r="T80" i="9" s="1"/>
  <c r="T80" i="10" s="1"/>
  <c r="T80" i="11" s="1"/>
  <c r="T80" i="12" s="1"/>
  <c r="T80" i="13" s="1"/>
  <c r="T80" i="14" s="1"/>
  <c r="T80" i="15" s="1"/>
  <c r="T80" i="16" s="1"/>
  <c r="S81" i="6"/>
  <c r="S81" i="7" s="1"/>
  <c r="S81" i="8" s="1"/>
  <c r="S81" i="9" s="1"/>
  <c r="S81" i="10" s="1"/>
  <c r="S81" i="11" s="1"/>
  <c r="S81" i="12" s="1"/>
  <c r="S81" i="13" s="1"/>
  <c r="S81" i="14" s="1"/>
  <c r="S81" i="15" s="1"/>
  <c r="S81" i="16" s="1"/>
  <c r="T81" i="6"/>
  <c r="T81" i="7" s="1"/>
  <c r="T81" i="8" s="1"/>
  <c r="T81" i="9" s="1"/>
  <c r="T81" i="10" s="1"/>
  <c r="T81" i="11" s="1"/>
  <c r="T81" i="12" s="1"/>
  <c r="T81" i="13" s="1"/>
  <c r="T81" i="14" s="1"/>
  <c r="T81" i="15" s="1"/>
  <c r="T81" i="16" s="1"/>
  <c r="S82" i="6"/>
  <c r="S82" i="7" s="1"/>
  <c r="S82" i="8" s="1"/>
  <c r="S82" i="9" s="1"/>
  <c r="S82" i="10" s="1"/>
  <c r="S82" i="11" s="1"/>
  <c r="S82" i="12" s="1"/>
  <c r="S82" i="13" s="1"/>
  <c r="S82" i="14" s="1"/>
  <c r="S82" i="15" s="1"/>
  <c r="S82" i="16" s="1"/>
  <c r="T82" i="6"/>
  <c r="T82" i="7" s="1"/>
  <c r="T82" i="8" s="1"/>
  <c r="T82" i="9" s="1"/>
  <c r="T82" i="10" s="1"/>
  <c r="T82" i="11" s="1"/>
  <c r="T82" i="12" s="1"/>
  <c r="T82" i="13" s="1"/>
  <c r="T82" i="14" s="1"/>
  <c r="T82" i="15" s="1"/>
  <c r="T82" i="16" s="1"/>
  <c r="S83" i="6"/>
  <c r="S83" i="7" s="1"/>
  <c r="S83" i="8" s="1"/>
  <c r="S83" i="9" s="1"/>
  <c r="S83" i="10" s="1"/>
  <c r="S83" i="11" s="1"/>
  <c r="S83" i="12" s="1"/>
  <c r="S83" i="13" s="1"/>
  <c r="S83" i="14" s="1"/>
  <c r="S83" i="15" s="1"/>
  <c r="S83" i="16" s="1"/>
  <c r="T83" i="6"/>
  <c r="T83" i="7" s="1"/>
  <c r="T83" i="8" s="1"/>
  <c r="T83" i="9" s="1"/>
  <c r="T83" i="10" s="1"/>
  <c r="T83" i="11" s="1"/>
  <c r="T83" i="12" s="1"/>
  <c r="T83" i="13" s="1"/>
  <c r="T83" i="14" s="1"/>
  <c r="T83" i="15" s="1"/>
  <c r="T83" i="16" s="1"/>
  <c r="S84" i="6"/>
  <c r="S84" i="7" s="1"/>
  <c r="S84" i="8" s="1"/>
  <c r="S84" i="9" s="1"/>
  <c r="S84" i="10" s="1"/>
  <c r="S84" i="11" s="1"/>
  <c r="S84" i="12" s="1"/>
  <c r="S84" i="13" s="1"/>
  <c r="S84" i="14" s="1"/>
  <c r="S84" i="15" s="1"/>
  <c r="S84" i="16" s="1"/>
  <c r="T84" i="6"/>
  <c r="T84" i="7" s="1"/>
  <c r="T84" i="8" s="1"/>
  <c r="T84" i="9" s="1"/>
  <c r="T84" i="10" s="1"/>
  <c r="T84" i="11" s="1"/>
  <c r="T84" i="12" s="1"/>
  <c r="T84" i="13" s="1"/>
  <c r="T84" i="14" s="1"/>
  <c r="T84" i="15" s="1"/>
  <c r="T84" i="16" s="1"/>
  <c r="S85" i="6"/>
  <c r="S85" i="7" s="1"/>
  <c r="S85" i="8" s="1"/>
  <c r="S85" i="9" s="1"/>
  <c r="S85" i="10" s="1"/>
  <c r="S85" i="11" s="1"/>
  <c r="S85" i="12" s="1"/>
  <c r="S85" i="13" s="1"/>
  <c r="S85" i="14" s="1"/>
  <c r="S85" i="15" s="1"/>
  <c r="S85" i="16" s="1"/>
  <c r="T85" i="6"/>
  <c r="T85" i="7" s="1"/>
  <c r="T85" i="8" s="1"/>
  <c r="T85" i="9" s="1"/>
  <c r="T85" i="10" s="1"/>
  <c r="T85" i="11" s="1"/>
  <c r="T85" i="12" s="1"/>
  <c r="T85" i="13" s="1"/>
  <c r="T85" i="14" s="1"/>
  <c r="T85" i="15" s="1"/>
  <c r="T85" i="16" s="1"/>
  <c r="S86" i="6"/>
  <c r="S86" i="7" s="1"/>
  <c r="S86" i="8" s="1"/>
  <c r="S86" i="9" s="1"/>
  <c r="S86" i="10" s="1"/>
  <c r="S86" i="11" s="1"/>
  <c r="S86" i="12" s="1"/>
  <c r="S86" i="13" s="1"/>
  <c r="S86" i="14" s="1"/>
  <c r="S86" i="15" s="1"/>
  <c r="S86" i="16" s="1"/>
  <c r="T86" i="6"/>
  <c r="T86" i="7" s="1"/>
  <c r="T86" i="8" s="1"/>
  <c r="T86" i="9" s="1"/>
  <c r="T86" i="10" s="1"/>
  <c r="T86" i="11" s="1"/>
  <c r="T86" i="12" s="1"/>
  <c r="T86" i="13" s="1"/>
  <c r="T86" i="14" s="1"/>
  <c r="T86" i="15" s="1"/>
  <c r="T86" i="16" s="1"/>
  <c r="S88" i="6"/>
  <c r="S88" i="7" s="1"/>
  <c r="S88" i="8" s="1"/>
  <c r="S88" i="9" s="1"/>
  <c r="S88" i="10" s="1"/>
  <c r="S88" i="11" s="1"/>
  <c r="S88" i="12" s="1"/>
  <c r="S88" i="13" s="1"/>
  <c r="S88" i="14" s="1"/>
  <c r="S88" i="15" s="1"/>
  <c r="S88" i="16" s="1"/>
  <c r="T88" i="6"/>
  <c r="T88" i="7" s="1"/>
  <c r="T88" i="8" s="1"/>
  <c r="T88" i="9" s="1"/>
  <c r="T88" i="10" s="1"/>
  <c r="T88" i="11" s="1"/>
  <c r="T88" i="12" s="1"/>
  <c r="T88" i="13" s="1"/>
  <c r="T88" i="14" s="1"/>
  <c r="T88" i="15" s="1"/>
  <c r="T88" i="16" s="1"/>
  <c r="S89" i="6"/>
  <c r="S89" i="7" s="1"/>
  <c r="S89" i="8" s="1"/>
  <c r="S89" i="9" s="1"/>
  <c r="S89" i="10" s="1"/>
  <c r="S89" i="11" s="1"/>
  <c r="S89" i="12" s="1"/>
  <c r="S89" i="13" s="1"/>
  <c r="S89" i="14" s="1"/>
  <c r="S89" i="15" s="1"/>
  <c r="S89" i="16" s="1"/>
  <c r="T89" i="6"/>
  <c r="T89" i="7" s="1"/>
  <c r="T89" i="8" s="1"/>
  <c r="T89" i="9" s="1"/>
  <c r="T89" i="10" s="1"/>
  <c r="T89" i="11" s="1"/>
  <c r="T89" i="12" s="1"/>
  <c r="T89" i="13" s="1"/>
  <c r="T89" i="14" s="1"/>
  <c r="T89" i="15" s="1"/>
  <c r="T89" i="16" s="1"/>
  <c r="S90" i="6"/>
  <c r="S90" i="7" s="1"/>
  <c r="S90" i="8" s="1"/>
  <c r="S90" i="9" s="1"/>
  <c r="S90" i="10" s="1"/>
  <c r="S90" i="11" s="1"/>
  <c r="S90" i="12" s="1"/>
  <c r="S90" i="13" s="1"/>
  <c r="S90" i="14" s="1"/>
  <c r="S90" i="15" s="1"/>
  <c r="S90" i="16" s="1"/>
  <c r="T90" i="6"/>
  <c r="T90" i="7" s="1"/>
  <c r="T90" i="8" s="1"/>
  <c r="T90" i="9" s="1"/>
  <c r="T90" i="10" s="1"/>
  <c r="T90" i="11" s="1"/>
  <c r="T90" i="12" s="1"/>
  <c r="T90" i="13" s="1"/>
  <c r="T90" i="14" s="1"/>
  <c r="T90" i="15" s="1"/>
  <c r="T90" i="16" s="1"/>
  <c r="S91" i="6"/>
  <c r="S91" i="7" s="1"/>
  <c r="S91" i="8" s="1"/>
  <c r="S91" i="9" s="1"/>
  <c r="S91" i="10" s="1"/>
  <c r="S91" i="11" s="1"/>
  <c r="S91" i="12" s="1"/>
  <c r="S91" i="13" s="1"/>
  <c r="S91" i="14" s="1"/>
  <c r="S91" i="15" s="1"/>
  <c r="S91" i="16" s="1"/>
  <c r="T91" i="6"/>
  <c r="T91" i="7" s="1"/>
  <c r="T91" i="8" s="1"/>
  <c r="T91" i="9" s="1"/>
  <c r="T91" i="10" s="1"/>
  <c r="T91" i="11" s="1"/>
  <c r="T91" i="12" s="1"/>
  <c r="T91" i="13" s="1"/>
  <c r="T91" i="14" s="1"/>
  <c r="T91" i="15" s="1"/>
  <c r="T91" i="16" s="1"/>
  <c r="S92" i="6"/>
  <c r="S92" i="7" s="1"/>
  <c r="S92" i="8" s="1"/>
  <c r="S92" i="9" s="1"/>
  <c r="S92" i="10" s="1"/>
  <c r="S92" i="11" s="1"/>
  <c r="S92" i="12" s="1"/>
  <c r="S92" i="13" s="1"/>
  <c r="S92" i="14" s="1"/>
  <c r="S92" i="15" s="1"/>
  <c r="S92" i="16" s="1"/>
  <c r="T92" i="6"/>
  <c r="T92" i="7" s="1"/>
  <c r="T92" i="8" s="1"/>
  <c r="T92" i="9" s="1"/>
  <c r="T92" i="10" s="1"/>
  <c r="T92" i="11" s="1"/>
  <c r="T92" i="12" s="1"/>
  <c r="T92" i="13" s="1"/>
  <c r="T92" i="14" s="1"/>
  <c r="T92" i="15" s="1"/>
  <c r="T92" i="16" s="1"/>
  <c r="S93" i="6"/>
  <c r="S93" i="7" s="1"/>
  <c r="S93" i="8" s="1"/>
  <c r="S93" i="9" s="1"/>
  <c r="S93" i="10" s="1"/>
  <c r="S93" i="11" s="1"/>
  <c r="S93" i="12" s="1"/>
  <c r="S93" i="13" s="1"/>
  <c r="S93" i="14" s="1"/>
  <c r="S93" i="15" s="1"/>
  <c r="S93" i="16" s="1"/>
  <c r="T93" i="6"/>
  <c r="T93" i="7" s="1"/>
  <c r="T93" i="8" s="1"/>
  <c r="T93" i="9" s="1"/>
  <c r="T93" i="10" s="1"/>
  <c r="T93" i="11" s="1"/>
  <c r="T93" i="12" s="1"/>
  <c r="T93" i="13" s="1"/>
  <c r="T93" i="14" s="1"/>
  <c r="T93" i="15" s="1"/>
  <c r="T93" i="16" s="1"/>
  <c r="S94" i="6"/>
  <c r="S94" i="7" s="1"/>
  <c r="S94" i="8" s="1"/>
  <c r="S94" i="9" s="1"/>
  <c r="S94" i="10" s="1"/>
  <c r="S94" i="11" s="1"/>
  <c r="S94" i="12" s="1"/>
  <c r="S94" i="13" s="1"/>
  <c r="S94" i="14" s="1"/>
  <c r="S94" i="15" s="1"/>
  <c r="S94" i="16" s="1"/>
  <c r="T94" i="6"/>
  <c r="T94" i="7" s="1"/>
  <c r="T94" i="8" s="1"/>
  <c r="T94" i="9" s="1"/>
  <c r="T94" i="10" s="1"/>
  <c r="T94" i="11" s="1"/>
  <c r="T94" i="12" s="1"/>
  <c r="T94" i="13" s="1"/>
  <c r="T94" i="14" s="1"/>
  <c r="T94" i="15" s="1"/>
  <c r="T94" i="16" s="1"/>
  <c r="S95" i="6"/>
  <c r="S95" i="7" s="1"/>
  <c r="S95" i="8" s="1"/>
  <c r="S95" i="9" s="1"/>
  <c r="S95" i="10" s="1"/>
  <c r="S95" i="11" s="1"/>
  <c r="S95" i="12" s="1"/>
  <c r="S95" i="13" s="1"/>
  <c r="S95" i="14" s="1"/>
  <c r="S95" i="15" s="1"/>
  <c r="S95" i="16" s="1"/>
  <c r="T95" i="6"/>
  <c r="T95" i="7" s="1"/>
  <c r="T95" i="8" s="1"/>
  <c r="T95" i="9" s="1"/>
  <c r="T95" i="10" s="1"/>
  <c r="T95" i="11" s="1"/>
  <c r="T95" i="12" s="1"/>
  <c r="T95" i="13" s="1"/>
  <c r="T95" i="14" s="1"/>
  <c r="T95" i="15" s="1"/>
  <c r="T95" i="16" s="1"/>
  <c r="S96" i="6"/>
  <c r="S96" i="7" s="1"/>
  <c r="S96" i="8" s="1"/>
  <c r="S96" i="9" s="1"/>
  <c r="S96" i="10" s="1"/>
  <c r="S96" i="11" s="1"/>
  <c r="S96" i="12" s="1"/>
  <c r="S96" i="13" s="1"/>
  <c r="S96" i="14" s="1"/>
  <c r="S96" i="15" s="1"/>
  <c r="S96" i="16" s="1"/>
  <c r="T96" i="6"/>
  <c r="T96" i="7" s="1"/>
  <c r="T96" i="8" s="1"/>
  <c r="T96" i="9" s="1"/>
  <c r="T96" i="10" s="1"/>
  <c r="T96" i="11" s="1"/>
  <c r="T96" i="12" s="1"/>
  <c r="T96" i="13" s="1"/>
  <c r="T96" i="14" s="1"/>
  <c r="T96" i="15" s="1"/>
  <c r="T96" i="16" s="1"/>
  <c r="S97" i="6"/>
  <c r="S97" i="7" s="1"/>
  <c r="S97" i="8" s="1"/>
  <c r="S97" i="9" s="1"/>
  <c r="S97" i="10" s="1"/>
  <c r="S97" i="11" s="1"/>
  <c r="S97" i="12" s="1"/>
  <c r="S97" i="13" s="1"/>
  <c r="S97" i="14" s="1"/>
  <c r="S97" i="15" s="1"/>
  <c r="S97" i="16" s="1"/>
  <c r="T97" i="6"/>
  <c r="T97" i="7" s="1"/>
  <c r="T97" i="8" s="1"/>
  <c r="T97" i="9" s="1"/>
  <c r="T97" i="10" s="1"/>
  <c r="T97" i="11" s="1"/>
  <c r="T97" i="12" s="1"/>
  <c r="T97" i="13" s="1"/>
  <c r="T97" i="14" s="1"/>
  <c r="T97" i="15" s="1"/>
  <c r="T97" i="16" s="1"/>
  <c r="S98" i="6"/>
  <c r="S98" i="7" s="1"/>
  <c r="S98" i="8" s="1"/>
  <c r="S98" i="9" s="1"/>
  <c r="S98" i="10" s="1"/>
  <c r="S98" i="11" s="1"/>
  <c r="S98" i="12" s="1"/>
  <c r="S98" i="13" s="1"/>
  <c r="S98" i="14" s="1"/>
  <c r="S98" i="15" s="1"/>
  <c r="S98" i="16" s="1"/>
  <c r="T98" i="6"/>
  <c r="T98" i="7" s="1"/>
  <c r="T98" i="8" s="1"/>
  <c r="T98" i="9" s="1"/>
  <c r="T98" i="10" s="1"/>
  <c r="T98" i="11" s="1"/>
  <c r="T98" i="12" s="1"/>
  <c r="T98" i="13" s="1"/>
  <c r="T98" i="14" s="1"/>
  <c r="T98" i="15" s="1"/>
  <c r="T98" i="16" s="1"/>
  <c r="S99" i="6"/>
  <c r="S99" i="7" s="1"/>
  <c r="S99" i="8" s="1"/>
  <c r="S99" i="9" s="1"/>
  <c r="S99" i="10" s="1"/>
  <c r="S99" i="11" s="1"/>
  <c r="S99" i="12" s="1"/>
  <c r="S99" i="13" s="1"/>
  <c r="S99" i="14" s="1"/>
  <c r="S99" i="15" s="1"/>
  <c r="S99" i="16" s="1"/>
  <c r="T99" i="6"/>
  <c r="T99" i="7" s="1"/>
  <c r="T99" i="8" s="1"/>
  <c r="T99" i="9" s="1"/>
  <c r="T99" i="10" s="1"/>
  <c r="T99" i="11" s="1"/>
  <c r="T99" i="12" s="1"/>
  <c r="T99" i="13" s="1"/>
  <c r="T99" i="14" s="1"/>
  <c r="T99" i="15" s="1"/>
  <c r="T99" i="16" s="1"/>
  <c r="S100" i="6"/>
  <c r="S100" i="7" s="1"/>
  <c r="S100" i="8" s="1"/>
  <c r="S100" i="9" s="1"/>
  <c r="S100" i="10" s="1"/>
  <c r="S100" i="11" s="1"/>
  <c r="S100" i="12" s="1"/>
  <c r="S100" i="13" s="1"/>
  <c r="S100" i="14" s="1"/>
  <c r="S100" i="15" s="1"/>
  <c r="S100" i="16" s="1"/>
  <c r="T100" i="6"/>
  <c r="T100" i="7" s="1"/>
  <c r="T100" i="8" s="1"/>
  <c r="T100" i="9" s="1"/>
  <c r="T100" i="10" s="1"/>
  <c r="T100" i="11" s="1"/>
  <c r="T100" i="12" s="1"/>
  <c r="T100" i="13" s="1"/>
  <c r="T100" i="14" s="1"/>
  <c r="T100" i="15" s="1"/>
  <c r="T100" i="16" s="1"/>
  <c r="S101" i="6"/>
  <c r="S101" i="7" s="1"/>
  <c r="S101" i="8" s="1"/>
  <c r="S101" i="9" s="1"/>
  <c r="S101" i="10" s="1"/>
  <c r="S101" i="11" s="1"/>
  <c r="S101" i="12" s="1"/>
  <c r="S101" i="13" s="1"/>
  <c r="S101" i="14" s="1"/>
  <c r="S101" i="15" s="1"/>
  <c r="S101" i="16" s="1"/>
  <c r="T101" i="6"/>
  <c r="T101" i="7" s="1"/>
  <c r="T101" i="8" s="1"/>
  <c r="T101" i="9" s="1"/>
  <c r="T101" i="10" s="1"/>
  <c r="T101" i="11" s="1"/>
  <c r="T101" i="12" s="1"/>
  <c r="T101" i="13" s="1"/>
  <c r="T101" i="14" s="1"/>
  <c r="T101" i="15" s="1"/>
  <c r="T101" i="16" s="1"/>
  <c r="S102" i="6"/>
  <c r="S102" i="7" s="1"/>
  <c r="S102" i="8" s="1"/>
  <c r="S102" i="9" s="1"/>
  <c r="S102" i="10" s="1"/>
  <c r="S102" i="11" s="1"/>
  <c r="S102" i="12" s="1"/>
  <c r="S102" i="13" s="1"/>
  <c r="S102" i="14" s="1"/>
  <c r="S102" i="15" s="1"/>
  <c r="S102" i="16" s="1"/>
  <c r="T102" i="6"/>
  <c r="T102" i="7" s="1"/>
  <c r="T102" i="8" s="1"/>
  <c r="T102" i="9" s="1"/>
  <c r="T102" i="10" s="1"/>
  <c r="T102" i="11" s="1"/>
  <c r="T102" i="12" s="1"/>
  <c r="T102" i="13" s="1"/>
  <c r="T102" i="14" s="1"/>
  <c r="T102" i="15" s="1"/>
  <c r="T102" i="16" s="1"/>
  <c r="S103" i="6"/>
  <c r="S103" i="7" s="1"/>
  <c r="S103" i="8" s="1"/>
  <c r="S103" i="9" s="1"/>
  <c r="S103" i="10" s="1"/>
  <c r="S103" i="11" s="1"/>
  <c r="S103" i="12" s="1"/>
  <c r="S103" i="13" s="1"/>
  <c r="S103" i="14" s="1"/>
  <c r="S103" i="15" s="1"/>
  <c r="S103" i="16" s="1"/>
  <c r="T103" i="6"/>
  <c r="T103" i="7" s="1"/>
  <c r="T103" i="8" s="1"/>
  <c r="T103" i="9" s="1"/>
  <c r="T103" i="10" s="1"/>
  <c r="T103" i="11" s="1"/>
  <c r="T103" i="12" s="1"/>
  <c r="T103" i="13" s="1"/>
  <c r="T103" i="14" s="1"/>
  <c r="T103" i="15" s="1"/>
  <c r="T103" i="16" s="1"/>
  <c r="S104" i="6"/>
  <c r="S104" i="7" s="1"/>
  <c r="S104" i="8" s="1"/>
  <c r="S104" i="9" s="1"/>
  <c r="S104" i="10" s="1"/>
  <c r="S104" i="11" s="1"/>
  <c r="S104" i="12" s="1"/>
  <c r="S104" i="13" s="1"/>
  <c r="S104" i="14" s="1"/>
  <c r="S104" i="15" s="1"/>
  <c r="S104" i="16" s="1"/>
  <c r="T104" i="6"/>
  <c r="T104" i="7" s="1"/>
  <c r="T104" i="8" s="1"/>
  <c r="T104" i="9" s="1"/>
  <c r="T104" i="10" s="1"/>
  <c r="T104" i="11" s="1"/>
  <c r="T104" i="12" s="1"/>
  <c r="T104" i="13" s="1"/>
  <c r="T104" i="14" s="1"/>
  <c r="T104" i="15" s="1"/>
  <c r="T104" i="16" s="1"/>
  <c r="S105" i="6"/>
  <c r="S105" i="7" s="1"/>
  <c r="S105" i="8" s="1"/>
  <c r="S105" i="9" s="1"/>
  <c r="S105" i="10" s="1"/>
  <c r="S105" i="11" s="1"/>
  <c r="S105" i="12" s="1"/>
  <c r="S105" i="13" s="1"/>
  <c r="S105" i="14" s="1"/>
  <c r="S105" i="15" s="1"/>
  <c r="S105" i="16" s="1"/>
  <c r="T105" i="6"/>
  <c r="T105" i="7" s="1"/>
  <c r="T105" i="8" s="1"/>
  <c r="T105" i="9" s="1"/>
  <c r="T105" i="10" s="1"/>
  <c r="T105" i="11" s="1"/>
  <c r="T105" i="12" s="1"/>
  <c r="T105" i="13" s="1"/>
  <c r="T105" i="14" s="1"/>
  <c r="T105" i="15" s="1"/>
  <c r="T105" i="16" s="1"/>
  <c r="S106" i="6"/>
  <c r="S106" i="7" s="1"/>
  <c r="S106" i="8" s="1"/>
  <c r="S106" i="9" s="1"/>
  <c r="S106" i="10" s="1"/>
  <c r="S106" i="11" s="1"/>
  <c r="S106" i="12" s="1"/>
  <c r="S106" i="13" s="1"/>
  <c r="S106" i="14" s="1"/>
  <c r="S106" i="15" s="1"/>
  <c r="S106" i="16" s="1"/>
  <c r="S107" i="6"/>
  <c r="S107" i="7" s="1"/>
  <c r="S107" i="8" s="1"/>
  <c r="S107" i="9" s="1"/>
  <c r="S107" i="10" s="1"/>
  <c r="S107" i="11" s="1"/>
  <c r="S107" i="12" s="1"/>
  <c r="S107" i="13" s="1"/>
  <c r="S107" i="14" s="1"/>
  <c r="S107" i="15" s="1"/>
  <c r="S107" i="16" s="1"/>
  <c r="S108" i="6"/>
  <c r="S108" i="7" s="1"/>
  <c r="S108" i="8" s="1"/>
  <c r="S108" i="9" s="1"/>
  <c r="S108" i="10" s="1"/>
  <c r="S108" i="11" s="1"/>
  <c r="S108" i="12" s="1"/>
  <c r="S108" i="13" s="1"/>
  <c r="S108" i="14" s="1"/>
  <c r="S108" i="15" s="1"/>
  <c r="S108" i="16" s="1"/>
  <c r="T108" i="6"/>
  <c r="T108" i="7" s="1"/>
  <c r="T108" i="8" s="1"/>
  <c r="T108" i="9" s="1"/>
  <c r="T108" i="10" s="1"/>
  <c r="T108" i="11" s="1"/>
  <c r="T108" i="12" s="1"/>
  <c r="T108" i="13" s="1"/>
  <c r="T108" i="14" s="1"/>
  <c r="T108" i="15" s="1"/>
  <c r="T108" i="16" s="1"/>
  <c r="S109" i="6"/>
  <c r="S109" i="7" s="1"/>
  <c r="S109" i="8" s="1"/>
  <c r="S109" i="9" s="1"/>
  <c r="S109" i="10" s="1"/>
  <c r="S109" i="11" s="1"/>
  <c r="S109" i="12" s="1"/>
  <c r="S109" i="13" s="1"/>
  <c r="S109" i="14" s="1"/>
  <c r="S109" i="15" s="1"/>
  <c r="S109" i="16" s="1"/>
  <c r="T109" i="6"/>
  <c r="T109" i="7" s="1"/>
  <c r="T109" i="8" s="1"/>
  <c r="T109" i="9" s="1"/>
  <c r="T109" i="10" s="1"/>
  <c r="T109" i="11" s="1"/>
  <c r="T109" i="12" s="1"/>
  <c r="T109" i="13" s="1"/>
  <c r="T109" i="14" s="1"/>
  <c r="T109" i="15" s="1"/>
  <c r="T109" i="16" s="1"/>
  <c r="S110" i="6"/>
  <c r="S110" i="7" s="1"/>
  <c r="S110" i="8" s="1"/>
  <c r="S110" i="9" s="1"/>
  <c r="S110" i="10" s="1"/>
  <c r="S110" i="11" s="1"/>
  <c r="S110" i="12" s="1"/>
  <c r="S110" i="13" s="1"/>
  <c r="S110" i="14" s="1"/>
  <c r="S110" i="15" s="1"/>
  <c r="S110" i="16" s="1"/>
  <c r="T110" i="6"/>
  <c r="T110" i="7" s="1"/>
  <c r="T110" i="8" s="1"/>
  <c r="T110" i="9" s="1"/>
  <c r="T110" i="10" s="1"/>
  <c r="T110" i="11" s="1"/>
  <c r="T110" i="12" s="1"/>
  <c r="T110" i="13" s="1"/>
  <c r="T110" i="14" s="1"/>
  <c r="T110" i="15" s="1"/>
  <c r="T110" i="16" s="1"/>
  <c r="S111" i="6"/>
  <c r="S111" i="7" s="1"/>
  <c r="S111" i="8" s="1"/>
  <c r="S111" i="9" s="1"/>
  <c r="S111" i="10" s="1"/>
  <c r="S111" i="11" s="1"/>
  <c r="S111" i="12" s="1"/>
  <c r="S111" i="13" s="1"/>
  <c r="S111" i="14" s="1"/>
  <c r="S111" i="15" s="1"/>
  <c r="S111" i="16" s="1"/>
  <c r="T111" i="6"/>
  <c r="T111" i="7" s="1"/>
  <c r="T111" i="8" s="1"/>
  <c r="T111" i="9" s="1"/>
  <c r="T111" i="10" s="1"/>
  <c r="T111" i="11" s="1"/>
  <c r="T111" i="12" s="1"/>
  <c r="T111" i="13" s="1"/>
  <c r="T111" i="14" s="1"/>
  <c r="T111" i="15" s="1"/>
  <c r="T111" i="16" s="1"/>
  <c r="S112" i="6"/>
  <c r="S112" i="7" s="1"/>
  <c r="S112" i="8" s="1"/>
  <c r="S112" i="9" s="1"/>
  <c r="S112" i="10" s="1"/>
  <c r="S112" i="11" s="1"/>
  <c r="S112" i="12" s="1"/>
  <c r="S112" i="13" s="1"/>
  <c r="S112" i="14" s="1"/>
  <c r="S112" i="15" s="1"/>
  <c r="S112" i="16" s="1"/>
  <c r="T112" i="6"/>
  <c r="T112" i="7" s="1"/>
  <c r="T112" i="8" s="1"/>
  <c r="T112" i="9" s="1"/>
  <c r="T112" i="10" s="1"/>
  <c r="T112" i="11" s="1"/>
  <c r="T112" i="12" s="1"/>
  <c r="T112" i="13" s="1"/>
  <c r="T112" i="14" s="1"/>
  <c r="T112" i="15" s="1"/>
  <c r="T112" i="16" s="1"/>
  <c r="S113" i="6"/>
  <c r="S113" i="7" s="1"/>
  <c r="S113" i="8" s="1"/>
  <c r="S113" i="9" s="1"/>
  <c r="S113" i="10" s="1"/>
  <c r="S113" i="11" s="1"/>
  <c r="S113" i="12" s="1"/>
  <c r="S113" i="13" s="1"/>
  <c r="S113" i="14" s="1"/>
  <c r="S113" i="15" s="1"/>
  <c r="S113" i="16" s="1"/>
  <c r="T113" i="6"/>
  <c r="T113" i="7" s="1"/>
  <c r="T113" i="8" s="1"/>
  <c r="T113" i="9" s="1"/>
  <c r="T113" i="10" s="1"/>
  <c r="T113" i="11" s="1"/>
  <c r="T113" i="12" s="1"/>
  <c r="T113" i="13" s="1"/>
  <c r="T113" i="14" s="1"/>
  <c r="T113" i="15" s="1"/>
  <c r="T113" i="16" s="1"/>
  <c r="S114" i="6"/>
  <c r="S114" i="7" s="1"/>
  <c r="S114" i="8" s="1"/>
  <c r="S114" i="9" s="1"/>
  <c r="S114" i="10" s="1"/>
  <c r="S114" i="11" s="1"/>
  <c r="S114" i="12" s="1"/>
  <c r="S114" i="13" s="1"/>
  <c r="S114" i="14" s="1"/>
  <c r="S114" i="15" s="1"/>
  <c r="S114" i="16" s="1"/>
  <c r="T114" i="6"/>
  <c r="T114" i="7" s="1"/>
  <c r="T114" i="8" s="1"/>
  <c r="T114" i="9" s="1"/>
  <c r="T114" i="10" s="1"/>
  <c r="T114" i="11" s="1"/>
  <c r="T114" i="12" s="1"/>
  <c r="T114" i="13" s="1"/>
  <c r="T114" i="14" s="1"/>
  <c r="T114" i="15" s="1"/>
  <c r="T114" i="16" s="1"/>
  <c r="S115" i="6"/>
  <c r="S115" i="7" s="1"/>
  <c r="S115" i="8" s="1"/>
  <c r="S115" i="9" s="1"/>
  <c r="S115" i="10" s="1"/>
  <c r="S115" i="11" s="1"/>
  <c r="S115" i="12" s="1"/>
  <c r="S115" i="13" s="1"/>
  <c r="S115" i="14" s="1"/>
  <c r="S115" i="15" s="1"/>
  <c r="S115" i="16" s="1"/>
  <c r="T115" i="6"/>
  <c r="T115" i="7" s="1"/>
  <c r="T115" i="8" s="1"/>
  <c r="T115" i="9" s="1"/>
  <c r="T115" i="10" s="1"/>
  <c r="T115" i="11" s="1"/>
  <c r="T115" i="12" s="1"/>
  <c r="T115" i="13" s="1"/>
  <c r="T115" i="14" s="1"/>
  <c r="T115" i="15" s="1"/>
  <c r="T115" i="16" s="1"/>
  <c r="S116" i="6"/>
  <c r="S116" i="7" s="1"/>
  <c r="S116" i="8" s="1"/>
  <c r="S116" i="9" s="1"/>
  <c r="S116" i="10" s="1"/>
  <c r="S116" i="11" s="1"/>
  <c r="S116" i="12" s="1"/>
  <c r="S116" i="13" s="1"/>
  <c r="S116" i="14" s="1"/>
  <c r="S116" i="15" s="1"/>
  <c r="S116" i="16" s="1"/>
  <c r="T116" i="6"/>
  <c r="T116" i="7" s="1"/>
  <c r="T116" i="8" s="1"/>
  <c r="T116" i="9" s="1"/>
  <c r="T116" i="10" s="1"/>
  <c r="T116" i="11" s="1"/>
  <c r="T116" i="12" s="1"/>
  <c r="T116" i="13" s="1"/>
  <c r="T116" i="14" s="1"/>
  <c r="T116" i="15" s="1"/>
  <c r="T116" i="16" s="1"/>
  <c r="S122" i="6"/>
  <c r="S122" i="7" s="1"/>
  <c r="S122" i="8" s="1"/>
  <c r="S122" i="9" s="1"/>
  <c r="S122" i="10" s="1"/>
  <c r="S122" i="11" s="1"/>
  <c r="S122" i="12" s="1"/>
  <c r="S122" i="13" s="1"/>
  <c r="S122" i="14" s="1"/>
  <c r="S122" i="15" s="1"/>
  <c r="S122" i="16" s="1"/>
  <c r="T122" i="6"/>
  <c r="T122" i="7" s="1"/>
  <c r="T122" i="8" s="1"/>
  <c r="T122" i="9" s="1"/>
  <c r="T122" i="10" s="1"/>
  <c r="T122" i="11" s="1"/>
  <c r="T122" i="12" s="1"/>
  <c r="T122" i="13" s="1"/>
  <c r="T122" i="14" s="1"/>
  <c r="T122" i="15" s="1"/>
  <c r="T122" i="16" s="1"/>
  <c r="S123" i="6"/>
  <c r="S123" i="7" s="1"/>
  <c r="S123" i="8" s="1"/>
  <c r="S123" i="9" s="1"/>
  <c r="S123" i="10" s="1"/>
  <c r="S123" i="11" s="1"/>
  <c r="S123" i="12" s="1"/>
  <c r="S123" i="13" s="1"/>
  <c r="S123" i="14" s="1"/>
  <c r="S123" i="15" s="1"/>
  <c r="S123" i="16" s="1"/>
  <c r="T123" i="6"/>
  <c r="T123" i="7" s="1"/>
  <c r="T123" i="8" s="1"/>
  <c r="T123" i="9" s="1"/>
  <c r="T123" i="10" s="1"/>
  <c r="T123" i="11" s="1"/>
  <c r="T123" i="12" s="1"/>
  <c r="T123" i="13" s="1"/>
  <c r="T123" i="14" s="1"/>
  <c r="T123" i="15" s="1"/>
  <c r="T123" i="16" s="1"/>
  <c r="S124" i="6"/>
  <c r="S124" i="7" s="1"/>
  <c r="S124" i="8" s="1"/>
  <c r="S124" i="9" s="1"/>
  <c r="S124" i="10" s="1"/>
  <c r="S124" i="11" s="1"/>
  <c r="S124" i="12" s="1"/>
  <c r="S124" i="13" s="1"/>
  <c r="S124" i="14" s="1"/>
  <c r="S124" i="15" s="1"/>
  <c r="S124" i="16" s="1"/>
  <c r="T124" i="6"/>
  <c r="T124" i="7" s="1"/>
  <c r="T124" i="8" s="1"/>
  <c r="T124" i="9" s="1"/>
  <c r="T124" i="10" s="1"/>
  <c r="T124" i="11" s="1"/>
  <c r="T124" i="12" s="1"/>
  <c r="T124" i="13" s="1"/>
  <c r="T124" i="14" s="1"/>
  <c r="T124" i="15" s="1"/>
  <c r="T124" i="16" s="1"/>
  <c r="S125" i="6"/>
  <c r="S125" i="7" s="1"/>
  <c r="S125" i="8" s="1"/>
  <c r="S125" i="9" s="1"/>
  <c r="S125" i="10" s="1"/>
  <c r="S125" i="11" s="1"/>
  <c r="S125" i="12" s="1"/>
  <c r="S125" i="13" s="1"/>
  <c r="S125" i="14" s="1"/>
  <c r="S125" i="15" s="1"/>
  <c r="S125" i="16" s="1"/>
  <c r="T125" i="6"/>
  <c r="T125" i="7" s="1"/>
  <c r="T125" i="8" s="1"/>
  <c r="T125" i="9" s="1"/>
  <c r="T125" i="10" s="1"/>
  <c r="T125" i="11" s="1"/>
  <c r="T125" i="12" s="1"/>
  <c r="T125" i="13" s="1"/>
  <c r="T125" i="14" s="1"/>
  <c r="T125" i="15" s="1"/>
  <c r="T125" i="16" s="1"/>
  <c r="S126" i="6"/>
  <c r="S126" i="7" s="1"/>
  <c r="S126" i="8" s="1"/>
  <c r="S126" i="9" s="1"/>
  <c r="S126" i="10" s="1"/>
  <c r="S126" i="11" s="1"/>
  <c r="S126" i="12" s="1"/>
  <c r="S126" i="13" s="1"/>
  <c r="S126" i="14" s="1"/>
  <c r="S126" i="15" s="1"/>
  <c r="S126" i="16" s="1"/>
  <c r="T126" i="6"/>
  <c r="T126" i="7" s="1"/>
  <c r="T126" i="8" s="1"/>
  <c r="T126" i="9" s="1"/>
  <c r="T126" i="10" s="1"/>
  <c r="T126" i="11" s="1"/>
  <c r="T126" i="12" s="1"/>
  <c r="T126" i="13" s="1"/>
  <c r="T126" i="14" s="1"/>
  <c r="T126" i="15" s="1"/>
  <c r="T126" i="16" s="1"/>
  <c r="S127" i="6"/>
  <c r="S127" i="7" s="1"/>
  <c r="S127" i="8" s="1"/>
  <c r="S127" i="9" s="1"/>
  <c r="S127" i="10" s="1"/>
  <c r="S127" i="11" s="1"/>
  <c r="S127" i="12" s="1"/>
  <c r="S127" i="13" s="1"/>
  <c r="S127" i="14" s="1"/>
  <c r="S127" i="15" s="1"/>
  <c r="S127" i="16" s="1"/>
  <c r="T127" i="6"/>
  <c r="T127" i="7" s="1"/>
  <c r="T127" i="8" s="1"/>
  <c r="T127" i="9" s="1"/>
  <c r="T127" i="10" s="1"/>
  <c r="T127" i="11" s="1"/>
  <c r="T127" i="12" s="1"/>
  <c r="T127" i="13" s="1"/>
  <c r="T127" i="14" s="1"/>
  <c r="T127" i="15" s="1"/>
  <c r="T127" i="16" s="1"/>
  <c r="S128" i="6"/>
  <c r="S128" i="7" s="1"/>
  <c r="S128" i="8" s="1"/>
  <c r="S128" i="9" s="1"/>
  <c r="S128" i="10" s="1"/>
  <c r="S128" i="11" s="1"/>
  <c r="S128" i="12" s="1"/>
  <c r="S128" i="13" s="1"/>
  <c r="S128" i="14" s="1"/>
  <c r="S128" i="15" s="1"/>
  <c r="S128" i="16" s="1"/>
  <c r="T128" i="6"/>
  <c r="T128" i="7" s="1"/>
  <c r="T128" i="8" s="1"/>
  <c r="T128" i="9" s="1"/>
  <c r="T128" i="10" s="1"/>
  <c r="T128" i="11" s="1"/>
  <c r="T128" i="12" s="1"/>
  <c r="T128" i="13" s="1"/>
  <c r="T128" i="14" s="1"/>
  <c r="T128" i="15" s="1"/>
  <c r="T128" i="16" s="1"/>
  <c r="S129" i="6"/>
  <c r="S129" i="7" s="1"/>
  <c r="S129" i="8" s="1"/>
  <c r="S129" i="9" s="1"/>
  <c r="S129" i="10" s="1"/>
  <c r="S129" i="11" s="1"/>
  <c r="S129" i="12" s="1"/>
  <c r="S129" i="13" s="1"/>
  <c r="S129" i="14" s="1"/>
  <c r="S129" i="15" s="1"/>
  <c r="S129" i="16" s="1"/>
  <c r="T129" i="6"/>
  <c r="T129" i="7" s="1"/>
  <c r="T129" i="8" s="1"/>
  <c r="T129" i="9" s="1"/>
  <c r="T129" i="10" s="1"/>
  <c r="T129" i="11" s="1"/>
  <c r="T129" i="12" s="1"/>
  <c r="T129" i="13" s="1"/>
  <c r="T129" i="14" s="1"/>
  <c r="T129" i="15" s="1"/>
  <c r="T129" i="16" s="1"/>
  <c r="S130" i="6"/>
  <c r="S130" i="7" s="1"/>
  <c r="S130" i="8" s="1"/>
  <c r="S130" i="9" s="1"/>
  <c r="S130" i="10" s="1"/>
  <c r="S130" i="11" s="1"/>
  <c r="S130" i="12" s="1"/>
  <c r="S130" i="13" s="1"/>
  <c r="S130" i="14" s="1"/>
  <c r="S130" i="15" s="1"/>
  <c r="S130" i="16" s="1"/>
  <c r="T130" i="6"/>
  <c r="T130" i="7" s="1"/>
  <c r="T130" i="8" s="1"/>
  <c r="T130" i="9" s="1"/>
  <c r="T130" i="10" s="1"/>
  <c r="T130" i="11" s="1"/>
  <c r="T130" i="12" s="1"/>
  <c r="T130" i="13" s="1"/>
  <c r="T130" i="14" s="1"/>
  <c r="T130" i="15" s="1"/>
  <c r="T130" i="16" s="1"/>
  <c r="S131" i="6"/>
  <c r="S131" i="7" s="1"/>
  <c r="S131" i="8" s="1"/>
  <c r="S131" i="9" s="1"/>
  <c r="S131" i="10" s="1"/>
  <c r="S131" i="11" s="1"/>
  <c r="S131" i="12" s="1"/>
  <c r="S131" i="13" s="1"/>
  <c r="S131" i="14" s="1"/>
  <c r="S131" i="15" s="1"/>
  <c r="S131" i="16" s="1"/>
  <c r="T131" i="6"/>
  <c r="T131" i="7" s="1"/>
  <c r="T131" i="8" s="1"/>
  <c r="T131" i="9" s="1"/>
  <c r="T131" i="10" s="1"/>
  <c r="T131" i="11" s="1"/>
  <c r="T131" i="12" s="1"/>
  <c r="T131" i="13" s="1"/>
  <c r="T131" i="14" s="1"/>
  <c r="T131" i="15" s="1"/>
  <c r="T131" i="16" s="1"/>
  <c r="S132" i="6"/>
  <c r="S132" i="7" s="1"/>
  <c r="S132" i="8" s="1"/>
  <c r="S132" i="9" s="1"/>
  <c r="S132" i="10" s="1"/>
  <c r="S132" i="11" s="1"/>
  <c r="S132" i="12" s="1"/>
  <c r="S132" i="13" s="1"/>
  <c r="S132" i="14" s="1"/>
  <c r="S132" i="15" s="1"/>
  <c r="S132" i="16" s="1"/>
  <c r="T132" i="6"/>
  <c r="T132" i="7" s="1"/>
  <c r="T132" i="8" s="1"/>
  <c r="T132" i="9" s="1"/>
  <c r="T132" i="10" s="1"/>
  <c r="T132" i="11" s="1"/>
  <c r="T132" i="12" s="1"/>
  <c r="T132" i="13" s="1"/>
  <c r="T132" i="14" s="1"/>
  <c r="T132" i="15" s="1"/>
  <c r="T132" i="16" s="1"/>
  <c r="S133" i="6"/>
  <c r="S133" i="7" s="1"/>
  <c r="S133" i="8" s="1"/>
  <c r="S133" i="9" s="1"/>
  <c r="S133" i="10" s="1"/>
  <c r="S133" i="11" s="1"/>
  <c r="S133" i="12" s="1"/>
  <c r="S133" i="13" s="1"/>
  <c r="S133" i="14" s="1"/>
  <c r="S133" i="15" s="1"/>
  <c r="S133" i="16" s="1"/>
  <c r="T133" i="6"/>
  <c r="T133" i="7" s="1"/>
  <c r="T133" i="8" s="1"/>
  <c r="T133" i="9" s="1"/>
  <c r="T133" i="10" s="1"/>
  <c r="T133" i="11" s="1"/>
  <c r="T133" i="12" s="1"/>
  <c r="T133" i="13" s="1"/>
  <c r="T133" i="14" s="1"/>
  <c r="T133" i="15" s="1"/>
  <c r="T133" i="16" s="1"/>
  <c r="S134" i="6"/>
  <c r="S134" i="7" s="1"/>
  <c r="S134" i="8" s="1"/>
  <c r="S134" i="9" s="1"/>
  <c r="S134" i="10" s="1"/>
  <c r="S134" i="11" s="1"/>
  <c r="S134" i="12" s="1"/>
  <c r="S134" i="13" s="1"/>
  <c r="S134" i="14" s="1"/>
  <c r="S134" i="15" s="1"/>
  <c r="S134" i="16" s="1"/>
  <c r="T134" i="6"/>
  <c r="T134" i="7" s="1"/>
  <c r="T134" i="8" s="1"/>
  <c r="T134" i="9" s="1"/>
  <c r="T134" i="10" s="1"/>
  <c r="T134" i="11" s="1"/>
  <c r="T134" i="12" s="1"/>
  <c r="T134" i="13" s="1"/>
  <c r="T134" i="14" s="1"/>
  <c r="T134" i="15" s="1"/>
  <c r="T134" i="16" s="1"/>
  <c r="S139" i="6"/>
  <c r="S139" i="7" s="1"/>
  <c r="S139" i="8" s="1"/>
  <c r="S139" i="9" s="1"/>
  <c r="S139" i="10" s="1"/>
  <c r="S139" i="11" s="1"/>
  <c r="S139" i="12" s="1"/>
  <c r="S139" i="13" s="1"/>
  <c r="S139" i="14" s="1"/>
  <c r="S139" i="15" s="1"/>
  <c r="S139" i="16" s="1"/>
  <c r="T139" i="6"/>
  <c r="T139" i="7" s="1"/>
  <c r="T139" i="8" s="1"/>
  <c r="T139" i="9" s="1"/>
  <c r="T139" i="10" s="1"/>
  <c r="T139" i="11" s="1"/>
  <c r="T139" i="12" s="1"/>
  <c r="T139" i="13" s="1"/>
  <c r="T139" i="14" s="1"/>
  <c r="T139" i="15" s="1"/>
  <c r="T139" i="16" s="1"/>
  <c r="S140" i="6"/>
  <c r="S140" i="7" s="1"/>
  <c r="S140" i="8" s="1"/>
  <c r="S140" i="9" s="1"/>
  <c r="S140" i="10" s="1"/>
  <c r="S140" i="11" s="1"/>
  <c r="S140" i="12" s="1"/>
  <c r="S140" i="13" s="1"/>
  <c r="S140" i="14" s="1"/>
  <c r="S140" i="15" s="1"/>
  <c r="S140" i="16" s="1"/>
  <c r="T140" i="6"/>
  <c r="T140" i="7" s="1"/>
  <c r="T140" i="8" s="1"/>
  <c r="T140" i="9" s="1"/>
  <c r="T140" i="10" s="1"/>
  <c r="T140" i="11" s="1"/>
  <c r="T140" i="12" s="1"/>
  <c r="T140" i="13" s="1"/>
  <c r="T140" i="14" s="1"/>
  <c r="T140" i="15" s="1"/>
  <c r="T140" i="16" s="1"/>
  <c r="S141" i="6"/>
  <c r="S141" i="7" s="1"/>
  <c r="S141" i="8" s="1"/>
  <c r="S141" i="9" s="1"/>
  <c r="S141" i="10" s="1"/>
  <c r="S141" i="11" s="1"/>
  <c r="S141" i="12" s="1"/>
  <c r="S141" i="13" s="1"/>
  <c r="S141" i="14" s="1"/>
  <c r="S141" i="15" s="1"/>
  <c r="S141" i="16" s="1"/>
  <c r="T141" i="6"/>
  <c r="T141" i="7" s="1"/>
  <c r="T141" i="8" s="1"/>
  <c r="T141" i="9" s="1"/>
  <c r="T141" i="10" s="1"/>
  <c r="T141" i="11" s="1"/>
  <c r="T141" i="12" s="1"/>
  <c r="T141" i="13" s="1"/>
  <c r="T141" i="14" s="1"/>
  <c r="T141" i="15" s="1"/>
  <c r="T141" i="16" s="1"/>
  <c r="S142" i="6"/>
  <c r="S142" i="7" s="1"/>
  <c r="S142" i="8" s="1"/>
  <c r="S142" i="9" s="1"/>
  <c r="S142" i="10" s="1"/>
  <c r="S142" i="11" s="1"/>
  <c r="S142" i="12" s="1"/>
  <c r="S142" i="13" s="1"/>
  <c r="S142" i="14" s="1"/>
  <c r="S142" i="15" s="1"/>
  <c r="S142" i="16" s="1"/>
  <c r="T142" i="6"/>
  <c r="T142" i="7" s="1"/>
  <c r="T142" i="8" s="1"/>
  <c r="T142" i="9" s="1"/>
  <c r="T142" i="10" s="1"/>
  <c r="T142" i="11" s="1"/>
  <c r="T142" i="12" s="1"/>
  <c r="T142" i="13" s="1"/>
  <c r="T142" i="14" s="1"/>
  <c r="T142" i="15" s="1"/>
  <c r="T142" i="16" s="1"/>
  <c r="S143" i="6"/>
  <c r="S143" i="7" s="1"/>
  <c r="S143" i="8" s="1"/>
  <c r="S143" i="9" s="1"/>
  <c r="S143" i="10" s="1"/>
  <c r="S143" i="11" s="1"/>
  <c r="S143" i="12" s="1"/>
  <c r="S143" i="13" s="1"/>
  <c r="S143" i="14" s="1"/>
  <c r="S143" i="15" s="1"/>
  <c r="S143" i="16" s="1"/>
  <c r="T143" i="6"/>
  <c r="T143" i="7" s="1"/>
  <c r="T143" i="8" s="1"/>
  <c r="T143" i="9" s="1"/>
  <c r="T143" i="10" s="1"/>
  <c r="T143" i="11" s="1"/>
  <c r="T143" i="12" s="1"/>
  <c r="T143" i="13" s="1"/>
  <c r="T143" i="14" s="1"/>
  <c r="T143" i="15" s="1"/>
  <c r="T143" i="16" s="1"/>
  <c r="S144" i="6"/>
  <c r="S144" i="7" s="1"/>
  <c r="S144" i="8" s="1"/>
  <c r="S144" i="9" s="1"/>
  <c r="S144" i="10" s="1"/>
  <c r="S144" i="11" s="1"/>
  <c r="S144" i="12" s="1"/>
  <c r="S144" i="13" s="1"/>
  <c r="S144" i="14" s="1"/>
  <c r="S144" i="15" s="1"/>
  <c r="S144" i="16" s="1"/>
  <c r="T144" i="6"/>
  <c r="T144" i="7" s="1"/>
  <c r="T144" i="8" s="1"/>
  <c r="T144" i="9" s="1"/>
  <c r="T144" i="10" s="1"/>
  <c r="T144" i="11" s="1"/>
  <c r="T144" i="12" s="1"/>
  <c r="T144" i="13" s="1"/>
  <c r="T144" i="14" s="1"/>
  <c r="T144" i="15" s="1"/>
  <c r="T144" i="16" s="1"/>
  <c r="S145" i="6"/>
  <c r="S145" i="7" s="1"/>
  <c r="S145" i="8" s="1"/>
  <c r="S145" i="9" s="1"/>
  <c r="S145" i="10" s="1"/>
  <c r="S145" i="11" s="1"/>
  <c r="S145" i="12" s="1"/>
  <c r="S145" i="13" s="1"/>
  <c r="S145" i="14" s="1"/>
  <c r="S145" i="15" s="1"/>
  <c r="S145" i="16" s="1"/>
  <c r="T145" i="6"/>
  <c r="T145" i="7" s="1"/>
  <c r="T145" i="8" s="1"/>
  <c r="T145" i="9" s="1"/>
  <c r="T145" i="10" s="1"/>
  <c r="T145" i="11" s="1"/>
  <c r="T145" i="12" s="1"/>
  <c r="T145" i="13" s="1"/>
  <c r="T145" i="14" s="1"/>
  <c r="T145" i="15" s="1"/>
  <c r="T145" i="16" s="1"/>
  <c r="S146" i="6"/>
  <c r="S146" i="7" s="1"/>
  <c r="S146" i="8" s="1"/>
  <c r="S146" i="9" s="1"/>
  <c r="S146" i="10" s="1"/>
  <c r="S146" i="11" s="1"/>
  <c r="S146" i="12" s="1"/>
  <c r="S146" i="13" s="1"/>
  <c r="S146" i="14" s="1"/>
  <c r="S146" i="15" s="1"/>
  <c r="S146" i="16" s="1"/>
  <c r="T146" i="6"/>
  <c r="T146" i="7" s="1"/>
  <c r="T146" i="8" s="1"/>
  <c r="T146" i="9" s="1"/>
  <c r="T146" i="10" s="1"/>
  <c r="T146" i="11" s="1"/>
  <c r="T146" i="12" s="1"/>
  <c r="T146" i="13" s="1"/>
  <c r="T146" i="14" s="1"/>
  <c r="T146" i="15" s="1"/>
  <c r="T146" i="16" s="1"/>
  <c r="S147" i="6"/>
  <c r="S147" i="7" s="1"/>
  <c r="S147" i="8" s="1"/>
  <c r="S147" i="9" s="1"/>
  <c r="S147" i="10" s="1"/>
  <c r="S147" i="11" s="1"/>
  <c r="S147" i="12" s="1"/>
  <c r="S147" i="13" s="1"/>
  <c r="S147" i="14" s="1"/>
  <c r="S147" i="15" s="1"/>
  <c r="S147" i="16" s="1"/>
  <c r="T147" i="6"/>
  <c r="T147" i="7" s="1"/>
  <c r="T147" i="8" s="1"/>
  <c r="T147" i="9" s="1"/>
  <c r="T147" i="10" s="1"/>
  <c r="T147" i="11" s="1"/>
  <c r="T147" i="12" s="1"/>
  <c r="T147" i="13" s="1"/>
  <c r="T147" i="14" s="1"/>
  <c r="T147" i="15" s="1"/>
  <c r="T147" i="16" s="1"/>
  <c r="S148" i="6"/>
  <c r="S148" i="7" s="1"/>
  <c r="S148" i="8" s="1"/>
  <c r="S148" i="9" s="1"/>
  <c r="S148" i="10" s="1"/>
  <c r="S148" i="11" s="1"/>
  <c r="S148" i="12" s="1"/>
  <c r="S148" i="13" s="1"/>
  <c r="S148" i="14" s="1"/>
  <c r="S148" i="15" s="1"/>
  <c r="S148" i="16" s="1"/>
  <c r="T148" i="6"/>
  <c r="T148" i="7" s="1"/>
  <c r="T148" i="8" s="1"/>
  <c r="T148" i="9" s="1"/>
  <c r="T148" i="10" s="1"/>
  <c r="T148" i="11" s="1"/>
  <c r="T148" i="12" s="1"/>
  <c r="T148" i="13" s="1"/>
  <c r="T148" i="14" s="1"/>
  <c r="T148" i="15" s="1"/>
  <c r="T148" i="16" s="1"/>
  <c r="S149" i="6"/>
  <c r="S149" i="7" s="1"/>
  <c r="S149" i="8" s="1"/>
  <c r="S149" i="9" s="1"/>
  <c r="S149" i="10" s="1"/>
  <c r="S149" i="11" s="1"/>
  <c r="S149" i="12" s="1"/>
  <c r="S149" i="13" s="1"/>
  <c r="S149" i="14" s="1"/>
  <c r="S149" i="15" s="1"/>
  <c r="S149" i="16" s="1"/>
  <c r="T149" i="6"/>
  <c r="T149" i="7" s="1"/>
  <c r="T149" i="8" s="1"/>
  <c r="T149" i="9" s="1"/>
  <c r="T149" i="10" s="1"/>
  <c r="T149" i="11" s="1"/>
  <c r="T149" i="12" s="1"/>
  <c r="T149" i="13" s="1"/>
  <c r="T149" i="14" s="1"/>
  <c r="T149" i="15" s="1"/>
  <c r="T149" i="16" s="1"/>
  <c r="S150" i="6"/>
  <c r="S150" i="7" s="1"/>
  <c r="S150" i="8" s="1"/>
  <c r="S150" i="9" s="1"/>
  <c r="S150" i="10" s="1"/>
  <c r="S150" i="11" s="1"/>
  <c r="S150" i="12" s="1"/>
  <c r="S150" i="13" s="1"/>
  <c r="S150" i="14" s="1"/>
  <c r="S150" i="15" s="1"/>
  <c r="S150" i="16" s="1"/>
  <c r="S151" i="6"/>
  <c r="S151" i="7" s="1"/>
  <c r="S151" i="8" s="1"/>
  <c r="S151" i="9" s="1"/>
  <c r="S151" i="10" s="1"/>
  <c r="S151" i="11" s="1"/>
  <c r="S151" i="12" s="1"/>
  <c r="S151" i="13" s="1"/>
  <c r="S151" i="14" s="1"/>
  <c r="S151" i="15" s="1"/>
  <c r="S151" i="16" s="1"/>
  <c r="S152" i="6"/>
  <c r="S152" i="7" s="1"/>
  <c r="S152" i="8" s="1"/>
  <c r="S152" i="9" s="1"/>
  <c r="S152" i="10" s="1"/>
  <c r="S152" i="11" s="1"/>
  <c r="S152" i="12" s="1"/>
  <c r="S152" i="13" s="1"/>
  <c r="S152" i="14" s="1"/>
  <c r="S152" i="15" s="1"/>
  <c r="S152" i="16" s="1"/>
  <c r="S153" i="6"/>
  <c r="S153" i="7" s="1"/>
  <c r="S153" i="8" s="1"/>
  <c r="S153" i="9" s="1"/>
  <c r="S153" i="10" s="1"/>
  <c r="S153" i="11" s="1"/>
  <c r="S153" i="12" s="1"/>
  <c r="S153" i="13" s="1"/>
  <c r="S153" i="14" s="1"/>
  <c r="S153" i="15" s="1"/>
  <c r="S153" i="16" s="1"/>
  <c r="T153" i="6"/>
  <c r="T153" i="7" s="1"/>
  <c r="T153" i="8" s="1"/>
  <c r="T153" i="9" s="1"/>
  <c r="T153" i="10" s="1"/>
  <c r="T153" i="11" s="1"/>
  <c r="T153" i="12" s="1"/>
  <c r="T153" i="13" s="1"/>
  <c r="T153" i="14" s="1"/>
  <c r="T153" i="15" s="1"/>
  <c r="T153" i="16" s="1"/>
  <c r="S154" i="6"/>
  <c r="S154" i="7" s="1"/>
  <c r="S154" i="8" s="1"/>
  <c r="S154" i="9" s="1"/>
  <c r="S154" i="10" s="1"/>
  <c r="S154" i="11" s="1"/>
  <c r="S154" i="12" s="1"/>
  <c r="S154" i="13" s="1"/>
  <c r="S154" i="14" s="1"/>
  <c r="S154" i="15" s="1"/>
  <c r="S154" i="16" s="1"/>
  <c r="T154" i="6"/>
  <c r="T154" i="7" s="1"/>
  <c r="T154" i="8" s="1"/>
  <c r="T154" i="9" s="1"/>
  <c r="T154" i="10" s="1"/>
  <c r="T154" i="11" s="1"/>
  <c r="T154" i="12" s="1"/>
  <c r="T154" i="13" s="1"/>
  <c r="T154" i="14" s="1"/>
  <c r="T154" i="15" s="1"/>
  <c r="T154" i="16" s="1"/>
  <c r="S155" i="6"/>
  <c r="S155" i="7" s="1"/>
  <c r="S155" i="8" s="1"/>
  <c r="S155" i="9" s="1"/>
  <c r="S155" i="10" s="1"/>
  <c r="S155" i="11" s="1"/>
  <c r="S155" i="12" s="1"/>
  <c r="S155" i="13" s="1"/>
  <c r="S155" i="14" s="1"/>
  <c r="S155" i="15" s="1"/>
  <c r="S155" i="16" s="1"/>
  <c r="T155" i="6"/>
  <c r="T155" i="7" s="1"/>
  <c r="T155" i="8" s="1"/>
  <c r="T155" i="9" s="1"/>
  <c r="T155" i="10" s="1"/>
  <c r="T155" i="11" s="1"/>
  <c r="T155" i="12" s="1"/>
  <c r="T155" i="13" s="1"/>
  <c r="T155" i="14" s="1"/>
  <c r="T155" i="15" s="1"/>
  <c r="T155" i="16" s="1"/>
  <c r="S156" i="6"/>
  <c r="S156" i="7" s="1"/>
  <c r="S156" i="8" s="1"/>
  <c r="S156" i="9" s="1"/>
  <c r="S156" i="10" s="1"/>
  <c r="S156" i="11" s="1"/>
  <c r="S156" i="12" s="1"/>
  <c r="S156" i="13" s="1"/>
  <c r="S156" i="14" s="1"/>
  <c r="S156" i="15" s="1"/>
  <c r="S156" i="16" s="1"/>
  <c r="T156" i="6"/>
  <c r="T156" i="7" s="1"/>
  <c r="T156" i="8" s="1"/>
  <c r="T156" i="9" s="1"/>
  <c r="T156" i="10" s="1"/>
  <c r="T156" i="11" s="1"/>
  <c r="T156" i="12" s="1"/>
  <c r="T156" i="13" s="1"/>
  <c r="T156" i="14" s="1"/>
  <c r="T156" i="15" s="1"/>
  <c r="T156" i="16" s="1"/>
  <c r="S157" i="6"/>
  <c r="S157" i="7" s="1"/>
  <c r="S157" i="8" s="1"/>
  <c r="S157" i="9" s="1"/>
  <c r="S157" i="10" s="1"/>
  <c r="S157" i="11" s="1"/>
  <c r="S157" i="12" s="1"/>
  <c r="S157" i="13" s="1"/>
  <c r="S157" i="14" s="1"/>
  <c r="S157" i="15" s="1"/>
  <c r="S157" i="16" s="1"/>
  <c r="T157" i="6"/>
  <c r="T157" i="7" s="1"/>
  <c r="T157" i="8" s="1"/>
  <c r="T157" i="9" s="1"/>
  <c r="T157" i="10" s="1"/>
  <c r="T157" i="11" s="1"/>
  <c r="T157" i="12" s="1"/>
  <c r="T157" i="13" s="1"/>
  <c r="T157" i="14" s="1"/>
  <c r="T157" i="15" s="1"/>
  <c r="T157" i="16" s="1"/>
  <c r="S158" i="6"/>
  <c r="S158" i="7" s="1"/>
  <c r="S158" i="8" s="1"/>
  <c r="S158" i="9" s="1"/>
  <c r="S158" i="10" s="1"/>
  <c r="S158" i="11" s="1"/>
  <c r="S158" i="12" s="1"/>
  <c r="S158" i="13" s="1"/>
  <c r="S158" i="14" s="1"/>
  <c r="S158" i="15" s="1"/>
  <c r="S158" i="16" s="1"/>
  <c r="T158" i="6"/>
  <c r="T158" i="7" s="1"/>
  <c r="T158" i="8" s="1"/>
  <c r="T158" i="9" s="1"/>
  <c r="T158" i="10" s="1"/>
  <c r="T158" i="11" s="1"/>
  <c r="T158" i="12" s="1"/>
  <c r="T158" i="13" s="1"/>
  <c r="T158" i="14" s="1"/>
  <c r="T158" i="15" s="1"/>
  <c r="T158" i="16" s="1"/>
  <c r="S159" i="6"/>
  <c r="S159" i="7" s="1"/>
  <c r="S159" i="8" s="1"/>
  <c r="S159" i="9" s="1"/>
  <c r="S159" i="10" s="1"/>
  <c r="S159" i="11" s="1"/>
  <c r="S159" i="12" s="1"/>
  <c r="S159" i="13" s="1"/>
  <c r="S159" i="14" s="1"/>
  <c r="S159" i="15" s="1"/>
  <c r="S159" i="16" s="1"/>
  <c r="T159" i="6"/>
  <c r="T159" i="7" s="1"/>
  <c r="T159" i="8" s="1"/>
  <c r="T159" i="9" s="1"/>
  <c r="T159" i="10" s="1"/>
  <c r="T159" i="11" s="1"/>
  <c r="T159" i="12" s="1"/>
  <c r="T159" i="13" s="1"/>
  <c r="T159" i="14" s="1"/>
  <c r="T159" i="15" s="1"/>
  <c r="T159" i="16" s="1"/>
  <c r="S160" i="6"/>
  <c r="S160" i="7" s="1"/>
  <c r="S160" i="8" s="1"/>
  <c r="S160" i="9" s="1"/>
  <c r="S160" i="10" s="1"/>
  <c r="S160" i="11" s="1"/>
  <c r="S160" i="12" s="1"/>
  <c r="S160" i="13" s="1"/>
  <c r="S160" i="14" s="1"/>
  <c r="S160" i="15" s="1"/>
  <c r="S160" i="16" s="1"/>
  <c r="T160" i="6"/>
  <c r="T160" i="7" s="1"/>
  <c r="T160" i="8" s="1"/>
  <c r="T160" i="9" s="1"/>
  <c r="T160" i="10" s="1"/>
  <c r="T160" i="11" s="1"/>
  <c r="T160" i="12" s="1"/>
  <c r="T160" i="13" s="1"/>
  <c r="T160" i="14" s="1"/>
  <c r="T160" i="15" s="1"/>
  <c r="T160" i="16" s="1"/>
  <c r="S161" i="6"/>
  <c r="S161" i="7" s="1"/>
  <c r="S161" i="8" s="1"/>
  <c r="S161" i="9" s="1"/>
  <c r="S161" i="10" s="1"/>
  <c r="S161" i="11" s="1"/>
  <c r="S161" i="12" s="1"/>
  <c r="S161" i="13" s="1"/>
  <c r="S161" i="14" s="1"/>
  <c r="S161" i="15" s="1"/>
  <c r="S161" i="16" s="1"/>
  <c r="T161" i="6"/>
  <c r="T161" i="7" s="1"/>
  <c r="T161" i="8" s="1"/>
  <c r="T161" i="9" s="1"/>
  <c r="T161" i="10" s="1"/>
  <c r="T161" i="11" s="1"/>
  <c r="T161" i="12" s="1"/>
  <c r="T161" i="13" s="1"/>
  <c r="T161" i="14" s="1"/>
  <c r="T161" i="15" s="1"/>
  <c r="T161" i="16" s="1"/>
  <c r="S162" i="6"/>
  <c r="S162" i="7" s="1"/>
  <c r="S162" i="8" s="1"/>
  <c r="S162" i="9" s="1"/>
  <c r="S162" i="10" s="1"/>
  <c r="S162" i="11" s="1"/>
  <c r="S162" i="12" s="1"/>
  <c r="S162" i="13" s="1"/>
  <c r="S162" i="14" s="1"/>
  <c r="S162" i="15" s="1"/>
  <c r="S162" i="16" s="1"/>
  <c r="T162" i="6"/>
  <c r="T162" i="7" s="1"/>
  <c r="T162" i="8" s="1"/>
  <c r="T162" i="9" s="1"/>
  <c r="T162" i="10" s="1"/>
  <c r="T162" i="11" s="1"/>
  <c r="T162" i="12" s="1"/>
  <c r="T162" i="13" s="1"/>
  <c r="T162" i="14" s="1"/>
  <c r="T162" i="15" s="1"/>
  <c r="T162" i="16" s="1"/>
  <c r="S163" i="6"/>
  <c r="S163" i="7" s="1"/>
  <c r="S163" i="8" s="1"/>
  <c r="S163" i="9" s="1"/>
  <c r="S163" i="10" s="1"/>
  <c r="S163" i="11" s="1"/>
  <c r="S163" i="12" s="1"/>
  <c r="S163" i="13" s="1"/>
  <c r="S163" i="14" s="1"/>
  <c r="S163" i="15" s="1"/>
  <c r="S163" i="16" s="1"/>
  <c r="T163" i="6"/>
  <c r="T163" i="7" s="1"/>
  <c r="T163" i="8" s="1"/>
  <c r="T163" i="9" s="1"/>
  <c r="T163" i="10" s="1"/>
  <c r="T163" i="11" s="1"/>
  <c r="T163" i="12" s="1"/>
  <c r="T163" i="13" s="1"/>
  <c r="T163" i="14" s="1"/>
  <c r="T163" i="15" s="1"/>
  <c r="T163" i="16" s="1"/>
  <c r="S164" i="6"/>
  <c r="S164" i="7" s="1"/>
  <c r="S164" i="8" s="1"/>
  <c r="S164" i="9" s="1"/>
  <c r="S164" i="10" s="1"/>
  <c r="S164" i="11" s="1"/>
  <c r="S164" i="12" s="1"/>
  <c r="S164" i="13" s="1"/>
  <c r="S164" i="14" s="1"/>
  <c r="S164" i="15" s="1"/>
  <c r="S164" i="16" s="1"/>
  <c r="T164" i="6"/>
  <c r="T164" i="7" s="1"/>
  <c r="T164" i="8" s="1"/>
  <c r="T164" i="9" s="1"/>
  <c r="T164" i="10" s="1"/>
  <c r="T164" i="11" s="1"/>
  <c r="T164" i="12" s="1"/>
  <c r="T164" i="13" s="1"/>
  <c r="T164" i="14" s="1"/>
  <c r="T164" i="15" s="1"/>
  <c r="T164" i="16" s="1"/>
  <c r="S165" i="6"/>
  <c r="S165" i="7" s="1"/>
  <c r="S165" i="8" s="1"/>
  <c r="S165" i="9" s="1"/>
  <c r="S165" i="10" s="1"/>
  <c r="S165" i="11" s="1"/>
  <c r="S165" i="12" s="1"/>
  <c r="S165" i="13" s="1"/>
  <c r="S165" i="14" s="1"/>
  <c r="S165" i="15" s="1"/>
  <c r="S165" i="16" s="1"/>
  <c r="T165" i="6"/>
  <c r="T165" i="7" s="1"/>
  <c r="T165" i="8" s="1"/>
  <c r="T165" i="9" s="1"/>
  <c r="T165" i="10" s="1"/>
  <c r="T165" i="11" s="1"/>
  <c r="T165" i="12" s="1"/>
  <c r="T165" i="13" s="1"/>
  <c r="T165" i="14" s="1"/>
  <c r="T165" i="15" s="1"/>
  <c r="T165" i="16" s="1"/>
  <c r="S166" i="6"/>
  <c r="S166" i="7" s="1"/>
  <c r="S166" i="8" s="1"/>
  <c r="S166" i="9" s="1"/>
  <c r="S166" i="10" s="1"/>
  <c r="S166" i="11" s="1"/>
  <c r="S166" i="12" s="1"/>
  <c r="S166" i="13" s="1"/>
  <c r="S166" i="14" s="1"/>
  <c r="S166" i="15" s="1"/>
  <c r="S166" i="16" s="1"/>
  <c r="T166" i="6"/>
  <c r="T166" i="7" s="1"/>
  <c r="T166" i="8" s="1"/>
  <c r="T166" i="9" s="1"/>
  <c r="T166" i="10" s="1"/>
  <c r="T166" i="11" s="1"/>
  <c r="T166" i="12" s="1"/>
  <c r="T166" i="13" s="1"/>
  <c r="T166" i="14" s="1"/>
  <c r="T166" i="15" s="1"/>
  <c r="T166" i="16" s="1"/>
  <c r="S168" i="6"/>
  <c r="S168" i="7" s="1"/>
  <c r="S168" i="8" s="1"/>
  <c r="S168" i="9" s="1"/>
  <c r="S168" i="10" s="1"/>
  <c r="S168" i="11" s="1"/>
  <c r="S168" i="12" s="1"/>
  <c r="S168" i="13" s="1"/>
  <c r="S168" i="14" s="1"/>
  <c r="S168" i="15" s="1"/>
  <c r="S168" i="16" s="1"/>
  <c r="T168" i="6"/>
  <c r="T168" i="7" s="1"/>
  <c r="T168" i="8" s="1"/>
  <c r="T168" i="9" s="1"/>
  <c r="T168" i="10" s="1"/>
  <c r="T168" i="11" s="1"/>
  <c r="T168" i="12" s="1"/>
  <c r="T168" i="13" s="1"/>
  <c r="T168" i="14" s="1"/>
  <c r="T168" i="15" s="1"/>
  <c r="T168" i="16" s="1"/>
  <c r="S169" i="6"/>
  <c r="S169" i="7" s="1"/>
  <c r="S169" i="8" s="1"/>
  <c r="S169" i="9" s="1"/>
  <c r="S169" i="10" s="1"/>
  <c r="S169" i="11" s="1"/>
  <c r="S169" i="12" s="1"/>
  <c r="S169" i="13" s="1"/>
  <c r="S169" i="14" s="1"/>
  <c r="S169" i="15" s="1"/>
  <c r="S169" i="16" s="1"/>
  <c r="T169" i="6"/>
  <c r="T169" i="7" s="1"/>
  <c r="T169" i="8" s="1"/>
  <c r="T169" i="9" s="1"/>
  <c r="T169" i="10" s="1"/>
  <c r="T169" i="11" s="1"/>
  <c r="T169" i="12" s="1"/>
  <c r="T169" i="13" s="1"/>
  <c r="T169" i="14" s="1"/>
  <c r="T169" i="15" s="1"/>
  <c r="T169" i="16" s="1"/>
  <c r="S170" i="6"/>
  <c r="S170" i="7" s="1"/>
  <c r="S170" i="8" s="1"/>
  <c r="S170" i="9" s="1"/>
  <c r="S170" i="10" s="1"/>
  <c r="S170" i="11" s="1"/>
  <c r="S170" i="12" s="1"/>
  <c r="S170" i="13" s="1"/>
  <c r="S170" i="14" s="1"/>
  <c r="S170" i="15" s="1"/>
  <c r="S170" i="16" s="1"/>
  <c r="T170" i="6"/>
  <c r="T170" i="7" s="1"/>
  <c r="T170" i="8" s="1"/>
  <c r="T170" i="9" s="1"/>
  <c r="T170" i="10" s="1"/>
  <c r="T170" i="11" s="1"/>
  <c r="T170" i="12" s="1"/>
  <c r="T170" i="13" s="1"/>
  <c r="T170" i="14" s="1"/>
  <c r="T170" i="15" s="1"/>
  <c r="T170" i="16" s="1"/>
  <c r="S171" i="6"/>
  <c r="S171" i="7" s="1"/>
  <c r="S171" i="8" s="1"/>
  <c r="S171" i="9" s="1"/>
  <c r="S171" i="10" s="1"/>
  <c r="S171" i="11" s="1"/>
  <c r="S171" i="12" s="1"/>
  <c r="S171" i="13" s="1"/>
  <c r="S171" i="14" s="1"/>
  <c r="S171" i="15" s="1"/>
  <c r="S171" i="16" s="1"/>
  <c r="T171" i="6"/>
  <c r="T171" i="7" s="1"/>
  <c r="T171" i="8" s="1"/>
  <c r="T171" i="9" s="1"/>
  <c r="T171" i="10" s="1"/>
  <c r="T171" i="11" s="1"/>
  <c r="T171" i="12" s="1"/>
  <c r="T171" i="13" s="1"/>
  <c r="T171" i="14" s="1"/>
  <c r="T171" i="15" s="1"/>
  <c r="T171" i="16" s="1"/>
  <c r="S172" i="6"/>
  <c r="S172" i="7" s="1"/>
  <c r="S172" i="8" s="1"/>
  <c r="S172" i="9" s="1"/>
  <c r="S172" i="10" s="1"/>
  <c r="S172" i="11" s="1"/>
  <c r="S172" i="12" s="1"/>
  <c r="S172" i="13" s="1"/>
  <c r="S172" i="14" s="1"/>
  <c r="S172" i="15" s="1"/>
  <c r="S172" i="16" s="1"/>
  <c r="T172" i="6"/>
  <c r="T172" i="7" s="1"/>
  <c r="T172" i="8" s="1"/>
  <c r="T172" i="9" s="1"/>
  <c r="T172" i="10" s="1"/>
  <c r="T172" i="11" s="1"/>
  <c r="T172" i="12" s="1"/>
  <c r="T172" i="13" s="1"/>
  <c r="T172" i="14" s="1"/>
  <c r="T172" i="15" s="1"/>
  <c r="T172" i="16" s="1"/>
  <c r="S173" i="6"/>
  <c r="S173" i="7" s="1"/>
  <c r="S173" i="8" s="1"/>
  <c r="S173" i="9" s="1"/>
  <c r="S173" i="10" s="1"/>
  <c r="S173" i="11" s="1"/>
  <c r="S173" i="12" s="1"/>
  <c r="S173" i="13" s="1"/>
  <c r="S173" i="14" s="1"/>
  <c r="S173" i="15" s="1"/>
  <c r="S173" i="16" s="1"/>
  <c r="T173" i="6"/>
  <c r="T173" i="7" s="1"/>
  <c r="T173" i="8" s="1"/>
  <c r="T173" i="9" s="1"/>
  <c r="T173" i="10" s="1"/>
  <c r="T173" i="11" s="1"/>
  <c r="T173" i="12" s="1"/>
  <c r="T173" i="13" s="1"/>
  <c r="T173" i="14" s="1"/>
  <c r="T173" i="15" s="1"/>
  <c r="T173" i="16" s="1"/>
  <c r="S174" i="6"/>
  <c r="S174" i="7" s="1"/>
  <c r="S174" i="8" s="1"/>
  <c r="S174" i="9" s="1"/>
  <c r="S174" i="10" s="1"/>
  <c r="S174" i="11" s="1"/>
  <c r="S174" i="12" s="1"/>
  <c r="S174" i="13" s="1"/>
  <c r="S174" i="14" s="1"/>
  <c r="S174" i="15" s="1"/>
  <c r="S174" i="16" s="1"/>
  <c r="T174" i="6"/>
  <c r="T174" i="7" s="1"/>
  <c r="T174" i="8" s="1"/>
  <c r="T174" i="9" s="1"/>
  <c r="T174" i="10" s="1"/>
  <c r="T174" i="11" s="1"/>
  <c r="T174" i="12" s="1"/>
  <c r="T174" i="13" s="1"/>
  <c r="T174" i="14" s="1"/>
  <c r="T174" i="15" s="1"/>
  <c r="T174" i="16" s="1"/>
  <c r="S175" i="6"/>
  <c r="S175" i="7" s="1"/>
  <c r="S175" i="8" s="1"/>
  <c r="S175" i="9" s="1"/>
  <c r="S175" i="10" s="1"/>
  <c r="S175" i="11" s="1"/>
  <c r="S175" i="12" s="1"/>
  <c r="S175" i="13" s="1"/>
  <c r="S175" i="14" s="1"/>
  <c r="S175" i="15" s="1"/>
  <c r="S175" i="16" s="1"/>
  <c r="T175" i="6"/>
  <c r="T175" i="7" s="1"/>
  <c r="T175" i="8" s="1"/>
  <c r="T175" i="9" s="1"/>
  <c r="T175" i="10" s="1"/>
  <c r="T175" i="11" s="1"/>
  <c r="T175" i="12" s="1"/>
  <c r="T175" i="13" s="1"/>
  <c r="T175" i="14" s="1"/>
  <c r="T175" i="15" s="1"/>
  <c r="T175" i="16" s="1"/>
  <c r="S176" i="6"/>
  <c r="S176" i="7" s="1"/>
  <c r="S176" i="8" s="1"/>
  <c r="S176" i="9" s="1"/>
  <c r="S176" i="10" s="1"/>
  <c r="S176" i="11" s="1"/>
  <c r="S176" i="12" s="1"/>
  <c r="S176" i="13" s="1"/>
  <c r="S176" i="14" s="1"/>
  <c r="S176" i="15" s="1"/>
  <c r="S176" i="16" s="1"/>
  <c r="T176" i="6"/>
  <c r="T176" i="7" s="1"/>
  <c r="T176" i="8" s="1"/>
  <c r="T176" i="9" s="1"/>
  <c r="T176" i="10" s="1"/>
  <c r="T176" i="11" s="1"/>
  <c r="T176" i="12" s="1"/>
  <c r="T176" i="13" s="1"/>
  <c r="T176" i="14" s="1"/>
  <c r="T176" i="15" s="1"/>
  <c r="T176" i="16" s="1"/>
  <c r="S177" i="6"/>
  <c r="S177" i="7" s="1"/>
  <c r="S177" i="8" s="1"/>
  <c r="S177" i="9" s="1"/>
  <c r="S177" i="10" s="1"/>
  <c r="S177" i="11" s="1"/>
  <c r="S177" i="12" s="1"/>
  <c r="S177" i="13" s="1"/>
  <c r="S177" i="14" s="1"/>
  <c r="S177" i="15" s="1"/>
  <c r="S177" i="16" s="1"/>
  <c r="T177" i="6"/>
  <c r="T177" i="7" s="1"/>
  <c r="T177" i="8" s="1"/>
  <c r="T177" i="9" s="1"/>
  <c r="T177" i="10" s="1"/>
  <c r="T177" i="11" s="1"/>
  <c r="T177" i="12" s="1"/>
  <c r="T177" i="13" s="1"/>
  <c r="T177" i="14" s="1"/>
  <c r="T177" i="15" s="1"/>
  <c r="T177" i="16" s="1"/>
  <c r="S178" i="6"/>
  <c r="S178" i="7" s="1"/>
  <c r="S178" i="8" s="1"/>
  <c r="S178" i="9" s="1"/>
  <c r="S178" i="10" s="1"/>
  <c r="S178" i="11" s="1"/>
  <c r="S178" i="12" s="1"/>
  <c r="S178" i="13" s="1"/>
  <c r="S178" i="14" s="1"/>
  <c r="S178" i="15" s="1"/>
  <c r="S178" i="16" s="1"/>
  <c r="T178" i="6"/>
  <c r="T178" i="7" s="1"/>
  <c r="T178" i="8" s="1"/>
  <c r="T178" i="9" s="1"/>
  <c r="T178" i="10" s="1"/>
  <c r="T178" i="11" s="1"/>
  <c r="T178" i="12" s="1"/>
  <c r="T178" i="13" s="1"/>
  <c r="T178" i="14" s="1"/>
  <c r="T178" i="15" s="1"/>
  <c r="T178" i="16" s="1"/>
  <c r="S179" i="6"/>
  <c r="S179" i="7" s="1"/>
  <c r="S179" i="8" s="1"/>
  <c r="S179" i="9" s="1"/>
  <c r="S179" i="10" s="1"/>
  <c r="S179" i="11" s="1"/>
  <c r="S179" i="12" s="1"/>
  <c r="S179" i="13" s="1"/>
  <c r="S179" i="14" s="1"/>
  <c r="S179" i="15" s="1"/>
  <c r="S179" i="16" s="1"/>
  <c r="T179" i="6"/>
  <c r="T179" i="7" s="1"/>
  <c r="T179" i="8" s="1"/>
  <c r="T179" i="9" s="1"/>
  <c r="T179" i="10" s="1"/>
  <c r="T179" i="11" s="1"/>
  <c r="T179" i="12" s="1"/>
  <c r="T179" i="13" s="1"/>
  <c r="T179" i="14" s="1"/>
  <c r="T179" i="15" s="1"/>
  <c r="T179" i="16" s="1"/>
  <c r="S180" i="6"/>
  <c r="S180" i="7" s="1"/>
  <c r="S180" i="8" s="1"/>
  <c r="S180" i="9" s="1"/>
  <c r="S180" i="10" s="1"/>
  <c r="S180" i="11" s="1"/>
  <c r="S180" i="12" s="1"/>
  <c r="S180" i="13" s="1"/>
  <c r="S180" i="14" s="1"/>
  <c r="S180" i="15" s="1"/>
  <c r="S180" i="16" s="1"/>
  <c r="T180" i="6"/>
  <c r="T180" i="7" s="1"/>
  <c r="T180" i="8" s="1"/>
  <c r="T180" i="9" s="1"/>
  <c r="T180" i="10" s="1"/>
  <c r="T180" i="11" s="1"/>
  <c r="T180" i="12" s="1"/>
  <c r="T180" i="13" s="1"/>
  <c r="T180" i="14" s="1"/>
  <c r="T180" i="15" s="1"/>
  <c r="T180" i="16" s="1"/>
  <c r="S183" i="6"/>
  <c r="S183" i="7" s="1"/>
  <c r="S183" i="8" s="1"/>
  <c r="S183" i="9" s="1"/>
  <c r="S183" i="10" s="1"/>
  <c r="S183" i="11" s="1"/>
  <c r="S183" i="12" s="1"/>
  <c r="S183" i="13" s="1"/>
  <c r="S183" i="14" s="1"/>
  <c r="S183" i="15" s="1"/>
  <c r="S183" i="16" s="1"/>
  <c r="T183" i="6"/>
  <c r="T183" i="7" s="1"/>
  <c r="T183" i="8" s="1"/>
  <c r="T183" i="9" s="1"/>
  <c r="T183" i="10" s="1"/>
  <c r="T183" i="11" s="1"/>
  <c r="T183" i="12" s="1"/>
  <c r="T183" i="13" s="1"/>
  <c r="T183" i="14" s="1"/>
  <c r="T183" i="15" s="1"/>
  <c r="T183" i="16" s="1"/>
  <c r="S184" i="6"/>
  <c r="S184" i="7" s="1"/>
  <c r="S184" i="8" s="1"/>
  <c r="S184" i="9" s="1"/>
  <c r="S184" i="10" s="1"/>
  <c r="S184" i="11" s="1"/>
  <c r="S184" i="12" s="1"/>
  <c r="S184" i="13" s="1"/>
  <c r="S184" i="14" s="1"/>
  <c r="S184" i="15" s="1"/>
  <c r="S184" i="16" s="1"/>
  <c r="T184" i="6"/>
  <c r="T184" i="7" s="1"/>
  <c r="T184" i="8" s="1"/>
  <c r="T184" i="9" s="1"/>
  <c r="T184" i="10" s="1"/>
  <c r="T184" i="11" s="1"/>
  <c r="T184" i="12" s="1"/>
  <c r="T184" i="13" s="1"/>
  <c r="T184" i="14" s="1"/>
  <c r="T184" i="15" s="1"/>
  <c r="T184" i="16" s="1"/>
  <c r="S185" i="6"/>
  <c r="S185" i="7" s="1"/>
  <c r="S185" i="8" s="1"/>
  <c r="S185" i="9" s="1"/>
  <c r="S185" i="10" s="1"/>
  <c r="S185" i="11" s="1"/>
  <c r="S185" i="12" s="1"/>
  <c r="S185" i="13" s="1"/>
  <c r="S185" i="14" s="1"/>
  <c r="S185" i="15" s="1"/>
  <c r="S185" i="16" s="1"/>
  <c r="T185" i="6"/>
  <c r="T185" i="7" s="1"/>
  <c r="T185" i="8" s="1"/>
  <c r="T185" i="9" s="1"/>
  <c r="T185" i="10" s="1"/>
  <c r="T185" i="11" s="1"/>
  <c r="T185" i="12" s="1"/>
  <c r="T185" i="13" s="1"/>
  <c r="T185" i="14" s="1"/>
  <c r="T185" i="15" s="1"/>
  <c r="T185" i="16" s="1"/>
  <c r="S186" i="6"/>
  <c r="S186" i="7" s="1"/>
  <c r="S186" i="8" s="1"/>
  <c r="S186" i="9" s="1"/>
  <c r="S186" i="10" s="1"/>
  <c r="S186" i="11" s="1"/>
  <c r="S186" i="12" s="1"/>
  <c r="S186" i="13" s="1"/>
  <c r="S186" i="14" s="1"/>
  <c r="S186" i="15" s="1"/>
  <c r="S186" i="16" s="1"/>
  <c r="T186" i="6"/>
  <c r="T186" i="7" s="1"/>
  <c r="T186" i="8" s="1"/>
  <c r="T186" i="9" s="1"/>
  <c r="T186" i="10" s="1"/>
  <c r="T186" i="11" s="1"/>
  <c r="T186" i="12" s="1"/>
  <c r="T186" i="13" s="1"/>
  <c r="T186" i="14" s="1"/>
  <c r="T186" i="15" s="1"/>
  <c r="T186" i="16" s="1"/>
  <c r="S187" i="6"/>
  <c r="S187" i="7" s="1"/>
  <c r="S187" i="8" s="1"/>
  <c r="S187" i="9" s="1"/>
  <c r="S187" i="10" s="1"/>
  <c r="S187" i="11" s="1"/>
  <c r="S187" i="12" s="1"/>
  <c r="S187" i="13" s="1"/>
  <c r="S187" i="14" s="1"/>
  <c r="S187" i="15" s="1"/>
  <c r="S187" i="16" s="1"/>
  <c r="T187" i="6"/>
  <c r="T187" i="7" s="1"/>
  <c r="T187" i="8" s="1"/>
  <c r="T187" i="9" s="1"/>
  <c r="T187" i="10" s="1"/>
  <c r="T187" i="11" s="1"/>
  <c r="T187" i="12" s="1"/>
  <c r="T187" i="13" s="1"/>
  <c r="T187" i="14" s="1"/>
  <c r="T187" i="15" s="1"/>
  <c r="T187" i="16" s="1"/>
  <c r="S188" i="6"/>
  <c r="S188" i="7" s="1"/>
  <c r="S188" i="8" s="1"/>
  <c r="S188" i="9" s="1"/>
  <c r="S188" i="10" s="1"/>
  <c r="S188" i="11" s="1"/>
  <c r="S188" i="12" s="1"/>
  <c r="S188" i="13" s="1"/>
  <c r="S188" i="14" s="1"/>
  <c r="S188" i="15" s="1"/>
  <c r="S188" i="16" s="1"/>
  <c r="S189" i="6"/>
  <c r="S189" i="7" s="1"/>
  <c r="S189" i="8" s="1"/>
  <c r="S189" i="9" s="1"/>
  <c r="S189" i="10" s="1"/>
  <c r="S189" i="11" s="1"/>
  <c r="S189" i="12" s="1"/>
  <c r="S189" i="13" s="1"/>
  <c r="S189" i="14" s="1"/>
  <c r="S189" i="15" s="1"/>
  <c r="S189" i="16" s="1"/>
  <c r="S190" i="6"/>
  <c r="S190" i="7" s="1"/>
  <c r="S190" i="8" s="1"/>
  <c r="S190" i="9" s="1"/>
  <c r="S190" i="10" s="1"/>
  <c r="S190" i="11" s="1"/>
  <c r="S190" i="12" s="1"/>
  <c r="S190" i="13" s="1"/>
  <c r="S190" i="14" s="1"/>
  <c r="S190" i="15" s="1"/>
  <c r="S190" i="16" s="1"/>
  <c r="S191" i="6"/>
  <c r="S191" i="7" s="1"/>
  <c r="S191" i="8" s="1"/>
  <c r="S191" i="9" s="1"/>
  <c r="S191" i="10" s="1"/>
  <c r="S191" i="11" s="1"/>
  <c r="S191" i="12" s="1"/>
  <c r="S191" i="13" s="1"/>
  <c r="S191" i="14" s="1"/>
  <c r="S191" i="15" s="1"/>
  <c r="S191" i="16" s="1"/>
  <c r="T191" i="6"/>
  <c r="T191" i="7" s="1"/>
  <c r="T191" i="8" s="1"/>
  <c r="T191" i="9" s="1"/>
  <c r="T191" i="10" s="1"/>
  <c r="T191" i="11" s="1"/>
  <c r="T191" i="12" s="1"/>
  <c r="T191" i="13" s="1"/>
  <c r="T191" i="14" s="1"/>
  <c r="T191" i="15" s="1"/>
  <c r="T191" i="16" s="1"/>
  <c r="S192" i="6"/>
  <c r="S192" i="7" s="1"/>
  <c r="S192" i="8" s="1"/>
  <c r="S192" i="9" s="1"/>
  <c r="S192" i="10" s="1"/>
  <c r="S192" i="11" s="1"/>
  <c r="S192" i="12" s="1"/>
  <c r="S192" i="13" s="1"/>
  <c r="S192" i="14" s="1"/>
  <c r="S192" i="15" s="1"/>
  <c r="S192" i="16" s="1"/>
  <c r="T192" i="6"/>
  <c r="T192" i="7" s="1"/>
  <c r="T192" i="8" s="1"/>
  <c r="T192" i="9" s="1"/>
  <c r="T192" i="10" s="1"/>
  <c r="T192" i="11" s="1"/>
  <c r="T192" i="12" s="1"/>
  <c r="T192" i="13" s="1"/>
  <c r="T192" i="14" s="1"/>
  <c r="T192" i="15" s="1"/>
  <c r="T192" i="16" s="1"/>
  <c r="S193" i="6"/>
  <c r="S193" i="7" s="1"/>
  <c r="S193" i="8" s="1"/>
  <c r="S193" i="9" s="1"/>
  <c r="S193" i="10" s="1"/>
  <c r="S193" i="11" s="1"/>
  <c r="S193" i="12" s="1"/>
  <c r="S193" i="13" s="1"/>
  <c r="S193" i="14" s="1"/>
  <c r="S193" i="15" s="1"/>
  <c r="S193" i="16" s="1"/>
  <c r="T193" i="6"/>
  <c r="T193" i="7" s="1"/>
  <c r="T193" i="8" s="1"/>
  <c r="T193" i="9" s="1"/>
  <c r="T193" i="10" s="1"/>
  <c r="T193" i="11" s="1"/>
  <c r="T193" i="12" s="1"/>
  <c r="T193" i="13" s="1"/>
  <c r="T193" i="14" s="1"/>
  <c r="T193" i="15" s="1"/>
  <c r="T193" i="16" s="1"/>
  <c r="S194" i="6"/>
  <c r="S194" i="7" s="1"/>
  <c r="S194" i="8" s="1"/>
  <c r="S194" i="9" s="1"/>
  <c r="S194" i="10" s="1"/>
  <c r="S194" i="11" s="1"/>
  <c r="S194" i="12" s="1"/>
  <c r="S194" i="13" s="1"/>
  <c r="S194" i="14" s="1"/>
  <c r="S194" i="15" s="1"/>
  <c r="S194" i="16" s="1"/>
  <c r="T194" i="6"/>
  <c r="T194" i="7" s="1"/>
  <c r="T194" i="8" s="1"/>
  <c r="T194" i="9" s="1"/>
  <c r="T194" i="10" s="1"/>
  <c r="T194" i="11" s="1"/>
  <c r="T194" i="12" s="1"/>
  <c r="T194" i="13" s="1"/>
  <c r="T194" i="14" s="1"/>
  <c r="T194" i="15" s="1"/>
  <c r="T194" i="16" s="1"/>
  <c r="S195" i="6"/>
  <c r="S195" i="7" s="1"/>
  <c r="S195" i="8" s="1"/>
  <c r="S195" i="9" s="1"/>
  <c r="S195" i="10" s="1"/>
  <c r="S195" i="11" s="1"/>
  <c r="S195" i="12" s="1"/>
  <c r="S195" i="13" s="1"/>
  <c r="S195" i="14" s="1"/>
  <c r="S195" i="15" s="1"/>
  <c r="S195" i="16" s="1"/>
  <c r="T195" i="6"/>
  <c r="T195" i="7" s="1"/>
  <c r="T195" i="8" s="1"/>
  <c r="T195" i="9" s="1"/>
  <c r="T195" i="10" s="1"/>
  <c r="T195" i="11" s="1"/>
  <c r="T195" i="12" s="1"/>
  <c r="T195" i="13" s="1"/>
  <c r="T195" i="14" s="1"/>
  <c r="T195" i="15" s="1"/>
  <c r="T195" i="16" s="1"/>
  <c r="S196" i="6"/>
  <c r="S196" i="7" s="1"/>
  <c r="S196" i="8" s="1"/>
  <c r="S196" i="9" s="1"/>
  <c r="S196" i="10" s="1"/>
  <c r="S196" i="11" s="1"/>
  <c r="S196" i="12" s="1"/>
  <c r="S196" i="13" s="1"/>
  <c r="S196" i="14" s="1"/>
  <c r="S196" i="15" s="1"/>
  <c r="S196" i="16" s="1"/>
  <c r="T196" i="6"/>
  <c r="T196" i="7" s="1"/>
  <c r="T196" i="8" s="1"/>
  <c r="T196" i="9" s="1"/>
  <c r="T196" i="10" s="1"/>
  <c r="T196" i="11" s="1"/>
  <c r="T196" i="12" s="1"/>
  <c r="T196" i="13" s="1"/>
  <c r="T196" i="14" s="1"/>
  <c r="T196" i="15" s="1"/>
  <c r="T196" i="16" s="1"/>
  <c r="S197" i="6"/>
  <c r="S197" i="7" s="1"/>
  <c r="S197" i="8" s="1"/>
  <c r="S197" i="9" s="1"/>
  <c r="S197" i="10" s="1"/>
  <c r="S197" i="11" s="1"/>
  <c r="S197" i="12" s="1"/>
  <c r="S197" i="13" s="1"/>
  <c r="S197" i="14" s="1"/>
  <c r="S197" i="15" s="1"/>
  <c r="S197" i="16" s="1"/>
  <c r="T197" i="6"/>
  <c r="T197" i="7" s="1"/>
  <c r="T197" i="8" s="1"/>
  <c r="T197" i="9" s="1"/>
  <c r="T197" i="10" s="1"/>
  <c r="T197" i="11" s="1"/>
  <c r="T197" i="12" s="1"/>
  <c r="T197" i="13" s="1"/>
  <c r="T197" i="14" s="1"/>
  <c r="T197" i="15" s="1"/>
  <c r="T197" i="16" s="1"/>
  <c r="S198" i="6"/>
  <c r="S198" i="7" s="1"/>
  <c r="S198" i="8" s="1"/>
  <c r="S198" i="9" s="1"/>
  <c r="S198" i="10" s="1"/>
  <c r="S198" i="11" s="1"/>
  <c r="S198" i="12" s="1"/>
  <c r="S198" i="13" s="1"/>
  <c r="S198" i="14" s="1"/>
  <c r="S198" i="15" s="1"/>
  <c r="S198" i="16" s="1"/>
  <c r="T198" i="6"/>
  <c r="T198" i="7" s="1"/>
  <c r="T198" i="8" s="1"/>
  <c r="T198" i="9" s="1"/>
  <c r="T198" i="10" s="1"/>
  <c r="T198" i="11" s="1"/>
  <c r="T198" i="12" s="1"/>
  <c r="T198" i="13" s="1"/>
  <c r="T198" i="14" s="1"/>
  <c r="T198" i="15" s="1"/>
  <c r="T198" i="16" s="1"/>
  <c r="S199" i="6"/>
  <c r="S199" i="7" s="1"/>
  <c r="S199" i="8" s="1"/>
  <c r="S199" i="9" s="1"/>
  <c r="S199" i="10" s="1"/>
  <c r="S199" i="11" s="1"/>
  <c r="S199" i="12" s="1"/>
  <c r="S199" i="13" s="1"/>
  <c r="S199" i="14" s="1"/>
  <c r="S199" i="15" s="1"/>
  <c r="S199" i="16" s="1"/>
  <c r="T199" i="6"/>
  <c r="T199" i="7" s="1"/>
  <c r="T199" i="8" s="1"/>
  <c r="T199" i="9" s="1"/>
  <c r="T199" i="10" s="1"/>
  <c r="T199" i="11" s="1"/>
  <c r="T199" i="12" s="1"/>
  <c r="T199" i="13" s="1"/>
  <c r="T199" i="14" s="1"/>
  <c r="T199" i="15" s="1"/>
  <c r="T199" i="16" s="1"/>
  <c r="S200" i="6"/>
  <c r="S200" i="7" s="1"/>
  <c r="S200" i="8" s="1"/>
  <c r="S200" i="9" s="1"/>
  <c r="S200" i="10" s="1"/>
  <c r="S200" i="11" s="1"/>
  <c r="S200" i="12" s="1"/>
  <c r="S200" i="13" s="1"/>
  <c r="S200" i="14" s="1"/>
  <c r="S200" i="15" s="1"/>
  <c r="S200" i="16" s="1"/>
  <c r="T200" i="6"/>
  <c r="T200" i="7" s="1"/>
  <c r="T200" i="8" s="1"/>
  <c r="T200" i="9" s="1"/>
  <c r="T200" i="10" s="1"/>
  <c r="T200" i="11" s="1"/>
  <c r="T200" i="12" s="1"/>
  <c r="T200" i="13" s="1"/>
  <c r="T200" i="14" s="1"/>
  <c r="T200" i="15" s="1"/>
  <c r="T200" i="16" s="1"/>
  <c r="S203" i="6"/>
  <c r="S203" i="7" s="1"/>
  <c r="S203" i="8" s="1"/>
  <c r="S203" i="9" s="1"/>
  <c r="S203" i="10" s="1"/>
  <c r="S203" i="11" s="1"/>
  <c r="S203" i="12" s="1"/>
  <c r="S203" i="13" s="1"/>
  <c r="S203" i="14" s="1"/>
  <c r="S203" i="15" s="1"/>
  <c r="S203" i="16" s="1"/>
  <c r="T203" i="6"/>
  <c r="T203" i="7" s="1"/>
  <c r="T203" i="8" s="1"/>
  <c r="T203" i="9" s="1"/>
  <c r="T203" i="10" s="1"/>
  <c r="T203" i="11" s="1"/>
  <c r="T203" i="12" s="1"/>
  <c r="T203" i="13" s="1"/>
  <c r="T203" i="14" s="1"/>
  <c r="T203" i="15" s="1"/>
  <c r="T203" i="16" s="1"/>
  <c r="S204" i="6"/>
  <c r="S204" i="7" s="1"/>
  <c r="S204" i="8" s="1"/>
  <c r="S204" i="9" s="1"/>
  <c r="S204" i="10" s="1"/>
  <c r="S204" i="11" s="1"/>
  <c r="S204" i="12" s="1"/>
  <c r="S204" i="13" s="1"/>
  <c r="S204" i="14" s="1"/>
  <c r="S204" i="15" s="1"/>
  <c r="S204" i="16" s="1"/>
  <c r="T204" i="6"/>
  <c r="T204" i="7" s="1"/>
  <c r="T204" i="8" s="1"/>
  <c r="T204" i="9" s="1"/>
  <c r="T204" i="10" s="1"/>
  <c r="T204" i="11" s="1"/>
  <c r="T204" i="12" s="1"/>
  <c r="T204" i="13" s="1"/>
  <c r="T204" i="14" s="1"/>
  <c r="T204" i="15" s="1"/>
  <c r="T204" i="16" s="1"/>
  <c r="S205" i="6"/>
  <c r="S205" i="7" s="1"/>
  <c r="S205" i="8" s="1"/>
  <c r="S205" i="9" s="1"/>
  <c r="S205" i="10" s="1"/>
  <c r="S205" i="11" s="1"/>
  <c r="S205" i="12" s="1"/>
  <c r="S205" i="13" s="1"/>
  <c r="S205" i="14" s="1"/>
  <c r="S205" i="15" s="1"/>
  <c r="S205" i="16" s="1"/>
  <c r="T205" i="6"/>
  <c r="T205" i="7" s="1"/>
  <c r="T205" i="8" s="1"/>
  <c r="T205" i="9" s="1"/>
  <c r="T205" i="10" s="1"/>
  <c r="T205" i="11" s="1"/>
  <c r="T205" i="12" s="1"/>
  <c r="T205" i="13" s="1"/>
  <c r="T205" i="14" s="1"/>
  <c r="T205" i="15" s="1"/>
  <c r="T205" i="16" s="1"/>
  <c r="S206" i="6"/>
  <c r="S206" i="7" s="1"/>
  <c r="S206" i="8" s="1"/>
  <c r="S206" i="9" s="1"/>
  <c r="S206" i="10" s="1"/>
  <c r="S206" i="11" s="1"/>
  <c r="S206" i="12" s="1"/>
  <c r="S206" i="13" s="1"/>
  <c r="S206" i="14" s="1"/>
  <c r="S206" i="15" s="1"/>
  <c r="S206" i="16" s="1"/>
  <c r="T206" i="6"/>
  <c r="T206" i="7" s="1"/>
  <c r="T206" i="8" s="1"/>
  <c r="T206" i="9" s="1"/>
  <c r="T206" i="10" s="1"/>
  <c r="T206" i="11" s="1"/>
  <c r="T206" i="12" s="1"/>
  <c r="T206" i="13" s="1"/>
  <c r="T206" i="14" s="1"/>
  <c r="T206" i="15" s="1"/>
  <c r="T206" i="16" s="1"/>
  <c r="S207" i="6"/>
  <c r="S207" i="7" s="1"/>
  <c r="S207" i="8" s="1"/>
  <c r="S207" i="9" s="1"/>
  <c r="S207" i="10" s="1"/>
  <c r="S207" i="11" s="1"/>
  <c r="S207" i="12" s="1"/>
  <c r="S207" i="13" s="1"/>
  <c r="S207" i="14" s="1"/>
  <c r="S207" i="15" s="1"/>
  <c r="S207" i="16" s="1"/>
  <c r="T207" i="6"/>
  <c r="T207" i="7" s="1"/>
  <c r="T207" i="8" s="1"/>
  <c r="T207" i="9" s="1"/>
  <c r="T207" i="10" s="1"/>
  <c r="T207" i="11" s="1"/>
  <c r="T207" i="12" s="1"/>
  <c r="T207" i="13" s="1"/>
  <c r="T207" i="14" s="1"/>
  <c r="T207" i="15" s="1"/>
  <c r="T207" i="16" s="1"/>
  <c r="S209" i="6"/>
  <c r="S209" i="7" s="1"/>
  <c r="S209" i="8" s="1"/>
  <c r="S209" i="9" s="1"/>
  <c r="S209" i="10" s="1"/>
  <c r="S209" i="11" s="1"/>
  <c r="S209" i="12" s="1"/>
  <c r="S209" i="13" s="1"/>
  <c r="S209" i="14" s="1"/>
  <c r="S209" i="15" s="1"/>
  <c r="S209" i="16" s="1"/>
  <c r="S210" i="6"/>
  <c r="S210" i="7" s="1"/>
  <c r="S210" i="8" s="1"/>
  <c r="S210" i="9" s="1"/>
  <c r="S210" i="10" s="1"/>
  <c r="S210" i="11" s="1"/>
  <c r="S210" i="12" s="1"/>
  <c r="S210" i="13" s="1"/>
  <c r="S210" i="14" s="1"/>
  <c r="S210" i="15" s="1"/>
  <c r="S210" i="16" s="1"/>
  <c r="T210" i="6"/>
  <c r="T210" i="7" s="1"/>
  <c r="T210" i="8" s="1"/>
  <c r="T210" i="9" s="1"/>
  <c r="T210" i="10" s="1"/>
  <c r="T210" i="11" s="1"/>
  <c r="T210" i="12" s="1"/>
  <c r="T210" i="13" s="1"/>
  <c r="T210" i="14" s="1"/>
  <c r="T210" i="15" s="1"/>
  <c r="T210" i="16" s="1"/>
  <c r="S211" i="6"/>
  <c r="S211" i="7" s="1"/>
  <c r="S211" i="8" s="1"/>
  <c r="S211" i="9" s="1"/>
  <c r="S211" i="10" s="1"/>
  <c r="S211" i="11" s="1"/>
  <c r="S211" i="12" s="1"/>
  <c r="S211" i="13" s="1"/>
  <c r="S211" i="14" s="1"/>
  <c r="S211" i="15" s="1"/>
  <c r="S211" i="16" s="1"/>
  <c r="T211" i="6"/>
  <c r="T211" i="7" s="1"/>
  <c r="T211" i="8" s="1"/>
  <c r="T211" i="9" s="1"/>
  <c r="T211" i="10" s="1"/>
  <c r="T211" i="11" s="1"/>
  <c r="T211" i="12" s="1"/>
  <c r="T211" i="13" s="1"/>
  <c r="T211" i="14" s="1"/>
  <c r="T211" i="15" s="1"/>
  <c r="T211" i="16" s="1"/>
  <c r="S212" i="6"/>
  <c r="S212" i="7" s="1"/>
  <c r="S212" i="8" s="1"/>
  <c r="S212" i="9" s="1"/>
  <c r="S212" i="10" s="1"/>
  <c r="S212" i="11" s="1"/>
  <c r="S212" i="12" s="1"/>
  <c r="S212" i="13" s="1"/>
  <c r="S212" i="14" s="1"/>
  <c r="S212" i="15" s="1"/>
  <c r="S212" i="16" s="1"/>
  <c r="T212" i="6"/>
  <c r="T212" i="7" s="1"/>
  <c r="T212" i="8" s="1"/>
  <c r="T212" i="9" s="1"/>
  <c r="T212" i="10" s="1"/>
  <c r="T212" i="11" s="1"/>
  <c r="T212" i="12" s="1"/>
  <c r="T212" i="13" s="1"/>
  <c r="T212" i="14" s="1"/>
  <c r="T212" i="15" s="1"/>
  <c r="T212" i="16" s="1"/>
  <c r="S213" i="6"/>
  <c r="S213" i="7" s="1"/>
  <c r="S213" i="8" s="1"/>
  <c r="S213" i="9" s="1"/>
  <c r="S213" i="10" s="1"/>
  <c r="S213" i="11" s="1"/>
  <c r="S213" i="12" s="1"/>
  <c r="S213" i="13" s="1"/>
  <c r="S213" i="14" s="1"/>
  <c r="S213" i="15" s="1"/>
  <c r="S213" i="16" s="1"/>
  <c r="T213" i="6"/>
  <c r="T213" i="7" s="1"/>
  <c r="T213" i="8" s="1"/>
  <c r="T213" i="9" s="1"/>
  <c r="T213" i="10" s="1"/>
  <c r="T213" i="11" s="1"/>
  <c r="T213" i="12" s="1"/>
  <c r="T213" i="13" s="1"/>
  <c r="T213" i="14" s="1"/>
  <c r="T213" i="15" s="1"/>
  <c r="T213" i="16" s="1"/>
  <c r="S214" i="6"/>
  <c r="S214" i="7" s="1"/>
  <c r="S214" i="8" s="1"/>
  <c r="S214" i="9" s="1"/>
  <c r="S214" i="10" s="1"/>
  <c r="S214" i="11" s="1"/>
  <c r="S214" i="12" s="1"/>
  <c r="S214" i="13" s="1"/>
  <c r="S214" i="14" s="1"/>
  <c r="S214" i="15" s="1"/>
  <c r="S214" i="16" s="1"/>
  <c r="T214" i="6"/>
  <c r="T214" i="7" s="1"/>
  <c r="T214" i="8" s="1"/>
  <c r="T214" i="9" s="1"/>
  <c r="T214" i="10" s="1"/>
  <c r="T214" i="11" s="1"/>
  <c r="T214" i="12" s="1"/>
  <c r="T214" i="13" s="1"/>
  <c r="T214" i="14" s="1"/>
  <c r="T214" i="15" s="1"/>
  <c r="T214" i="16" s="1"/>
  <c r="S215" i="6"/>
  <c r="S215" i="7" s="1"/>
  <c r="S215" i="8" s="1"/>
  <c r="S215" i="9" s="1"/>
  <c r="S215" i="10" s="1"/>
  <c r="S215" i="11" s="1"/>
  <c r="S215" i="12" s="1"/>
  <c r="S215" i="13" s="1"/>
  <c r="S215" i="14" s="1"/>
  <c r="S215" i="15" s="1"/>
  <c r="S215" i="16" s="1"/>
  <c r="T215" i="6"/>
  <c r="T215" i="7" s="1"/>
  <c r="T215" i="8" s="1"/>
  <c r="T215" i="9" s="1"/>
  <c r="T215" i="10" s="1"/>
  <c r="T215" i="11" s="1"/>
  <c r="T215" i="12" s="1"/>
  <c r="T215" i="13" s="1"/>
  <c r="T215" i="14" s="1"/>
  <c r="T215" i="15" s="1"/>
  <c r="T215" i="16" s="1"/>
  <c r="S216" i="6"/>
  <c r="S216" i="7" s="1"/>
  <c r="S216" i="8" s="1"/>
  <c r="S216" i="9" s="1"/>
  <c r="S216" i="10" s="1"/>
  <c r="S216" i="11" s="1"/>
  <c r="S216" i="12" s="1"/>
  <c r="S216" i="13" s="1"/>
  <c r="S216" i="14" s="1"/>
  <c r="S216" i="15" s="1"/>
  <c r="S216" i="16" s="1"/>
  <c r="T216" i="6"/>
  <c r="T216" i="7" s="1"/>
  <c r="T216" i="8" s="1"/>
  <c r="T216" i="9" s="1"/>
  <c r="T216" i="10" s="1"/>
  <c r="T216" i="11" s="1"/>
  <c r="T216" i="12" s="1"/>
  <c r="T216" i="13" s="1"/>
  <c r="T216" i="14" s="1"/>
  <c r="T216" i="15" s="1"/>
  <c r="T216" i="16" s="1"/>
  <c r="S217" i="6"/>
  <c r="S217" i="7" s="1"/>
  <c r="S217" i="8" s="1"/>
  <c r="S217" i="9" s="1"/>
  <c r="S217" i="10" s="1"/>
  <c r="S217" i="11" s="1"/>
  <c r="S217" i="12" s="1"/>
  <c r="S217" i="13" s="1"/>
  <c r="S217" i="14" s="1"/>
  <c r="S217" i="15" s="1"/>
  <c r="S217" i="16" s="1"/>
  <c r="T217" i="6"/>
  <c r="T217" i="7" s="1"/>
  <c r="T217" i="8" s="1"/>
  <c r="T217" i="9" s="1"/>
  <c r="T217" i="10" s="1"/>
  <c r="T217" i="11" s="1"/>
  <c r="T217" i="12" s="1"/>
  <c r="T217" i="13" s="1"/>
  <c r="T217" i="14" s="1"/>
  <c r="T217" i="15" s="1"/>
  <c r="T217" i="16" s="1"/>
  <c r="S218" i="6"/>
  <c r="S218" i="7" s="1"/>
  <c r="S218" i="8" s="1"/>
  <c r="S218" i="9" s="1"/>
  <c r="S218" i="10" s="1"/>
  <c r="S218" i="11" s="1"/>
  <c r="S218" i="12" s="1"/>
  <c r="S218" i="13" s="1"/>
  <c r="S218" i="14" s="1"/>
  <c r="S218" i="15" s="1"/>
  <c r="S218" i="16" s="1"/>
  <c r="T218" i="6"/>
  <c r="T218" i="7" s="1"/>
  <c r="T218" i="8" s="1"/>
  <c r="T218" i="9" s="1"/>
  <c r="T218" i="10" s="1"/>
  <c r="T218" i="11" s="1"/>
  <c r="T218" i="12" s="1"/>
  <c r="T218" i="13" s="1"/>
  <c r="T218" i="14" s="1"/>
  <c r="T218" i="15" s="1"/>
  <c r="T218" i="16" s="1"/>
  <c r="S219" i="6"/>
  <c r="S219" i="7" s="1"/>
  <c r="S219" i="8" s="1"/>
  <c r="S219" i="9" s="1"/>
  <c r="S219" i="10" s="1"/>
  <c r="S219" i="11" s="1"/>
  <c r="S219" i="12" s="1"/>
  <c r="S219" i="13" s="1"/>
  <c r="S219" i="14" s="1"/>
  <c r="S219" i="15" s="1"/>
  <c r="S219" i="16" s="1"/>
  <c r="T219" i="6"/>
  <c r="T219" i="7" s="1"/>
  <c r="T219" i="8" s="1"/>
  <c r="T219" i="9" s="1"/>
  <c r="T219" i="10" s="1"/>
  <c r="T219" i="11" s="1"/>
  <c r="T219" i="12" s="1"/>
  <c r="T219" i="13" s="1"/>
  <c r="T219" i="14" s="1"/>
  <c r="T219" i="15" s="1"/>
  <c r="T219" i="16" s="1"/>
  <c r="S220" i="6"/>
  <c r="S220" i="7" s="1"/>
  <c r="S220" i="8" s="1"/>
  <c r="S220" i="9" s="1"/>
  <c r="S220" i="10" s="1"/>
  <c r="S220" i="11" s="1"/>
  <c r="S220" i="12" s="1"/>
  <c r="S220" i="13" s="1"/>
  <c r="S220" i="14" s="1"/>
  <c r="S220" i="15" s="1"/>
  <c r="S220" i="16" s="1"/>
  <c r="T220" i="6"/>
  <c r="T220" i="7" s="1"/>
  <c r="T220" i="8" s="1"/>
  <c r="T220" i="9" s="1"/>
  <c r="T220" i="10" s="1"/>
  <c r="T220" i="11" s="1"/>
  <c r="T220" i="12" s="1"/>
  <c r="T220" i="13" s="1"/>
  <c r="T220" i="14" s="1"/>
  <c r="T220" i="15" s="1"/>
  <c r="T220" i="16" s="1"/>
  <c r="S221" i="6"/>
  <c r="S221" i="7" s="1"/>
  <c r="S221" i="8" s="1"/>
  <c r="S221" i="9" s="1"/>
  <c r="S221" i="10" s="1"/>
  <c r="S221" i="11" s="1"/>
  <c r="S221" i="12" s="1"/>
  <c r="S221" i="13" s="1"/>
  <c r="S221" i="14" s="1"/>
  <c r="S221" i="15" s="1"/>
  <c r="S221" i="16" s="1"/>
  <c r="T221" i="6"/>
  <c r="T221" i="7" s="1"/>
  <c r="T221" i="8" s="1"/>
  <c r="T221" i="9" s="1"/>
  <c r="T221" i="10" s="1"/>
  <c r="T221" i="11" s="1"/>
  <c r="T221" i="12" s="1"/>
  <c r="T221" i="13" s="1"/>
  <c r="T221" i="14" s="1"/>
  <c r="T221" i="15" s="1"/>
  <c r="T221" i="16" s="1"/>
  <c r="S222" i="6"/>
  <c r="S222" i="7" s="1"/>
  <c r="S222" i="8" s="1"/>
  <c r="S222" i="9" s="1"/>
  <c r="S222" i="10" s="1"/>
  <c r="S222" i="11" s="1"/>
  <c r="S222" i="12" s="1"/>
  <c r="S222" i="13" s="1"/>
  <c r="S222" i="14" s="1"/>
  <c r="S222" i="15" s="1"/>
  <c r="S222" i="16" s="1"/>
  <c r="T222" i="6"/>
  <c r="T222" i="7" s="1"/>
  <c r="T222" i="8" s="1"/>
  <c r="T222" i="9" s="1"/>
  <c r="T222" i="10" s="1"/>
  <c r="T222" i="11" s="1"/>
  <c r="T222" i="12" s="1"/>
  <c r="T222" i="13" s="1"/>
  <c r="T222" i="14" s="1"/>
  <c r="T222" i="15" s="1"/>
  <c r="T222" i="16" s="1"/>
  <c r="S223" i="6"/>
  <c r="S223" i="7" s="1"/>
  <c r="S223" i="8" s="1"/>
  <c r="S223" i="9" s="1"/>
  <c r="S223" i="10" s="1"/>
  <c r="S223" i="11" s="1"/>
  <c r="S223" i="12" s="1"/>
  <c r="S223" i="13" s="1"/>
  <c r="S223" i="14" s="1"/>
  <c r="S223" i="15" s="1"/>
  <c r="S223" i="16" s="1"/>
  <c r="T223" i="6"/>
  <c r="T223" i="7" s="1"/>
  <c r="T223" i="8" s="1"/>
  <c r="T223" i="9" s="1"/>
  <c r="T223" i="10" s="1"/>
  <c r="T223" i="11" s="1"/>
  <c r="T223" i="12" s="1"/>
  <c r="T223" i="13" s="1"/>
  <c r="T223" i="14" s="1"/>
  <c r="T223" i="15" s="1"/>
  <c r="T223" i="16" s="1"/>
  <c r="S224" i="6"/>
  <c r="S224" i="7" s="1"/>
  <c r="S224" i="8" s="1"/>
  <c r="S224" i="9" s="1"/>
  <c r="S224" i="10" s="1"/>
  <c r="S224" i="11" s="1"/>
  <c r="S224" i="12" s="1"/>
  <c r="S224" i="13" s="1"/>
  <c r="S224" i="14" s="1"/>
  <c r="S224" i="15" s="1"/>
  <c r="S224" i="16" s="1"/>
  <c r="T224" i="6"/>
  <c r="T224" i="7" s="1"/>
  <c r="T224" i="8" s="1"/>
  <c r="T224" i="9" s="1"/>
  <c r="T224" i="10" s="1"/>
  <c r="T224" i="11" s="1"/>
  <c r="T224" i="12" s="1"/>
  <c r="T224" i="13" s="1"/>
  <c r="T224" i="14" s="1"/>
  <c r="T224" i="15" s="1"/>
  <c r="T224" i="16" s="1"/>
  <c r="S225" i="6"/>
  <c r="S225" i="7" s="1"/>
  <c r="S225" i="8" s="1"/>
  <c r="S225" i="9" s="1"/>
  <c r="S225" i="10" s="1"/>
  <c r="S225" i="11" s="1"/>
  <c r="S225" i="12" s="1"/>
  <c r="S225" i="13" s="1"/>
  <c r="S225" i="14" s="1"/>
  <c r="S225" i="15" s="1"/>
  <c r="S225" i="16" s="1"/>
  <c r="T225" i="6"/>
  <c r="T225" i="7" s="1"/>
  <c r="T225" i="8" s="1"/>
  <c r="T225" i="9" s="1"/>
  <c r="T225" i="10" s="1"/>
  <c r="T225" i="11" s="1"/>
  <c r="T225" i="12" s="1"/>
  <c r="T225" i="13" s="1"/>
  <c r="T225" i="14" s="1"/>
  <c r="T225" i="15" s="1"/>
  <c r="T225" i="16" s="1"/>
  <c r="S226" i="6"/>
  <c r="S226" i="7" s="1"/>
  <c r="S226" i="8" s="1"/>
  <c r="S226" i="9" s="1"/>
  <c r="S226" i="10" s="1"/>
  <c r="S226" i="11" s="1"/>
  <c r="S226" i="12" s="1"/>
  <c r="S226" i="13" s="1"/>
  <c r="S226" i="14" s="1"/>
  <c r="S226" i="15" s="1"/>
  <c r="S226" i="16" s="1"/>
  <c r="T226" i="6"/>
  <c r="T226" i="7" s="1"/>
  <c r="T226" i="8" s="1"/>
  <c r="T226" i="9" s="1"/>
  <c r="T226" i="10" s="1"/>
  <c r="T226" i="11" s="1"/>
  <c r="T226" i="12" s="1"/>
  <c r="T226" i="13" s="1"/>
  <c r="T226" i="14" s="1"/>
  <c r="T226" i="15" s="1"/>
  <c r="T226" i="16" s="1"/>
  <c r="S227" i="6"/>
  <c r="S227" i="7" s="1"/>
  <c r="S227" i="8" s="1"/>
  <c r="S227" i="9" s="1"/>
  <c r="S227" i="10" s="1"/>
  <c r="S227" i="11" s="1"/>
  <c r="S227" i="12" s="1"/>
  <c r="S227" i="13" s="1"/>
  <c r="S227" i="14" s="1"/>
  <c r="S227" i="15" s="1"/>
  <c r="S227" i="16" s="1"/>
  <c r="T227" i="6"/>
  <c r="T227" i="7" s="1"/>
  <c r="T227" i="8" s="1"/>
  <c r="T227" i="9" s="1"/>
  <c r="T227" i="10" s="1"/>
  <c r="T227" i="11" s="1"/>
  <c r="T227" i="12" s="1"/>
  <c r="T227" i="13" s="1"/>
  <c r="T227" i="14" s="1"/>
  <c r="T227" i="15" s="1"/>
  <c r="T227" i="16" s="1"/>
  <c r="S228" i="6"/>
  <c r="S228" i="7" s="1"/>
  <c r="S228" i="8" s="1"/>
  <c r="S228" i="9" s="1"/>
  <c r="S228" i="10" s="1"/>
  <c r="S228" i="11" s="1"/>
  <c r="S228" i="12" s="1"/>
  <c r="S228" i="13" s="1"/>
  <c r="S228" i="14" s="1"/>
  <c r="S228" i="15" s="1"/>
  <c r="S228" i="16" s="1"/>
  <c r="T228" i="6"/>
  <c r="T228" i="7" s="1"/>
  <c r="T228" i="8" s="1"/>
  <c r="T228" i="9" s="1"/>
  <c r="T228" i="10" s="1"/>
  <c r="T228" i="11" s="1"/>
  <c r="T228" i="12" s="1"/>
  <c r="T228" i="13" s="1"/>
  <c r="T228" i="14" s="1"/>
  <c r="T228" i="15" s="1"/>
  <c r="T228" i="16" s="1"/>
  <c r="S229" i="6"/>
  <c r="S229" i="7" s="1"/>
  <c r="S229" i="8" s="1"/>
  <c r="S229" i="9" s="1"/>
  <c r="S229" i="10" s="1"/>
  <c r="S229" i="11" s="1"/>
  <c r="S229" i="12" s="1"/>
  <c r="S229" i="13" s="1"/>
  <c r="S229" i="14" s="1"/>
  <c r="S229" i="15" s="1"/>
  <c r="S229" i="16" s="1"/>
  <c r="T229" i="6"/>
  <c r="T229" i="7" s="1"/>
  <c r="T229" i="8" s="1"/>
  <c r="T229" i="9" s="1"/>
  <c r="T229" i="10" s="1"/>
  <c r="T229" i="11" s="1"/>
  <c r="T229" i="12" s="1"/>
  <c r="T229" i="13" s="1"/>
  <c r="T229" i="14" s="1"/>
  <c r="T229" i="15" s="1"/>
  <c r="T229" i="16" s="1"/>
  <c r="S230" i="6"/>
  <c r="S230" i="7" s="1"/>
  <c r="S230" i="8" s="1"/>
  <c r="S230" i="9" s="1"/>
  <c r="S230" i="10" s="1"/>
  <c r="S230" i="11" s="1"/>
  <c r="S230" i="12" s="1"/>
  <c r="S230" i="13" s="1"/>
  <c r="S230" i="14" s="1"/>
  <c r="S230" i="15" s="1"/>
  <c r="S230" i="16" s="1"/>
  <c r="T230" i="6"/>
  <c r="T230" i="7" s="1"/>
  <c r="T230" i="8" s="1"/>
  <c r="T230" i="9" s="1"/>
  <c r="T230" i="10" s="1"/>
  <c r="T230" i="11" s="1"/>
  <c r="T230" i="12" s="1"/>
  <c r="T230" i="13" s="1"/>
  <c r="T230" i="14" s="1"/>
  <c r="T230" i="15" s="1"/>
  <c r="T230" i="16" s="1"/>
  <c r="S231" i="6"/>
  <c r="S231" i="7" s="1"/>
  <c r="S231" i="8" s="1"/>
  <c r="S231" i="9" s="1"/>
  <c r="S231" i="10" s="1"/>
  <c r="S231" i="11" s="1"/>
  <c r="S231" i="12" s="1"/>
  <c r="S231" i="13" s="1"/>
  <c r="S231" i="14" s="1"/>
  <c r="S231" i="15" s="1"/>
  <c r="S231" i="16" s="1"/>
  <c r="T231" i="6"/>
  <c r="T231" i="7" s="1"/>
  <c r="T231" i="8" s="1"/>
  <c r="T231" i="9" s="1"/>
  <c r="T231" i="10" s="1"/>
  <c r="T231" i="11" s="1"/>
  <c r="T231" i="12" s="1"/>
  <c r="T231" i="13" s="1"/>
  <c r="T231" i="14" s="1"/>
  <c r="T231" i="15" s="1"/>
  <c r="T231" i="16" s="1"/>
  <c r="S232" i="6"/>
  <c r="S232" i="7" s="1"/>
  <c r="S232" i="8" s="1"/>
  <c r="S232" i="9" s="1"/>
  <c r="S232" i="10" s="1"/>
  <c r="S232" i="11" s="1"/>
  <c r="S232" i="12" s="1"/>
  <c r="S232" i="13" s="1"/>
  <c r="S232" i="14" s="1"/>
  <c r="S232" i="15" s="1"/>
  <c r="S232" i="16" s="1"/>
  <c r="T232" i="6"/>
  <c r="T232" i="7" s="1"/>
  <c r="T232" i="8" s="1"/>
  <c r="T232" i="9" s="1"/>
  <c r="T232" i="10" s="1"/>
  <c r="T232" i="11" s="1"/>
  <c r="T232" i="12" s="1"/>
  <c r="T232" i="13" s="1"/>
  <c r="T232" i="14" s="1"/>
  <c r="T232" i="15" s="1"/>
  <c r="T232" i="16" s="1"/>
  <c r="S233" i="6"/>
  <c r="S233" i="7" s="1"/>
  <c r="S233" i="8" s="1"/>
  <c r="S233" i="9" s="1"/>
  <c r="S233" i="10" s="1"/>
  <c r="S233" i="11" s="1"/>
  <c r="S233" i="12" s="1"/>
  <c r="S233" i="13" s="1"/>
  <c r="S233" i="14" s="1"/>
  <c r="S233" i="15" s="1"/>
  <c r="S233" i="16" s="1"/>
  <c r="T233" i="6"/>
  <c r="T233" i="7" s="1"/>
  <c r="T233" i="8" s="1"/>
  <c r="T233" i="9" s="1"/>
  <c r="T233" i="10" s="1"/>
  <c r="T233" i="11" s="1"/>
  <c r="T233" i="12" s="1"/>
  <c r="T233" i="13" s="1"/>
  <c r="T233" i="14" s="1"/>
  <c r="T233" i="15" s="1"/>
  <c r="T233" i="16" s="1"/>
  <c r="S234" i="6"/>
  <c r="S234" i="7" s="1"/>
  <c r="S234" i="8" s="1"/>
  <c r="S234" i="9" s="1"/>
  <c r="S234" i="10" s="1"/>
  <c r="S234" i="11" s="1"/>
  <c r="S234" i="12" s="1"/>
  <c r="S234" i="13" s="1"/>
  <c r="S234" i="14" s="1"/>
  <c r="S234" i="15" s="1"/>
  <c r="S234" i="16" s="1"/>
  <c r="T234" i="6"/>
  <c r="T234" i="7" s="1"/>
  <c r="T234" i="8" s="1"/>
  <c r="T234" i="9" s="1"/>
  <c r="T234" i="10" s="1"/>
  <c r="T234" i="11" s="1"/>
  <c r="T234" i="12" s="1"/>
  <c r="T234" i="13" s="1"/>
  <c r="T234" i="14" s="1"/>
  <c r="T234" i="15" s="1"/>
  <c r="T234" i="16" s="1"/>
  <c r="S235" i="6"/>
  <c r="S235" i="7" s="1"/>
  <c r="S235" i="8" s="1"/>
  <c r="S235" i="9" s="1"/>
  <c r="S235" i="10" s="1"/>
  <c r="S235" i="11" s="1"/>
  <c r="S235" i="12" s="1"/>
  <c r="S235" i="13" s="1"/>
  <c r="S235" i="14" s="1"/>
  <c r="S235" i="15" s="1"/>
  <c r="S235" i="16" s="1"/>
  <c r="T235" i="6"/>
  <c r="T235" i="7" s="1"/>
  <c r="T235" i="8" s="1"/>
  <c r="T235" i="9" s="1"/>
  <c r="T235" i="10" s="1"/>
  <c r="T235" i="11" s="1"/>
  <c r="T235" i="12" s="1"/>
  <c r="T235" i="13" s="1"/>
  <c r="T235" i="14" s="1"/>
  <c r="T235" i="15" s="1"/>
  <c r="T235" i="16" s="1"/>
  <c r="S236" i="6"/>
  <c r="S236" i="7" s="1"/>
  <c r="S236" i="8" s="1"/>
  <c r="S236" i="9" s="1"/>
  <c r="S236" i="10" s="1"/>
  <c r="S236" i="11" s="1"/>
  <c r="S236" i="12" s="1"/>
  <c r="S236" i="13" s="1"/>
  <c r="S236" i="14" s="1"/>
  <c r="S236" i="15" s="1"/>
  <c r="S236" i="16" s="1"/>
  <c r="T236" i="6"/>
  <c r="T236" i="7" s="1"/>
  <c r="T236" i="8" s="1"/>
  <c r="T236" i="9" s="1"/>
  <c r="T236" i="10" s="1"/>
  <c r="T236" i="11" s="1"/>
  <c r="T236" i="12" s="1"/>
  <c r="T236" i="13" s="1"/>
  <c r="T236" i="14" s="1"/>
  <c r="T236" i="15" s="1"/>
  <c r="T236" i="16" s="1"/>
  <c r="S237" i="6"/>
  <c r="S237" i="7" s="1"/>
  <c r="S237" i="8" s="1"/>
  <c r="S237" i="9" s="1"/>
  <c r="S237" i="10" s="1"/>
  <c r="S237" i="11" s="1"/>
  <c r="S237" i="12" s="1"/>
  <c r="S237" i="13" s="1"/>
  <c r="S237" i="14" s="1"/>
  <c r="S237" i="15" s="1"/>
  <c r="S237" i="16" s="1"/>
  <c r="T237" i="6"/>
  <c r="T237" i="7" s="1"/>
  <c r="T237" i="8" s="1"/>
  <c r="T237" i="9" s="1"/>
  <c r="T237" i="10" s="1"/>
  <c r="T237" i="11" s="1"/>
  <c r="T237" i="12" s="1"/>
  <c r="T237" i="13" s="1"/>
  <c r="T237" i="14" s="1"/>
  <c r="T237" i="15" s="1"/>
  <c r="T237" i="16" s="1"/>
  <c r="S238" i="6"/>
  <c r="S238" i="7" s="1"/>
  <c r="S238" i="8" s="1"/>
  <c r="S238" i="9" s="1"/>
  <c r="S238" i="10" s="1"/>
  <c r="S238" i="11" s="1"/>
  <c r="S238" i="12" s="1"/>
  <c r="S238" i="13" s="1"/>
  <c r="S238" i="14" s="1"/>
  <c r="S238" i="15" s="1"/>
  <c r="S238" i="16" s="1"/>
  <c r="T238" i="6"/>
  <c r="T238" i="7" s="1"/>
  <c r="T238" i="8" s="1"/>
  <c r="T238" i="9" s="1"/>
  <c r="T238" i="10" s="1"/>
  <c r="T238" i="11" s="1"/>
  <c r="T238" i="12" s="1"/>
  <c r="T238" i="13" s="1"/>
  <c r="T238" i="14" s="1"/>
  <c r="T238" i="15" s="1"/>
  <c r="T238" i="16" s="1"/>
  <c r="S239" i="6"/>
  <c r="S239" i="7" s="1"/>
  <c r="S239" i="8" s="1"/>
  <c r="S239" i="9" s="1"/>
  <c r="S239" i="10" s="1"/>
  <c r="S239" i="11" s="1"/>
  <c r="S239" i="12" s="1"/>
  <c r="S239" i="13" s="1"/>
  <c r="S239" i="14" s="1"/>
  <c r="S239" i="15" s="1"/>
  <c r="S239" i="16" s="1"/>
  <c r="T239" i="6"/>
  <c r="T239" i="7" s="1"/>
  <c r="T239" i="8" s="1"/>
  <c r="T239" i="9" s="1"/>
  <c r="T239" i="10" s="1"/>
  <c r="T239" i="11" s="1"/>
  <c r="T239" i="12" s="1"/>
  <c r="T239" i="13" s="1"/>
  <c r="T239" i="14" s="1"/>
  <c r="T239" i="15" s="1"/>
  <c r="T239" i="16" s="1"/>
  <c r="S240" i="6"/>
  <c r="S240" i="7" s="1"/>
  <c r="S240" i="8" s="1"/>
  <c r="S240" i="9" s="1"/>
  <c r="S240" i="10" s="1"/>
  <c r="S240" i="11" s="1"/>
  <c r="S240" i="12" s="1"/>
  <c r="S240" i="13" s="1"/>
  <c r="S240" i="14" s="1"/>
  <c r="S240" i="15" s="1"/>
  <c r="S240" i="16" s="1"/>
  <c r="T240" i="6"/>
  <c r="T240" i="7" s="1"/>
  <c r="T240" i="8" s="1"/>
  <c r="T240" i="9" s="1"/>
  <c r="T240" i="10" s="1"/>
  <c r="T240" i="11" s="1"/>
  <c r="T240" i="12" s="1"/>
  <c r="T240" i="13" s="1"/>
  <c r="T240" i="14" s="1"/>
  <c r="T240" i="15" s="1"/>
  <c r="T240" i="16" s="1"/>
  <c r="S241" i="6"/>
  <c r="S241" i="7" s="1"/>
  <c r="S241" i="8" s="1"/>
  <c r="S241" i="9" s="1"/>
  <c r="S241" i="10" s="1"/>
  <c r="S241" i="11" s="1"/>
  <c r="S241" i="12" s="1"/>
  <c r="S241" i="13" s="1"/>
  <c r="S241" i="14" s="1"/>
  <c r="S241" i="15" s="1"/>
  <c r="S241" i="16" s="1"/>
  <c r="T241" i="6"/>
  <c r="T241" i="7" s="1"/>
  <c r="T241" i="8" s="1"/>
  <c r="T241" i="9" s="1"/>
  <c r="T241" i="10" s="1"/>
  <c r="T241" i="11" s="1"/>
  <c r="T241" i="12" s="1"/>
  <c r="T241" i="13" s="1"/>
  <c r="T241" i="14" s="1"/>
  <c r="T241" i="15" s="1"/>
  <c r="T241" i="16" s="1"/>
  <c r="S242" i="6"/>
  <c r="S242" i="7" s="1"/>
  <c r="S242" i="8" s="1"/>
  <c r="S242" i="9" s="1"/>
  <c r="S242" i="10" s="1"/>
  <c r="S242" i="11" s="1"/>
  <c r="S242" i="12" s="1"/>
  <c r="S242" i="13" s="1"/>
  <c r="S242" i="14" s="1"/>
  <c r="S242" i="15" s="1"/>
  <c r="S242" i="16" s="1"/>
  <c r="T242" i="6"/>
  <c r="T242" i="7" s="1"/>
  <c r="T242" i="8" s="1"/>
  <c r="T242" i="9" s="1"/>
  <c r="T242" i="10" s="1"/>
  <c r="T242" i="11" s="1"/>
  <c r="T242" i="12" s="1"/>
  <c r="T242" i="13" s="1"/>
  <c r="T242" i="14" s="1"/>
  <c r="T242" i="15" s="1"/>
  <c r="T242" i="16" s="1"/>
  <c r="S243" i="6"/>
  <c r="S243" i="7" s="1"/>
  <c r="S243" i="8" s="1"/>
  <c r="S243" i="9" s="1"/>
  <c r="S243" i="10" s="1"/>
  <c r="S243" i="11" s="1"/>
  <c r="S243" i="12" s="1"/>
  <c r="S243" i="13" s="1"/>
  <c r="S243" i="14" s="1"/>
  <c r="S243" i="15" s="1"/>
  <c r="S243" i="16" s="1"/>
  <c r="T243" i="6"/>
  <c r="T243" i="7" s="1"/>
  <c r="T243" i="8" s="1"/>
  <c r="T243" i="9" s="1"/>
  <c r="T243" i="10" s="1"/>
  <c r="T243" i="11" s="1"/>
  <c r="T243" i="12" s="1"/>
  <c r="T243" i="13" s="1"/>
  <c r="T243" i="14" s="1"/>
  <c r="T243" i="15" s="1"/>
  <c r="T243" i="16" s="1"/>
  <c r="S244" i="6"/>
  <c r="S244" i="7" s="1"/>
  <c r="S244" i="8" s="1"/>
  <c r="S244" i="9" s="1"/>
  <c r="S244" i="10" s="1"/>
  <c r="S244" i="11" s="1"/>
  <c r="S244" i="12" s="1"/>
  <c r="S244" i="13" s="1"/>
  <c r="S244" i="14" s="1"/>
  <c r="S244" i="15" s="1"/>
  <c r="S244" i="16" s="1"/>
  <c r="T244" i="6"/>
  <c r="T244" i="7" s="1"/>
  <c r="T244" i="8" s="1"/>
  <c r="T244" i="9" s="1"/>
  <c r="T244" i="10" s="1"/>
  <c r="T244" i="11" s="1"/>
  <c r="T244" i="12" s="1"/>
  <c r="T244" i="13" s="1"/>
  <c r="T244" i="14" s="1"/>
  <c r="T244" i="15" s="1"/>
  <c r="T244" i="16" s="1"/>
  <c r="S257" i="6"/>
  <c r="S257" i="7" s="1"/>
  <c r="S257" i="8" s="1"/>
  <c r="S257" i="9" s="1"/>
  <c r="S257" i="10" s="1"/>
  <c r="S257" i="11" s="1"/>
  <c r="S257" i="12" s="1"/>
  <c r="S257" i="13" s="1"/>
  <c r="S257" i="14" s="1"/>
  <c r="S257" i="15" s="1"/>
  <c r="S257" i="16" s="1"/>
  <c r="T257" i="6"/>
  <c r="T257" i="7" s="1"/>
  <c r="T257" i="8" s="1"/>
  <c r="T257" i="9" s="1"/>
  <c r="T257" i="10" s="1"/>
  <c r="T257" i="11" s="1"/>
  <c r="T257" i="12" s="1"/>
  <c r="T257" i="13" s="1"/>
  <c r="T257" i="14" s="1"/>
  <c r="T257" i="15" s="1"/>
  <c r="T257" i="16" s="1"/>
  <c r="S258" i="6"/>
  <c r="S258" i="7" s="1"/>
  <c r="S258" i="8" s="1"/>
  <c r="S258" i="9" s="1"/>
  <c r="S258" i="10" s="1"/>
  <c r="S258" i="11" s="1"/>
  <c r="S258" i="12" s="1"/>
  <c r="S258" i="13" s="1"/>
  <c r="S258" i="14" s="1"/>
  <c r="S258" i="15" s="1"/>
  <c r="S258" i="16" s="1"/>
  <c r="T258" i="6"/>
  <c r="T258" i="7" s="1"/>
  <c r="T258" i="8" s="1"/>
  <c r="T258" i="9" s="1"/>
  <c r="T258" i="10" s="1"/>
  <c r="T258" i="11" s="1"/>
  <c r="T258" i="12" s="1"/>
  <c r="T258" i="13" s="1"/>
  <c r="T258" i="14" s="1"/>
  <c r="T258" i="15" s="1"/>
  <c r="T258" i="16" s="1"/>
  <c r="S259" i="6"/>
  <c r="S259" i="7" s="1"/>
  <c r="S259" i="8" s="1"/>
  <c r="S259" i="9" s="1"/>
  <c r="S259" i="10" s="1"/>
  <c r="S259" i="11" s="1"/>
  <c r="S259" i="12" s="1"/>
  <c r="S259" i="13" s="1"/>
  <c r="S259" i="14" s="1"/>
  <c r="S259" i="15" s="1"/>
  <c r="S259" i="16" s="1"/>
  <c r="BE2" i="5"/>
  <c r="BK2" i="5" s="1"/>
  <c r="BQ2" i="5" s="1"/>
  <c r="BE2" i="7"/>
  <c r="BK2" i="7" s="1"/>
  <c r="BQ2" i="7" s="1"/>
  <c r="BE2" i="8"/>
  <c r="BK2" i="8" s="1"/>
  <c r="BQ2" i="8" s="1"/>
  <c r="BE2" i="9"/>
  <c r="BK2" i="9" s="1"/>
  <c r="BQ2" i="9" s="1"/>
  <c r="BE2" i="10"/>
  <c r="BK2" i="10" s="1"/>
  <c r="BQ2" i="10" s="1"/>
  <c r="BE2" i="11"/>
  <c r="BK2" i="11" s="1"/>
  <c r="BQ2" i="11" s="1"/>
  <c r="BE2" i="12"/>
  <c r="BK2" i="12" s="1"/>
  <c r="BQ2" i="12" s="1"/>
  <c r="BE2" i="13"/>
  <c r="BK2" i="13" s="1"/>
  <c r="BQ2" i="13" s="1"/>
  <c r="BE2" i="14"/>
  <c r="BK2" i="14" s="1"/>
  <c r="BQ2" i="14" s="1"/>
  <c r="BE2" i="15"/>
  <c r="BK2" i="15" s="1"/>
  <c r="BQ2" i="15" s="1"/>
  <c r="BE2" i="16"/>
  <c r="BK2" i="16" s="1"/>
  <c r="BQ2" i="16" s="1"/>
  <c r="BE2" i="6"/>
  <c r="BK2" i="6" s="1"/>
  <c r="BQ2" i="6" s="1"/>
  <c r="AR6" i="5"/>
  <c r="AR6" i="6"/>
  <c r="AR6" i="8"/>
  <c r="AS6" i="8" s="1"/>
  <c r="AR6" i="9"/>
  <c r="AR6" i="10"/>
  <c r="AR6" i="11"/>
  <c r="AR6" i="12"/>
  <c r="AR6" i="13"/>
  <c r="AR6" i="14"/>
  <c r="AR6" i="15"/>
  <c r="AT21" i="15" s="1"/>
  <c r="AR6" i="16"/>
  <c r="AR6" i="7"/>
  <c r="AH3" i="6"/>
  <c r="AH3" i="7"/>
  <c r="AH3" i="8"/>
  <c r="AH3" i="9"/>
  <c r="AH3" i="10"/>
  <c r="AH3" i="11"/>
  <c r="AH3" i="12"/>
  <c r="AH3" i="13"/>
  <c r="AH3" i="14"/>
  <c r="AH3" i="15"/>
  <c r="AH3" i="16"/>
  <c r="AH3" i="5"/>
  <c r="Y3" i="6"/>
  <c r="V3" i="6" s="1"/>
  <c r="Y3" i="7"/>
  <c r="V3" i="7" s="1"/>
  <c r="Y3" i="8"/>
  <c r="V3" i="8" s="1"/>
  <c r="Y3" i="9"/>
  <c r="V3" i="9" s="1"/>
  <c r="Y3" i="10"/>
  <c r="V3" i="10" s="1"/>
  <c r="Y3" i="11"/>
  <c r="V3" i="11" s="1"/>
  <c r="Y3" i="12"/>
  <c r="V3" i="12" s="1"/>
  <c r="Y3" i="13"/>
  <c r="V3" i="13" s="1"/>
  <c r="Y3" i="14"/>
  <c r="V3" i="14" s="1"/>
  <c r="Y3" i="15"/>
  <c r="V3" i="15" s="1"/>
  <c r="Y3" i="16"/>
  <c r="V3" i="16" s="1"/>
  <c r="Y3" i="5"/>
  <c r="Y2" i="6"/>
  <c r="V2" i="6" s="1"/>
  <c r="Y2" i="7"/>
  <c r="V2" i="7" s="1"/>
  <c r="Y2" i="8"/>
  <c r="V2" i="8" s="1"/>
  <c r="Y2" i="9"/>
  <c r="V2" i="9" s="1"/>
  <c r="Y2" i="10"/>
  <c r="V2" i="10" s="1"/>
  <c r="Y2" i="11"/>
  <c r="V2" i="11" s="1"/>
  <c r="Y2" i="12"/>
  <c r="V2" i="12" s="1"/>
  <c r="Y2" i="13"/>
  <c r="V2" i="13" s="1"/>
  <c r="Y2" i="14"/>
  <c r="V2" i="14" s="1"/>
  <c r="Y2" i="15"/>
  <c r="V2" i="15" s="1"/>
  <c r="Y2" i="16"/>
  <c r="V2" i="16" s="1"/>
  <c r="Y2" i="5"/>
  <c r="V2" i="5" s="1"/>
  <c r="F3" i="6"/>
  <c r="D3" i="6" s="1"/>
  <c r="N3" i="6"/>
  <c r="F2" i="6"/>
  <c r="D2" i="6" s="1"/>
  <c r="F3" i="7"/>
  <c r="D3" i="7" s="1"/>
  <c r="N3" i="7"/>
  <c r="F2" i="7"/>
  <c r="D2" i="7" s="1"/>
  <c r="F3" i="8"/>
  <c r="D3" i="8" s="1"/>
  <c r="N3" i="8"/>
  <c r="F2" i="8"/>
  <c r="D2" i="8" s="1"/>
  <c r="F3" i="9"/>
  <c r="D3" i="9" s="1"/>
  <c r="N3" i="9"/>
  <c r="BE3" i="9" s="1"/>
  <c r="BK3" i="9" s="1"/>
  <c r="BQ3" i="9" s="1"/>
  <c r="BN5" i="9" s="1"/>
  <c r="F2" i="9"/>
  <c r="D2" i="9" s="1"/>
  <c r="F3" i="10"/>
  <c r="D3" i="10" s="1"/>
  <c r="N3" i="10"/>
  <c r="AW4" i="10" s="1"/>
  <c r="F2" i="10"/>
  <c r="D2" i="10" s="1"/>
  <c r="F3" i="11"/>
  <c r="D3" i="11" s="1"/>
  <c r="N3" i="11"/>
  <c r="F2" i="11"/>
  <c r="D2" i="11" s="1"/>
  <c r="F3" i="12"/>
  <c r="D3" i="12" s="1"/>
  <c r="N3" i="12"/>
  <c r="F2" i="12"/>
  <c r="D2" i="12" s="1"/>
  <c r="F3" i="13"/>
  <c r="D3" i="13" s="1"/>
  <c r="N3" i="13"/>
  <c r="F2" i="13"/>
  <c r="D2" i="13" s="1"/>
  <c r="F3" i="14"/>
  <c r="D3" i="14" s="1"/>
  <c r="N3" i="14"/>
  <c r="AW19" i="14" s="1"/>
  <c r="F2" i="14"/>
  <c r="D2" i="14" s="1"/>
  <c r="F3" i="15"/>
  <c r="D3" i="15" s="1"/>
  <c r="N3" i="15"/>
  <c r="F2" i="15"/>
  <c r="D2" i="15" s="1"/>
  <c r="F3" i="16"/>
  <c r="D3" i="16" s="1"/>
  <c r="N3" i="16"/>
  <c r="BE3" i="16" s="1"/>
  <c r="BK3" i="16" s="1"/>
  <c r="BQ3" i="16" s="1"/>
  <c r="F2" i="16"/>
  <c r="D2" i="16" s="1"/>
  <c r="F3" i="5"/>
  <c r="F2" i="5"/>
  <c r="D2" i="5" s="1"/>
  <c r="N3" i="5"/>
  <c r="G22" i="5"/>
  <c r="G25" i="5"/>
  <c r="G29" i="5"/>
  <c r="G32" i="5"/>
  <c r="G35" i="5"/>
  <c r="G42" i="5"/>
  <c r="G45" i="5"/>
  <c r="G48" i="5"/>
  <c r="G51" i="5"/>
  <c r="G54" i="5"/>
  <c r="G57" i="5"/>
  <c r="G60" i="5"/>
  <c r="G63" i="5"/>
  <c r="G66" i="5"/>
  <c r="G69" i="5"/>
  <c r="G72" i="5"/>
  <c r="G75" i="5"/>
  <c r="G78" i="5"/>
  <c r="I78" i="5" s="1"/>
  <c r="J10" i="5"/>
  <c r="J22" i="5"/>
  <c r="J25" i="5"/>
  <c r="J29" i="5"/>
  <c r="J32" i="5"/>
  <c r="J35" i="5"/>
  <c r="J42" i="5"/>
  <c r="J45" i="5"/>
  <c r="J48" i="5"/>
  <c r="J51" i="5"/>
  <c r="J54" i="5"/>
  <c r="J57" i="5"/>
  <c r="J60" i="5"/>
  <c r="J63" i="5"/>
  <c r="J66" i="5"/>
  <c r="J69" i="5"/>
  <c r="J72" i="5"/>
  <c r="J75" i="5"/>
  <c r="J78" i="5"/>
  <c r="Y20" i="5"/>
  <c r="Y16" i="5" s="1"/>
  <c r="Y35" i="5"/>
  <c r="Y44" i="5"/>
  <c r="Y49" i="5"/>
  <c r="Y58" i="5"/>
  <c r="Y57" i="5" s="1"/>
  <c r="Y69" i="5"/>
  <c r="Y65" i="5" s="1"/>
  <c r="Y83" i="5"/>
  <c r="Y91" i="5"/>
  <c r="Y96" i="5"/>
  <c r="Y105" i="5"/>
  <c r="Y104" i="5" s="1"/>
  <c r="Y114" i="5"/>
  <c r="Y123" i="5"/>
  <c r="Y141" i="5"/>
  <c r="Y149" i="5"/>
  <c r="Y147" i="5" s="1"/>
  <c r="Y172" i="5"/>
  <c r="Y176" i="5"/>
  <c r="Y187" i="5"/>
  <c r="Y185" i="5" s="1"/>
  <c r="Y203" i="5"/>
  <c r="Y211" i="5"/>
  <c r="Y210" i="5" s="1"/>
  <c r="Y209" i="5" s="1"/>
  <c r="Y207" i="5" s="1"/>
  <c r="Y222" i="5"/>
  <c r="Y227" i="5"/>
  <c r="Y235" i="5"/>
  <c r="Y243" i="5"/>
  <c r="AB20" i="5"/>
  <c r="AB16" i="5" s="1"/>
  <c r="AB35" i="5"/>
  <c r="AB44" i="5"/>
  <c r="AB49" i="5"/>
  <c r="AB58" i="5"/>
  <c r="AB57" i="5" s="1"/>
  <c r="AB69" i="5"/>
  <c r="AB65" i="5" s="1"/>
  <c r="AB83" i="5"/>
  <c r="AB91" i="5"/>
  <c r="AB96" i="5"/>
  <c r="AB105" i="5"/>
  <c r="AB104" i="5" s="1"/>
  <c r="AB114" i="5"/>
  <c r="AB123" i="5"/>
  <c r="AB141" i="5"/>
  <c r="AB149" i="5"/>
  <c r="AB147" i="5" s="1"/>
  <c r="AB172" i="5"/>
  <c r="AB176" i="5"/>
  <c r="AB187" i="5"/>
  <c r="AB185" i="5" s="1"/>
  <c r="AB203" i="5"/>
  <c r="AB211" i="5"/>
  <c r="AB210" i="5" s="1"/>
  <c r="AB209" i="5" s="1"/>
  <c r="AB207" i="5" s="1"/>
  <c r="AB222" i="5"/>
  <c r="AB227" i="5"/>
  <c r="AB235" i="5"/>
  <c r="AB243" i="5"/>
  <c r="AE20" i="5"/>
  <c r="AE16" i="5" s="1"/>
  <c r="AE35" i="5"/>
  <c r="AE44" i="5"/>
  <c r="AE49" i="5"/>
  <c r="AE58" i="5"/>
  <c r="AE57" i="5" s="1"/>
  <c r="AE69" i="5"/>
  <c r="AE65" i="5" s="1"/>
  <c r="AE83" i="5"/>
  <c r="AE91" i="5"/>
  <c r="AE96" i="5"/>
  <c r="AE105" i="5"/>
  <c r="AE104" i="5" s="1"/>
  <c r="AE114" i="5"/>
  <c r="AE123" i="5"/>
  <c r="AE141" i="5"/>
  <c r="AE149" i="5"/>
  <c r="AE147" i="5" s="1"/>
  <c r="AE172" i="5"/>
  <c r="AE176" i="5"/>
  <c r="AE187" i="5"/>
  <c r="AE185" i="5" s="1"/>
  <c r="AE203" i="5"/>
  <c r="AE211" i="5"/>
  <c r="AE210" i="5" s="1"/>
  <c r="AE209" i="5" s="1"/>
  <c r="AE207" i="5" s="1"/>
  <c r="AE222" i="5"/>
  <c r="AE227" i="5"/>
  <c r="AE235" i="5"/>
  <c r="AE243" i="5"/>
  <c r="AL20" i="5"/>
  <c r="AL16" i="5" s="1"/>
  <c r="AL35" i="5"/>
  <c r="AL44" i="5"/>
  <c r="AL49" i="5"/>
  <c r="AL58" i="5"/>
  <c r="AL57" i="5" s="1"/>
  <c r="AL69" i="5"/>
  <c r="AL65" i="5" s="1"/>
  <c r="AL83" i="5"/>
  <c r="AL91" i="5"/>
  <c r="AL96" i="5"/>
  <c r="AL105" i="5"/>
  <c r="AL104" i="5" s="1"/>
  <c r="AL114" i="5"/>
  <c r="AL123" i="5"/>
  <c r="AL141" i="5"/>
  <c r="AL149" i="5"/>
  <c r="AL147" i="5" s="1"/>
  <c r="AL172" i="5"/>
  <c r="AL176" i="5"/>
  <c r="AL203" i="5"/>
  <c r="AL211" i="5"/>
  <c r="AL210" i="5" s="1"/>
  <c r="AL209" i="5" s="1"/>
  <c r="AL207" i="5" s="1"/>
  <c r="AL222" i="5"/>
  <c r="AL227" i="5"/>
  <c r="AL235" i="5"/>
  <c r="AL243" i="5"/>
  <c r="AM20" i="5"/>
  <c r="AM16" i="5" s="1"/>
  <c r="AM114" i="5"/>
  <c r="AM211" i="5"/>
  <c r="AM210" i="5" s="1"/>
  <c r="AM209" i="5" s="1"/>
  <c r="AM207" i="5" s="1"/>
  <c r="AT11" i="5"/>
  <c r="AT21" i="5"/>
  <c r="AT26" i="5"/>
  <c r="AL20" i="6"/>
  <c r="AL16" i="6" s="1"/>
  <c r="AL35" i="6"/>
  <c r="AL44" i="6"/>
  <c r="AL49" i="6"/>
  <c r="AL58" i="6"/>
  <c r="AL57" i="6" s="1"/>
  <c r="AL69" i="6"/>
  <c r="AL65" i="6" s="1"/>
  <c r="AL83" i="6"/>
  <c r="AL91" i="6"/>
  <c r="AL96" i="6"/>
  <c r="AL105" i="6"/>
  <c r="AL104" i="6" s="1"/>
  <c r="AL114" i="6"/>
  <c r="AL123" i="6"/>
  <c r="AL141" i="6"/>
  <c r="AL149" i="6"/>
  <c r="AL147" i="6" s="1"/>
  <c r="AL172" i="6"/>
  <c r="AL176" i="6"/>
  <c r="AL203" i="6"/>
  <c r="AL211" i="6"/>
  <c r="AL210" i="6" s="1"/>
  <c r="AL209" i="6" s="1"/>
  <c r="AL207" i="6" s="1"/>
  <c r="AL222" i="6"/>
  <c r="AL227" i="6"/>
  <c r="AL243" i="6"/>
  <c r="AL234" i="6" s="1"/>
  <c r="AL232" i="6" s="1"/>
  <c r="AM20" i="6"/>
  <c r="AM16" i="6" s="1"/>
  <c r="AM44" i="6"/>
  <c r="AM43" i="6" s="1"/>
  <c r="AM83" i="6"/>
  <c r="AM114" i="6"/>
  <c r="AM211" i="6"/>
  <c r="AM210" i="6" s="1"/>
  <c r="AM209" i="6" s="1"/>
  <c r="AM207" i="6" s="1"/>
  <c r="AM243" i="6"/>
  <c r="AT26" i="6"/>
  <c r="AL20" i="7"/>
  <c r="AL16" i="7" s="1"/>
  <c r="AL35" i="7"/>
  <c r="AL44" i="7"/>
  <c r="AL49" i="7"/>
  <c r="AL58" i="7"/>
  <c r="AL57" i="7" s="1"/>
  <c r="AL69" i="7"/>
  <c r="AL65" i="7" s="1"/>
  <c r="AL83" i="7"/>
  <c r="AL91" i="7"/>
  <c r="AL96" i="7"/>
  <c r="AL105" i="7"/>
  <c r="AL104" i="7" s="1"/>
  <c r="AL114" i="7"/>
  <c r="AL123" i="7"/>
  <c r="AL141" i="7"/>
  <c r="AL149" i="7"/>
  <c r="AL147" i="7" s="1"/>
  <c r="AL155" i="7"/>
  <c r="AL172" i="7"/>
  <c r="AL176" i="7"/>
  <c r="AL203" i="7"/>
  <c r="AL211" i="7"/>
  <c r="AL210" i="7" s="1"/>
  <c r="AL209" i="7" s="1"/>
  <c r="AL207" i="7" s="1"/>
  <c r="AL222" i="7"/>
  <c r="AL227" i="7"/>
  <c r="AL243" i="7"/>
  <c r="AM114" i="7"/>
  <c r="AM211" i="7"/>
  <c r="AM210" i="7" s="1"/>
  <c r="AM209" i="7" s="1"/>
  <c r="AM207" i="7" s="1"/>
  <c r="AT11" i="7"/>
  <c r="BL17" i="7"/>
  <c r="BL17" i="10" s="1"/>
  <c r="BL17" i="13" s="1"/>
  <c r="BL17" i="16" s="1"/>
  <c r="AT26" i="7"/>
  <c r="Z20" i="8"/>
  <c r="Z16" i="8" s="1"/>
  <c r="AC20" i="8"/>
  <c r="AC16" i="8" s="1"/>
  <c r="AC123" i="8"/>
  <c r="AF123" i="8"/>
  <c r="AL20" i="8"/>
  <c r="AL16" i="8" s="1"/>
  <c r="AL35" i="8"/>
  <c r="AL44" i="8"/>
  <c r="AL49" i="8"/>
  <c r="AL58" i="8"/>
  <c r="AL57" i="8" s="1"/>
  <c r="AL69" i="8"/>
  <c r="AL65" i="8" s="1"/>
  <c r="AL83" i="8"/>
  <c r="AL91" i="8"/>
  <c r="AL96" i="8"/>
  <c r="AL105" i="8"/>
  <c r="AL104" i="8" s="1"/>
  <c r="AL114" i="8"/>
  <c r="AL123" i="8"/>
  <c r="AL141" i="8"/>
  <c r="AL149" i="8"/>
  <c r="AL147" i="8" s="1"/>
  <c r="AL172" i="8"/>
  <c r="AL176" i="8"/>
  <c r="AL203" i="8"/>
  <c r="AL211" i="8"/>
  <c r="AL210" i="8" s="1"/>
  <c r="AL209" i="8" s="1"/>
  <c r="AL207" i="8" s="1"/>
  <c r="AL222" i="8"/>
  <c r="AL227" i="8"/>
  <c r="AL243" i="8"/>
  <c r="AL234" i="8" s="1"/>
  <c r="AL232" i="8" s="1"/>
  <c r="AM114" i="8"/>
  <c r="AM211" i="8"/>
  <c r="AM210" i="8" s="1"/>
  <c r="AM209" i="8" s="1"/>
  <c r="AM207" i="8" s="1"/>
  <c r="AT11" i="8"/>
  <c r="AT26" i="8"/>
  <c r="Z20" i="9"/>
  <c r="Z16" i="9" s="1"/>
  <c r="AC20" i="9"/>
  <c r="AC16" i="9" s="1"/>
  <c r="AC123" i="9"/>
  <c r="AF123" i="9"/>
  <c r="AL20" i="9"/>
  <c r="AL16" i="9" s="1"/>
  <c r="AL35" i="9"/>
  <c r="AL44" i="9"/>
  <c r="AL49" i="9"/>
  <c r="AL58" i="9"/>
  <c r="AL57" i="9" s="1"/>
  <c r="AL69" i="9"/>
  <c r="AL65" i="9" s="1"/>
  <c r="AL83" i="9"/>
  <c r="AL91" i="9"/>
  <c r="AL96" i="9"/>
  <c r="AL105" i="9"/>
  <c r="AL104" i="9" s="1"/>
  <c r="AL114" i="9"/>
  <c r="AL123" i="9"/>
  <c r="AL141" i="9"/>
  <c r="AL149" i="9"/>
  <c r="AL147" i="9" s="1"/>
  <c r="AL155" i="9"/>
  <c r="AL172" i="9"/>
  <c r="AL176" i="9"/>
  <c r="AL203" i="9"/>
  <c r="AL194" i="9" s="1"/>
  <c r="AL193" i="9" s="1"/>
  <c r="AL211" i="9"/>
  <c r="AL210" i="9" s="1"/>
  <c r="AL209" i="9" s="1"/>
  <c r="AL207" i="9" s="1"/>
  <c r="AL222" i="9"/>
  <c r="AL227" i="9"/>
  <c r="AL243" i="9"/>
  <c r="AL234" i="9" s="1"/>
  <c r="AL232" i="9" s="1"/>
  <c r="AM114" i="9"/>
  <c r="AM211" i="9"/>
  <c r="AM210" i="9" s="1"/>
  <c r="AM209" i="9" s="1"/>
  <c r="AM207" i="9" s="1"/>
  <c r="AT11" i="9"/>
  <c r="AT26" i="9"/>
  <c r="Z20" i="10"/>
  <c r="Z16" i="10" s="1"/>
  <c r="AC20" i="10"/>
  <c r="AC16" i="10" s="1"/>
  <c r="AL20" i="10"/>
  <c r="AL16" i="10" s="1"/>
  <c r="AL35" i="10"/>
  <c r="AL44" i="10"/>
  <c r="AL49" i="10"/>
  <c r="AL58" i="10"/>
  <c r="AL57" i="10" s="1"/>
  <c r="AL69" i="10"/>
  <c r="AL65" i="10" s="1"/>
  <c r="AL83" i="10"/>
  <c r="AL91" i="10"/>
  <c r="AL96" i="10"/>
  <c r="AL105" i="10"/>
  <c r="AL104" i="10" s="1"/>
  <c r="AL114" i="10"/>
  <c r="AL123" i="10"/>
  <c r="AL141" i="10"/>
  <c r="AL149" i="10"/>
  <c r="AL147" i="10" s="1"/>
  <c r="AL155" i="10"/>
  <c r="AL172" i="10"/>
  <c r="AL176" i="10"/>
  <c r="AL203" i="10"/>
  <c r="AL194" i="10" s="1"/>
  <c r="AL193" i="10" s="1"/>
  <c r="AL211" i="10"/>
  <c r="AL210" i="10" s="1"/>
  <c r="AL209" i="10" s="1"/>
  <c r="AL207" i="10" s="1"/>
  <c r="AL222" i="10"/>
  <c r="AL227" i="10"/>
  <c r="AL243" i="10"/>
  <c r="AL234" i="10" s="1"/>
  <c r="AL232" i="10" s="1"/>
  <c r="AM114" i="10"/>
  <c r="AM211" i="10"/>
  <c r="AM210" i="10" s="1"/>
  <c r="AM209" i="10" s="1"/>
  <c r="AM207" i="10" s="1"/>
  <c r="AT11" i="10"/>
  <c r="AT26" i="10"/>
  <c r="Z20" i="11"/>
  <c r="Z16" i="11" s="1"/>
  <c r="AC20" i="11"/>
  <c r="AC16" i="11" s="1"/>
  <c r="AL20" i="11"/>
  <c r="AL16" i="11" s="1"/>
  <c r="AL35" i="11"/>
  <c r="AL44" i="11"/>
  <c r="AL49" i="11"/>
  <c r="AL58" i="11"/>
  <c r="AL57" i="11" s="1"/>
  <c r="AL69" i="11"/>
  <c r="AL65" i="11" s="1"/>
  <c r="AL83" i="11"/>
  <c r="AL91" i="11"/>
  <c r="AL96" i="11"/>
  <c r="AL105" i="11"/>
  <c r="AL104" i="11" s="1"/>
  <c r="AL114" i="11"/>
  <c r="AL123" i="11"/>
  <c r="AL141" i="11"/>
  <c r="AL149" i="11"/>
  <c r="AL147" i="11" s="1"/>
  <c r="AL172" i="11"/>
  <c r="AL176" i="11"/>
  <c r="AL185" i="11"/>
  <c r="AL203" i="11"/>
  <c r="AL194" i="11" s="1"/>
  <c r="AL193" i="11" s="1"/>
  <c r="AL211" i="11"/>
  <c r="AL210" i="11" s="1"/>
  <c r="AL209" i="11" s="1"/>
  <c r="AL207" i="11" s="1"/>
  <c r="AL222" i="11"/>
  <c r="AL227" i="11"/>
  <c r="AL243" i="11"/>
  <c r="AM20" i="11"/>
  <c r="AM16" i="11" s="1"/>
  <c r="AM114" i="11"/>
  <c r="AM211" i="11"/>
  <c r="AM210" i="11" s="1"/>
  <c r="AM209" i="11" s="1"/>
  <c r="AM207" i="11" s="1"/>
  <c r="AT11" i="11"/>
  <c r="AT26" i="11"/>
  <c r="Z20" i="12"/>
  <c r="Z16" i="12" s="1"/>
  <c r="AC20" i="12"/>
  <c r="AC16" i="12" s="1"/>
  <c r="AL20" i="12"/>
  <c r="AL16" i="12" s="1"/>
  <c r="AL35" i="12"/>
  <c r="AL44" i="12"/>
  <c r="AL49" i="12"/>
  <c r="AL58" i="12"/>
  <c r="AL57" i="12" s="1"/>
  <c r="AL69" i="12"/>
  <c r="AL65" i="12" s="1"/>
  <c r="AL83" i="12"/>
  <c r="AL91" i="12"/>
  <c r="AL96" i="12"/>
  <c r="AL105" i="12"/>
  <c r="AL104" i="12" s="1"/>
  <c r="AL114" i="12"/>
  <c r="AL123" i="12"/>
  <c r="AL141" i="12"/>
  <c r="AL149" i="12"/>
  <c r="AL147" i="12" s="1"/>
  <c r="AL172" i="12"/>
  <c r="AL176" i="12"/>
  <c r="AL203" i="12"/>
  <c r="AL211" i="12"/>
  <c r="AL210" i="12" s="1"/>
  <c r="AL209" i="12" s="1"/>
  <c r="AL207" i="12" s="1"/>
  <c r="AL222" i="12"/>
  <c r="AL227" i="12"/>
  <c r="AL243" i="12"/>
  <c r="AM20" i="12"/>
  <c r="AM16" i="12" s="1"/>
  <c r="AM114" i="12"/>
  <c r="AM211" i="12"/>
  <c r="AM210" i="12" s="1"/>
  <c r="AM209" i="12" s="1"/>
  <c r="AM207" i="12" s="1"/>
  <c r="AT11" i="12"/>
  <c r="AT26" i="12"/>
  <c r="Z20" i="13"/>
  <c r="Z16" i="13" s="1"/>
  <c r="Z243" i="13"/>
  <c r="AC20" i="13"/>
  <c r="AC16" i="13" s="1"/>
  <c r="AC243" i="13"/>
  <c r="AL20" i="13"/>
  <c r="AL16" i="13" s="1"/>
  <c r="AL35" i="13"/>
  <c r="AL44" i="13"/>
  <c r="AL49" i="13"/>
  <c r="AL58" i="13"/>
  <c r="AL57" i="13" s="1"/>
  <c r="AL69" i="13"/>
  <c r="AL65" i="13" s="1"/>
  <c r="AL83" i="13"/>
  <c r="AL91" i="13"/>
  <c r="AL96" i="13"/>
  <c r="AL105" i="13"/>
  <c r="AL104" i="13" s="1"/>
  <c r="AL114" i="13"/>
  <c r="AL123" i="13"/>
  <c r="AL141" i="13"/>
  <c r="AL149" i="13"/>
  <c r="AL147" i="13" s="1"/>
  <c r="AL172" i="13"/>
  <c r="AL176" i="13"/>
  <c r="AL203" i="13"/>
  <c r="AL211" i="13"/>
  <c r="AL210" i="13" s="1"/>
  <c r="AL209" i="13" s="1"/>
  <c r="AL207" i="13" s="1"/>
  <c r="AL222" i="13"/>
  <c r="AL227" i="13"/>
  <c r="AL243" i="13"/>
  <c r="AL234" i="13" s="1"/>
  <c r="AL232" i="13" s="1"/>
  <c r="AM20" i="13"/>
  <c r="AM16" i="13" s="1"/>
  <c r="AM114" i="13"/>
  <c r="AM211" i="13"/>
  <c r="AM210" i="13" s="1"/>
  <c r="AM209" i="13" s="1"/>
  <c r="AM207" i="13" s="1"/>
  <c r="AT11" i="13"/>
  <c r="AT26" i="13"/>
  <c r="Z20" i="14"/>
  <c r="Z16" i="14" s="1"/>
  <c r="Z243" i="14"/>
  <c r="AC20" i="14"/>
  <c r="AC16" i="14" s="1"/>
  <c r="AC243" i="14"/>
  <c r="AL20" i="14"/>
  <c r="AL16" i="14" s="1"/>
  <c r="AL35" i="14"/>
  <c r="AL44" i="14"/>
  <c r="AL49" i="14"/>
  <c r="AL58" i="14"/>
  <c r="AL57" i="14" s="1"/>
  <c r="AL69" i="14"/>
  <c r="AL65" i="14" s="1"/>
  <c r="AL83" i="14"/>
  <c r="AL91" i="14"/>
  <c r="AL96" i="14"/>
  <c r="AL105" i="14"/>
  <c r="AL104" i="14" s="1"/>
  <c r="AL114" i="14"/>
  <c r="AL123" i="14"/>
  <c r="AL141" i="14"/>
  <c r="AL149" i="14"/>
  <c r="AL147" i="14" s="1"/>
  <c r="AL172" i="14"/>
  <c r="AL176" i="14"/>
  <c r="AL185" i="14"/>
  <c r="AL203" i="14"/>
  <c r="AL211" i="14"/>
  <c r="AL210" i="14" s="1"/>
  <c r="AL209" i="14" s="1"/>
  <c r="AL207" i="14" s="1"/>
  <c r="AL222" i="14"/>
  <c r="AL227" i="14"/>
  <c r="AL243" i="14"/>
  <c r="AL234" i="14" s="1"/>
  <c r="AL232" i="14" s="1"/>
  <c r="AM114" i="14"/>
  <c r="AM211" i="14"/>
  <c r="AM210" i="14" s="1"/>
  <c r="AM209" i="14" s="1"/>
  <c r="AM207" i="14" s="1"/>
  <c r="AT11" i="14"/>
  <c r="AT21" i="14"/>
  <c r="AT26" i="14"/>
  <c r="Z20" i="15"/>
  <c r="Z16" i="15" s="1"/>
  <c r="Z243" i="15"/>
  <c r="AC20" i="15"/>
  <c r="AC16" i="15" s="1"/>
  <c r="AC243" i="15"/>
  <c r="AL20" i="15"/>
  <c r="AL16" i="15" s="1"/>
  <c r="AL35" i="15"/>
  <c r="AL44" i="15"/>
  <c r="AL49" i="15"/>
  <c r="AL58" i="15"/>
  <c r="AL57" i="15" s="1"/>
  <c r="AL69" i="15"/>
  <c r="AL65" i="15" s="1"/>
  <c r="AL83" i="15"/>
  <c r="AL91" i="15"/>
  <c r="AL96" i="15"/>
  <c r="AL105" i="15"/>
  <c r="AL104" i="15" s="1"/>
  <c r="AL114" i="15"/>
  <c r="AL123" i="15"/>
  <c r="AL141" i="15"/>
  <c r="AL149" i="15"/>
  <c r="AL147" i="15" s="1"/>
  <c r="AL172" i="15"/>
  <c r="AL176" i="15"/>
  <c r="AL185" i="15"/>
  <c r="AL203" i="15"/>
  <c r="AL211" i="15"/>
  <c r="AL210" i="15" s="1"/>
  <c r="AL209" i="15" s="1"/>
  <c r="AL207" i="15" s="1"/>
  <c r="AL222" i="15"/>
  <c r="AL227" i="15"/>
  <c r="AL243" i="15"/>
  <c r="AM16" i="15"/>
  <c r="AM114" i="15"/>
  <c r="AM211" i="15"/>
  <c r="AM210" i="15" s="1"/>
  <c r="AM209" i="15" s="1"/>
  <c r="AM207" i="15" s="1"/>
  <c r="AT11" i="15"/>
  <c r="AT26" i="15"/>
  <c r="Z20" i="16"/>
  <c r="Z16" i="16" s="1"/>
  <c r="Z243" i="16"/>
  <c r="AC20" i="16"/>
  <c r="AC16" i="16" s="1"/>
  <c r="AC243" i="16"/>
  <c r="AL20" i="16"/>
  <c r="AL16" i="16" s="1"/>
  <c r="AL35" i="16"/>
  <c r="AL44" i="16"/>
  <c r="AL49" i="16"/>
  <c r="AL58" i="16"/>
  <c r="AL57" i="16" s="1"/>
  <c r="AL69" i="16"/>
  <c r="AL65" i="16" s="1"/>
  <c r="AL83" i="16"/>
  <c r="AL91" i="16"/>
  <c r="AL96" i="16"/>
  <c r="AL105" i="16"/>
  <c r="AL104" i="16" s="1"/>
  <c r="AL114" i="16"/>
  <c r="AL123" i="16"/>
  <c r="AL141" i="16"/>
  <c r="AL149" i="16"/>
  <c r="AL147" i="16" s="1"/>
  <c r="AL172" i="16"/>
  <c r="AL176" i="16"/>
  <c r="AL203" i="16"/>
  <c r="AL194" i="16" s="1"/>
  <c r="AL193" i="16" s="1"/>
  <c r="AL211" i="16"/>
  <c r="AL210" i="16" s="1"/>
  <c r="AL209" i="16" s="1"/>
  <c r="AL207" i="16" s="1"/>
  <c r="AL222" i="16"/>
  <c r="AL227" i="16"/>
  <c r="AL243" i="16"/>
  <c r="AL234" i="16" s="1"/>
  <c r="AL232" i="16" s="1"/>
  <c r="AM114" i="16"/>
  <c r="AM211" i="16"/>
  <c r="AM210" i="16" s="1"/>
  <c r="AM209" i="16" s="1"/>
  <c r="AM207" i="16" s="1"/>
  <c r="AT11" i="16"/>
  <c r="AT26" i="16"/>
  <c r="AS21" i="12"/>
  <c r="AT6" i="8"/>
  <c r="AS21" i="14"/>
  <c r="AR12" i="5"/>
  <c r="AW12" i="5"/>
  <c r="AB43" i="5"/>
  <c r="BJ5" i="6"/>
  <c r="AR10" i="5"/>
  <c r="AW10" i="5"/>
  <c r="BR21" i="16"/>
  <c r="BE7" i="14"/>
  <c r="BD15" i="5"/>
  <c r="BD16" i="5"/>
  <c r="AT21" i="8"/>
  <c r="AW13" i="5"/>
  <c r="BD12" i="5"/>
  <c r="BD11" i="5"/>
  <c r="AW8" i="5"/>
  <c r="AR13" i="5"/>
  <c r="AW11" i="5"/>
  <c r="AR11" i="5"/>
  <c r="BE7" i="11"/>
  <c r="AM243" i="5"/>
  <c r="AM243" i="16"/>
  <c r="AM234" i="16" s="1"/>
  <c r="AM232" i="16" s="1"/>
  <c r="AM243" i="14"/>
  <c r="AM243" i="12"/>
  <c r="AM234" i="12" s="1"/>
  <c r="AM232" i="12" s="1"/>
  <c r="AM243" i="10"/>
  <c r="AM243" i="8"/>
  <c r="AM234" i="8" s="1"/>
  <c r="AM232" i="8" s="1"/>
  <c r="AM235" i="5"/>
  <c r="AM227" i="16"/>
  <c r="AM227" i="14"/>
  <c r="AM227" i="12"/>
  <c r="AM227" i="10"/>
  <c r="AM227" i="8"/>
  <c r="AM227" i="6"/>
  <c r="AM227" i="5"/>
  <c r="AM220" i="15"/>
  <c r="AM222" i="16"/>
  <c r="AM222" i="14"/>
  <c r="AM222" i="12"/>
  <c r="AM222" i="10"/>
  <c r="AM222" i="8"/>
  <c r="AM222" i="6"/>
  <c r="AM222" i="5"/>
  <c r="AM203" i="5"/>
  <c r="AM194" i="7"/>
  <c r="AM193" i="7" s="1"/>
  <c r="AM194" i="15"/>
  <c r="AM193" i="15" s="1"/>
  <c r="AM193" i="14"/>
  <c r="AM194" i="10"/>
  <c r="AM193" i="10" s="1"/>
  <c r="AM194" i="8"/>
  <c r="AM193" i="8" s="1"/>
  <c r="AM194" i="6"/>
  <c r="AM193" i="6" s="1"/>
  <c r="AM187" i="5"/>
  <c r="AM185" i="5" s="1"/>
  <c r="AM185" i="14"/>
  <c r="AM185" i="13"/>
  <c r="AM170" i="13" s="1"/>
  <c r="AM185" i="7"/>
  <c r="AM176" i="14"/>
  <c r="AM176" i="12"/>
  <c r="AM176" i="5"/>
  <c r="AM176" i="7"/>
  <c r="AM172" i="5"/>
  <c r="AM149" i="5"/>
  <c r="AM147" i="5" s="1"/>
  <c r="AM141" i="14"/>
  <c r="AM141" i="10"/>
  <c r="AM147" i="13"/>
  <c r="AM141" i="13"/>
  <c r="AM141" i="9"/>
  <c r="AM141" i="5"/>
  <c r="AM141" i="16"/>
  <c r="AM141" i="15"/>
  <c r="AM141" i="12"/>
  <c r="AM141" i="11"/>
  <c r="AM141" i="8"/>
  <c r="AM141" i="7"/>
  <c r="AM141" i="6"/>
  <c r="AM123" i="5"/>
  <c r="AM105" i="16"/>
  <c r="AM104" i="16" s="1"/>
  <c r="AM105" i="14"/>
  <c r="AM104" i="14" s="1"/>
  <c r="AM105" i="12"/>
  <c r="AM104" i="12" s="1"/>
  <c r="AM105" i="10"/>
  <c r="AM104" i="10" s="1"/>
  <c r="AM105" i="8"/>
  <c r="AM104" i="8" s="1"/>
  <c r="AM105" i="6"/>
  <c r="AM104" i="6" s="1"/>
  <c r="AM105" i="5"/>
  <c r="AM104" i="5" s="1"/>
  <c r="AM96" i="5"/>
  <c r="AM91" i="16"/>
  <c r="AM90" i="16" s="1"/>
  <c r="AM91" i="14"/>
  <c r="AM90" i="14" s="1"/>
  <c r="AM69" i="14"/>
  <c r="AM65" i="14" s="1"/>
  <c r="AM83" i="14"/>
  <c r="AM91" i="12"/>
  <c r="AM90" i="12" s="1"/>
  <c r="AM91" i="10"/>
  <c r="AM90" i="10" s="1"/>
  <c r="AM69" i="10"/>
  <c r="AM65" i="10" s="1"/>
  <c r="AM91" i="8"/>
  <c r="AM91" i="6"/>
  <c r="AM91" i="5"/>
  <c r="AM83" i="5"/>
  <c r="AM83" i="11"/>
  <c r="AM83" i="8"/>
  <c r="AM69" i="5"/>
  <c r="AM65" i="5" s="1"/>
  <c r="AM69" i="16"/>
  <c r="AM65" i="16" s="1"/>
  <c r="AM69" i="15"/>
  <c r="AM65" i="15" s="1"/>
  <c r="AM69" i="13"/>
  <c r="AM65" i="13" s="1"/>
  <c r="AM69" i="12"/>
  <c r="AM65" i="12" s="1"/>
  <c r="AM69" i="11"/>
  <c r="AM65" i="11" s="1"/>
  <c r="AM69" i="8"/>
  <c r="AM65" i="8" s="1"/>
  <c r="AM69" i="7"/>
  <c r="AM65" i="7" s="1"/>
  <c r="AM69" i="6"/>
  <c r="AM65" i="6" s="1"/>
  <c r="AM43" i="15"/>
  <c r="AM58" i="12"/>
  <c r="AM57" i="12" s="1"/>
  <c r="AM58" i="5"/>
  <c r="AM57" i="5" s="1"/>
  <c r="AM58" i="7"/>
  <c r="AM57" i="7" s="1"/>
  <c r="AM49" i="5"/>
  <c r="AM43" i="13"/>
  <c r="AM43" i="11"/>
  <c r="AM43" i="10"/>
  <c r="AM44" i="5"/>
  <c r="AM35" i="5"/>
  <c r="AM20" i="14"/>
  <c r="AM16" i="14" s="1"/>
  <c r="AM20" i="10"/>
  <c r="AM16" i="10" s="1"/>
  <c r="AM20" i="8"/>
  <c r="AM16" i="8" s="1"/>
  <c r="AM234" i="15"/>
  <c r="AM232" i="15" s="1"/>
  <c r="Z243" i="12"/>
  <c r="Z243" i="11"/>
  <c r="Z243" i="10"/>
  <c r="Z243" i="9"/>
  <c r="Z243" i="8"/>
  <c r="Z235" i="15"/>
  <c r="Z235" i="13"/>
  <c r="Z235" i="11"/>
  <c r="Z235" i="9"/>
  <c r="Z235" i="16"/>
  <c r="Z235" i="14"/>
  <c r="Z235" i="12"/>
  <c r="Z235" i="10"/>
  <c r="Z235" i="8"/>
  <c r="Z227" i="14"/>
  <c r="Z227" i="12"/>
  <c r="Z227" i="10"/>
  <c r="Z227" i="8"/>
  <c r="Z227" i="16"/>
  <c r="Z227" i="15"/>
  <c r="Z227" i="13"/>
  <c r="Z227" i="11"/>
  <c r="Z227" i="9"/>
  <c r="Z222" i="15"/>
  <c r="Z222" i="12"/>
  <c r="Z222" i="9"/>
  <c r="Z222" i="16"/>
  <c r="Z222" i="14"/>
  <c r="Z222" i="13"/>
  <c r="Z220" i="13" s="1"/>
  <c r="Z222" i="11"/>
  <c r="Z222" i="10"/>
  <c r="Z222" i="8"/>
  <c r="Z211" i="15"/>
  <c r="Z210" i="15" s="1"/>
  <c r="Z209" i="15" s="1"/>
  <c r="Z207" i="15" s="1"/>
  <c r="Z211" i="14"/>
  <c r="Z210" i="14" s="1"/>
  <c r="Z209" i="14" s="1"/>
  <c r="Z207" i="14" s="1"/>
  <c r="Z211" i="11"/>
  <c r="Z210" i="11" s="1"/>
  <c r="Z209" i="11" s="1"/>
  <c r="Z207" i="11" s="1"/>
  <c r="Z211" i="9"/>
  <c r="Z210" i="9" s="1"/>
  <c r="Z209" i="9" s="1"/>
  <c r="Z207" i="9" s="1"/>
  <c r="Z211" i="16"/>
  <c r="Z210" i="16" s="1"/>
  <c r="Z209" i="16" s="1"/>
  <c r="Z207" i="16" s="1"/>
  <c r="Z211" i="13"/>
  <c r="Z210" i="13" s="1"/>
  <c r="Z209" i="13" s="1"/>
  <c r="Z207" i="13" s="1"/>
  <c r="Z211" i="12"/>
  <c r="Z210" i="12" s="1"/>
  <c r="Z209" i="12" s="1"/>
  <c r="Z207" i="12" s="1"/>
  <c r="Z211" i="10"/>
  <c r="Z210" i="10" s="1"/>
  <c r="Z209" i="10" s="1"/>
  <c r="Z207" i="10" s="1"/>
  <c r="Z211" i="8"/>
  <c r="Z210" i="8" s="1"/>
  <c r="Z209" i="8" s="1"/>
  <c r="Z207" i="8" s="1"/>
  <c r="Z203" i="16"/>
  <c r="Z203" i="14"/>
  <c r="Z203" i="13"/>
  <c r="Z203" i="10"/>
  <c r="Z203" i="9"/>
  <c r="Z203" i="15"/>
  <c r="Z203" i="12"/>
  <c r="Z203" i="11"/>
  <c r="Z203" i="8"/>
  <c r="Z195" i="16"/>
  <c r="Z195" i="14"/>
  <c r="Z195" i="12"/>
  <c r="Z195" i="9"/>
  <c r="Z195" i="11"/>
  <c r="Z195" i="15"/>
  <c r="Z195" i="13"/>
  <c r="Z195" i="10"/>
  <c r="Z195" i="8"/>
  <c r="Z187" i="15"/>
  <c r="Z185" i="15" s="1"/>
  <c r="Z187" i="14"/>
  <c r="Z185" i="14" s="1"/>
  <c r="Z187" i="13"/>
  <c r="Z185" i="13" s="1"/>
  <c r="Z187" i="12"/>
  <c r="Z185" i="12" s="1"/>
  <c r="Z187" i="11"/>
  <c r="Z185" i="11" s="1"/>
  <c r="Z187" i="10"/>
  <c r="Z185" i="10" s="1"/>
  <c r="Z187" i="16"/>
  <c r="Z185" i="16" s="1"/>
  <c r="Z187" i="9"/>
  <c r="Z185" i="9" s="1"/>
  <c r="Z187" i="8"/>
  <c r="Z185" i="8" s="1"/>
  <c r="Z176" i="15"/>
  <c r="Z176" i="13"/>
  <c r="Z176" i="10"/>
  <c r="Z176" i="8"/>
  <c r="Z176" i="16"/>
  <c r="Z176" i="14"/>
  <c r="Z176" i="12"/>
  <c r="Z176" i="11"/>
  <c r="Z176" i="9"/>
  <c r="Z172" i="10"/>
  <c r="Z172" i="9"/>
  <c r="Z172" i="8"/>
  <c r="Z172" i="16"/>
  <c r="Z172" i="15"/>
  <c r="Z172" i="14"/>
  <c r="Z172" i="13"/>
  <c r="Z172" i="12"/>
  <c r="Z172" i="11"/>
  <c r="Z149" i="16"/>
  <c r="Z147" i="16" s="1"/>
  <c r="Z149" i="15"/>
  <c r="Z147" i="15" s="1"/>
  <c r="Z149" i="14"/>
  <c r="Z147" i="14" s="1"/>
  <c r="Z149" i="13"/>
  <c r="Z147" i="13" s="1"/>
  <c r="Z149" i="12"/>
  <c r="Z147" i="12" s="1"/>
  <c r="Z149" i="11"/>
  <c r="Z147" i="11" s="1"/>
  <c r="Z149" i="10"/>
  <c r="Z147" i="10" s="1"/>
  <c r="Z149" i="9"/>
  <c r="Z147" i="9" s="1"/>
  <c r="Z149" i="8"/>
  <c r="Z147" i="8" s="1"/>
  <c r="Z141" i="14"/>
  <c r="Z141" i="13"/>
  <c r="Z141" i="12"/>
  <c r="Z141" i="16"/>
  <c r="Z141" i="15"/>
  <c r="Z141" i="11"/>
  <c r="Z141" i="10"/>
  <c r="Z141" i="9"/>
  <c r="Z141" i="8"/>
  <c r="Z114" i="15"/>
  <c r="Z114" i="13"/>
  <c r="Z114" i="11"/>
  <c r="Z114" i="9"/>
  <c r="Z114" i="16"/>
  <c r="Z114" i="14"/>
  <c r="Z114" i="12"/>
  <c r="Z114" i="10"/>
  <c r="Z114" i="8"/>
  <c r="Z105" i="15"/>
  <c r="Z104" i="15" s="1"/>
  <c r="Z105" i="9"/>
  <c r="Z104" i="9" s="1"/>
  <c r="Z105" i="14"/>
  <c r="Z104" i="14" s="1"/>
  <c r="Z96" i="12"/>
  <c r="Z96" i="11"/>
  <c r="Z96" i="16"/>
  <c r="Z96" i="15"/>
  <c r="Z96" i="14"/>
  <c r="Z96" i="13"/>
  <c r="Z96" i="10"/>
  <c r="Z96" i="9"/>
  <c r="Z96" i="8"/>
  <c r="Z91" i="15"/>
  <c r="Z91" i="16"/>
  <c r="Z91" i="14"/>
  <c r="Z91" i="13"/>
  <c r="Z91" i="12"/>
  <c r="Z91" i="11"/>
  <c r="Z91" i="10"/>
  <c r="Z91" i="9"/>
  <c r="Z91" i="8"/>
  <c r="Z83" i="16"/>
  <c r="Z83" i="15"/>
  <c r="Z83" i="13"/>
  <c r="Z83" i="11"/>
  <c r="Z83" i="9"/>
  <c r="Z83" i="14"/>
  <c r="Z83" i="12"/>
  <c r="Z83" i="10"/>
  <c r="Z83" i="8"/>
  <c r="Z69" i="15"/>
  <c r="Z65" i="15" s="1"/>
  <c r="Z69" i="14"/>
  <c r="Z65" i="14" s="1"/>
  <c r="Z69" i="13"/>
  <c r="Z65" i="13" s="1"/>
  <c r="Z69" i="12"/>
  <c r="Z65" i="12" s="1"/>
  <c r="Z69" i="11"/>
  <c r="Z65" i="11" s="1"/>
  <c r="Z69" i="10"/>
  <c r="Z65" i="10" s="1"/>
  <c r="Z69" i="9"/>
  <c r="Z65" i="9" s="1"/>
  <c r="Z69" i="8"/>
  <c r="Z65" i="8" s="1"/>
  <c r="Z69" i="16"/>
  <c r="Z65" i="16" s="1"/>
  <c r="Z58" i="15"/>
  <c r="Z57" i="15" s="1"/>
  <c r="Z44" i="15"/>
  <c r="Z49" i="15"/>
  <c r="Z35" i="15"/>
  <c r="Z58" i="14"/>
  <c r="Z57" i="14" s="1"/>
  <c r="Z58" i="11"/>
  <c r="Z57" i="11" s="1"/>
  <c r="Z58" i="10"/>
  <c r="Z57" i="10" s="1"/>
  <c r="Z58" i="9"/>
  <c r="Z57" i="9" s="1"/>
  <c r="Z58" i="8"/>
  <c r="Z57" i="8" s="1"/>
  <c r="Z58" i="16"/>
  <c r="Z57" i="16" s="1"/>
  <c r="Z58" i="13"/>
  <c r="Z57" i="13" s="1"/>
  <c r="Z58" i="12"/>
  <c r="Z57" i="12" s="1"/>
  <c r="Z49" i="13"/>
  <c r="Z49" i="11"/>
  <c r="Z49" i="9"/>
  <c r="Z49" i="16"/>
  <c r="Z49" i="14"/>
  <c r="Z49" i="12"/>
  <c r="Z49" i="10"/>
  <c r="Z49" i="8"/>
  <c r="Z44" i="16"/>
  <c r="Z44" i="12"/>
  <c r="Z43" i="12" s="1"/>
  <c r="Z44" i="11"/>
  <c r="Z44" i="10"/>
  <c r="Z44" i="9"/>
  <c r="Z44" i="8"/>
  <c r="Z44" i="14"/>
  <c r="Z44" i="13"/>
  <c r="Z35" i="13"/>
  <c r="Z35" i="16"/>
  <c r="Z35" i="14"/>
  <c r="Z35" i="12"/>
  <c r="Z35" i="11"/>
  <c r="Z35" i="10"/>
  <c r="Z35" i="9"/>
  <c r="Z35" i="8"/>
  <c r="BE14" i="5"/>
  <c r="F14" i="20" s="1"/>
  <c r="BE15" i="5"/>
  <c r="F15" i="20" s="1"/>
  <c r="BE16" i="5"/>
  <c r="F16" i="20" s="1"/>
  <c r="F17" i="20"/>
  <c r="M17" i="20"/>
  <c r="I17" i="20"/>
  <c r="BE11" i="5"/>
  <c r="F11" i="20" s="1"/>
  <c r="BE12" i="5"/>
  <c r="F12" i="20" s="1"/>
  <c r="BQ31" i="6"/>
  <c r="AF243" i="8"/>
  <c r="AC243" i="8"/>
  <c r="AC243" i="9"/>
  <c r="AF243" i="9"/>
  <c r="AF243" i="10"/>
  <c r="AC243" i="10"/>
  <c r="AF243" i="11"/>
  <c r="AC243" i="11"/>
  <c r="AF243" i="12"/>
  <c r="AC243" i="12"/>
  <c r="AF235" i="8"/>
  <c r="AC235" i="8"/>
  <c r="AF235" i="10"/>
  <c r="AC235" i="10"/>
  <c r="AF235" i="12"/>
  <c r="AC235" i="12"/>
  <c r="AF235" i="14"/>
  <c r="AC235" i="14"/>
  <c r="AF235" i="16"/>
  <c r="AC235" i="16"/>
  <c r="AF235" i="9"/>
  <c r="AC235" i="9"/>
  <c r="AF235" i="11"/>
  <c r="AC235" i="11"/>
  <c r="AF235" i="13"/>
  <c r="AC235" i="13"/>
  <c r="AF235" i="15"/>
  <c r="AC235" i="15"/>
  <c r="AF227" i="13"/>
  <c r="AC227" i="13"/>
  <c r="AF227" i="16"/>
  <c r="AC227" i="16"/>
  <c r="AF227" i="8"/>
  <c r="AC227" i="8"/>
  <c r="AC227" i="10"/>
  <c r="AF227" i="10"/>
  <c r="AF227" i="9"/>
  <c r="AC227" i="9"/>
  <c r="AF227" i="11"/>
  <c r="AC227" i="11"/>
  <c r="AF227" i="15"/>
  <c r="AC227" i="15"/>
  <c r="AF227" i="12"/>
  <c r="AC227" i="12"/>
  <c r="AF227" i="14"/>
  <c r="AC227" i="14"/>
  <c r="AF222" i="8"/>
  <c r="AC222" i="8"/>
  <c r="AC222" i="10"/>
  <c r="AF222" i="10"/>
  <c r="AF222" i="16"/>
  <c r="AF220" i="16" s="1"/>
  <c r="BQ30" i="16" s="1"/>
  <c r="AC222" i="16"/>
  <c r="AF222" i="9"/>
  <c r="AC222" i="9"/>
  <c r="AF222" i="15"/>
  <c r="AC222" i="15"/>
  <c r="AF222" i="11"/>
  <c r="AC222" i="11"/>
  <c r="AF222" i="13"/>
  <c r="AC222" i="13"/>
  <c r="AF222" i="14"/>
  <c r="AC222" i="14"/>
  <c r="AC220" i="14" s="1"/>
  <c r="AC222" i="12"/>
  <c r="AF222" i="12"/>
  <c r="AC211" i="10"/>
  <c r="AC210" i="10" s="1"/>
  <c r="AC209" i="10" s="1"/>
  <c r="AC207" i="10" s="1"/>
  <c r="AF211" i="10"/>
  <c r="AF210" i="10" s="1"/>
  <c r="AF209" i="10" s="1"/>
  <c r="AC211" i="12"/>
  <c r="AC210" i="12" s="1"/>
  <c r="AC209" i="12" s="1"/>
  <c r="AC207" i="12" s="1"/>
  <c r="AF211" i="12"/>
  <c r="AF210" i="12" s="1"/>
  <c r="AF209" i="12" s="1"/>
  <c r="AF211" i="13"/>
  <c r="AF210" i="13" s="1"/>
  <c r="AF209" i="13" s="1"/>
  <c r="BQ27" i="13" s="1"/>
  <c r="N51" i="20" s="1"/>
  <c r="AC211" i="13"/>
  <c r="AC210" i="13" s="1"/>
  <c r="AC209" i="13" s="1"/>
  <c r="AC207" i="13" s="1"/>
  <c r="AF211" i="16"/>
  <c r="AF210" i="16" s="1"/>
  <c r="AF209" i="16" s="1"/>
  <c r="AF207" i="16" s="1"/>
  <c r="AC211" i="16"/>
  <c r="AC210" i="16" s="1"/>
  <c r="AC209" i="16" s="1"/>
  <c r="AC207" i="16" s="1"/>
  <c r="AC211" i="8"/>
  <c r="AC210" i="8" s="1"/>
  <c r="AC209" i="8" s="1"/>
  <c r="AC207" i="8" s="1"/>
  <c r="AF211" i="8"/>
  <c r="AF210" i="8" s="1"/>
  <c r="AF209" i="8" s="1"/>
  <c r="AF207" i="8" s="1"/>
  <c r="AF211" i="9"/>
  <c r="AF210" i="9" s="1"/>
  <c r="AF209" i="9" s="1"/>
  <c r="BQ27" i="9" s="1"/>
  <c r="J51" i="20" s="1"/>
  <c r="AC211" i="9"/>
  <c r="AC210" i="9" s="1"/>
  <c r="AC209" i="9" s="1"/>
  <c r="AC207" i="9" s="1"/>
  <c r="AF211" i="11"/>
  <c r="AF210" i="11" s="1"/>
  <c r="AF209" i="11" s="1"/>
  <c r="AC211" i="11"/>
  <c r="AC210" i="11" s="1"/>
  <c r="AC209" i="11" s="1"/>
  <c r="AC207" i="11" s="1"/>
  <c r="AF211" i="14"/>
  <c r="AF210" i="14" s="1"/>
  <c r="AF209" i="14" s="1"/>
  <c r="AC211" i="14"/>
  <c r="AC210" i="14" s="1"/>
  <c r="AC209" i="14" s="1"/>
  <c r="AC207" i="14" s="1"/>
  <c r="AF211" i="15"/>
  <c r="AF210" i="15" s="1"/>
  <c r="AF209" i="15" s="1"/>
  <c r="BQ27" i="15" s="1"/>
  <c r="P51" i="20" s="1"/>
  <c r="AC211" i="15"/>
  <c r="AC210" i="15" s="1"/>
  <c r="AC209" i="15" s="1"/>
  <c r="AC207" i="15" s="1"/>
  <c r="AF203" i="8"/>
  <c r="AC203" i="8"/>
  <c r="AF203" i="11"/>
  <c r="AC203" i="11"/>
  <c r="AF203" i="12"/>
  <c r="AC203" i="12"/>
  <c r="AF203" i="15"/>
  <c r="AC203" i="15"/>
  <c r="AF203" i="9"/>
  <c r="AC203" i="9"/>
  <c r="AF203" i="10"/>
  <c r="AC203" i="10"/>
  <c r="AF203" i="13"/>
  <c r="AC203" i="13"/>
  <c r="AF203" i="14"/>
  <c r="AC203" i="14"/>
  <c r="AF203" i="16"/>
  <c r="AC203" i="16"/>
  <c r="AC195" i="8"/>
  <c r="AC195" i="10"/>
  <c r="AC194" i="10" s="1"/>
  <c r="AC193" i="10" s="1"/>
  <c r="AC195" i="13"/>
  <c r="AC195" i="15"/>
  <c r="BQ26" i="5"/>
  <c r="AC195" i="11"/>
  <c r="AC194" i="11" s="1"/>
  <c r="AC193" i="11" s="1"/>
  <c r="AC195" i="9"/>
  <c r="AC195" i="12"/>
  <c r="AC195" i="14"/>
  <c r="AC195" i="16"/>
  <c r="AF187" i="8"/>
  <c r="AF185" i="8" s="1"/>
  <c r="AC187" i="8"/>
  <c r="AC185" i="8" s="1"/>
  <c r="AF187" i="9"/>
  <c r="AF185" i="9" s="1"/>
  <c r="AC187" i="9"/>
  <c r="AC185" i="9" s="1"/>
  <c r="AF187" i="16"/>
  <c r="AF185" i="16" s="1"/>
  <c r="AC187" i="16"/>
  <c r="AC185" i="16" s="1"/>
  <c r="AF187" i="10"/>
  <c r="AF185" i="10" s="1"/>
  <c r="AC187" i="10"/>
  <c r="AC185" i="10" s="1"/>
  <c r="AF187" i="11"/>
  <c r="AF185" i="11" s="1"/>
  <c r="AC187" i="11"/>
  <c r="AC185" i="11" s="1"/>
  <c r="AF187" i="12"/>
  <c r="AF185" i="12" s="1"/>
  <c r="AC187" i="12"/>
  <c r="AC185" i="12" s="1"/>
  <c r="AF187" i="13"/>
  <c r="AF185" i="13" s="1"/>
  <c r="AC187" i="13"/>
  <c r="AC185" i="13" s="1"/>
  <c r="AF187" i="14"/>
  <c r="AF185" i="14" s="1"/>
  <c r="AC187" i="14"/>
  <c r="AC185" i="14" s="1"/>
  <c r="AF187" i="15"/>
  <c r="AF185" i="15" s="1"/>
  <c r="AC187" i="15"/>
  <c r="AC185" i="15" s="1"/>
  <c r="AC176" i="14"/>
  <c r="BQ23" i="5"/>
  <c r="F47" i="20" s="1"/>
  <c r="AC176" i="13"/>
  <c r="AC176" i="15"/>
  <c r="AC176" i="9"/>
  <c r="AC176" i="11"/>
  <c r="AC176" i="12"/>
  <c r="AC176" i="16"/>
  <c r="AC176" i="8"/>
  <c r="AC176" i="10"/>
  <c r="AF172" i="8"/>
  <c r="AC172" i="8"/>
  <c r="AF172" i="9"/>
  <c r="AC172" i="9"/>
  <c r="AF172" i="10"/>
  <c r="AC172" i="10"/>
  <c r="AF172" i="11"/>
  <c r="AC172" i="11"/>
  <c r="AF172" i="12"/>
  <c r="AC172" i="12"/>
  <c r="AF172" i="13"/>
  <c r="AC172" i="13"/>
  <c r="AF172" i="14"/>
  <c r="AC172" i="14"/>
  <c r="AF172" i="15"/>
  <c r="AC172" i="15"/>
  <c r="AF172" i="16"/>
  <c r="AC172" i="16"/>
  <c r="AC155" i="14"/>
  <c r="AC155" i="15"/>
  <c r="AF155" i="16"/>
  <c r="AF149" i="8"/>
  <c r="AF147" i="8" s="1"/>
  <c r="AC149" i="8"/>
  <c r="AC147" i="8" s="1"/>
  <c r="AF149" i="9"/>
  <c r="AF147" i="9" s="1"/>
  <c r="AC149" i="9"/>
  <c r="AC147" i="9" s="1"/>
  <c r="AF149" i="10"/>
  <c r="AF147" i="10" s="1"/>
  <c r="AC149" i="10"/>
  <c r="AC147" i="10" s="1"/>
  <c r="AF149" i="11"/>
  <c r="AF147" i="11" s="1"/>
  <c r="AC149" i="11"/>
  <c r="AC147" i="11" s="1"/>
  <c r="AF149" i="12"/>
  <c r="AF147" i="12" s="1"/>
  <c r="AC149" i="12"/>
  <c r="AC147" i="12" s="1"/>
  <c r="AF149" i="13"/>
  <c r="AF147" i="13" s="1"/>
  <c r="AC149" i="13"/>
  <c r="AC147" i="13" s="1"/>
  <c r="AF149" i="14"/>
  <c r="AF147" i="14" s="1"/>
  <c r="AC149" i="14"/>
  <c r="AC147" i="14" s="1"/>
  <c r="AF149" i="15"/>
  <c r="AF147" i="15" s="1"/>
  <c r="AC149" i="15"/>
  <c r="AC147" i="15" s="1"/>
  <c r="AF149" i="16"/>
  <c r="AF147" i="16" s="1"/>
  <c r="AC149" i="16"/>
  <c r="AC147" i="16" s="1"/>
  <c r="BQ18" i="5"/>
  <c r="F42" i="20" s="1"/>
  <c r="BQ20" i="5"/>
  <c r="F44" i="20" s="1"/>
  <c r="AF141" i="8"/>
  <c r="BQ20" i="8" s="1"/>
  <c r="I44" i="20" s="1"/>
  <c r="AC141" i="8"/>
  <c r="AF141" i="9"/>
  <c r="BQ20" i="9" s="1"/>
  <c r="J44" i="20" s="1"/>
  <c r="AC141" i="9"/>
  <c r="AF141" i="10"/>
  <c r="BQ20" i="10" s="1"/>
  <c r="K44" i="20" s="1"/>
  <c r="AC141" i="10"/>
  <c r="AF141" i="11"/>
  <c r="BQ20" i="11" s="1"/>
  <c r="L44" i="20" s="1"/>
  <c r="AC141" i="11"/>
  <c r="AF141" i="15"/>
  <c r="BQ20" i="15" s="1"/>
  <c r="AC141" i="15"/>
  <c r="AF141" i="16"/>
  <c r="BQ20" i="16" s="1"/>
  <c r="Q44" i="20" s="1"/>
  <c r="AC141" i="16"/>
  <c r="AF141" i="12"/>
  <c r="BQ20" i="12" s="1"/>
  <c r="M44" i="20" s="1"/>
  <c r="AC141" i="12"/>
  <c r="AF141" i="13"/>
  <c r="BQ20" i="13" s="1"/>
  <c r="N44" i="20" s="1"/>
  <c r="AC141" i="13"/>
  <c r="AF141" i="14"/>
  <c r="BQ20" i="14" s="1"/>
  <c r="O44" i="20" s="1"/>
  <c r="AC141" i="14"/>
  <c r="AF123" i="10"/>
  <c r="AC123" i="10"/>
  <c r="AF123" i="11"/>
  <c r="AC123" i="11"/>
  <c r="AF123" i="12"/>
  <c r="AC123" i="12"/>
  <c r="AF123" i="13"/>
  <c r="AC123" i="13"/>
  <c r="AF123" i="14"/>
  <c r="AC123" i="14"/>
  <c r="AF123" i="15"/>
  <c r="AC123" i="15"/>
  <c r="AF123" i="16"/>
  <c r="AC123" i="16"/>
  <c r="AC114" i="8"/>
  <c r="AF114" i="8"/>
  <c r="AC114" i="10"/>
  <c r="AF114" i="10"/>
  <c r="AC114" i="12"/>
  <c r="AF114" i="12"/>
  <c r="AF114" i="9"/>
  <c r="AC114" i="9"/>
  <c r="AF114" i="11"/>
  <c r="AC114" i="11"/>
  <c r="AF114" i="13"/>
  <c r="AC114" i="13"/>
  <c r="AF114" i="15"/>
  <c r="AC114" i="15"/>
  <c r="AF114" i="14"/>
  <c r="AC114" i="14"/>
  <c r="AF114" i="16"/>
  <c r="AF112" i="16" s="1"/>
  <c r="AC114" i="16"/>
  <c r="AC105" i="11"/>
  <c r="AC104" i="11" s="1"/>
  <c r="Z105" i="8"/>
  <c r="Z104" i="8" s="1"/>
  <c r="Z105" i="10"/>
  <c r="Z104" i="10" s="1"/>
  <c r="Z105" i="12"/>
  <c r="Z104" i="12" s="1"/>
  <c r="Z105" i="16"/>
  <c r="Z104" i="16" s="1"/>
  <c r="AC105" i="14"/>
  <c r="AC104" i="14" s="1"/>
  <c r="AC105" i="9"/>
  <c r="AC104" i="9" s="1"/>
  <c r="AC105" i="13"/>
  <c r="AC104" i="13" s="1"/>
  <c r="AC105" i="15"/>
  <c r="AC104" i="15" s="1"/>
  <c r="Z105" i="13"/>
  <c r="Z104" i="13" s="1"/>
  <c r="Z105" i="11"/>
  <c r="Z104" i="11" s="1"/>
  <c r="AC96" i="11"/>
  <c r="AC96" i="12"/>
  <c r="AC96" i="8"/>
  <c r="AC96" i="9"/>
  <c r="AC96" i="10"/>
  <c r="AC96" i="13"/>
  <c r="AC96" i="14"/>
  <c r="AC96" i="15"/>
  <c r="AC96" i="16"/>
  <c r="AC91" i="8"/>
  <c r="AC91" i="9"/>
  <c r="AC91" i="10"/>
  <c r="AC91" i="11"/>
  <c r="AC91" i="12"/>
  <c r="AC90" i="12" s="1"/>
  <c r="AC91" i="13"/>
  <c r="AC91" i="14"/>
  <c r="AC91" i="16"/>
  <c r="AC91" i="15"/>
  <c r="AF83" i="12"/>
  <c r="AC83" i="12"/>
  <c r="AF83" i="14"/>
  <c r="AC83" i="14"/>
  <c r="AF83" i="9"/>
  <c r="AC83" i="9"/>
  <c r="AF83" i="11"/>
  <c r="AC83" i="11"/>
  <c r="AF83" i="13"/>
  <c r="AC83" i="13"/>
  <c r="AF83" i="15"/>
  <c r="AC83" i="15"/>
  <c r="AF83" i="8"/>
  <c r="AC83" i="8"/>
  <c r="AF83" i="10"/>
  <c r="AC83" i="10"/>
  <c r="AC83" i="16"/>
  <c r="AF83" i="16"/>
  <c r="AC69" i="16"/>
  <c r="AC65" i="16" s="1"/>
  <c r="AC69" i="8"/>
  <c r="AC65" i="8" s="1"/>
  <c r="AC69" i="9"/>
  <c r="AC65" i="9" s="1"/>
  <c r="AC69" i="10"/>
  <c r="AC65" i="10" s="1"/>
  <c r="AC69" i="11"/>
  <c r="AC65" i="11" s="1"/>
  <c r="AC69" i="12"/>
  <c r="AC65" i="12" s="1"/>
  <c r="AC69" i="13"/>
  <c r="AC65" i="13" s="1"/>
  <c r="AC69" i="14"/>
  <c r="AC65" i="14" s="1"/>
  <c r="AC69" i="15"/>
  <c r="AC65" i="15" s="1"/>
  <c r="AC58" i="16"/>
  <c r="AC57" i="16" s="1"/>
  <c r="AC58" i="12"/>
  <c r="AC57" i="12" s="1"/>
  <c r="AC58" i="13"/>
  <c r="AC57" i="13" s="1"/>
  <c r="AC58" i="8"/>
  <c r="AC57" i="8" s="1"/>
  <c r="AC58" i="9"/>
  <c r="AC57" i="9" s="1"/>
  <c r="AC58" i="10"/>
  <c r="AC57" i="10" s="1"/>
  <c r="AC58" i="11"/>
  <c r="AC57" i="11" s="1"/>
  <c r="AC58" i="14"/>
  <c r="AC57" i="14" s="1"/>
  <c r="AC58" i="15"/>
  <c r="AC57" i="15" s="1"/>
  <c r="AC49" i="9"/>
  <c r="AC49" i="11"/>
  <c r="AC49" i="13"/>
  <c r="AC49" i="8"/>
  <c r="AC49" i="10"/>
  <c r="AC49" i="12"/>
  <c r="AC49" i="14"/>
  <c r="AC49" i="15"/>
  <c r="AC49" i="16"/>
  <c r="AC44" i="8"/>
  <c r="AC44" i="9"/>
  <c r="AC44" i="10"/>
  <c r="AC44" i="11"/>
  <c r="AC44" i="12"/>
  <c r="AC44" i="15"/>
  <c r="AC44" i="16"/>
  <c r="AC44" i="13"/>
  <c r="AC44" i="14"/>
  <c r="AF35" i="8"/>
  <c r="AC35" i="8"/>
  <c r="AF35" i="9"/>
  <c r="AC35" i="9"/>
  <c r="AF35" i="10"/>
  <c r="AC35" i="10"/>
  <c r="AF35" i="11"/>
  <c r="AC35" i="11"/>
  <c r="AF35" i="12"/>
  <c r="AC35" i="12"/>
  <c r="AF35" i="13"/>
  <c r="AC35" i="13"/>
  <c r="AF35" i="14"/>
  <c r="AC35" i="14"/>
  <c r="AF35" i="15"/>
  <c r="AC35" i="15"/>
  <c r="AF35" i="16"/>
  <c r="AC35" i="16"/>
  <c r="BQ31" i="5"/>
  <c r="H24" i="20"/>
  <c r="J24" i="20"/>
  <c r="M24" i="20"/>
  <c r="N24" i="20"/>
  <c r="P24" i="20"/>
  <c r="G24" i="20"/>
  <c r="I24" i="20"/>
  <c r="L24" i="20"/>
  <c r="Q24" i="20"/>
  <c r="AS12" i="5"/>
  <c r="AX12" i="5"/>
  <c r="K23" i="20"/>
  <c r="O23" i="20"/>
  <c r="Q23" i="20"/>
  <c r="AX13" i="5"/>
  <c r="AS13" i="5"/>
  <c r="AX11" i="5"/>
  <c r="AS11" i="5"/>
  <c r="L23" i="20"/>
  <c r="P23" i="20"/>
  <c r="G23" i="20"/>
  <c r="I23" i="20"/>
  <c r="BE14" i="7"/>
  <c r="BE14" i="12"/>
  <c r="M14" i="20" s="1"/>
  <c r="BE14" i="13"/>
  <c r="N14" i="20" s="1"/>
  <c r="BE14" i="16"/>
  <c r="Q14" i="20" s="1"/>
  <c r="BE14" i="6"/>
  <c r="G14" i="20" s="1"/>
  <c r="BE14" i="8"/>
  <c r="I14" i="20" s="1"/>
  <c r="BE14" i="9"/>
  <c r="J14" i="20" s="1"/>
  <c r="BE14" i="10"/>
  <c r="K14" i="20" s="1"/>
  <c r="BE14" i="11"/>
  <c r="L14" i="20" s="1"/>
  <c r="BE14" i="14"/>
  <c r="O14" i="20" s="1"/>
  <c r="BE14" i="15"/>
  <c r="K17" i="20"/>
  <c r="O17" i="20"/>
  <c r="H17" i="20"/>
  <c r="J17" i="20"/>
  <c r="N17" i="20"/>
  <c r="Q17" i="20"/>
  <c r="BE15" i="7"/>
  <c r="H15" i="20" s="1"/>
  <c r="BE15" i="8"/>
  <c r="I15" i="20" s="1"/>
  <c r="BE15" i="9"/>
  <c r="J15" i="20" s="1"/>
  <c r="BE15" i="13"/>
  <c r="N15" i="20" s="1"/>
  <c r="BE15" i="14"/>
  <c r="O15" i="20" s="1"/>
  <c r="BE15" i="15"/>
  <c r="P15" i="20" s="1"/>
  <c r="BE15" i="10"/>
  <c r="K15" i="20" s="1"/>
  <c r="BE15" i="11"/>
  <c r="L15" i="20" s="1"/>
  <c r="BE15" i="12"/>
  <c r="M15" i="20" s="1"/>
  <c r="BE15" i="16"/>
  <c r="Q15" i="20" s="1"/>
  <c r="BE15" i="6"/>
  <c r="G15" i="20" s="1"/>
  <c r="BE16" i="8"/>
  <c r="I16" i="20" s="1"/>
  <c r="BE16" i="9"/>
  <c r="J16" i="20" s="1"/>
  <c r="BE16" i="10"/>
  <c r="K16" i="20" s="1"/>
  <c r="BE16" i="11"/>
  <c r="BE16" i="12"/>
  <c r="M16" i="20" s="1"/>
  <c r="BE16" i="13"/>
  <c r="N16" i="20" s="1"/>
  <c r="BE16" i="14"/>
  <c r="O16" i="20" s="1"/>
  <c r="BE16" i="15"/>
  <c r="P16" i="20" s="1"/>
  <c r="BE16" i="16"/>
  <c r="Q16" i="20" s="1"/>
  <c r="BE16" i="6"/>
  <c r="BE16" i="7"/>
  <c r="H16" i="20" s="1"/>
  <c r="BE13" i="7"/>
  <c r="H13" i="20" s="1"/>
  <c r="BE13" i="8"/>
  <c r="I13" i="20" s="1"/>
  <c r="BE13" i="9"/>
  <c r="J13" i="20" s="1"/>
  <c r="BE13" i="10"/>
  <c r="K13" i="20" s="1"/>
  <c r="BE13" i="11"/>
  <c r="L13" i="20" s="1"/>
  <c r="BE13" i="12"/>
  <c r="M13" i="20" s="1"/>
  <c r="BE13" i="13"/>
  <c r="N13" i="20" s="1"/>
  <c r="BE13" i="14"/>
  <c r="BE13" i="15"/>
  <c r="P13" i="20" s="1"/>
  <c r="BE13" i="16"/>
  <c r="G13" i="20"/>
  <c r="BE11" i="7"/>
  <c r="BE11" i="8"/>
  <c r="I11" i="20" s="1"/>
  <c r="BE11" i="9"/>
  <c r="J11" i="20" s="1"/>
  <c r="BE11" i="10"/>
  <c r="K11" i="20" s="1"/>
  <c r="BE11" i="11"/>
  <c r="L11" i="20" s="1"/>
  <c r="BE11" i="12"/>
  <c r="M11" i="20" s="1"/>
  <c r="BE11" i="13"/>
  <c r="N11" i="20" s="1"/>
  <c r="BE11" i="14"/>
  <c r="O11" i="20" s="1"/>
  <c r="BE11" i="15"/>
  <c r="P11" i="20" s="1"/>
  <c r="BE11" i="16"/>
  <c r="Q11" i="20" s="1"/>
  <c r="BE11" i="6"/>
  <c r="BE12" i="7"/>
  <c r="H12" i="20" s="1"/>
  <c r="BE12" i="8"/>
  <c r="I12" i="20" s="1"/>
  <c r="BE12" i="9"/>
  <c r="J12" i="20" s="1"/>
  <c r="BE12" i="10"/>
  <c r="K12" i="20" s="1"/>
  <c r="BE12" i="11"/>
  <c r="L12" i="20" s="1"/>
  <c r="BE12" i="12"/>
  <c r="M12" i="20" s="1"/>
  <c r="BE12" i="13"/>
  <c r="BE12" i="14"/>
  <c r="O12" i="20" s="1"/>
  <c r="BE12" i="15"/>
  <c r="P12" i="20" s="1"/>
  <c r="BE12" i="16"/>
  <c r="Q12" i="20" s="1"/>
  <c r="BE12" i="6"/>
  <c r="G12" i="20" s="1"/>
  <c r="BQ26" i="16"/>
  <c r="AF195" i="16"/>
  <c r="BQ26" i="14"/>
  <c r="O50" i="20" s="1"/>
  <c r="AF195" i="14"/>
  <c r="BQ26" i="12"/>
  <c r="AF195" i="12"/>
  <c r="AF195" i="15"/>
  <c r="AF194" i="15" s="1"/>
  <c r="BQ26" i="15"/>
  <c r="P50" i="20" s="1"/>
  <c r="AF195" i="13"/>
  <c r="BQ26" i="13"/>
  <c r="N50" i="20" s="1"/>
  <c r="BQ26" i="7"/>
  <c r="H50" i="20" s="1"/>
  <c r="AF195" i="9"/>
  <c r="BQ26" i="9"/>
  <c r="J50" i="20" s="1"/>
  <c r="AF195" i="11"/>
  <c r="BQ26" i="11"/>
  <c r="L50" i="20" s="1"/>
  <c r="BQ26" i="10"/>
  <c r="K50" i="20" s="1"/>
  <c r="AF195" i="10"/>
  <c r="BQ26" i="8"/>
  <c r="I50" i="20" s="1"/>
  <c r="AF195" i="8"/>
  <c r="BQ26" i="6"/>
  <c r="G50" i="20" s="1"/>
  <c r="AF176" i="8"/>
  <c r="BQ23" i="8"/>
  <c r="I47" i="20" s="1"/>
  <c r="BQ23" i="12"/>
  <c r="M47" i="20" s="1"/>
  <c r="AF176" i="12"/>
  <c r="BQ23" i="11"/>
  <c r="L47" i="20" s="1"/>
  <c r="AF176" i="11"/>
  <c r="BQ23" i="9"/>
  <c r="J47" i="20" s="1"/>
  <c r="AF176" i="9"/>
  <c r="BQ23" i="10"/>
  <c r="K47" i="20" s="1"/>
  <c r="AF176" i="10"/>
  <c r="AF176" i="16"/>
  <c r="BQ23" i="16"/>
  <c r="Q47" i="20" s="1"/>
  <c r="BQ23" i="15"/>
  <c r="P47" i="20" s="1"/>
  <c r="AF176" i="15"/>
  <c r="BQ23" i="13"/>
  <c r="AF176" i="13"/>
  <c r="BQ23" i="7"/>
  <c r="H47" i="20" s="1"/>
  <c r="AF176" i="14"/>
  <c r="BQ23" i="14"/>
  <c r="AC105" i="10"/>
  <c r="AC104" i="10" s="1"/>
  <c r="AC105" i="16"/>
  <c r="AC104" i="16" s="1"/>
  <c r="AC105" i="12"/>
  <c r="AC104" i="12" s="1"/>
  <c r="AC105" i="8"/>
  <c r="AC104" i="8" s="1"/>
  <c r="AS22" i="5"/>
  <c r="AX22" i="5" s="1"/>
  <c r="F79" i="5"/>
  <c r="BQ23" i="6"/>
  <c r="G47" i="20" s="1"/>
  <c r="AR11" i="6"/>
  <c r="AW11" i="6"/>
  <c r="F23" i="20"/>
  <c r="AS12" i="6"/>
  <c r="AR12" i="6"/>
  <c r="AW12" i="6"/>
  <c r="AR10" i="6"/>
  <c r="BQ31" i="16"/>
  <c r="Q55" i="20" s="1"/>
  <c r="BQ31" i="14"/>
  <c r="O55" i="20" s="1"/>
  <c r="BQ31" i="13"/>
  <c r="BQ31" i="11"/>
  <c r="L55" i="20" s="1"/>
  <c r="BQ31" i="7"/>
  <c r="BQ31" i="15"/>
  <c r="BQ31" i="12"/>
  <c r="M55" i="20" s="1"/>
  <c r="BQ31" i="10"/>
  <c r="AF243" i="15"/>
  <c r="AF243" i="16"/>
  <c r="AF243" i="14"/>
  <c r="AF243" i="13"/>
  <c r="BD16" i="6"/>
  <c r="AR11" i="7"/>
  <c r="AW11" i="7"/>
  <c r="BF19" i="7"/>
  <c r="AX12" i="7"/>
  <c r="AX11" i="7"/>
  <c r="AR12" i="7"/>
  <c r="AW12" i="7"/>
  <c r="AR11" i="8"/>
  <c r="AW11" i="8"/>
  <c r="AW12" i="8"/>
  <c r="AR12" i="8"/>
  <c r="AS11" i="8"/>
  <c r="AS12" i="8"/>
  <c r="AW11" i="9"/>
  <c r="AR11" i="9"/>
  <c r="AW12" i="9"/>
  <c r="AR12" i="9"/>
  <c r="AX12" i="10"/>
  <c r="AW12" i="10"/>
  <c r="AR12" i="10"/>
  <c r="AW12" i="11"/>
  <c r="AR12" i="11"/>
  <c r="AX12" i="11"/>
  <c r="AS12" i="11"/>
  <c r="AW12" i="12"/>
  <c r="AR12" i="12"/>
  <c r="AR12" i="13"/>
  <c r="AW12" i="13"/>
  <c r="AS12" i="14"/>
  <c r="AW12" i="14"/>
  <c r="AR12" i="14"/>
  <c r="BD16" i="10"/>
  <c r="AR12" i="15"/>
  <c r="AW12" i="15"/>
  <c r="AX12" i="15"/>
  <c r="AW12" i="16"/>
  <c r="AR12" i="16"/>
  <c r="BD16" i="11"/>
  <c r="L79" i="16"/>
  <c r="T59" i="8"/>
  <c r="T59" i="9" s="1"/>
  <c r="T59" i="10" s="1"/>
  <c r="T59" i="11" s="1"/>
  <c r="T59" i="12" s="1"/>
  <c r="T59" i="13" s="1"/>
  <c r="T59" i="14" s="1"/>
  <c r="T59" i="15" s="1"/>
  <c r="T59" i="16" s="1"/>
  <c r="AA212" i="16"/>
  <c r="B15" i="7"/>
  <c r="B15" i="8" s="1"/>
  <c r="B15" i="9" s="1"/>
  <c r="B15" i="10" s="1"/>
  <c r="B15" i="11" s="1"/>
  <c r="B15" i="12" s="1"/>
  <c r="B15" i="13" s="1"/>
  <c r="B15" i="14" s="1"/>
  <c r="B15" i="15" s="1"/>
  <c r="B15" i="16" s="1"/>
  <c r="M23" i="20"/>
  <c r="AG129" i="14"/>
  <c r="AE129" i="15" s="1"/>
  <c r="AG129" i="15" s="1"/>
  <c r="AD217" i="15"/>
  <c r="AB217" i="16" s="1"/>
  <c r="AD217" i="16" s="1"/>
  <c r="AB121" i="15"/>
  <c r="AD121" i="15" s="1"/>
  <c r="Y79" i="16"/>
  <c r="AA79" i="16" s="1"/>
  <c r="Y21" i="16"/>
  <c r="AA21" i="16" s="1"/>
  <c r="W224" i="15"/>
  <c r="W224" i="16" s="1"/>
  <c r="W138" i="15"/>
  <c r="W133" i="15"/>
  <c r="W133" i="16" s="1"/>
  <c r="AE116" i="14"/>
  <c r="AG116" i="14" s="1"/>
  <c r="AE116" i="15" s="1"/>
  <c r="AG116" i="15" s="1"/>
  <c r="AE116" i="16" s="1"/>
  <c r="AG116" i="16" s="1"/>
  <c r="AB151" i="14"/>
  <c r="AD151" i="14" s="1"/>
  <c r="AB151" i="15" s="1"/>
  <c r="AD151" i="15" s="1"/>
  <c r="AB151" i="16" s="1"/>
  <c r="AD151" i="16" s="1"/>
  <c r="AG88" i="14"/>
  <c r="AE88" i="15" s="1"/>
  <c r="AG88" i="15" s="1"/>
  <c r="AB182" i="16"/>
  <c r="AD182" i="16" s="1"/>
  <c r="AD153" i="14"/>
  <c r="AB153" i="15" s="1"/>
  <c r="AD153" i="15" s="1"/>
  <c r="AB115" i="16"/>
  <c r="AD38" i="14"/>
  <c r="AB38" i="15" s="1"/>
  <c r="AD38" i="15" s="1"/>
  <c r="AB38" i="16" s="1"/>
  <c r="AD38" i="16" s="1"/>
  <c r="X230" i="16"/>
  <c r="C29" i="6"/>
  <c r="Y143" i="7"/>
  <c r="AA143" i="7" s="1"/>
  <c r="AA40" i="7"/>
  <c r="G48" i="6"/>
  <c r="I30" i="6"/>
  <c r="G30" i="7" s="1"/>
  <c r="I30" i="7" s="1"/>
  <c r="G30" i="8" s="1"/>
  <c r="W238" i="8"/>
  <c r="W238" i="9" s="1"/>
  <c r="W238" i="10" s="1"/>
  <c r="X238" i="10" s="1"/>
  <c r="W196" i="15"/>
  <c r="W196" i="16" s="1"/>
  <c r="W126" i="7"/>
  <c r="W120" i="7"/>
  <c r="W116" i="7"/>
  <c r="W106" i="7"/>
  <c r="W106" i="8" s="1"/>
  <c r="W99" i="9"/>
  <c r="W99" i="10" s="1"/>
  <c r="W99" i="11" s="1"/>
  <c r="W99" i="12" s="1"/>
  <c r="W94" i="7"/>
  <c r="W73" i="8"/>
  <c r="W73" i="9" s="1"/>
  <c r="W60" i="7"/>
  <c r="W60" i="8" s="1"/>
  <c r="W60" i="9" s="1"/>
  <c r="V246" i="7"/>
  <c r="V246" i="8" s="1"/>
  <c r="V237" i="10"/>
  <c r="V237" i="11" s="1"/>
  <c r="V237" i="12" s="1"/>
  <c r="V237" i="13" s="1"/>
  <c r="V173" i="7"/>
  <c r="V124" i="8"/>
  <c r="V50" i="7"/>
  <c r="V50" i="8" s="1"/>
  <c r="V50" i="9" s="1"/>
  <c r="V50" i="10" s="1"/>
  <c r="V38" i="7"/>
  <c r="V38" i="8" s="1"/>
  <c r="V28" i="7"/>
  <c r="V28" i="8" s="1"/>
  <c r="V24" i="7"/>
  <c r="V19" i="14"/>
  <c r="AE115" i="7"/>
  <c r="AG115" i="7" s="1"/>
  <c r="AE115" i="8" s="1"/>
  <c r="AE30" i="12"/>
  <c r="AG30" i="12" s="1"/>
  <c r="AE30" i="13" s="1"/>
  <c r="AG30" i="13" s="1"/>
  <c r="AD245" i="6"/>
  <c r="AB245" i="7" s="1"/>
  <c r="AD245" i="7" s="1"/>
  <c r="AB245" i="8" s="1"/>
  <c r="AD245" i="8" s="1"/>
  <c r="AB245" i="9" s="1"/>
  <c r="AB239" i="7"/>
  <c r="AD239" i="7" s="1"/>
  <c r="AB239" i="8" s="1"/>
  <c r="AD224" i="6"/>
  <c r="AB216" i="8"/>
  <c r="AD216" i="8" s="1"/>
  <c r="AD36" i="8"/>
  <c r="L37" i="6"/>
  <c r="J37" i="7" s="1"/>
  <c r="C54" i="8"/>
  <c r="X244" i="6"/>
  <c r="AI244" i="6" s="1"/>
  <c r="AE51" i="8"/>
  <c r="AG51" i="8" s="1"/>
  <c r="X130" i="8"/>
  <c r="C63" i="7"/>
  <c r="AD229" i="7"/>
  <c r="AB212" i="8"/>
  <c r="W142" i="11"/>
  <c r="W37" i="13"/>
  <c r="W23" i="10"/>
  <c r="E80" i="11"/>
  <c r="E80" i="12" s="1"/>
  <c r="E74" i="8"/>
  <c r="E74" i="9" s="1"/>
  <c r="E74" i="10" s="1"/>
  <c r="E72" i="7"/>
  <c r="E68" i="13"/>
  <c r="E50" i="8"/>
  <c r="E30" i="10"/>
  <c r="V160" i="8"/>
  <c r="X101" i="9"/>
  <c r="X191" i="11"/>
  <c r="AH191" i="11" s="1"/>
  <c r="X53" i="12"/>
  <c r="X248" i="7"/>
  <c r="AH248" i="7" s="1"/>
  <c r="X191" i="10"/>
  <c r="AH191" i="10" s="1"/>
  <c r="X52" i="10"/>
  <c r="AI52" i="10" s="1"/>
  <c r="X81" i="11"/>
  <c r="C22" i="11"/>
  <c r="X80" i="15"/>
  <c r="Z90" i="7"/>
  <c r="BQ17" i="7"/>
  <c r="H41" i="20" s="1"/>
  <c r="AF43" i="7"/>
  <c r="AF145" i="7"/>
  <c r="AC112" i="7"/>
  <c r="BQ16" i="7"/>
  <c r="H40" i="20" s="1"/>
  <c r="AL145" i="6"/>
  <c r="X151" i="12"/>
  <c r="AH151" i="12" s="1"/>
  <c r="AM145" i="6"/>
  <c r="X151" i="8"/>
  <c r="X160" i="5"/>
  <c r="AJ160" i="5" s="1"/>
  <c r="BP26" i="5"/>
  <c r="BP26" i="7"/>
  <c r="AH189" i="5"/>
  <c r="BP23" i="10"/>
  <c r="BP23" i="5"/>
  <c r="AH148" i="5"/>
  <c r="BO18" i="5"/>
  <c r="BP19" i="7"/>
  <c r="AD105" i="5"/>
  <c r="AD104" i="5" s="1"/>
  <c r="AC90" i="5"/>
  <c r="AC63" i="5" s="1"/>
  <c r="BP11" i="5"/>
  <c r="AR22" i="5"/>
  <c r="AW22" i="5" s="1"/>
  <c r="X205" i="5"/>
  <c r="X246" i="5"/>
  <c r="X196" i="5"/>
  <c r="AI196" i="5" s="1"/>
  <c r="X153" i="8"/>
  <c r="W141" i="5"/>
  <c r="X33" i="5"/>
  <c r="U203" i="10"/>
  <c r="U203" i="11"/>
  <c r="U203" i="14"/>
  <c r="AI189" i="5"/>
  <c r="U187" i="7"/>
  <c r="U141" i="9"/>
  <c r="U141" i="10"/>
  <c r="AJ125" i="5"/>
  <c r="U58" i="9"/>
  <c r="AH23" i="5"/>
  <c r="E25" i="5"/>
  <c r="E25" i="6"/>
  <c r="F15" i="5"/>
  <c r="M15" i="5" s="1"/>
  <c r="E12" i="7"/>
  <c r="C78" i="7"/>
  <c r="C60" i="7"/>
  <c r="C42" i="7"/>
  <c r="AI124" i="5"/>
  <c r="J109" i="14"/>
  <c r="L109" i="14" s="1"/>
  <c r="J109" i="15" s="1"/>
  <c r="L109" i="15" s="1"/>
  <c r="J109" i="16" s="1"/>
  <c r="L109" i="16" s="1"/>
  <c r="J65" i="6"/>
  <c r="L25" i="5"/>
  <c r="AS8" i="5" s="1"/>
  <c r="AC112" i="6"/>
  <c r="Z194" i="6"/>
  <c r="Z193" i="6" s="1"/>
  <c r="AD158" i="14"/>
  <c r="AB158" i="15" s="1"/>
  <c r="AD158" i="15" s="1"/>
  <c r="AB158" i="16" s="1"/>
  <c r="AD158" i="16" s="1"/>
  <c r="BP18" i="6"/>
  <c r="BP18" i="7"/>
  <c r="BQ17" i="6"/>
  <c r="G41" i="20" s="1"/>
  <c r="BP19" i="9"/>
  <c r="Z112" i="6"/>
  <c r="AE108" i="15"/>
  <c r="AG108" i="15" s="1"/>
  <c r="AC90" i="6"/>
  <c r="AC43" i="6"/>
  <c r="AC14" i="6" s="1"/>
  <c r="G24" i="6"/>
  <c r="I24" i="6" s="1"/>
  <c r="G24" i="7" s="1"/>
  <c r="I24" i="7" s="1"/>
  <c r="G24" i="8" s="1"/>
  <c r="I24" i="8" s="1"/>
  <c r="G24" i="9" s="1"/>
  <c r="I24" i="9" s="1"/>
  <c r="G24" i="10" s="1"/>
  <c r="I24" i="10" s="1"/>
  <c r="G24" i="11" s="1"/>
  <c r="I24" i="11" s="1"/>
  <c r="G24" i="12" s="1"/>
  <c r="I24" i="12" s="1"/>
  <c r="G24" i="13" s="1"/>
  <c r="I24" i="13" s="1"/>
  <c r="G24" i="14" s="1"/>
  <c r="I24" i="14" s="1"/>
  <c r="G24" i="15" s="1"/>
  <c r="I24" i="15" s="1"/>
  <c r="G24" i="16" s="1"/>
  <c r="I24" i="16" s="1"/>
  <c r="L27" i="6"/>
  <c r="J27" i="7" s="1"/>
  <c r="G27" i="6"/>
  <c r="G88" i="10"/>
  <c r="I88" i="10" s="1"/>
  <c r="P28" i="15"/>
  <c r="H28" i="15"/>
  <c r="H28" i="14"/>
  <c r="H28" i="12"/>
  <c r="K28" i="12"/>
  <c r="Q28" i="11"/>
  <c r="Q21" i="11" s="1"/>
  <c r="Q19" i="11" s="1"/>
  <c r="Q17" i="11" s="1"/>
  <c r="Q8" i="11" s="1"/>
  <c r="P28" i="10"/>
  <c r="H28" i="9"/>
  <c r="D52" i="10"/>
  <c r="D52" i="11" s="1"/>
  <c r="K28" i="9"/>
  <c r="Q28" i="9"/>
  <c r="H28" i="8"/>
  <c r="E33" i="9"/>
  <c r="E33" i="10" s="1"/>
  <c r="E33" i="11" s="1"/>
  <c r="D37" i="8"/>
  <c r="E14" i="8"/>
  <c r="E47" i="8"/>
  <c r="D31" i="8"/>
  <c r="F65" i="7"/>
  <c r="H28" i="7"/>
  <c r="D24" i="7"/>
  <c r="D24" i="8" s="1"/>
  <c r="D24" i="9" s="1"/>
  <c r="D24" i="10" s="1"/>
  <c r="D24" i="11" s="1"/>
  <c r="D24" i="12" s="1"/>
  <c r="D24" i="13" s="1"/>
  <c r="Q28" i="6"/>
  <c r="AB88" i="7"/>
  <c r="AD88" i="7" s="1"/>
  <c r="AB88" i="8" s="1"/>
  <c r="Y237" i="7"/>
  <c r="AA237" i="7" s="1"/>
  <c r="Y237" i="8" s="1"/>
  <c r="AA237" i="8" s="1"/>
  <c r="AF234" i="5"/>
  <c r="AF232" i="5" s="1"/>
  <c r="BQ29" i="5" s="1"/>
  <c r="X41" i="16"/>
  <c r="G41" i="6"/>
  <c r="I41" i="6" s="1"/>
  <c r="X52" i="15"/>
  <c r="AF220" i="6"/>
  <c r="BQ30" i="6" s="1"/>
  <c r="BK14" i="6" s="1"/>
  <c r="V134" i="11"/>
  <c r="V134" i="12" s="1"/>
  <c r="V134" i="13" s="1"/>
  <c r="V134" i="14" s="1"/>
  <c r="V134" i="15" s="1"/>
  <c r="AF170" i="6"/>
  <c r="BQ24" i="6" s="1"/>
  <c r="AD50" i="7"/>
  <c r="AB50" i="8" s="1"/>
  <c r="AD107" i="7"/>
  <c r="AB107" i="8" s="1"/>
  <c r="Z220" i="6"/>
  <c r="V245" i="8"/>
  <c r="V245" i="9" s="1"/>
  <c r="V245" i="10" s="1"/>
  <c r="V245" i="11" s="1"/>
  <c r="U172" i="14"/>
  <c r="AE87" i="15"/>
  <c r="AG87" i="15" s="1"/>
  <c r="AB234" i="5"/>
  <c r="AB232" i="5" s="1"/>
  <c r="U220" i="5"/>
  <c r="AF145" i="5"/>
  <c r="C63" i="14"/>
  <c r="C25" i="12"/>
  <c r="X153" i="16"/>
  <c r="AH153" i="16" s="1"/>
  <c r="F50" i="20"/>
  <c r="AB170" i="5"/>
  <c r="AT6" i="5"/>
  <c r="U194" i="5"/>
  <c r="U193" i="5" s="1"/>
  <c r="P28" i="5"/>
  <c r="U145" i="5"/>
  <c r="U112" i="5"/>
  <c r="U43" i="5"/>
  <c r="K28" i="5"/>
  <c r="X201" i="16"/>
  <c r="AC170" i="6"/>
  <c r="K28" i="6"/>
  <c r="K21" i="6" s="1"/>
  <c r="K19" i="6" s="1"/>
  <c r="K17" i="6" s="1"/>
  <c r="X53" i="16"/>
  <c r="E41" i="16"/>
  <c r="AF207" i="13"/>
  <c r="Z170" i="13"/>
  <c r="AF145" i="6"/>
  <c r="BQ16" i="6"/>
  <c r="AC145" i="7"/>
  <c r="AG224" i="7"/>
  <c r="AE224" i="8" s="1"/>
  <c r="AG224" i="8" s="1"/>
  <c r="AG204" i="7"/>
  <c r="AE204" i="8" s="1"/>
  <c r="AG196" i="7"/>
  <c r="AE247" i="11"/>
  <c r="AG247" i="11" s="1"/>
  <c r="AE247" i="12" s="1"/>
  <c r="AG247" i="12" s="1"/>
  <c r="AE239" i="8"/>
  <c r="AG239" i="8" s="1"/>
  <c r="AG229" i="7"/>
  <c r="AE229" i="8" s="1"/>
  <c r="AG229" i="8" s="1"/>
  <c r="AE229" i="9" s="1"/>
  <c r="AG229" i="9" s="1"/>
  <c r="AE229" i="10" s="1"/>
  <c r="AG229" i="10" s="1"/>
  <c r="AE229" i="11" s="1"/>
  <c r="AG229" i="11" s="1"/>
  <c r="AE229" i="12" s="1"/>
  <c r="AG229" i="12" s="1"/>
  <c r="AE229" i="13" s="1"/>
  <c r="AG229" i="13" s="1"/>
  <c r="AE229" i="14" s="1"/>
  <c r="AG229" i="14" s="1"/>
  <c r="AE229" i="15" s="1"/>
  <c r="AG229" i="15" s="1"/>
  <c r="AE229" i="16" s="1"/>
  <c r="AG229" i="16" s="1"/>
  <c r="AE205" i="8"/>
  <c r="AG205" i="8" s="1"/>
  <c r="AE205" i="9" s="1"/>
  <c r="AG205" i="9" s="1"/>
  <c r="AE191" i="8"/>
  <c r="AG191" i="8" s="1"/>
  <c r="AE182" i="8"/>
  <c r="AG182" i="8" s="1"/>
  <c r="AE180" i="11"/>
  <c r="AG180" i="11" s="1"/>
  <c r="AE180" i="12" s="1"/>
  <c r="AG180" i="12" s="1"/>
  <c r="AG212" i="7"/>
  <c r="AS13" i="6"/>
  <c r="E50" i="9"/>
  <c r="AD212" i="8"/>
  <c r="AI246" i="5"/>
  <c r="E47" i="9"/>
  <c r="AD74" i="15"/>
  <c r="AB74" i="16" s="1"/>
  <c r="AD74" i="16" s="1"/>
  <c r="AX13" i="8"/>
  <c r="AS13" i="8"/>
  <c r="AX13" i="10"/>
  <c r="AX13" i="12"/>
  <c r="AS13" i="12"/>
  <c r="AX13" i="14"/>
  <c r="AX13" i="16"/>
  <c r="AM220" i="13" l="1"/>
  <c r="H28" i="11"/>
  <c r="H28" i="13"/>
  <c r="H28" i="16"/>
  <c r="U141" i="16"/>
  <c r="P28" i="6"/>
  <c r="P21" i="6" s="1"/>
  <c r="P19" i="6" s="1"/>
  <c r="P17" i="6" s="1"/>
  <c r="P8" i="6" s="1"/>
  <c r="Z170" i="6"/>
  <c r="H28" i="6"/>
  <c r="BQ12" i="7"/>
  <c r="AC170" i="7"/>
  <c r="W114" i="5"/>
  <c r="U234" i="5"/>
  <c r="U232" i="5" s="1"/>
  <c r="U90" i="5"/>
  <c r="Q28" i="5"/>
  <c r="Q21" i="5" s="1"/>
  <c r="Q19" i="5" s="1"/>
  <c r="Q17" i="5" s="1"/>
  <c r="AG203" i="5"/>
  <c r="U235" i="10"/>
  <c r="AH168" i="16"/>
  <c r="AH130" i="16"/>
  <c r="U20" i="16"/>
  <c r="U16" i="16" s="1"/>
  <c r="U83" i="10"/>
  <c r="U83" i="12"/>
  <c r="AH189" i="16"/>
  <c r="AH182" i="16"/>
  <c r="AS13" i="15"/>
  <c r="AS13" i="10"/>
  <c r="AS13" i="7"/>
  <c r="BP19" i="13"/>
  <c r="X200" i="15"/>
  <c r="AH200" i="15" s="1"/>
  <c r="X124" i="8"/>
  <c r="AS12" i="13"/>
  <c r="AX12" i="9"/>
  <c r="G128" i="5"/>
  <c r="BP19" i="8"/>
  <c r="BO18" i="6"/>
  <c r="BO18" i="9"/>
  <c r="BP23" i="8"/>
  <c r="AH81" i="11"/>
  <c r="X200" i="8"/>
  <c r="X181" i="7"/>
  <c r="U149" i="9"/>
  <c r="U147" i="9" s="1"/>
  <c r="C29" i="9"/>
  <c r="X252" i="7"/>
  <c r="AI252" i="7" s="1"/>
  <c r="X238" i="7"/>
  <c r="AI238" i="7" s="1"/>
  <c r="X200" i="7"/>
  <c r="AJ200" i="7" s="1"/>
  <c r="U176" i="7"/>
  <c r="U96" i="7"/>
  <c r="U58" i="7"/>
  <c r="U57" i="7" s="1"/>
  <c r="C72" i="7"/>
  <c r="C42" i="10"/>
  <c r="U235" i="11"/>
  <c r="U222" i="11"/>
  <c r="U44" i="11"/>
  <c r="C54" i="11"/>
  <c r="U105" i="12"/>
  <c r="C78" i="12"/>
  <c r="U83" i="13"/>
  <c r="C42" i="13"/>
  <c r="C42" i="14"/>
  <c r="C72" i="15"/>
  <c r="U211" i="15"/>
  <c r="U210" i="15" s="1"/>
  <c r="U209" i="15" s="1"/>
  <c r="U207" i="15" s="1"/>
  <c r="X248" i="16"/>
  <c r="U235" i="16"/>
  <c r="X205" i="16"/>
  <c r="AH205" i="16" s="1"/>
  <c r="X181" i="16"/>
  <c r="U83" i="16"/>
  <c r="X52" i="16"/>
  <c r="U35" i="16"/>
  <c r="X30" i="16"/>
  <c r="AH30" i="16" s="1"/>
  <c r="X26" i="16"/>
  <c r="X22" i="16"/>
  <c r="AH22" i="16" s="1"/>
  <c r="C78" i="16"/>
  <c r="C72" i="16"/>
  <c r="F61" i="16"/>
  <c r="C48" i="16"/>
  <c r="C42" i="16"/>
  <c r="C25" i="16"/>
  <c r="E25" i="7"/>
  <c r="X218" i="16"/>
  <c r="AH218" i="16" s="1"/>
  <c r="X191" i="16"/>
  <c r="X124" i="7"/>
  <c r="X29" i="16"/>
  <c r="V204" i="8"/>
  <c r="V204" i="9" s="1"/>
  <c r="V203" i="7"/>
  <c r="E26" i="8"/>
  <c r="E26" i="9" s="1"/>
  <c r="E25" i="9" s="1"/>
  <c r="W141" i="7"/>
  <c r="W141" i="8"/>
  <c r="AJ3" i="9"/>
  <c r="BD16" i="12"/>
  <c r="BD16" i="9"/>
  <c r="AW10" i="6"/>
  <c r="AX13" i="13"/>
  <c r="AS13" i="11"/>
  <c r="AS13" i="9"/>
  <c r="AX13" i="7"/>
  <c r="G42" i="7"/>
  <c r="B41" i="9"/>
  <c r="B41" i="10" s="1"/>
  <c r="B41" i="11" s="1"/>
  <c r="B41" i="12" s="1"/>
  <c r="B41" i="13" s="1"/>
  <c r="B41" i="14" s="1"/>
  <c r="B41" i="15" s="1"/>
  <c r="B41" i="16" s="1"/>
  <c r="AH153" i="8"/>
  <c r="X151" i="10"/>
  <c r="AI151" i="10" s="1"/>
  <c r="X218" i="7"/>
  <c r="X248" i="10"/>
  <c r="AH248" i="10" s="1"/>
  <c r="X181" i="13"/>
  <c r="X248" i="11"/>
  <c r="AH248" i="11" s="1"/>
  <c r="V203" i="6"/>
  <c r="W58" i="6"/>
  <c r="W57" i="6" s="1"/>
  <c r="I42" i="6"/>
  <c r="X162" i="12"/>
  <c r="AJ162" i="12" s="1"/>
  <c r="AS12" i="7"/>
  <c r="AS11" i="6"/>
  <c r="H21" i="11"/>
  <c r="H19" i="11" s="1"/>
  <c r="H17" i="11" s="1"/>
  <c r="H21" i="13"/>
  <c r="H19" i="13" s="1"/>
  <c r="H17" i="13" s="1"/>
  <c r="H8" i="13" s="1"/>
  <c r="H21" i="16"/>
  <c r="H19" i="16" s="1"/>
  <c r="H17" i="16" s="1"/>
  <c r="H8" i="16" s="1"/>
  <c r="X255" i="10"/>
  <c r="AH255" i="10" s="1"/>
  <c r="X46" i="11"/>
  <c r="X29" i="11"/>
  <c r="AH29" i="11" s="1"/>
  <c r="X25" i="11"/>
  <c r="AH25" i="11" s="1"/>
  <c r="X101" i="12"/>
  <c r="AH101" i="12" s="1"/>
  <c r="X101" i="14"/>
  <c r="X101" i="15"/>
  <c r="AI101" i="15" s="1"/>
  <c r="AW10" i="7"/>
  <c r="X151" i="9"/>
  <c r="AI151" i="9" s="1"/>
  <c r="BD16" i="15"/>
  <c r="BD16" i="8"/>
  <c r="AS13" i="14"/>
  <c r="BP19" i="10"/>
  <c r="BO18" i="7"/>
  <c r="AG203" i="6"/>
  <c r="W141" i="6"/>
  <c r="X205" i="11"/>
  <c r="AI205" i="11" s="1"/>
  <c r="BP19" i="12"/>
  <c r="BP23" i="7"/>
  <c r="BP19" i="11"/>
  <c r="X181" i="12"/>
  <c r="AH181" i="12" s="1"/>
  <c r="X205" i="9"/>
  <c r="X191" i="12"/>
  <c r="AH191" i="12" s="1"/>
  <c r="BD16" i="13"/>
  <c r="AS12" i="12"/>
  <c r="AS12" i="10"/>
  <c r="BD16" i="7"/>
  <c r="D16" i="20" s="1"/>
  <c r="AX13" i="15"/>
  <c r="AS13" i="13"/>
  <c r="AX13" i="11"/>
  <c r="AX13" i="9"/>
  <c r="BP19" i="15"/>
  <c r="BO18" i="8"/>
  <c r="U57" i="9"/>
  <c r="BP19" i="14"/>
  <c r="BP23" i="6"/>
  <c r="BP23" i="14"/>
  <c r="BP26" i="6"/>
  <c r="BP19" i="6"/>
  <c r="X255" i="14"/>
  <c r="AH255" i="14" s="1"/>
  <c r="X255" i="11"/>
  <c r="AH255" i="11" s="1"/>
  <c r="X200" i="9"/>
  <c r="E72" i="10"/>
  <c r="X200" i="14"/>
  <c r="F61" i="14"/>
  <c r="W227" i="6"/>
  <c r="X252" i="9"/>
  <c r="AI252" i="9" s="1"/>
  <c r="BD16" i="14"/>
  <c r="AS12" i="16"/>
  <c r="AS12" i="15"/>
  <c r="AS12" i="9"/>
  <c r="AS11" i="7"/>
  <c r="AX11" i="6"/>
  <c r="AX12" i="13"/>
  <c r="AX12" i="14"/>
  <c r="H21" i="6"/>
  <c r="H19" i="6" s="1"/>
  <c r="H17" i="6" s="1"/>
  <c r="H8" i="6" s="1"/>
  <c r="U235" i="6"/>
  <c r="U211" i="6"/>
  <c r="U210" i="6" s="1"/>
  <c r="U209" i="6" s="1"/>
  <c r="U207" i="6" s="1"/>
  <c r="U187" i="6"/>
  <c r="U185" i="6" s="1"/>
  <c r="U83" i="6"/>
  <c r="C22" i="6"/>
  <c r="C66" i="8"/>
  <c r="U96" i="9"/>
  <c r="C25" i="9"/>
  <c r="U195" i="7"/>
  <c r="U194" i="7" s="1"/>
  <c r="U193" i="7" s="1"/>
  <c r="U123" i="7"/>
  <c r="U91" i="7"/>
  <c r="C69" i="7"/>
  <c r="F14" i="7"/>
  <c r="M14" i="7" s="1"/>
  <c r="X252" i="10"/>
  <c r="U149" i="10"/>
  <c r="U147" i="10" s="1"/>
  <c r="F61" i="10"/>
  <c r="C48" i="10"/>
  <c r="U227" i="11"/>
  <c r="U195" i="11"/>
  <c r="C60" i="11"/>
  <c r="U187" i="12"/>
  <c r="U185" i="12" s="1"/>
  <c r="U35" i="12"/>
  <c r="C60" i="12"/>
  <c r="C10" i="12"/>
  <c r="U91" i="13"/>
  <c r="X76" i="13"/>
  <c r="U58" i="13"/>
  <c r="U57" i="13" s="1"/>
  <c r="U44" i="13"/>
  <c r="U227" i="14"/>
  <c r="U91" i="14"/>
  <c r="U58" i="14"/>
  <c r="U57" i="14" s="1"/>
  <c r="C72" i="14"/>
  <c r="C78" i="15"/>
  <c r="C54" i="15"/>
  <c r="U235" i="15"/>
  <c r="U195" i="15"/>
  <c r="U194" i="15" s="1"/>
  <c r="U193" i="15" s="1"/>
  <c r="U96" i="15"/>
  <c r="U83" i="15"/>
  <c r="X76" i="15"/>
  <c r="AI76" i="15" s="1"/>
  <c r="U49" i="15"/>
  <c r="U20" i="15"/>
  <c r="U16" i="15" s="1"/>
  <c r="U243" i="16"/>
  <c r="U211" i="16"/>
  <c r="U210" i="16" s="1"/>
  <c r="U209" i="16" s="1"/>
  <c r="U207" i="16" s="1"/>
  <c r="U195" i="16"/>
  <c r="U194" i="16" s="1"/>
  <c r="U193" i="16" s="1"/>
  <c r="U149" i="16"/>
  <c r="U147" i="16" s="1"/>
  <c r="U114" i="16"/>
  <c r="U96" i="16"/>
  <c r="U69" i="16"/>
  <c r="U65" i="16" s="1"/>
  <c r="X25" i="16"/>
  <c r="AI25" i="16" s="1"/>
  <c r="C10" i="16"/>
  <c r="V45" i="8"/>
  <c r="V45" i="9" s="1"/>
  <c r="V44" i="7"/>
  <c r="BQ15" i="6"/>
  <c r="BK10" i="6" s="1"/>
  <c r="L128" i="5"/>
  <c r="Q21" i="6"/>
  <c r="Q19" i="6" s="1"/>
  <c r="Q17" i="6" s="1"/>
  <c r="Q8" i="6" s="1"/>
  <c r="Q21" i="9"/>
  <c r="Q19" i="9" s="1"/>
  <c r="L10" i="5"/>
  <c r="BQ12" i="5"/>
  <c r="BQ9" i="5" s="1"/>
  <c r="AL234" i="12"/>
  <c r="AL232" i="12" s="1"/>
  <c r="C128" i="5"/>
  <c r="K21" i="9"/>
  <c r="K19" i="9" s="1"/>
  <c r="K17" i="9" s="1"/>
  <c r="H21" i="12"/>
  <c r="H19" i="12" s="1"/>
  <c r="H17" i="12" s="1"/>
  <c r="H8" i="12" s="1"/>
  <c r="AD114" i="5"/>
  <c r="AL145" i="8"/>
  <c r="X22" i="15"/>
  <c r="AH22" i="15" s="1"/>
  <c r="X59" i="11"/>
  <c r="C60" i="10"/>
  <c r="V44" i="6"/>
  <c r="AC194" i="6"/>
  <c r="AC193" i="6" s="1"/>
  <c r="K128" i="5"/>
  <c r="P128" i="5"/>
  <c r="AD44" i="5"/>
  <c r="AH151" i="8"/>
  <c r="Y149" i="6"/>
  <c r="Y147" i="6" s="1"/>
  <c r="AH178" i="5"/>
  <c r="BD21" i="5"/>
  <c r="AH33" i="5"/>
  <c r="N15" i="5"/>
  <c r="U69" i="15"/>
  <c r="Q128" i="5"/>
  <c r="H21" i="9"/>
  <c r="H19" i="9" s="1"/>
  <c r="H17" i="9" s="1"/>
  <c r="H8" i="9" s="1"/>
  <c r="H21" i="15"/>
  <c r="H19" i="15" s="1"/>
  <c r="H17" i="15" s="1"/>
  <c r="H8" i="15" s="1"/>
  <c r="U185" i="7"/>
  <c r="AD49" i="5"/>
  <c r="AD43" i="5" s="1"/>
  <c r="X93" i="12"/>
  <c r="AL145" i="15"/>
  <c r="H21" i="7"/>
  <c r="H19" i="7" s="1"/>
  <c r="H17" i="7" s="1"/>
  <c r="P21" i="10"/>
  <c r="P19" i="10" s="1"/>
  <c r="P17" i="10" s="1"/>
  <c r="P8" i="10" s="1"/>
  <c r="P21" i="15"/>
  <c r="P19" i="15" s="1"/>
  <c r="P17" i="15" s="1"/>
  <c r="P8" i="15" s="1"/>
  <c r="AF112" i="6"/>
  <c r="AG91" i="5"/>
  <c r="AA123" i="5"/>
  <c r="AH151" i="10"/>
  <c r="AJ37" i="10"/>
  <c r="BE21" i="5"/>
  <c r="AC90" i="11"/>
  <c r="P21" i="5"/>
  <c r="P19" i="5" s="1"/>
  <c r="P17" i="5" s="1"/>
  <c r="AJ151" i="6"/>
  <c r="P28" i="8"/>
  <c r="H28" i="10"/>
  <c r="H21" i="10" s="1"/>
  <c r="H19" i="10" s="1"/>
  <c r="H17" i="10" s="1"/>
  <c r="H8" i="10" s="1"/>
  <c r="P28" i="12"/>
  <c r="K28" i="14"/>
  <c r="K21" i="14" s="1"/>
  <c r="K19" i="14" s="1"/>
  <c r="K17" i="14" s="1"/>
  <c r="K8" i="14" s="1"/>
  <c r="P28" i="16"/>
  <c r="I54" i="5"/>
  <c r="Z194" i="5"/>
  <c r="Z193" i="5" s="1"/>
  <c r="Z145" i="5"/>
  <c r="Z43" i="5"/>
  <c r="X230" i="5"/>
  <c r="X197" i="5"/>
  <c r="X182" i="5"/>
  <c r="AH182" i="5" s="1"/>
  <c r="X168" i="5"/>
  <c r="X153" i="5"/>
  <c r="AI153" i="5" s="1"/>
  <c r="X136" i="5"/>
  <c r="E44" i="7"/>
  <c r="E44" i="8" s="1"/>
  <c r="E44" i="9" s="1"/>
  <c r="E44" i="10" s="1"/>
  <c r="E44" i="11" s="1"/>
  <c r="E44" i="12" s="1"/>
  <c r="E44" i="13" s="1"/>
  <c r="E44" i="14" s="1"/>
  <c r="E42" i="6"/>
  <c r="X255" i="6"/>
  <c r="AI255" i="6" s="1"/>
  <c r="X230" i="6"/>
  <c r="X201" i="6"/>
  <c r="X197" i="6"/>
  <c r="AI197" i="6" s="1"/>
  <c r="X189" i="6"/>
  <c r="X182" i="6"/>
  <c r="X168" i="6"/>
  <c r="AH168" i="6" s="1"/>
  <c r="X164" i="6"/>
  <c r="X160" i="6"/>
  <c r="AH160" i="6" s="1"/>
  <c r="X153" i="6"/>
  <c r="U149" i="6"/>
  <c r="U147" i="6" s="1"/>
  <c r="X148" i="6"/>
  <c r="X138" i="6"/>
  <c r="X136" i="6"/>
  <c r="AH136" i="6" s="1"/>
  <c r="X130" i="6"/>
  <c r="AI130" i="6" s="1"/>
  <c r="X53" i="6"/>
  <c r="X41" i="6"/>
  <c r="AH41" i="6" s="1"/>
  <c r="X37" i="6"/>
  <c r="X31" i="6"/>
  <c r="AH31" i="6" s="1"/>
  <c r="X27" i="6"/>
  <c r="AI27" i="6" s="1"/>
  <c r="X25" i="6"/>
  <c r="AH25" i="6" s="1"/>
  <c r="X255" i="8"/>
  <c r="AH255" i="8" s="1"/>
  <c r="X53" i="8"/>
  <c r="AH53" i="8" s="1"/>
  <c r="X230" i="9"/>
  <c r="X201" i="9"/>
  <c r="AJ201" i="9" s="1"/>
  <c r="X189" i="9"/>
  <c r="AH189" i="9" s="1"/>
  <c r="X182" i="9"/>
  <c r="AH182" i="9" s="1"/>
  <c r="X178" i="9"/>
  <c r="X168" i="9"/>
  <c r="AH168" i="9" s="1"/>
  <c r="X164" i="9"/>
  <c r="AI164" i="9" s="1"/>
  <c r="X148" i="9"/>
  <c r="AH148" i="9" s="1"/>
  <c r="X138" i="9"/>
  <c r="X130" i="9"/>
  <c r="AH130" i="9" s="1"/>
  <c r="X53" i="9"/>
  <c r="AH53" i="9" s="1"/>
  <c r="X41" i="9"/>
  <c r="X37" i="9"/>
  <c r="X31" i="9"/>
  <c r="AH31" i="9" s="1"/>
  <c r="AF90" i="7"/>
  <c r="AC90" i="7"/>
  <c r="X253" i="7"/>
  <c r="X197" i="7"/>
  <c r="AI197" i="7" s="1"/>
  <c r="X191" i="7"/>
  <c r="AH191" i="7" s="1"/>
  <c r="X189" i="7"/>
  <c r="AH189" i="7" s="1"/>
  <c r="X182" i="7"/>
  <c r="AJ182" i="7" s="1"/>
  <c r="X178" i="7"/>
  <c r="X164" i="7"/>
  <c r="X162" i="7"/>
  <c r="AH162" i="7" s="1"/>
  <c r="X153" i="7"/>
  <c r="AI153" i="7" s="1"/>
  <c r="X151" i="7"/>
  <c r="AI151" i="7" s="1"/>
  <c r="X136" i="7"/>
  <c r="AH136" i="7" s="1"/>
  <c r="X130" i="7"/>
  <c r="X53" i="7"/>
  <c r="X41" i="7"/>
  <c r="AH41" i="7" s="1"/>
  <c r="X37" i="7"/>
  <c r="X25" i="7"/>
  <c r="F83" i="7"/>
  <c r="C57" i="7"/>
  <c r="C51" i="7"/>
  <c r="C29" i="7"/>
  <c r="C25" i="7"/>
  <c r="C72" i="10"/>
  <c r="X200" i="11"/>
  <c r="AH200" i="11" s="1"/>
  <c r="X181" i="11"/>
  <c r="AH181" i="11" s="1"/>
  <c r="U141" i="11"/>
  <c r="U58" i="11"/>
  <c r="U57" i="11" s="1"/>
  <c r="C78" i="11"/>
  <c r="C72" i="11"/>
  <c r="X205" i="12"/>
  <c r="C72" i="12"/>
  <c r="C32" i="12"/>
  <c r="X205" i="13"/>
  <c r="AH205" i="13" s="1"/>
  <c r="C78" i="13"/>
  <c r="X205" i="14"/>
  <c r="AI205" i="14" s="1"/>
  <c r="X181" i="14"/>
  <c r="AH181" i="14" s="1"/>
  <c r="X248" i="15"/>
  <c r="AH248" i="15" s="1"/>
  <c r="X205" i="15"/>
  <c r="AH205" i="15" s="1"/>
  <c r="X181" i="15"/>
  <c r="AH181" i="15" s="1"/>
  <c r="X255" i="16"/>
  <c r="AH255" i="16" s="1"/>
  <c r="X46" i="16"/>
  <c r="X190" i="5"/>
  <c r="E66" i="5"/>
  <c r="X174" i="5"/>
  <c r="AL234" i="11"/>
  <c r="AL232" i="11" s="1"/>
  <c r="BQ15" i="7"/>
  <c r="BK10" i="7" s="1"/>
  <c r="AH252" i="7"/>
  <c r="U90" i="9"/>
  <c r="E42" i="5"/>
  <c r="V149" i="5"/>
  <c r="V147" i="5" s="1"/>
  <c r="AH153" i="5"/>
  <c r="I48" i="5"/>
  <c r="X256" i="5"/>
  <c r="AI256" i="5" s="1"/>
  <c r="X250" i="5"/>
  <c r="X223" i="5"/>
  <c r="AH223" i="5" s="1"/>
  <c r="X191" i="5"/>
  <c r="X181" i="5"/>
  <c r="AI181" i="5" s="1"/>
  <c r="X164" i="5"/>
  <c r="AI164" i="5" s="1"/>
  <c r="X151" i="5"/>
  <c r="AH151" i="5" s="1"/>
  <c r="X130" i="5"/>
  <c r="X59" i="5"/>
  <c r="AI59" i="5" s="1"/>
  <c r="AH37" i="5"/>
  <c r="F61" i="5"/>
  <c r="X252" i="6"/>
  <c r="AJ252" i="6" s="1"/>
  <c r="X238" i="6"/>
  <c r="AI238" i="6" s="1"/>
  <c r="X205" i="6"/>
  <c r="AI205" i="6" s="1"/>
  <c r="X200" i="6"/>
  <c r="AH200" i="6" s="1"/>
  <c r="X181" i="6"/>
  <c r="AJ181" i="6" s="1"/>
  <c r="E72" i="6"/>
  <c r="X253" i="10"/>
  <c r="AH253" i="10" s="1"/>
  <c r="X201" i="10"/>
  <c r="AH201" i="10" s="1"/>
  <c r="X197" i="10"/>
  <c r="X182" i="10"/>
  <c r="X178" i="10"/>
  <c r="X168" i="10"/>
  <c r="AH168" i="10" s="1"/>
  <c r="X164" i="10"/>
  <c r="AH164" i="10" s="1"/>
  <c r="X153" i="10"/>
  <c r="X130" i="10"/>
  <c r="AH130" i="10" s="1"/>
  <c r="X230" i="11"/>
  <c r="X197" i="11"/>
  <c r="X189" i="11"/>
  <c r="AH189" i="11" s="1"/>
  <c r="X182" i="11"/>
  <c r="X178" i="11"/>
  <c r="AH178" i="11" s="1"/>
  <c r="X168" i="11"/>
  <c r="X164" i="11"/>
  <c r="AI164" i="11" s="1"/>
  <c r="X230" i="12"/>
  <c r="AH230" i="12" s="1"/>
  <c r="X182" i="13"/>
  <c r="AH182" i="13" s="1"/>
  <c r="X153" i="13"/>
  <c r="AH153" i="13" s="1"/>
  <c r="X130" i="13"/>
  <c r="AH130" i="13" s="1"/>
  <c r="X153" i="14"/>
  <c r="AH153" i="14" s="1"/>
  <c r="X138" i="14"/>
  <c r="AH138" i="14" s="1"/>
  <c r="X164" i="15"/>
  <c r="AH164" i="15" s="1"/>
  <c r="X130" i="15"/>
  <c r="AH130" i="15" s="1"/>
  <c r="I60" i="5"/>
  <c r="I10" i="6"/>
  <c r="AR16" i="6" s="1"/>
  <c r="AW16" i="6" s="1"/>
  <c r="U90" i="7"/>
  <c r="AM112" i="16"/>
  <c r="U195" i="6"/>
  <c r="U194" i="6" s="1"/>
  <c r="U193" i="6" s="1"/>
  <c r="U114" i="6"/>
  <c r="U96" i="6"/>
  <c r="U91" i="6"/>
  <c r="U96" i="8"/>
  <c r="U235" i="9"/>
  <c r="U123" i="9"/>
  <c r="Q28" i="7"/>
  <c r="Q21" i="7" s="1"/>
  <c r="Q19" i="7" s="1"/>
  <c r="Q17" i="7" s="1"/>
  <c r="Q8" i="7" s="1"/>
  <c r="P28" i="7"/>
  <c r="P21" i="7" s="1"/>
  <c r="P19" i="7" s="1"/>
  <c r="P17" i="7" s="1"/>
  <c r="P8" i="7" s="1"/>
  <c r="U49" i="7"/>
  <c r="U195" i="10"/>
  <c r="U194" i="10" s="1"/>
  <c r="U193" i="10" s="1"/>
  <c r="U91" i="10"/>
  <c r="U44" i="10"/>
  <c r="U176" i="12"/>
  <c r="U96" i="12"/>
  <c r="U91" i="12"/>
  <c r="U69" i="12"/>
  <c r="U65" i="12" s="1"/>
  <c r="U149" i="13"/>
  <c r="U147" i="13" s="1"/>
  <c r="U96" i="13"/>
  <c r="C10" i="13"/>
  <c r="U44" i="15"/>
  <c r="U176" i="16"/>
  <c r="W227" i="5"/>
  <c r="E54" i="5"/>
  <c r="V203" i="5"/>
  <c r="I32" i="5"/>
  <c r="X253" i="5"/>
  <c r="X238" i="5"/>
  <c r="AH238" i="5" s="1"/>
  <c r="X201" i="5"/>
  <c r="X188" i="5"/>
  <c r="AJ188" i="5" s="1"/>
  <c r="X159" i="5"/>
  <c r="X138" i="5"/>
  <c r="AH138" i="5" s="1"/>
  <c r="E54" i="6"/>
  <c r="X252" i="8"/>
  <c r="AH252" i="8" s="1"/>
  <c r="X248" i="8"/>
  <c r="AH248" i="8" s="1"/>
  <c r="X244" i="8"/>
  <c r="X205" i="8"/>
  <c r="AH205" i="8" s="1"/>
  <c r="X181" i="8"/>
  <c r="AH181" i="8" s="1"/>
  <c r="AH76" i="13"/>
  <c r="AI76" i="13"/>
  <c r="F36" i="20"/>
  <c r="F33" i="20" s="1"/>
  <c r="E72" i="8"/>
  <c r="AI125" i="5"/>
  <c r="AG69" i="5"/>
  <c r="AG65" i="5" s="1"/>
  <c r="U104" i="7"/>
  <c r="AJ168" i="6"/>
  <c r="BP18" i="5"/>
  <c r="AL194" i="14"/>
  <c r="AL193" i="14" s="1"/>
  <c r="E72" i="9"/>
  <c r="AI33" i="5"/>
  <c r="U235" i="7"/>
  <c r="AE106" i="6"/>
  <c r="AE105" i="6" s="1"/>
  <c r="AE104" i="6" s="1"/>
  <c r="AG105" i="5"/>
  <c r="AG104" i="5" s="1"/>
  <c r="AG94" i="6"/>
  <c r="AE91" i="6"/>
  <c r="AB161" i="6"/>
  <c r="AD157" i="5"/>
  <c r="AD155" i="5" s="1"/>
  <c r="AD117" i="6"/>
  <c r="AB114" i="6"/>
  <c r="J70" i="6"/>
  <c r="L70" i="6" s="1"/>
  <c r="J70" i="7" s="1"/>
  <c r="L70" i="7" s="1"/>
  <c r="J70" i="8" s="1"/>
  <c r="L69" i="5"/>
  <c r="AA124" i="6"/>
  <c r="Y124" i="7" s="1"/>
  <c r="AA124" i="7" s="1"/>
  <c r="Y123" i="6"/>
  <c r="Y46" i="6"/>
  <c r="AA44" i="5"/>
  <c r="G26" i="6"/>
  <c r="I26" i="6" s="1"/>
  <c r="I25" i="5"/>
  <c r="AR8" i="5" s="1"/>
  <c r="U157" i="16"/>
  <c r="U155" i="16" s="1"/>
  <c r="U123" i="16"/>
  <c r="U112" i="16" s="1"/>
  <c r="W254" i="6"/>
  <c r="W254" i="7" s="1"/>
  <c r="W254" i="8" s="1"/>
  <c r="W254" i="9" s="1"/>
  <c r="W254" i="10" s="1"/>
  <c r="W254" i="11" s="1"/>
  <c r="W254" i="12" s="1"/>
  <c r="W254" i="13" s="1"/>
  <c r="W254" i="14" s="1"/>
  <c r="W254" i="15" s="1"/>
  <c r="W254" i="16" s="1"/>
  <c r="X254" i="5"/>
  <c r="AH254" i="5" s="1"/>
  <c r="V254" i="7"/>
  <c r="V247" i="6"/>
  <c r="V247" i="7" s="1"/>
  <c r="V247" i="8" s="1"/>
  <c r="V247" i="9" s="1"/>
  <c r="V247" i="10" s="1"/>
  <c r="V247" i="11" s="1"/>
  <c r="V247" i="12" s="1"/>
  <c r="V247" i="13" s="1"/>
  <c r="V247" i="14" s="1"/>
  <c r="V247" i="15" s="1"/>
  <c r="V247" i="16" s="1"/>
  <c r="X247" i="16" s="1"/>
  <c r="X247" i="5"/>
  <c r="V241" i="6"/>
  <c r="V241" i="7" s="1"/>
  <c r="V241" i="8" s="1"/>
  <c r="V241" i="9" s="1"/>
  <c r="V241" i="10" s="1"/>
  <c r="V241" i="11" s="1"/>
  <c r="V241" i="12" s="1"/>
  <c r="V241" i="13" s="1"/>
  <c r="V241" i="14" s="1"/>
  <c r="V241" i="15" s="1"/>
  <c r="V241" i="16" s="1"/>
  <c r="X241" i="16" s="1"/>
  <c r="X241" i="5"/>
  <c r="V228" i="6"/>
  <c r="V228" i="7" s="1"/>
  <c r="V228" i="8" s="1"/>
  <c r="V228" i="9" s="1"/>
  <c r="V228" i="10" s="1"/>
  <c r="V228" i="11" s="1"/>
  <c r="V228" i="12" s="1"/>
  <c r="V228" i="13" s="1"/>
  <c r="V228" i="14" s="1"/>
  <c r="V228" i="15" s="1"/>
  <c r="V228" i="16" s="1"/>
  <c r="V227" i="5"/>
  <c r="X228" i="5"/>
  <c r="AI228" i="5" s="1"/>
  <c r="V199" i="6"/>
  <c r="V199" i="7" s="1"/>
  <c r="X199" i="5"/>
  <c r="AJ199" i="5" s="1"/>
  <c r="V186" i="6"/>
  <c r="V186" i="7" s="1"/>
  <c r="V186" i="8" s="1"/>
  <c r="V186" i="9" s="1"/>
  <c r="V186" i="10" s="1"/>
  <c r="V186" i="11" s="1"/>
  <c r="V186" i="12" s="1"/>
  <c r="V186" i="13" s="1"/>
  <c r="V186" i="14" s="1"/>
  <c r="X186" i="5"/>
  <c r="AJ186" i="5" s="1"/>
  <c r="V180" i="6"/>
  <c r="V180" i="7" s="1"/>
  <c r="V180" i="8" s="1"/>
  <c r="V180" i="9" s="1"/>
  <c r="X180" i="5"/>
  <c r="AI180" i="5" s="1"/>
  <c r="V176" i="5"/>
  <c r="V174" i="6"/>
  <c r="V172" i="5"/>
  <c r="V166" i="6"/>
  <c r="V166" i="7" s="1"/>
  <c r="V166" i="8" s="1"/>
  <c r="V166" i="9" s="1"/>
  <c r="V166" i="10" s="1"/>
  <c r="V166" i="11" s="1"/>
  <c r="V166" i="12" s="1"/>
  <c r="V166" i="13" s="1"/>
  <c r="V166" i="14" s="1"/>
  <c r="V166" i="15" s="1"/>
  <c r="V166" i="16" s="1"/>
  <c r="X166" i="16" s="1"/>
  <c r="AH166" i="16" s="1"/>
  <c r="X166" i="5"/>
  <c r="AH166" i="5" s="1"/>
  <c r="V158" i="6"/>
  <c r="V158" i="7" s="1"/>
  <c r="V158" i="8" s="1"/>
  <c r="V158" i="9" s="1"/>
  <c r="V158" i="10" s="1"/>
  <c r="V158" i="11" s="1"/>
  <c r="V158" i="12" s="1"/>
  <c r="V158" i="13" s="1"/>
  <c r="V158" i="14" s="1"/>
  <c r="V158" i="15" s="1"/>
  <c r="V158" i="16" s="1"/>
  <c r="X158" i="5"/>
  <c r="V142" i="6"/>
  <c r="V142" i="7" s="1"/>
  <c r="V142" i="8" s="1"/>
  <c r="V142" i="9" s="1"/>
  <c r="V142" i="10" s="1"/>
  <c r="V142" i="11" s="1"/>
  <c r="V142" i="12" s="1"/>
  <c r="V142" i="13" s="1"/>
  <c r="V142" i="14" s="1"/>
  <c r="V142" i="15" s="1"/>
  <c r="V142" i="16" s="1"/>
  <c r="V141" i="5"/>
  <c r="X142" i="5"/>
  <c r="AJ142" i="5" s="1"/>
  <c r="V136" i="12"/>
  <c r="V136" i="13" s="1"/>
  <c r="V136" i="14" s="1"/>
  <c r="V136" i="15" s="1"/>
  <c r="V136" i="16" s="1"/>
  <c r="X136" i="16" s="1"/>
  <c r="AH136" i="16" s="1"/>
  <c r="X136" i="11"/>
  <c r="V132" i="6"/>
  <c r="X132" i="5"/>
  <c r="AH132" i="5" s="1"/>
  <c r="V128" i="6"/>
  <c r="V128" i="7" s="1"/>
  <c r="V128" i="8" s="1"/>
  <c r="X128" i="5"/>
  <c r="AJ128" i="5" s="1"/>
  <c r="AG203" i="7"/>
  <c r="AH81" i="7"/>
  <c r="BQ27" i="8"/>
  <c r="I51" i="20" s="1"/>
  <c r="AC43" i="14"/>
  <c r="AC14" i="14" s="1"/>
  <c r="AM170" i="15"/>
  <c r="P21" i="16"/>
  <c r="P19" i="16" s="1"/>
  <c r="P17" i="16" s="1"/>
  <c r="P8" i="16" s="1"/>
  <c r="AA203" i="5"/>
  <c r="AX12" i="6"/>
  <c r="AX12" i="12"/>
  <c r="V44" i="5"/>
  <c r="X119" i="5"/>
  <c r="X80" i="5"/>
  <c r="AI80" i="5" s="1"/>
  <c r="X52" i="5"/>
  <c r="AJ31" i="5"/>
  <c r="F43" i="5"/>
  <c r="AJ148" i="6"/>
  <c r="AJ27" i="6"/>
  <c r="X162" i="8"/>
  <c r="AI162" i="8" s="1"/>
  <c r="AF14" i="7"/>
  <c r="AL194" i="6"/>
  <c r="AL193" i="6" s="1"/>
  <c r="Y194" i="5"/>
  <c r="Y193" i="5" s="1"/>
  <c r="AJ178" i="5"/>
  <c r="X115" i="5"/>
  <c r="X67" i="5"/>
  <c r="AH67" i="5" s="1"/>
  <c r="X30" i="5"/>
  <c r="AH30" i="5" s="1"/>
  <c r="F73" i="5"/>
  <c r="N73" i="5" s="1"/>
  <c r="F34" i="5"/>
  <c r="F73" i="6"/>
  <c r="AX13" i="6"/>
  <c r="AX12" i="8"/>
  <c r="V185" i="5"/>
  <c r="AJ168" i="5"/>
  <c r="X93" i="5"/>
  <c r="AI93" i="5" s="1"/>
  <c r="X26" i="5"/>
  <c r="AI26" i="5" s="1"/>
  <c r="AE203" i="6"/>
  <c r="X93" i="8"/>
  <c r="AI93" i="8" s="1"/>
  <c r="X80" i="8"/>
  <c r="AI80" i="8" s="1"/>
  <c r="X67" i="8"/>
  <c r="X22" i="8"/>
  <c r="AI22" i="8" s="1"/>
  <c r="F73" i="8"/>
  <c r="F61" i="8"/>
  <c r="X151" i="11"/>
  <c r="AH151" i="11" s="1"/>
  <c r="X241" i="12"/>
  <c r="X191" i="13"/>
  <c r="AH191" i="13" s="1"/>
  <c r="X186" i="13"/>
  <c r="AH186" i="13" s="1"/>
  <c r="X218" i="14"/>
  <c r="AH218" i="14" s="1"/>
  <c r="X191" i="14"/>
  <c r="AH191" i="14" s="1"/>
  <c r="G54" i="20"/>
  <c r="U110" i="5"/>
  <c r="BF18" i="7"/>
  <c r="BF18" i="10" s="1"/>
  <c r="BF18" i="13" s="1"/>
  <c r="BF18" i="16" s="1"/>
  <c r="AL43" i="12"/>
  <c r="U141" i="12"/>
  <c r="U141" i="13"/>
  <c r="C32" i="15"/>
  <c r="K10" i="6"/>
  <c r="K10" i="9"/>
  <c r="BE7" i="9" s="1"/>
  <c r="AM145" i="14"/>
  <c r="AH31" i="5"/>
  <c r="AF90" i="5"/>
  <c r="C25" i="10"/>
  <c r="C66" i="13"/>
  <c r="C78" i="14"/>
  <c r="C25" i="14"/>
  <c r="C60" i="15"/>
  <c r="C22" i="15"/>
  <c r="U187" i="15"/>
  <c r="U185" i="15" s="1"/>
  <c r="U105" i="15"/>
  <c r="U104" i="15" s="1"/>
  <c r="U58" i="15"/>
  <c r="U57" i="15" s="1"/>
  <c r="X252" i="11"/>
  <c r="AC43" i="5"/>
  <c r="AC14" i="5" s="1"/>
  <c r="AC12" i="5" s="1"/>
  <c r="U172" i="8"/>
  <c r="U157" i="8"/>
  <c r="U155" i="8" s="1"/>
  <c r="U44" i="8"/>
  <c r="C69" i="8"/>
  <c r="U227" i="10"/>
  <c r="U58" i="10"/>
  <c r="U57" i="10" s="1"/>
  <c r="C32" i="10"/>
  <c r="U187" i="13"/>
  <c r="U185" i="13" s="1"/>
  <c r="U105" i="13"/>
  <c r="U104" i="13" s="1"/>
  <c r="U35" i="13"/>
  <c r="C72" i="13"/>
  <c r="C60" i="13"/>
  <c r="C32" i="13"/>
  <c r="C48" i="14"/>
  <c r="C32" i="14"/>
  <c r="C29" i="15"/>
  <c r="C28" i="15" s="1"/>
  <c r="U114" i="15"/>
  <c r="AB168" i="7"/>
  <c r="AD168" i="7" s="1"/>
  <c r="AB168" i="8" s="1"/>
  <c r="AD168" i="8" s="1"/>
  <c r="AB168" i="9" s="1"/>
  <c r="AD168" i="9" s="1"/>
  <c r="AB168" i="10" s="1"/>
  <c r="AD168" i="10" s="1"/>
  <c r="AL90" i="15"/>
  <c r="AL63" i="15" s="1"/>
  <c r="BQ14" i="7"/>
  <c r="C32" i="16"/>
  <c r="AF220" i="13"/>
  <c r="BQ30" i="13" s="1"/>
  <c r="N54" i="20" s="1"/>
  <c r="AM112" i="13"/>
  <c r="AM90" i="13"/>
  <c r="Q28" i="12"/>
  <c r="Q21" i="12" s="1"/>
  <c r="Q19" i="12" s="1"/>
  <c r="Q17" i="12" s="1"/>
  <c r="Q8" i="12" s="1"/>
  <c r="Z112" i="5"/>
  <c r="Z110" i="5" s="1"/>
  <c r="X238" i="8"/>
  <c r="AI238" i="8" s="1"/>
  <c r="U123" i="8"/>
  <c r="C42" i="8"/>
  <c r="C25" i="8"/>
  <c r="U114" i="12"/>
  <c r="U44" i="12"/>
  <c r="U227" i="13"/>
  <c r="C69" i="13"/>
  <c r="C57" i="13"/>
  <c r="C29" i="13"/>
  <c r="U149" i="14"/>
  <c r="U147" i="14" s="1"/>
  <c r="C10" i="14"/>
  <c r="C63" i="15"/>
  <c r="C51" i="15"/>
  <c r="U157" i="15"/>
  <c r="U155" i="15" s="1"/>
  <c r="AM220" i="7"/>
  <c r="AF170" i="7"/>
  <c r="BQ24" i="7" s="1"/>
  <c r="C32" i="7"/>
  <c r="X67" i="16"/>
  <c r="AL170" i="5"/>
  <c r="U243" i="13"/>
  <c r="I128" i="5"/>
  <c r="AM220" i="11"/>
  <c r="AI182" i="5"/>
  <c r="AF43" i="5"/>
  <c r="AF14" i="5" s="1"/>
  <c r="AC194" i="7"/>
  <c r="AC193" i="7" s="1"/>
  <c r="C48" i="7"/>
  <c r="U234" i="16"/>
  <c r="U232" i="16" s="1"/>
  <c r="AF170" i="8"/>
  <c r="BQ24" i="8" s="1"/>
  <c r="I48" i="20" s="1"/>
  <c r="I46" i="20" s="1"/>
  <c r="AF220" i="8"/>
  <c r="BQ30" i="8" s="1"/>
  <c r="BK14" i="8" s="1"/>
  <c r="AL90" i="12"/>
  <c r="AL63" i="12" s="1"/>
  <c r="AM234" i="7"/>
  <c r="AM232" i="7" s="1"/>
  <c r="K28" i="10"/>
  <c r="P28" i="11"/>
  <c r="P21" i="11" s="1"/>
  <c r="P19" i="11" s="1"/>
  <c r="P17" i="11" s="1"/>
  <c r="P8" i="11" s="1"/>
  <c r="Z234" i="5"/>
  <c r="Z232" i="5" s="1"/>
  <c r="Z170" i="5"/>
  <c r="Z90" i="5"/>
  <c r="Z63" i="5" s="1"/>
  <c r="H28" i="5"/>
  <c r="H21" i="5" s="1"/>
  <c r="H19" i="5" s="1"/>
  <c r="H17" i="5" s="1"/>
  <c r="H8" i="5" s="1"/>
  <c r="U187" i="8"/>
  <c r="U185" i="8" s="1"/>
  <c r="C75" i="12"/>
  <c r="U49" i="13"/>
  <c r="U43" i="13" s="1"/>
  <c r="C22" i="13"/>
  <c r="U157" i="14"/>
  <c r="U155" i="14" s="1"/>
  <c r="U96" i="14"/>
  <c r="U90" i="14" s="1"/>
  <c r="U83" i="14"/>
  <c r="C75" i="14"/>
  <c r="C51" i="14"/>
  <c r="C35" i="14"/>
  <c r="C69" i="15"/>
  <c r="U172" i="15"/>
  <c r="X162" i="15"/>
  <c r="AI162" i="15" s="1"/>
  <c r="U149" i="15"/>
  <c r="U147" i="15" s="1"/>
  <c r="BP10" i="5"/>
  <c r="L63" i="5"/>
  <c r="AA49" i="5"/>
  <c r="AA43" i="5" s="1"/>
  <c r="X101" i="16"/>
  <c r="AH101" i="16" s="1"/>
  <c r="F71" i="5"/>
  <c r="M71" i="5" s="1"/>
  <c r="K10" i="8"/>
  <c r="BE7" i="8" s="1"/>
  <c r="K10" i="10"/>
  <c r="BE7" i="10" s="1"/>
  <c r="AM170" i="16"/>
  <c r="BQ16" i="5"/>
  <c r="AC234" i="5"/>
  <c r="AC232" i="5" s="1"/>
  <c r="U105" i="9"/>
  <c r="U104" i="9" s="1"/>
  <c r="Z112" i="7"/>
  <c r="Z43" i="7"/>
  <c r="Z14" i="7" s="1"/>
  <c r="U141" i="7"/>
  <c r="C75" i="7"/>
  <c r="X78" i="16"/>
  <c r="AH78" i="16" s="1"/>
  <c r="U235" i="8"/>
  <c r="U49" i="8"/>
  <c r="U211" i="14"/>
  <c r="U210" i="14" s="1"/>
  <c r="U209" i="14" s="1"/>
  <c r="U207" i="14" s="1"/>
  <c r="U176" i="15"/>
  <c r="X200" i="16"/>
  <c r="AH200" i="16" s="1"/>
  <c r="R18" i="20"/>
  <c r="R20" i="20"/>
  <c r="X200" i="13"/>
  <c r="AH200" i="13" s="1"/>
  <c r="AI153" i="14"/>
  <c r="AH41" i="15"/>
  <c r="AI205" i="8"/>
  <c r="AE255" i="9"/>
  <c r="AG255" i="9" s="1"/>
  <c r="AE255" i="10" s="1"/>
  <c r="AG255" i="10" s="1"/>
  <c r="X37" i="13"/>
  <c r="AH37" i="13" s="1"/>
  <c r="W37" i="14"/>
  <c r="N14" i="5"/>
  <c r="M14" i="5"/>
  <c r="U83" i="8"/>
  <c r="U176" i="13"/>
  <c r="U114" i="13"/>
  <c r="U195" i="14"/>
  <c r="U194" i="14" s="1"/>
  <c r="U193" i="14" s="1"/>
  <c r="U176" i="14"/>
  <c r="U114" i="14"/>
  <c r="C81" i="13"/>
  <c r="C81" i="7"/>
  <c r="C81" i="12"/>
  <c r="C81" i="9"/>
  <c r="C81" i="11"/>
  <c r="U243" i="15"/>
  <c r="AE213" i="6"/>
  <c r="AG213" i="6" s="1"/>
  <c r="AE213" i="7" s="1"/>
  <c r="AG213" i="7" s="1"/>
  <c r="AE213" i="8" s="1"/>
  <c r="AG213" i="8" s="1"/>
  <c r="AE213" i="9" s="1"/>
  <c r="AG213" i="9" s="1"/>
  <c r="AE213" i="10" s="1"/>
  <c r="AG213" i="10" s="1"/>
  <c r="AE213" i="11" s="1"/>
  <c r="AG213" i="11" s="1"/>
  <c r="AE213" i="12" s="1"/>
  <c r="AG213" i="12" s="1"/>
  <c r="AE213" i="13" s="1"/>
  <c r="AG213" i="13" s="1"/>
  <c r="AE213" i="14" s="1"/>
  <c r="AG213" i="14" s="1"/>
  <c r="AE213" i="15" s="1"/>
  <c r="AG213" i="15" s="1"/>
  <c r="AE213" i="16" s="1"/>
  <c r="AG213" i="16" s="1"/>
  <c r="AG211" i="5"/>
  <c r="AG173" i="6"/>
  <c r="AE173" i="7" s="1"/>
  <c r="AG173" i="7" s="1"/>
  <c r="AE173" i="8" s="1"/>
  <c r="AG173" i="8" s="1"/>
  <c r="AE172" i="6"/>
  <c r="AE150" i="6"/>
  <c r="AG149" i="5"/>
  <c r="AG147" i="5" s="1"/>
  <c r="AB130" i="7"/>
  <c r="AD130" i="7" s="1"/>
  <c r="AB116" i="8"/>
  <c r="AD106" i="6"/>
  <c r="AB105" i="6"/>
  <c r="AB104" i="6" s="1"/>
  <c r="AB60" i="6"/>
  <c r="AD60" i="6" s="1"/>
  <c r="AB60" i="7" s="1"/>
  <c r="AD60" i="7" s="1"/>
  <c r="AB60" i="8" s="1"/>
  <c r="AD60" i="8" s="1"/>
  <c r="AB60" i="9" s="1"/>
  <c r="AD60" i="9" s="1"/>
  <c r="AB60" i="10" s="1"/>
  <c r="AD60" i="10" s="1"/>
  <c r="AB60" i="11" s="1"/>
  <c r="AD60" i="11" s="1"/>
  <c r="AB60" i="12" s="1"/>
  <c r="AD60" i="12" s="1"/>
  <c r="AB60" i="13" s="1"/>
  <c r="AD60" i="13" s="1"/>
  <c r="AB60" i="14" s="1"/>
  <c r="AD60" i="14" s="1"/>
  <c r="AB60" i="15" s="1"/>
  <c r="AD60" i="15" s="1"/>
  <c r="AB60" i="16" s="1"/>
  <c r="AD60" i="16" s="1"/>
  <c r="AD58" i="5"/>
  <c r="AD57" i="5" s="1"/>
  <c r="AB41" i="7"/>
  <c r="AD41" i="7" s="1"/>
  <c r="AB31" i="6"/>
  <c r="AD31" i="6" s="1"/>
  <c r="AB31" i="7" s="1"/>
  <c r="AD31" i="7" s="1"/>
  <c r="AB31" i="8" s="1"/>
  <c r="AD31" i="8" s="1"/>
  <c r="AB31" i="9" s="1"/>
  <c r="AD31" i="9" s="1"/>
  <c r="AI31" i="5"/>
  <c r="J68" i="6"/>
  <c r="L68" i="6" s="1"/>
  <c r="J68" i="7" s="1"/>
  <c r="L68" i="7" s="1"/>
  <c r="J68" i="8" s="1"/>
  <c r="L68" i="8" s="1"/>
  <c r="L66" i="5"/>
  <c r="J62" i="6"/>
  <c r="L62" i="6" s="1"/>
  <c r="J62" i="7" s="1"/>
  <c r="L60" i="5"/>
  <c r="J56" i="6"/>
  <c r="J54" i="6" s="1"/>
  <c r="L54" i="5"/>
  <c r="J44" i="6"/>
  <c r="J42" i="6" s="1"/>
  <c r="AX10" i="5"/>
  <c r="J36" i="6"/>
  <c r="L35" i="5"/>
  <c r="J23" i="6"/>
  <c r="AX7" i="5"/>
  <c r="AA213" i="6"/>
  <c r="Y213" i="7" s="1"/>
  <c r="AA213" i="7" s="1"/>
  <c r="Y213" i="8" s="1"/>
  <c r="AA213" i="8" s="1"/>
  <c r="Y213" i="9" s="1"/>
  <c r="AA213" i="9" s="1"/>
  <c r="Y213" i="10" s="1"/>
  <c r="AA213" i="10" s="1"/>
  <c r="Y213" i="11" s="1"/>
  <c r="AA213" i="11" s="1"/>
  <c r="Y213" i="12" s="1"/>
  <c r="AA213" i="12" s="1"/>
  <c r="Y213" i="13" s="1"/>
  <c r="AA213" i="13" s="1"/>
  <c r="Y213" i="14" s="1"/>
  <c r="AA213" i="14" s="1"/>
  <c r="Y213" i="15" s="1"/>
  <c r="AA213" i="15" s="1"/>
  <c r="Y213" i="16" s="1"/>
  <c r="AA213" i="16" s="1"/>
  <c r="Y211" i="6"/>
  <c r="Y210" i="6" s="1"/>
  <c r="Y209" i="6" s="1"/>
  <c r="Y207" i="6" s="1"/>
  <c r="Y107" i="6"/>
  <c r="AA105" i="5"/>
  <c r="AA104" i="5" s="1"/>
  <c r="Y61" i="6"/>
  <c r="AA61" i="6" s="1"/>
  <c r="BO31" i="5"/>
  <c r="BI15" i="5" s="1"/>
  <c r="G73" i="6"/>
  <c r="I73" i="6" s="1"/>
  <c r="I72" i="5"/>
  <c r="G67" i="6"/>
  <c r="I67" i="6" s="1"/>
  <c r="G67" i="7" s="1"/>
  <c r="I67" i="7" s="1"/>
  <c r="G67" i="8" s="1"/>
  <c r="I67" i="8" s="1"/>
  <c r="G67" i="9" s="1"/>
  <c r="I67" i="9" s="1"/>
  <c r="G67" i="10" s="1"/>
  <c r="I67" i="10" s="1"/>
  <c r="G67" i="11" s="1"/>
  <c r="I66" i="5"/>
  <c r="V229" i="6"/>
  <c r="X229" i="6" s="1"/>
  <c r="X229" i="5"/>
  <c r="V116" i="6"/>
  <c r="X116" i="5"/>
  <c r="V106" i="6"/>
  <c r="X106" i="5"/>
  <c r="V99" i="6"/>
  <c r="V99" i="7" s="1"/>
  <c r="X99" i="5"/>
  <c r="AJ99" i="5" s="1"/>
  <c r="V87" i="6"/>
  <c r="V87" i="7" s="1"/>
  <c r="X87" i="5"/>
  <c r="V81" i="13"/>
  <c r="V81" i="14" s="1"/>
  <c r="X81" i="12"/>
  <c r="AI81" i="12" s="1"/>
  <c r="V77" i="6"/>
  <c r="V77" i="7" s="1"/>
  <c r="V77" i="8" s="1"/>
  <c r="X77" i="5"/>
  <c r="AH77" i="5" s="1"/>
  <c r="V73" i="6"/>
  <c r="V73" i="7" s="1"/>
  <c r="X73" i="5"/>
  <c r="AH73" i="5" s="1"/>
  <c r="V60" i="6"/>
  <c r="V58" i="6" s="1"/>
  <c r="V58" i="5"/>
  <c r="D80" i="6"/>
  <c r="F80" i="6" s="1"/>
  <c r="M80" i="6" s="1"/>
  <c r="F80" i="5"/>
  <c r="N80" i="5" s="1"/>
  <c r="D78" i="5"/>
  <c r="D74" i="6"/>
  <c r="F74" i="5"/>
  <c r="M74" i="5" s="1"/>
  <c r="D68" i="7"/>
  <c r="D66" i="6"/>
  <c r="D62" i="7"/>
  <c r="D60" i="6"/>
  <c r="F62" i="6"/>
  <c r="D56" i="6"/>
  <c r="D56" i="7" s="1"/>
  <c r="F56" i="5"/>
  <c r="D50" i="6"/>
  <c r="D50" i="7" s="1"/>
  <c r="F50" i="5"/>
  <c r="D44" i="6"/>
  <c r="D44" i="7" s="1"/>
  <c r="D44" i="8" s="1"/>
  <c r="D44" i="9" s="1"/>
  <c r="D44" i="10" s="1"/>
  <c r="D44" i="11" s="1"/>
  <c r="D44" i="12" s="1"/>
  <c r="D44" i="13" s="1"/>
  <c r="D44" i="14" s="1"/>
  <c r="D44" i="15" s="1"/>
  <c r="D44" i="16" s="1"/>
  <c r="F44" i="5"/>
  <c r="D36" i="6"/>
  <c r="F36" i="6" s="1"/>
  <c r="F36" i="5"/>
  <c r="N36" i="5" s="1"/>
  <c r="D35" i="5"/>
  <c r="D30" i="6"/>
  <c r="F30" i="5"/>
  <c r="M30" i="5" s="1"/>
  <c r="D29" i="5"/>
  <c r="D23" i="6"/>
  <c r="D23" i="7" s="1"/>
  <c r="F23" i="5"/>
  <c r="D22" i="5"/>
  <c r="D12" i="6"/>
  <c r="F12" i="5"/>
  <c r="AH153" i="11"/>
  <c r="AI205" i="15"/>
  <c r="AH200" i="14"/>
  <c r="AF207" i="15"/>
  <c r="AI151" i="8"/>
  <c r="C81" i="14"/>
  <c r="U243" i="12"/>
  <c r="C60" i="8"/>
  <c r="U91" i="8"/>
  <c r="AJ196" i="5"/>
  <c r="AD35" i="5"/>
  <c r="AH151" i="7"/>
  <c r="AH181" i="13"/>
  <c r="Y227" i="6"/>
  <c r="AJ250" i="5"/>
  <c r="L29" i="5"/>
  <c r="F83" i="6"/>
  <c r="C69" i="6"/>
  <c r="F65" i="6"/>
  <c r="C32" i="6"/>
  <c r="G48" i="20"/>
  <c r="G46" i="20" s="1"/>
  <c r="BQ22" i="6"/>
  <c r="BK11" i="6" s="1"/>
  <c r="U14" i="5"/>
  <c r="AJ246" i="5"/>
  <c r="AI23" i="5"/>
  <c r="M73" i="5"/>
  <c r="U123" i="12"/>
  <c r="U20" i="12"/>
  <c r="U16" i="12" s="1"/>
  <c r="U20" i="13"/>
  <c r="U16" i="13" s="1"/>
  <c r="U235" i="14"/>
  <c r="U69" i="14"/>
  <c r="U65" i="14" s="1"/>
  <c r="U91" i="15"/>
  <c r="AE223" i="6"/>
  <c r="AE222" i="6" s="1"/>
  <c r="AG222" i="5"/>
  <c r="AE181" i="7"/>
  <c r="AG181" i="7" s="1"/>
  <c r="AE181" i="8" s="1"/>
  <c r="AG181" i="8" s="1"/>
  <c r="AE181" i="9" s="1"/>
  <c r="AG181" i="9" s="1"/>
  <c r="AE181" i="10" s="1"/>
  <c r="AG181" i="10" s="1"/>
  <c r="AE159" i="6"/>
  <c r="AG157" i="5"/>
  <c r="AG155" i="5" s="1"/>
  <c r="AE143" i="6"/>
  <c r="AG143" i="6" s="1"/>
  <c r="AE143" i="7" s="1"/>
  <c r="AG143" i="7" s="1"/>
  <c r="AE143" i="8" s="1"/>
  <c r="AG143" i="8" s="1"/>
  <c r="AG141" i="5"/>
  <c r="AD92" i="6"/>
  <c r="AB91" i="6"/>
  <c r="AB85" i="6"/>
  <c r="AD83" i="5"/>
  <c r="AD51" i="6"/>
  <c r="AB49" i="6"/>
  <c r="AD46" i="6"/>
  <c r="AB44" i="6"/>
  <c r="J83" i="6"/>
  <c r="L81" i="5"/>
  <c r="L71" i="6"/>
  <c r="J71" i="7" s="1"/>
  <c r="J59" i="6"/>
  <c r="L59" i="6" s="1"/>
  <c r="J59" i="7" s="1"/>
  <c r="L59" i="7" s="1"/>
  <c r="J59" i="8" s="1"/>
  <c r="L59" i="8" s="1"/>
  <c r="J59" i="9" s="1"/>
  <c r="L59" i="9" s="1"/>
  <c r="J59" i="10" s="1"/>
  <c r="L59" i="10" s="1"/>
  <c r="J59" i="11" s="1"/>
  <c r="L59" i="11" s="1"/>
  <c r="J59" i="12" s="1"/>
  <c r="L59" i="12" s="1"/>
  <c r="J59" i="13" s="1"/>
  <c r="L59" i="13" s="1"/>
  <c r="J59" i="14" s="1"/>
  <c r="L59" i="14" s="1"/>
  <c r="J59" i="15" s="1"/>
  <c r="L59" i="15" s="1"/>
  <c r="J59" i="16" s="1"/>
  <c r="L59" i="16" s="1"/>
  <c r="L57" i="5"/>
  <c r="J47" i="6"/>
  <c r="L47" i="6" s="1"/>
  <c r="L45" i="5"/>
  <c r="J26" i="6"/>
  <c r="L26" i="6" s="1"/>
  <c r="AX8" i="5"/>
  <c r="Y223" i="6"/>
  <c r="AA222" i="5"/>
  <c r="Y188" i="6"/>
  <c r="AA188" i="6" s="1"/>
  <c r="Y188" i="7" s="1"/>
  <c r="AA187" i="5"/>
  <c r="AA185" i="5" s="1"/>
  <c r="Y177" i="6"/>
  <c r="BO23" i="5"/>
  <c r="Y167" i="6"/>
  <c r="BO19" i="5"/>
  <c r="AA157" i="5"/>
  <c r="AA155" i="5" s="1"/>
  <c r="BO17" i="5" s="1"/>
  <c r="Y115" i="6"/>
  <c r="AA114" i="5"/>
  <c r="Y98" i="6"/>
  <c r="AA96" i="5"/>
  <c r="Y93" i="6"/>
  <c r="AA91" i="5"/>
  <c r="Y67" i="6"/>
  <c r="AA67" i="6" s="1"/>
  <c r="BO11" i="5"/>
  <c r="AA59" i="6"/>
  <c r="Y58" i="6"/>
  <c r="Y52" i="6"/>
  <c r="AH52" i="5"/>
  <c r="Y17" i="6"/>
  <c r="AA17" i="6" s="1"/>
  <c r="BO10" i="5"/>
  <c r="G58" i="6"/>
  <c r="I57" i="5"/>
  <c r="V118" i="6"/>
  <c r="X118" i="5"/>
  <c r="AH118" i="5" s="1"/>
  <c r="V108" i="6"/>
  <c r="V108" i="7" s="1"/>
  <c r="V108" i="8" s="1"/>
  <c r="V108" i="9" s="1"/>
  <c r="V108" i="10" s="1"/>
  <c r="V108" i="11" s="1"/>
  <c r="V108" i="12" s="1"/>
  <c r="V108" i="13" s="1"/>
  <c r="V108" i="14" s="1"/>
  <c r="V108" i="15" s="1"/>
  <c r="V108" i="16" s="1"/>
  <c r="X108" i="5"/>
  <c r="AI108" i="5" s="1"/>
  <c r="V97" i="6"/>
  <c r="V96" i="5"/>
  <c r="X97" i="5"/>
  <c r="V92" i="6"/>
  <c r="V92" i="7" s="1"/>
  <c r="V92" i="8" s="1"/>
  <c r="V92" i="9" s="1"/>
  <c r="V91" i="5"/>
  <c r="V85" i="6"/>
  <c r="X85" i="5"/>
  <c r="AI85" i="5" s="1"/>
  <c r="V79" i="6"/>
  <c r="V79" i="7" s="1"/>
  <c r="V79" i="8" s="1"/>
  <c r="V79" i="9" s="1"/>
  <c r="X79" i="5"/>
  <c r="AI79" i="5" s="1"/>
  <c r="V75" i="6"/>
  <c r="V75" i="7" s="1"/>
  <c r="V75" i="8" s="1"/>
  <c r="X75" i="5"/>
  <c r="AI75" i="5" s="1"/>
  <c r="V71" i="6"/>
  <c r="X71" i="5"/>
  <c r="V55" i="6"/>
  <c r="V55" i="7" s="1"/>
  <c r="V55" i="8" s="1"/>
  <c r="X55" i="5"/>
  <c r="AJ55" i="5" s="1"/>
  <c r="V21" i="6"/>
  <c r="V20" i="5"/>
  <c r="V16" i="5" s="1"/>
  <c r="D83" i="8"/>
  <c r="D83" i="9" s="1"/>
  <c r="D83" i="10" s="1"/>
  <c r="D83" i="11" s="1"/>
  <c r="D83" i="12" s="1"/>
  <c r="D83" i="13" s="1"/>
  <c r="D83" i="14" s="1"/>
  <c r="D83" i="15" s="1"/>
  <c r="D83" i="16" s="1"/>
  <c r="D81" i="7"/>
  <c r="D77" i="6"/>
  <c r="D77" i="7" s="1"/>
  <c r="D75" i="5"/>
  <c r="F77" i="5"/>
  <c r="M77" i="5" s="1"/>
  <c r="D71" i="6"/>
  <c r="D71" i="7" s="1"/>
  <c r="D69" i="7" s="1"/>
  <c r="D69" i="5"/>
  <c r="D59" i="6"/>
  <c r="D59" i="7" s="1"/>
  <c r="D57" i="5"/>
  <c r="D53" i="6"/>
  <c r="D53" i="7" s="1"/>
  <c r="F53" i="7" s="1"/>
  <c r="M53" i="7" s="1"/>
  <c r="F53" i="5"/>
  <c r="M53" i="5" s="1"/>
  <c r="D51" i="5"/>
  <c r="D47" i="6"/>
  <c r="D47" i="7" s="1"/>
  <c r="D45" i="5"/>
  <c r="F47" i="5"/>
  <c r="M47" i="5" s="1"/>
  <c r="D41" i="6"/>
  <c r="F41" i="5"/>
  <c r="N41" i="5" s="1"/>
  <c r="D33" i="6"/>
  <c r="D33" i="7" s="1"/>
  <c r="F33" i="5"/>
  <c r="D26" i="6"/>
  <c r="D26" i="7" s="1"/>
  <c r="F26" i="5"/>
  <c r="M26" i="5" s="1"/>
  <c r="G40" i="6"/>
  <c r="I40" i="6" s="1"/>
  <c r="G40" i="7" s="1"/>
  <c r="I40" i="7" s="1"/>
  <c r="G40" i="8" s="1"/>
  <c r="I40" i="8" s="1"/>
  <c r="G40" i="9" s="1"/>
  <c r="I40" i="9" s="1"/>
  <c r="G40" i="10" s="1"/>
  <c r="I40" i="10" s="1"/>
  <c r="G40" i="11" s="1"/>
  <c r="I40" i="11" s="1"/>
  <c r="G40" i="12" s="1"/>
  <c r="I40" i="12" s="1"/>
  <c r="G40" i="13" s="1"/>
  <c r="I40" i="13" s="1"/>
  <c r="G40" i="14" s="1"/>
  <c r="I40" i="14" s="1"/>
  <c r="G40" i="15" s="1"/>
  <c r="I40" i="15" s="1"/>
  <c r="G40" i="16" s="1"/>
  <c r="I40" i="16" s="1"/>
  <c r="AW9" i="5"/>
  <c r="BD13" i="5"/>
  <c r="F83" i="9"/>
  <c r="AH246" i="5"/>
  <c r="AI238" i="10"/>
  <c r="E30" i="11"/>
  <c r="E30" i="12" s="1"/>
  <c r="AI81" i="11"/>
  <c r="AJ248" i="7"/>
  <c r="L13" i="6"/>
  <c r="J13" i="7" s="1"/>
  <c r="L13" i="7" s="1"/>
  <c r="J13" i="8" s="1"/>
  <c r="L13" i="8" s="1"/>
  <c r="J13" i="9" s="1"/>
  <c r="L13" i="9" s="1"/>
  <c r="J13" i="10" s="1"/>
  <c r="L13" i="10" s="1"/>
  <c r="J13" i="11" s="1"/>
  <c r="L13" i="11" s="1"/>
  <c r="J13" i="12" s="1"/>
  <c r="L13" i="12" s="1"/>
  <c r="J13" i="13" s="1"/>
  <c r="L13" i="13" s="1"/>
  <c r="G61" i="6"/>
  <c r="U20" i="8"/>
  <c r="U16" i="8" s="1"/>
  <c r="U63" i="5"/>
  <c r="X81" i="5"/>
  <c r="AD91" i="5"/>
  <c r="AA176" i="5"/>
  <c r="X23" i="10"/>
  <c r="C72" i="8"/>
  <c r="AF170" i="5"/>
  <c r="BQ24" i="5" s="1"/>
  <c r="AF112" i="5"/>
  <c r="AF110" i="5" s="1"/>
  <c r="BQ17" i="5"/>
  <c r="F41" i="20" s="1"/>
  <c r="AF63" i="5"/>
  <c r="AA58" i="5"/>
  <c r="AA57" i="5" s="1"/>
  <c r="C81" i="6"/>
  <c r="AH255" i="5"/>
  <c r="AJ255" i="5"/>
  <c r="AJ223" i="5"/>
  <c r="AH186" i="5"/>
  <c r="AF207" i="7"/>
  <c r="BQ27" i="7"/>
  <c r="H51" i="20" s="1"/>
  <c r="Z63" i="7"/>
  <c r="U172" i="7"/>
  <c r="U170" i="7" s="1"/>
  <c r="AI25" i="7"/>
  <c r="AH25" i="7"/>
  <c r="AH181" i="16"/>
  <c r="H21" i="14"/>
  <c r="H19" i="14" s="1"/>
  <c r="H17" i="14" s="1"/>
  <c r="AI244" i="8"/>
  <c r="AF234" i="13"/>
  <c r="AF232" i="13" s="1"/>
  <c r="BQ29" i="13" s="1"/>
  <c r="BK13" i="13" s="1"/>
  <c r="AH244" i="5"/>
  <c r="AF112" i="7"/>
  <c r="AF110" i="7" s="1"/>
  <c r="AC63" i="7"/>
  <c r="U83" i="7"/>
  <c r="U104" i="12"/>
  <c r="Z90" i="10"/>
  <c r="Z63" i="10" s="1"/>
  <c r="Z90" i="14"/>
  <c r="Z63" i="14" s="1"/>
  <c r="Z194" i="15"/>
  <c r="Z193" i="15" s="1"/>
  <c r="AM112" i="8"/>
  <c r="AR21" i="8"/>
  <c r="AS21" i="8"/>
  <c r="AL194" i="12"/>
  <c r="AL193" i="12" s="1"/>
  <c r="AM145" i="9"/>
  <c r="AM170" i="11"/>
  <c r="AH205" i="12"/>
  <c r="AH252" i="10"/>
  <c r="AH248" i="16"/>
  <c r="AF194" i="9"/>
  <c r="BQ28" i="9" s="1"/>
  <c r="J52" i="20" s="1"/>
  <c r="J49" i="20" s="1"/>
  <c r="AF194" i="14"/>
  <c r="AF193" i="14" s="1"/>
  <c r="AC112" i="14"/>
  <c r="AF112" i="10"/>
  <c r="AC145" i="10"/>
  <c r="AS6" i="14"/>
  <c r="AR21" i="14"/>
  <c r="AT6" i="14"/>
  <c r="AR21" i="5"/>
  <c r="AS21" i="5"/>
  <c r="AI168" i="9"/>
  <c r="X81" i="9"/>
  <c r="AH81" i="9" s="1"/>
  <c r="X23" i="9"/>
  <c r="AH23" i="9" s="1"/>
  <c r="X81" i="10"/>
  <c r="AI81" i="10" s="1"/>
  <c r="U49" i="10"/>
  <c r="X53" i="10"/>
  <c r="AH53" i="10" s="1"/>
  <c r="U176" i="11"/>
  <c r="U20" i="11"/>
  <c r="U16" i="11" s="1"/>
  <c r="AC194" i="15"/>
  <c r="AC193" i="15" s="1"/>
  <c r="AC220" i="13"/>
  <c r="AC220" i="15"/>
  <c r="AC234" i="15"/>
  <c r="AC232" i="15" s="1"/>
  <c r="AC234" i="16"/>
  <c r="AC232" i="16" s="1"/>
  <c r="AC234" i="12"/>
  <c r="AC232" i="12" s="1"/>
  <c r="AF234" i="9"/>
  <c r="AF232" i="9" s="1"/>
  <c r="BQ29" i="9" s="1"/>
  <c r="BK13" i="9" s="1"/>
  <c r="AM112" i="5"/>
  <c r="AM234" i="10"/>
  <c r="AM232" i="10" s="1"/>
  <c r="AL90" i="11"/>
  <c r="AL63" i="11" s="1"/>
  <c r="AL220" i="10"/>
  <c r="AL145" i="10"/>
  <c r="AL194" i="8"/>
  <c r="AL193" i="8" s="1"/>
  <c r="AL145" i="5"/>
  <c r="AM90" i="15"/>
  <c r="P28" i="14"/>
  <c r="K28" i="15"/>
  <c r="K21" i="15" s="1"/>
  <c r="K19" i="15" s="1"/>
  <c r="K17" i="15" s="1"/>
  <c r="K8" i="15" s="1"/>
  <c r="AH25" i="5"/>
  <c r="AC145" i="5"/>
  <c r="AC110" i="5" s="1"/>
  <c r="AH158" i="5"/>
  <c r="AI25" i="5"/>
  <c r="C63" i="6"/>
  <c r="X101" i="8"/>
  <c r="AI101" i="8" s="1"/>
  <c r="X101" i="11"/>
  <c r="AH101" i="11" s="1"/>
  <c r="U91" i="11"/>
  <c r="U90" i="11" s="1"/>
  <c r="U83" i="11"/>
  <c r="X151" i="16"/>
  <c r="AH151" i="16" s="1"/>
  <c r="AM194" i="11"/>
  <c r="AM193" i="11" s="1"/>
  <c r="AM90" i="7"/>
  <c r="AM63" i="7" s="1"/>
  <c r="AM170" i="10"/>
  <c r="AM234" i="13"/>
  <c r="AM232" i="13" s="1"/>
  <c r="BQ12" i="16"/>
  <c r="C28" i="5"/>
  <c r="C21" i="5" s="1"/>
  <c r="C19" i="5" s="1"/>
  <c r="C17" i="5" s="1"/>
  <c r="C8" i="5" s="1"/>
  <c r="M61" i="5"/>
  <c r="Z90" i="6"/>
  <c r="Z63" i="6" s="1"/>
  <c r="U172" i="6"/>
  <c r="X101" i="6"/>
  <c r="X75" i="6"/>
  <c r="AH75" i="6" s="1"/>
  <c r="E49" i="7"/>
  <c r="E48" i="6"/>
  <c r="X216" i="16"/>
  <c r="AH216" i="16" s="1"/>
  <c r="X178" i="16"/>
  <c r="AI178" i="16" s="1"/>
  <c r="X218" i="6"/>
  <c r="AJ218" i="6" s="1"/>
  <c r="X199" i="6"/>
  <c r="X191" i="6"/>
  <c r="X125" i="6"/>
  <c r="X115" i="6"/>
  <c r="X98" i="6"/>
  <c r="X93" i="6"/>
  <c r="X67" i="6"/>
  <c r="AI67" i="6" s="1"/>
  <c r="X52" i="6"/>
  <c r="AI52" i="6" s="1"/>
  <c r="X30" i="6"/>
  <c r="X18" i="6"/>
  <c r="F68" i="6"/>
  <c r="X197" i="8"/>
  <c r="X189" i="8"/>
  <c r="AH189" i="8" s="1"/>
  <c r="X182" i="8"/>
  <c r="X178" i="8"/>
  <c r="X168" i="8"/>
  <c r="AJ168" i="8" s="1"/>
  <c r="X164" i="8"/>
  <c r="AH164" i="8" s="1"/>
  <c r="X148" i="8"/>
  <c r="AH148" i="8" s="1"/>
  <c r="X138" i="8"/>
  <c r="X81" i="8"/>
  <c r="X218" i="9"/>
  <c r="AH218" i="9" s="1"/>
  <c r="X191" i="9"/>
  <c r="U172" i="9"/>
  <c r="X162" i="9"/>
  <c r="AH162" i="9" s="1"/>
  <c r="C75" i="9"/>
  <c r="X218" i="10"/>
  <c r="AH218" i="10" s="1"/>
  <c r="X162" i="10"/>
  <c r="AI162" i="10" s="1"/>
  <c r="X101" i="10"/>
  <c r="AH101" i="10" s="1"/>
  <c r="X253" i="12"/>
  <c r="AH253" i="12" s="1"/>
  <c r="X189" i="12"/>
  <c r="AH189" i="12" s="1"/>
  <c r="X168" i="12"/>
  <c r="U58" i="12"/>
  <c r="U57" i="12" s="1"/>
  <c r="U105" i="14"/>
  <c r="U104" i="14" s="1"/>
  <c r="AW7" i="5"/>
  <c r="U105" i="16"/>
  <c r="U104" i="16" s="1"/>
  <c r="C63" i="16"/>
  <c r="V235" i="5"/>
  <c r="F124" i="5"/>
  <c r="N124" i="5" s="1"/>
  <c r="X80" i="13"/>
  <c r="AI80" i="13" s="1"/>
  <c r="X67" i="13"/>
  <c r="BN11" i="13" s="1"/>
  <c r="X52" i="13"/>
  <c r="X151" i="13"/>
  <c r="AH151" i="13" s="1"/>
  <c r="X151" i="14"/>
  <c r="AI151" i="14" s="1"/>
  <c r="X151" i="15"/>
  <c r="AI151" i="15" s="1"/>
  <c r="K21" i="12"/>
  <c r="K19" i="12" s="1"/>
  <c r="K17" i="12" s="1"/>
  <c r="K8" i="12" s="1"/>
  <c r="R19" i="20"/>
  <c r="X178" i="15"/>
  <c r="AH178" i="15" s="1"/>
  <c r="AH200" i="7"/>
  <c r="V198" i="9"/>
  <c r="V198" i="10" s="1"/>
  <c r="U35" i="14"/>
  <c r="AE126" i="6"/>
  <c r="AG126" i="6" s="1"/>
  <c r="AE126" i="7" s="1"/>
  <c r="AG126" i="7" s="1"/>
  <c r="AE126" i="8" s="1"/>
  <c r="AG126" i="8" s="1"/>
  <c r="AE126" i="9" s="1"/>
  <c r="AG126" i="9" s="1"/>
  <c r="AE126" i="10" s="1"/>
  <c r="AG126" i="10" s="1"/>
  <c r="AE126" i="11" s="1"/>
  <c r="AG126" i="11" s="1"/>
  <c r="AE126" i="12" s="1"/>
  <c r="AG126" i="12" s="1"/>
  <c r="AE126" i="13" s="1"/>
  <c r="AG126" i="13" s="1"/>
  <c r="AE126" i="14" s="1"/>
  <c r="AG126" i="14" s="1"/>
  <c r="AE126" i="15" s="1"/>
  <c r="AG126" i="15" s="1"/>
  <c r="AE126" i="16" s="1"/>
  <c r="AG126" i="16" s="1"/>
  <c r="AG123" i="5"/>
  <c r="AE41" i="6"/>
  <c r="AG41" i="6" s="1"/>
  <c r="AJ41" i="5"/>
  <c r="AE38" i="6"/>
  <c r="AG35" i="5"/>
  <c r="AB247" i="8"/>
  <c r="AD247" i="8" s="1"/>
  <c r="AB247" i="9" s="1"/>
  <c r="AD247" i="9" s="1"/>
  <c r="AB247" i="10" s="1"/>
  <c r="AD247" i="10" s="1"/>
  <c r="AB247" i="11" s="1"/>
  <c r="AD247" i="11" s="1"/>
  <c r="AB247" i="12" s="1"/>
  <c r="AD247" i="12" s="1"/>
  <c r="AB247" i="13" s="1"/>
  <c r="AD247" i="13" s="1"/>
  <c r="AB247" i="14" s="1"/>
  <c r="AD247" i="14" s="1"/>
  <c r="AB247" i="15" s="1"/>
  <c r="AD247" i="15" s="1"/>
  <c r="AB247" i="16" s="1"/>
  <c r="AD247" i="16" s="1"/>
  <c r="AI247" i="16" s="1"/>
  <c r="AB241" i="7"/>
  <c r="AD241" i="7" s="1"/>
  <c r="AB241" i="8" s="1"/>
  <c r="AD241" i="8" s="1"/>
  <c r="AB241" i="9" s="1"/>
  <c r="AD241" i="9" s="1"/>
  <c r="AB199" i="6"/>
  <c r="AD195" i="5"/>
  <c r="AB186" i="6"/>
  <c r="AD186" i="6" s="1"/>
  <c r="AI186" i="5"/>
  <c r="AB174" i="6"/>
  <c r="AD172" i="5"/>
  <c r="BP31" i="5"/>
  <c r="BJ15" i="5" s="1"/>
  <c r="G70" i="6"/>
  <c r="I70" i="6" s="1"/>
  <c r="I69" i="5"/>
  <c r="BD17" i="5"/>
  <c r="W217" i="11"/>
  <c r="X217" i="10"/>
  <c r="AH217" i="10" s="1"/>
  <c r="W117" i="6"/>
  <c r="X117" i="5"/>
  <c r="W107" i="6"/>
  <c r="X107" i="5"/>
  <c r="AJ107" i="5" s="1"/>
  <c r="W105" i="5"/>
  <c r="W104" i="5" s="1"/>
  <c r="W100" i="6"/>
  <c r="W100" i="7" s="1"/>
  <c r="W100" i="8" s="1"/>
  <c r="W100" i="9" s="1"/>
  <c r="W100" i="10" s="1"/>
  <c r="W100" i="11" s="1"/>
  <c r="W100" i="12" s="1"/>
  <c r="W100" i="13" s="1"/>
  <c r="W100" i="14" s="1"/>
  <c r="W100" i="15" s="1"/>
  <c r="W100" i="16" s="1"/>
  <c r="W96" i="5"/>
  <c r="W70" i="6"/>
  <c r="W69" i="6" s="1"/>
  <c r="W69" i="5"/>
  <c r="W50" i="6"/>
  <c r="X50" i="5"/>
  <c r="W19" i="6"/>
  <c r="W19" i="7" s="1"/>
  <c r="X19" i="5"/>
  <c r="AH19" i="5" s="1"/>
  <c r="V121" i="6"/>
  <c r="V121" i="7" s="1"/>
  <c r="X121" i="5"/>
  <c r="BF20" i="7"/>
  <c r="BF20" i="10" s="1"/>
  <c r="BF20" i="13" s="1"/>
  <c r="BF20" i="16" s="1"/>
  <c r="F24" i="20"/>
  <c r="R24" i="20" s="1"/>
  <c r="D37" i="9"/>
  <c r="D37" i="10" s="1"/>
  <c r="AH188" i="6"/>
  <c r="AI188" i="6"/>
  <c r="AJ253" i="5"/>
  <c r="AH253" i="5"/>
  <c r="X216" i="5"/>
  <c r="AJ216" i="5" s="1"/>
  <c r="AJ27" i="5"/>
  <c r="AH27" i="5"/>
  <c r="AI27" i="5"/>
  <c r="AI22" i="5"/>
  <c r="AH22" i="5"/>
  <c r="D31" i="9"/>
  <c r="AB255" i="9"/>
  <c r="AD255" i="9" s="1"/>
  <c r="AB255" i="10" s="1"/>
  <c r="AD255" i="10" s="1"/>
  <c r="AI255" i="8"/>
  <c r="AB228" i="6"/>
  <c r="AD228" i="6" s="1"/>
  <c r="AB228" i="7" s="1"/>
  <c r="AD227" i="5"/>
  <c r="AB218" i="8"/>
  <c r="AD218" i="8" s="1"/>
  <c r="AB218" i="9" s="1"/>
  <c r="AD218" i="9" s="1"/>
  <c r="AB218" i="10" s="1"/>
  <c r="AD218" i="10" s="1"/>
  <c r="AI218" i="7"/>
  <c r="AB191" i="6"/>
  <c r="AD191" i="6" s="1"/>
  <c r="AI191" i="5"/>
  <c r="AD180" i="6"/>
  <c r="AD176" i="6" s="1"/>
  <c r="AB176" i="6"/>
  <c r="Y196" i="6"/>
  <c r="AA196" i="6" s="1"/>
  <c r="BO26" i="5"/>
  <c r="AA195" i="5"/>
  <c r="AA194" i="5" s="1"/>
  <c r="AH196" i="5"/>
  <c r="I74" i="6"/>
  <c r="G64" i="6"/>
  <c r="I64" i="6" s="1"/>
  <c r="BD14" i="5"/>
  <c r="W236" i="6"/>
  <c r="W236" i="7" s="1"/>
  <c r="W236" i="8" s="1"/>
  <c r="W236" i="9" s="1"/>
  <c r="W236" i="10" s="1"/>
  <c r="W236" i="11" s="1"/>
  <c r="W236" i="12" s="1"/>
  <c r="W236" i="13" s="1"/>
  <c r="W236" i="14" s="1"/>
  <c r="W236" i="15" s="1"/>
  <c r="W236" i="16" s="1"/>
  <c r="X236" i="16" s="1"/>
  <c r="X236" i="5"/>
  <c r="W225" i="6"/>
  <c r="W222" i="5"/>
  <c r="W220" i="5" s="1"/>
  <c r="W202" i="6"/>
  <c r="W202" i="7" s="1"/>
  <c r="X202" i="5"/>
  <c r="W198" i="6"/>
  <c r="X198" i="6" s="1"/>
  <c r="X198" i="5"/>
  <c r="AH198" i="5" s="1"/>
  <c r="W183" i="6"/>
  <c r="X183" i="5"/>
  <c r="W173" i="6"/>
  <c r="W172" i="5"/>
  <c r="X173" i="5"/>
  <c r="X172" i="5" s="1"/>
  <c r="W161" i="6"/>
  <c r="X161" i="5"/>
  <c r="W150" i="6"/>
  <c r="X150" i="5"/>
  <c r="AJ150" i="5" s="1"/>
  <c r="W139" i="6"/>
  <c r="X139" i="5"/>
  <c r="W135" i="6"/>
  <c r="W135" i="7" s="1"/>
  <c r="X135" i="5"/>
  <c r="W131" i="6"/>
  <c r="X131" i="5"/>
  <c r="AI131" i="5" s="1"/>
  <c r="W127" i="6"/>
  <c r="W127" i="7" s="1"/>
  <c r="W127" i="8" s="1"/>
  <c r="W127" i="9" s="1"/>
  <c r="W127" i="10" s="1"/>
  <c r="W127" i="11" s="1"/>
  <c r="W127" i="12" s="1"/>
  <c r="X127" i="5"/>
  <c r="W123" i="5"/>
  <c r="W112" i="5" s="1"/>
  <c r="W88" i="6"/>
  <c r="X88" i="5"/>
  <c r="AH88" i="5" s="1"/>
  <c r="W38" i="6"/>
  <c r="X38" i="5"/>
  <c r="AJ38" i="5" s="1"/>
  <c r="W35" i="5"/>
  <c r="W32" i="6"/>
  <c r="X32" i="5"/>
  <c r="AI32" i="5" s="1"/>
  <c r="W28" i="6"/>
  <c r="X28" i="5"/>
  <c r="AH28" i="5" s="1"/>
  <c r="W24" i="6"/>
  <c r="X24" i="5"/>
  <c r="AI24" i="5" s="1"/>
  <c r="W20" i="5"/>
  <c r="W16" i="5" s="1"/>
  <c r="E82" i="6"/>
  <c r="F82" i="6" s="1"/>
  <c r="E81" i="5"/>
  <c r="F82" i="5"/>
  <c r="E76" i="6"/>
  <c r="E75" i="5"/>
  <c r="E70" i="6"/>
  <c r="F70" i="6" s="1"/>
  <c r="F70" i="5"/>
  <c r="N70" i="5" s="1"/>
  <c r="E69" i="5"/>
  <c r="E64" i="6"/>
  <c r="F64" i="5"/>
  <c r="BC14" i="5" s="1"/>
  <c r="E63" i="5"/>
  <c r="E58" i="6"/>
  <c r="F58" i="5"/>
  <c r="E57" i="5"/>
  <c r="E52" i="6"/>
  <c r="F52" i="5"/>
  <c r="N52" i="5" s="1"/>
  <c r="E51" i="5"/>
  <c r="E46" i="6"/>
  <c r="F46" i="5"/>
  <c r="E45" i="5"/>
  <c r="E37" i="6"/>
  <c r="F37" i="5"/>
  <c r="F35" i="5" s="1"/>
  <c r="E35" i="5"/>
  <c r="E31" i="6"/>
  <c r="F31" i="5"/>
  <c r="N31" i="5" s="1"/>
  <c r="E29" i="5"/>
  <c r="E24" i="6"/>
  <c r="E22" i="6" s="1"/>
  <c r="E22" i="5"/>
  <c r="E13" i="6"/>
  <c r="E10" i="5"/>
  <c r="V254" i="8"/>
  <c r="V251" i="6"/>
  <c r="X251" i="5"/>
  <c r="AH251" i="5" s="1"/>
  <c r="V243" i="5"/>
  <c r="V224" i="6"/>
  <c r="X224" i="6" s="1"/>
  <c r="AI224" i="6" s="1"/>
  <c r="X224" i="5"/>
  <c r="AJ224" i="5" s="1"/>
  <c r="V222" i="5"/>
  <c r="V220" i="5" s="1"/>
  <c r="V212" i="6"/>
  <c r="V212" i="7" s="1"/>
  <c r="V212" i="8" s="1"/>
  <c r="V212" i="9" s="1"/>
  <c r="V212" i="10" s="1"/>
  <c r="V211" i="5"/>
  <c r="V210" i="5" s="1"/>
  <c r="V209" i="5" s="1"/>
  <c r="V207" i="5" s="1"/>
  <c r="X126" i="5"/>
  <c r="V126" i="6"/>
  <c r="V126" i="7" s="1"/>
  <c r="V126" i="8" s="1"/>
  <c r="V126" i="9" s="1"/>
  <c r="V126" i="10" s="1"/>
  <c r="V126" i="11" s="1"/>
  <c r="V126" i="12" s="1"/>
  <c r="V126" i="13" s="1"/>
  <c r="V126" i="14" s="1"/>
  <c r="V126" i="15" s="1"/>
  <c r="V126" i="16" s="1"/>
  <c r="V123" i="5"/>
  <c r="E128" i="5"/>
  <c r="W149" i="5"/>
  <c r="W147" i="5" s="1"/>
  <c r="AI205" i="5"/>
  <c r="AH205" i="5"/>
  <c r="AJ205" i="5"/>
  <c r="AH130" i="11"/>
  <c r="X217" i="9"/>
  <c r="BF17" i="7"/>
  <c r="BF17" i="10" s="1"/>
  <c r="BF17" i="13" s="1"/>
  <c r="BF17" i="16" s="1"/>
  <c r="I27" i="6"/>
  <c r="G27" i="7" s="1"/>
  <c r="AH27" i="6"/>
  <c r="W83" i="5"/>
  <c r="W195" i="5"/>
  <c r="AD176" i="5"/>
  <c r="X216" i="12"/>
  <c r="AH216" i="12" s="1"/>
  <c r="AB71" i="7"/>
  <c r="AD71" i="7" s="1"/>
  <c r="AF145" i="14"/>
  <c r="U243" i="10"/>
  <c r="U234" i="10" s="1"/>
  <c r="U232" i="10" s="1"/>
  <c r="X216" i="10"/>
  <c r="AH41" i="10"/>
  <c r="U35" i="10"/>
  <c r="U20" i="10"/>
  <c r="U16" i="10" s="1"/>
  <c r="C78" i="10"/>
  <c r="U157" i="11"/>
  <c r="U155" i="11" s="1"/>
  <c r="U69" i="11"/>
  <c r="U65" i="11" s="1"/>
  <c r="U49" i="11"/>
  <c r="D79" i="11"/>
  <c r="AH205" i="9"/>
  <c r="AI205" i="9"/>
  <c r="G55" i="20"/>
  <c r="BK15" i="6"/>
  <c r="BE3" i="6"/>
  <c r="BK3" i="6" s="1"/>
  <c r="BQ3" i="6" s="1"/>
  <c r="BN5" i="6" s="1"/>
  <c r="AW4" i="6"/>
  <c r="BH5" i="6"/>
  <c r="AR21" i="15"/>
  <c r="AS6" i="15"/>
  <c r="AS21" i="11"/>
  <c r="AT6" i="11"/>
  <c r="AS6" i="11"/>
  <c r="AT21" i="11"/>
  <c r="AR21" i="11"/>
  <c r="AS21" i="6"/>
  <c r="AS6" i="6"/>
  <c r="AC110" i="7"/>
  <c r="F65" i="8"/>
  <c r="E65" i="9"/>
  <c r="E65" i="10" s="1"/>
  <c r="F65" i="10" s="1"/>
  <c r="AH160" i="5"/>
  <c r="AI160" i="5"/>
  <c r="AM234" i="5"/>
  <c r="AM232" i="5" s="1"/>
  <c r="P21" i="14"/>
  <c r="P19" i="14" s="1"/>
  <c r="P17" i="14" s="1"/>
  <c r="P8" i="14" s="1"/>
  <c r="G34" i="20"/>
  <c r="R34" i="20" s="1"/>
  <c r="BQ12" i="6"/>
  <c r="AH159" i="5"/>
  <c r="AI159" i="5"/>
  <c r="AJ124" i="5"/>
  <c r="AH124" i="5"/>
  <c r="AH164" i="5"/>
  <c r="AJ164" i="5"/>
  <c r="AJ168" i="7"/>
  <c r="AH168" i="7"/>
  <c r="X160" i="8"/>
  <c r="V160" i="9"/>
  <c r="X160" i="9" s="1"/>
  <c r="AJ160" i="9" s="1"/>
  <c r="F55" i="20"/>
  <c r="BK15" i="5"/>
  <c r="B12" i="6"/>
  <c r="K128" i="6" s="1"/>
  <c r="D128" i="5"/>
  <c r="J128" i="5"/>
  <c r="H128" i="5"/>
  <c r="AI188" i="5"/>
  <c r="U243" i="9"/>
  <c r="U157" i="9"/>
  <c r="U155" i="9" s="1"/>
  <c r="U145" i="9" s="1"/>
  <c r="U69" i="9"/>
  <c r="U65" i="9" s="1"/>
  <c r="BF19" i="10"/>
  <c r="BF19" i="13" s="1"/>
  <c r="BF19" i="16" s="1"/>
  <c r="Z145" i="15"/>
  <c r="AM63" i="12"/>
  <c r="K21" i="10"/>
  <c r="K19" i="10" s="1"/>
  <c r="K17" i="10" s="1"/>
  <c r="K8" i="10" s="1"/>
  <c r="P21" i="12"/>
  <c r="P19" i="12" s="1"/>
  <c r="P17" i="12" s="1"/>
  <c r="P8" i="12" s="1"/>
  <c r="K21" i="5"/>
  <c r="K19" i="5" s="1"/>
  <c r="K17" i="5" s="1"/>
  <c r="AJ228" i="5"/>
  <c r="AI46" i="5"/>
  <c r="AJ46" i="5"/>
  <c r="X178" i="6"/>
  <c r="U176" i="6"/>
  <c r="X23" i="6"/>
  <c r="U20" i="6"/>
  <c r="U16" i="6" s="1"/>
  <c r="AJ151" i="5"/>
  <c r="AH136" i="5"/>
  <c r="AI136" i="5"/>
  <c r="AH79" i="5"/>
  <c r="M43" i="5"/>
  <c r="N43" i="5"/>
  <c r="BC16" i="5"/>
  <c r="X251" i="6"/>
  <c r="C35" i="6"/>
  <c r="C1" i="6"/>
  <c r="AH41" i="12"/>
  <c r="AE98" i="6"/>
  <c r="AG96" i="5"/>
  <c r="AG90" i="5" s="1"/>
  <c r="AE52" i="6"/>
  <c r="AG49" i="5"/>
  <c r="Y180" i="8"/>
  <c r="Y87" i="16"/>
  <c r="AA87" i="16" s="1"/>
  <c r="Y38" i="6"/>
  <c r="AA35" i="5"/>
  <c r="G83" i="6"/>
  <c r="I83" i="6" s="1"/>
  <c r="G83" i="7" s="1"/>
  <c r="I81" i="5"/>
  <c r="I56" i="6"/>
  <c r="G54" i="6"/>
  <c r="G46" i="6"/>
  <c r="I45" i="5"/>
  <c r="I37" i="6"/>
  <c r="G35" i="6"/>
  <c r="G31" i="6"/>
  <c r="I29" i="5"/>
  <c r="W239" i="6"/>
  <c r="X239" i="5"/>
  <c r="AJ239" i="5" s="1"/>
  <c r="V196" i="6"/>
  <c r="V195" i="5"/>
  <c r="V194" i="5" s="1"/>
  <c r="V193" i="5" s="1"/>
  <c r="V188" i="7"/>
  <c r="V187" i="6"/>
  <c r="V177" i="6"/>
  <c r="X177" i="6" s="1"/>
  <c r="X177" i="5"/>
  <c r="AJ177" i="5" s="1"/>
  <c r="V167" i="6"/>
  <c r="V167" i="7" s="1"/>
  <c r="V167" i="8" s="1"/>
  <c r="V167" i="9" s="1"/>
  <c r="V167" i="10" s="1"/>
  <c r="V167" i="11" s="1"/>
  <c r="V167" i="12" s="1"/>
  <c r="V167" i="13" s="1"/>
  <c r="V167" i="14" s="1"/>
  <c r="V167" i="15" s="1"/>
  <c r="V167" i="16" s="1"/>
  <c r="X167" i="5"/>
  <c r="AJ167" i="5" s="1"/>
  <c r="V159" i="6"/>
  <c r="V157" i="5"/>
  <c r="V155" i="5" s="1"/>
  <c r="V145" i="5" s="1"/>
  <c r="V152" i="6"/>
  <c r="X152" i="5"/>
  <c r="V143" i="6"/>
  <c r="X143" i="5"/>
  <c r="AJ143" i="5" s="1"/>
  <c r="V137" i="6"/>
  <c r="X137" i="5"/>
  <c r="AJ137" i="5" s="1"/>
  <c r="V133" i="6"/>
  <c r="X133" i="5"/>
  <c r="AH133" i="5" s="1"/>
  <c r="V120" i="6"/>
  <c r="X120" i="5"/>
  <c r="AH120" i="5" s="1"/>
  <c r="V117" i="6"/>
  <c r="V114" i="5"/>
  <c r="V107" i="9"/>
  <c r="V100" i="6"/>
  <c r="X100" i="5"/>
  <c r="AJ100" i="5" s="1"/>
  <c r="V95" i="6"/>
  <c r="X95" i="5"/>
  <c r="V84" i="6"/>
  <c r="X84" i="6" s="1"/>
  <c r="X84" i="5"/>
  <c r="AJ84" i="5" s="1"/>
  <c r="V83" i="5"/>
  <c r="V74" i="6"/>
  <c r="V74" i="7" s="1"/>
  <c r="X74" i="7" s="1"/>
  <c r="X74" i="5"/>
  <c r="V70" i="6"/>
  <c r="V70" i="7" s="1"/>
  <c r="V70" i="8" s="1"/>
  <c r="V70" i="9" s="1"/>
  <c r="V70" i="10" s="1"/>
  <c r="V70" i="11" s="1"/>
  <c r="X70" i="5"/>
  <c r="AH70" i="5" s="1"/>
  <c r="V61" i="6"/>
  <c r="X61" i="5"/>
  <c r="AH61" i="5" s="1"/>
  <c r="V51" i="6"/>
  <c r="X51" i="6" s="1"/>
  <c r="X51" i="5"/>
  <c r="V39" i="6"/>
  <c r="X39" i="6" s="1"/>
  <c r="AI39" i="6" s="1"/>
  <c r="X39" i="5"/>
  <c r="D55" i="6"/>
  <c r="F55" i="5"/>
  <c r="D49" i="6"/>
  <c r="F49" i="6" s="1"/>
  <c r="D48" i="5"/>
  <c r="F49" i="5"/>
  <c r="D27" i="6"/>
  <c r="F27" i="5"/>
  <c r="AJ248" i="8"/>
  <c r="P21" i="8"/>
  <c r="P19" i="8" s="1"/>
  <c r="P17" i="8" s="1"/>
  <c r="P8" i="8" s="1"/>
  <c r="AL43" i="13"/>
  <c r="AL14" i="13" s="1"/>
  <c r="L78" i="5"/>
  <c r="AM194" i="9"/>
  <c r="AM193" i="9" s="1"/>
  <c r="AM170" i="8"/>
  <c r="AJ119" i="5"/>
  <c r="AF207" i="5"/>
  <c r="BQ27" i="5"/>
  <c r="F51" i="20" s="1"/>
  <c r="AI247" i="5"/>
  <c r="N59" i="5"/>
  <c r="M59" i="5"/>
  <c r="U69" i="7"/>
  <c r="U65" i="7" s="1"/>
  <c r="AF234" i="15"/>
  <c r="AF232" i="15" s="1"/>
  <c r="BQ29" i="15" s="1"/>
  <c r="P53" i="20" s="1"/>
  <c r="AC90" i="15"/>
  <c r="BQ17" i="16"/>
  <c r="Q41" i="20" s="1"/>
  <c r="BQ17" i="14"/>
  <c r="O41" i="20" s="1"/>
  <c r="AC170" i="14"/>
  <c r="AC234" i="13"/>
  <c r="AC232" i="13" s="1"/>
  <c r="AC234" i="9"/>
  <c r="AC232" i="9" s="1"/>
  <c r="Z43" i="14"/>
  <c r="Z14" i="14" s="1"/>
  <c r="Z145" i="12"/>
  <c r="Z145" i="16"/>
  <c r="Z220" i="10"/>
  <c r="AM90" i="8"/>
  <c r="AM145" i="15"/>
  <c r="AM170" i="9"/>
  <c r="AM194" i="5"/>
  <c r="AM193" i="5" s="1"/>
  <c r="AL194" i="15"/>
  <c r="AL193" i="15" s="1"/>
  <c r="AL194" i="13"/>
  <c r="AL193" i="13" s="1"/>
  <c r="AL145" i="13"/>
  <c r="AL90" i="10"/>
  <c r="AL63" i="10" s="1"/>
  <c r="AL234" i="5"/>
  <c r="AL232" i="5" s="1"/>
  <c r="AL194" i="5"/>
  <c r="AL193" i="5" s="1"/>
  <c r="AL43" i="5"/>
  <c r="AL14" i="5" s="1"/>
  <c r="AE234" i="5"/>
  <c r="AE232" i="5" s="1"/>
  <c r="AM194" i="16"/>
  <c r="AM193" i="16" s="1"/>
  <c r="AM170" i="6"/>
  <c r="AF90" i="15"/>
  <c r="AF63" i="15" s="1"/>
  <c r="AF43" i="13"/>
  <c r="AF14" i="13" s="1"/>
  <c r="AJ182" i="5"/>
  <c r="AJ80" i="5"/>
  <c r="AI218" i="5"/>
  <c r="AJ241" i="5"/>
  <c r="AJ52" i="5"/>
  <c r="X46" i="6"/>
  <c r="X33" i="6"/>
  <c r="X29" i="6"/>
  <c r="AH29" i="6" s="1"/>
  <c r="F61" i="6"/>
  <c r="F43" i="6"/>
  <c r="F34" i="6"/>
  <c r="I82" i="6"/>
  <c r="G82" i="7" s="1"/>
  <c r="I82" i="7" s="1"/>
  <c r="G82" i="8" s="1"/>
  <c r="I82" i="8" s="1"/>
  <c r="G82" i="9" s="1"/>
  <c r="I82" i="9" s="1"/>
  <c r="G82" i="10" s="1"/>
  <c r="I82" i="10" s="1"/>
  <c r="G82" i="11" s="1"/>
  <c r="I82" i="11" s="1"/>
  <c r="G82" i="12" s="1"/>
  <c r="I82" i="12" s="1"/>
  <c r="G82" i="13" s="1"/>
  <c r="I82" i="13" s="1"/>
  <c r="G82" i="14" s="1"/>
  <c r="I82" i="14" s="1"/>
  <c r="G82" i="15" s="1"/>
  <c r="I82" i="15" s="1"/>
  <c r="G82" i="16" s="1"/>
  <c r="I82" i="16" s="1"/>
  <c r="X115" i="16"/>
  <c r="W98" i="7"/>
  <c r="W98" i="8" s="1"/>
  <c r="W98" i="9" s="1"/>
  <c r="W98" i="10" s="1"/>
  <c r="W98" i="11" s="1"/>
  <c r="W98" i="12" s="1"/>
  <c r="W98" i="13" s="1"/>
  <c r="W98" i="14" s="1"/>
  <c r="W98" i="15" s="1"/>
  <c r="W40" i="6"/>
  <c r="W40" i="7" s="1"/>
  <c r="W40" i="8" s="1"/>
  <c r="W40" i="9" s="1"/>
  <c r="W40" i="10" s="1"/>
  <c r="W40" i="11" s="1"/>
  <c r="W40" i="12" s="1"/>
  <c r="W40" i="13" s="1"/>
  <c r="W40" i="14" s="1"/>
  <c r="W40" i="15" s="1"/>
  <c r="W40" i="16" s="1"/>
  <c r="X40" i="16" s="1"/>
  <c r="AI40" i="16" s="1"/>
  <c r="X40" i="5"/>
  <c r="W36" i="6"/>
  <c r="X36" i="6" s="1"/>
  <c r="X36" i="5"/>
  <c r="AI36" i="5" s="1"/>
  <c r="W17" i="6"/>
  <c r="W17" i="7" s="1"/>
  <c r="W17" i="8" s="1"/>
  <c r="W17" i="9" s="1"/>
  <c r="W17" i="10" s="1"/>
  <c r="W17" i="11" s="1"/>
  <c r="W17" i="12" s="1"/>
  <c r="W17" i="13" s="1"/>
  <c r="W17" i="14" s="1"/>
  <c r="W17" i="15" s="1"/>
  <c r="X17" i="5"/>
  <c r="E79" i="6"/>
  <c r="E78" i="5"/>
  <c r="E67" i="6"/>
  <c r="F67" i="5"/>
  <c r="E43" i="8"/>
  <c r="E34" i="7"/>
  <c r="E32" i="6"/>
  <c r="AF170" i="11"/>
  <c r="BQ24" i="11" s="1"/>
  <c r="BQ22" i="11" s="1"/>
  <c r="BK11" i="11" s="1"/>
  <c r="Z90" i="12"/>
  <c r="Z63" i="12" s="1"/>
  <c r="Z90" i="15"/>
  <c r="Z112" i="14"/>
  <c r="Z112" i="13"/>
  <c r="Z145" i="9"/>
  <c r="Z145" i="13"/>
  <c r="Z234" i="15"/>
  <c r="Z232" i="15" s="1"/>
  <c r="AM63" i="16"/>
  <c r="AM112" i="7"/>
  <c r="AM170" i="12"/>
  <c r="AM234" i="14"/>
  <c r="AM232" i="14" s="1"/>
  <c r="AL112" i="16"/>
  <c r="AL194" i="7"/>
  <c r="AL193" i="7" s="1"/>
  <c r="AM234" i="6"/>
  <c r="AM232" i="6" s="1"/>
  <c r="AE194" i="5"/>
  <c r="AE193" i="5" s="1"/>
  <c r="V57" i="5"/>
  <c r="AJ93" i="5"/>
  <c r="AH191" i="9"/>
  <c r="X25" i="9"/>
  <c r="X29" i="7"/>
  <c r="X25" i="10"/>
  <c r="X25" i="12"/>
  <c r="F61" i="13"/>
  <c r="F61" i="15"/>
  <c r="V102" i="6"/>
  <c r="V102" i="7" s="1"/>
  <c r="V102" i="8" s="1"/>
  <c r="V102" i="9" s="1"/>
  <c r="V102" i="10" s="1"/>
  <c r="V102" i="11" s="1"/>
  <c r="V102" i="12" s="1"/>
  <c r="V102" i="13" s="1"/>
  <c r="V102" i="14" s="1"/>
  <c r="V102" i="15" s="1"/>
  <c r="V102" i="16" s="1"/>
  <c r="X102" i="5"/>
  <c r="AI102" i="5" s="1"/>
  <c r="V72" i="6"/>
  <c r="V72" i="7" s="1"/>
  <c r="V72" i="8" s="1"/>
  <c r="V72" i="9" s="1"/>
  <c r="V72" i="10" s="1"/>
  <c r="V72" i="11" s="1"/>
  <c r="V72" i="12" s="1"/>
  <c r="V72" i="13" s="1"/>
  <c r="V72" i="14" s="1"/>
  <c r="V72" i="15" s="1"/>
  <c r="V72" i="16" s="1"/>
  <c r="X72" i="5"/>
  <c r="D76" i="6"/>
  <c r="D76" i="7" s="1"/>
  <c r="F76" i="5"/>
  <c r="N76" i="5" s="1"/>
  <c r="D70" i="8"/>
  <c r="D64" i="9"/>
  <c r="D64" i="10" s="1"/>
  <c r="D63" i="8"/>
  <c r="X216" i="8"/>
  <c r="X41" i="8"/>
  <c r="X37" i="8"/>
  <c r="X27" i="8"/>
  <c r="AI27" i="8" s="1"/>
  <c r="X23" i="8"/>
  <c r="AJ23" i="8" s="1"/>
  <c r="X205" i="7"/>
  <c r="X115" i="7"/>
  <c r="AI115" i="7" s="1"/>
  <c r="X26" i="7"/>
  <c r="AI26" i="7" s="1"/>
  <c r="X22" i="7"/>
  <c r="F73" i="7"/>
  <c r="F61" i="7"/>
  <c r="X181" i="10"/>
  <c r="X67" i="10"/>
  <c r="X26" i="10"/>
  <c r="X22" i="10"/>
  <c r="AH22" i="10" s="1"/>
  <c r="X80" i="11"/>
  <c r="AI80" i="11" s="1"/>
  <c r="X67" i="11"/>
  <c r="F61" i="11"/>
  <c r="X218" i="13"/>
  <c r="AH218" i="13" s="1"/>
  <c r="X25" i="13"/>
  <c r="AI25" i="13" s="1"/>
  <c r="C81" i="15"/>
  <c r="C81" i="10"/>
  <c r="X53" i="15"/>
  <c r="X164" i="16"/>
  <c r="AH191" i="5"/>
  <c r="AJ153" i="5"/>
  <c r="X216" i="6"/>
  <c r="X218" i="8"/>
  <c r="AJ218" i="8" s="1"/>
  <c r="X46" i="8"/>
  <c r="X25" i="8"/>
  <c r="X80" i="9"/>
  <c r="AI80" i="9" s="1"/>
  <c r="X76" i="9"/>
  <c r="AJ76" i="9" s="1"/>
  <c r="X67" i="9"/>
  <c r="X59" i="9"/>
  <c r="X52" i="9"/>
  <c r="AI52" i="9" s="1"/>
  <c r="X26" i="9"/>
  <c r="X22" i="9"/>
  <c r="AH22" i="9" s="1"/>
  <c r="F61" i="9"/>
  <c r="C57" i="10"/>
  <c r="X216" i="11"/>
  <c r="X27" i="7"/>
  <c r="X23" i="7"/>
  <c r="AJ23" i="7" s="1"/>
  <c r="C63" i="10"/>
  <c r="X241" i="11"/>
  <c r="X218" i="11"/>
  <c r="AH218" i="11" s="1"/>
  <c r="X53" i="11"/>
  <c r="AH53" i="11" s="1"/>
  <c r="X41" i="11"/>
  <c r="X37" i="11"/>
  <c r="X27" i="11"/>
  <c r="AI27" i="11" s="1"/>
  <c r="X30" i="12"/>
  <c r="AJ30" i="12" s="1"/>
  <c r="F61" i="12"/>
  <c r="X201" i="13"/>
  <c r="AH201" i="13" s="1"/>
  <c r="X197" i="13"/>
  <c r="X189" i="13"/>
  <c r="AH189" i="13" s="1"/>
  <c r="X168" i="13"/>
  <c r="X148" i="13"/>
  <c r="AH148" i="13" s="1"/>
  <c r="X189" i="14"/>
  <c r="AH189" i="14" s="1"/>
  <c r="X182" i="14"/>
  <c r="X168" i="14"/>
  <c r="X130" i="14"/>
  <c r="X53" i="14"/>
  <c r="AH53" i="14" s="1"/>
  <c r="X41" i="14"/>
  <c r="X25" i="15"/>
  <c r="AI25" i="15" s="1"/>
  <c r="C104" i="7"/>
  <c r="C94" i="8"/>
  <c r="C104" i="8"/>
  <c r="C113" i="8"/>
  <c r="C94" i="9"/>
  <c r="C104" i="9"/>
  <c r="C85" i="10"/>
  <c r="X248" i="14"/>
  <c r="AH248" i="14" s="1"/>
  <c r="X178" i="12"/>
  <c r="AH178" i="12" s="1"/>
  <c r="X178" i="13"/>
  <c r="AH178" i="13" s="1"/>
  <c r="X178" i="14"/>
  <c r="X164" i="13"/>
  <c r="AI164" i="13" s="1"/>
  <c r="X164" i="14"/>
  <c r="AH164" i="14" s="1"/>
  <c r="AL145" i="11"/>
  <c r="X164" i="12"/>
  <c r="AH164" i="12" s="1"/>
  <c r="AF194" i="13"/>
  <c r="AF193" i="13" s="1"/>
  <c r="AF145" i="13"/>
  <c r="AC145" i="13"/>
  <c r="R43" i="20"/>
  <c r="AH178" i="16"/>
  <c r="Z234" i="12"/>
  <c r="Z232" i="12" s="1"/>
  <c r="AC145" i="12"/>
  <c r="BO18" i="12"/>
  <c r="AC43" i="12"/>
  <c r="AC14" i="12" s="1"/>
  <c r="Z194" i="11"/>
  <c r="Z193" i="11" s="1"/>
  <c r="Z145" i="11"/>
  <c r="BQ17" i="11"/>
  <c r="L41" i="20" s="1"/>
  <c r="AC145" i="11"/>
  <c r="AC112" i="11"/>
  <c r="Z112" i="11"/>
  <c r="AF90" i="11"/>
  <c r="AF63" i="11" s="1"/>
  <c r="AC63" i="11"/>
  <c r="AI27" i="16"/>
  <c r="AI18" i="13"/>
  <c r="BQ12" i="11"/>
  <c r="L36" i="20" s="1"/>
  <c r="L33" i="20" s="1"/>
  <c r="X115" i="9"/>
  <c r="AI115" i="9" s="1"/>
  <c r="X115" i="8"/>
  <c r="AI115" i="8" s="1"/>
  <c r="X115" i="15"/>
  <c r="AI115" i="15" s="1"/>
  <c r="X115" i="11"/>
  <c r="AI115" i="11" s="1"/>
  <c r="AH255" i="6"/>
  <c r="Z112" i="15"/>
  <c r="Z194" i="14"/>
  <c r="Z193" i="14" s="1"/>
  <c r="AM220" i="5"/>
  <c r="AM220" i="12"/>
  <c r="AM220" i="16"/>
  <c r="AL145" i="14"/>
  <c r="AL43" i="14"/>
  <c r="AL14" i="14" s="1"/>
  <c r="AL170" i="13"/>
  <c r="AE220" i="5"/>
  <c r="AE112" i="5"/>
  <c r="AE90" i="5"/>
  <c r="AE63" i="5" s="1"/>
  <c r="AB220" i="5"/>
  <c r="U170" i="5"/>
  <c r="W31" i="15"/>
  <c r="W31" i="16" s="1"/>
  <c r="X31" i="16" s="1"/>
  <c r="X31" i="14"/>
  <c r="G40" i="20"/>
  <c r="G39" i="20" s="1"/>
  <c r="AC63" i="6"/>
  <c r="AC12" i="6" s="1"/>
  <c r="Z14" i="5"/>
  <c r="BK15" i="12"/>
  <c r="BK15" i="16"/>
  <c r="AL220" i="8"/>
  <c r="X31" i="8"/>
  <c r="AI31" i="8" s="1"/>
  <c r="C57" i="8"/>
  <c r="C51" i="8"/>
  <c r="C48" i="8"/>
  <c r="X93" i="9"/>
  <c r="AI93" i="9" s="1"/>
  <c r="X78" i="9"/>
  <c r="AC234" i="7"/>
  <c r="AC232" i="7" s="1"/>
  <c r="AC220" i="7"/>
  <c r="Z234" i="7"/>
  <c r="Z232" i="7" s="1"/>
  <c r="Z145" i="7"/>
  <c r="X138" i="10"/>
  <c r="AH138" i="10" s="1"/>
  <c r="X138" i="11"/>
  <c r="AH138" i="11" s="1"/>
  <c r="X138" i="12"/>
  <c r="AH138" i="12" s="1"/>
  <c r="X31" i="12"/>
  <c r="C69" i="12"/>
  <c r="X78" i="13"/>
  <c r="AH78" i="13" s="1"/>
  <c r="X78" i="15"/>
  <c r="AH78" i="15" s="1"/>
  <c r="L32" i="5"/>
  <c r="U58" i="16"/>
  <c r="U57" i="16" s="1"/>
  <c r="F40" i="5"/>
  <c r="N40" i="5" s="1"/>
  <c r="X31" i="7"/>
  <c r="X93" i="10"/>
  <c r="AI93" i="10" s="1"/>
  <c r="F73" i="10"/>
  <c r="X31" i="11"/>
  <c r="AH31" i="11" s="1"/>
  <c r="X31" i="13"/>
  <c r="F92" i="5"/>
  <c r="M92" i="5" s="1"/>
  <c r="F123" i="5"/>
  <c r="N123" i="5" s="1"/>
  <c r="BQ14" i="10"/>
  <c r="AF193" i="15"/>
  <c r="BQ28" i="15"/>
  <c r="P52" i="20" s="1"/>
  <c r="P49" i="20" s="1"/>
  <c r="N15" i="6"/>
  <c r="M80" i="5"/>
  <c r="BE10" i="6"/>
  <c r="BE9" i="6" s="1"/>
  <c r="BE8" i="6" s="1"/>
  <c r="AC43" i="15"/>
  <c r="AC14" i="15" s="1"/>
  <c r="Z220" i="15"/>
  <c r="Z234" i="11"/>
  <c r="Z232" i="11" s="1"/>
  <c r="AM90" i="5"/>
  <c r="AM63" i="5" s="1"/>
  <c r="AL220" i="16"/>
  <c r="AL170" i="16"/>
  <c r="AL220" i="9"/>
  <c r="AE170" i="5"/>
  <c r="Y170" i="5"/>
  <c r="L61" i="6"/>
  <c r="AC110" i="6"/>
  <c r="AC170" i="10"/>
  <c r="Z234" i="16"/>
  <c r="Z232" i="16" s="1"/>
  <c r="AC234" i="14"/>
  <c r="AC232" i="14" s="1"/>
  <c r="AL170" i="6"/>
  <c r="AS6" i="5"/>
  <c r="AG117" i="6"/>
  <c r="AE114" i="6"/>
  <c r="AD37" i="6"/>
  <c r="AB35" i="6"/>
  <c r="Y228" i="7"/>
  <c r="AA227" i="6"/>
  <c r="V234" i="5"/>
  <c r="V232" i="5" s="1"/>
  <c r="AC220" i="5"/>
  <c r="AC170" i="5"/>
  <c r="AM43" i="16"/>
  <c r="AM14" i="16" s="1"/>
  <c r="AM63" i="15"/>
  <c r="AM234" i="9"/>
  <c r="AM232" i="9" s="1"/>
  <c r="Q28" i="14"/>
  <c r="Q21" i="14" s="1"/>
  <c r="Q19" i="14" s="1"/>
  <c r="Q17" i="14" s="1"/>
  <c r="Q8" i="14" s="1"/>
  <c r="AF194" i="6"/>
  <c r="AF43" i="6"/>
  <c r="AF14" i="6" s="1"/>
  <c r="AC234" i="6"/>
  <c r="AC232" i="6" s="1"/>
  <c r="C35" i="7"/>
  <c r="U105" i="10"/>
  <c r="U104" i="10" s="1"/>
  <c r="U172" i="12"/>
  <c r="C75" i="13"/>
  <c r="C48" i="15"/>
  <c r="C42" i="15"/>
  <c r="C25" i="15"/>
  <c r="U222" i="16"/>
  <c r="U172" i="16"/>
  <c r="U44" i="16"/>
  <c r="C81" i="16"/>
  <c r="C75" i="16"/>
  <c r="C69" i="16"/>
  <c r="C57" i="16"/>
  <c r="C51" i="16"/>
  <c r="C45" i="16"/>
  <c r="C35" i="16"/>
  <c r="C94" i="7"/>
  <c r="C85" i="8"/>
  <c r="C85" i="9"/>
  <c r="C94" i="10"/>
  <c r="C104" i="10"/>
  <c r="F99" i="5"/>
  <c r="M99" i="5" s="1"/>
  <c r="F96" i="5"/>
  <c r="M96" i="5" s="1"/>
  <c r="C113" i="10"/>
  <c r="Z194" i="10"/>
  <c r="Z193" i="10" s="1"/>
  <c r="AF90" i="10"/>
  <c r="AF63" i="10" s="1"/>
  <c r="AF90" i="9"/>
  <c r="AF63" i="9" s="1"/>
  <c r="AE181" i="11"/>
  <c r="AG181" i="11" s="1"/>
  <c r="AE181" i="12" s="1"/>
  <c r="AG181" i="12" s="1"/>
  <c r="AE224" i="9"/>
  <c r="AG224" i="9" s="1"/>
  <c r="AE224" i="10" s="1"/>
  <c r="AG224" i="10" s="1"/>
  <c r="I42" i="7"/>
  <c r="AR10" i="7" s="1"/>
  <c r="AE196" i="8"/>
  <c r="AG196" i="8" s="1"/>
  <c r="AE196" i="9" s="1"/>
  <c r="AG196" i="9" s="1"/>
  <c r="AE196" i="10" s="1"/>
  <c r="AG196" i="10" s="1"/>
  <c r="W143" i="10"/>
  <c r="BF15" i="7"/>
  <c r="BF15" i="10" s="1"/>
  <c r="BF15" i="13" s="1"/>
  <c r="BF15" i="16" s="1"/>
  <c r="BQ27" i="16"/>
  <c r="Q51" i="20" s="1"/>
  <c r="M15" i="6"/>
  <c r="AH200" i="9"/>
  <c r="AI200" i="9"/>
  <c r="AH200" i="8"/>
  <c r="AI200" i="8"/>
  <c r="AB251" i="14"/>
  <c r="AD251" i="14" s="1"/>
  <c r="E47" i="10"/>
  <c r="G44" i="8"/>
  <c r="I44" i="8" s="1"/>
  <c r="AI205" i="16"/>
  <c r="F14" i="8"/>
  <c r="M14" i="8" s="1"/>
  <c r="E14" i="9"/>
  <c r="E14" i="10" s="1"/>
  <c r="F14" i="10" s="1"/>
  <c r="AH246" i="6"/>
  <c r="AJ246" i="6"/>
  <c r="AJ205" i="6"/>
  <c r="AH205" i="6"/>
  <c r="AH130" i="8"/>
  <c r="L24" i="7"/>
  <c r="J24" i="8" s="1"/>
  <c r="V24" i="8"/>
  <c r="W58" i="7"/>
  <c r="W57" i="7" s="1"/>
  <c r="I48" i="6"/>
  <c r="AJ53" i="6"/>
  <c r="AH53" i="6"/>
  <c r="AF220" i="11"/>
  <c r="BQ30" i="11" s="1"/>
  <c r="BK14" i="11" s="1"/>
  <c r="AW4" i="5"/>
  <c r="AJ3" i="5"/>
  <c r="AS6" i="10"/>
  <c r="AS21" i="10"/>
  <c r="AT21" i="10"/>
  <c r="E83" i="10"/>
  <c r="E83" i="11" s="1"/>
  <c r="AI182" i="16"/>
  <c r="AI153" i="8"/>
  <c r="AI246" i="6"/>
  <c r="W142" i="12"/>
  <c r="X59" i="10"/>
  <c r="AI205" i="12"/>
  <c r="AB98" i="12"/>
  <c r="AD98" i="12" s="1"/>
  <c r="V173" i="8"/>
  <c r="V173" i="9" s="1"/>
  <c r="V173" i="10" s="1"/>
  <c r="AI53" i="6"/>
  <c r="AH130" i="12"/>
  <c r="Q13" i="20"/>
  <c r="Q10" i="20" s="1"/>
  <c r="Q9" i="20" s="1"/>
  <c r="BE10" i="16"/>
  <c r="BE9" i="16" s="1"/>
  <c r="BE8" i="16" s="1"/>
  <c r="P14" i="20"/>
  <c r="P10" i="20" s="1"/>
  <c r="P9" i="20" s="1"/>
  <c r="BE10" i="15"/>
  <c r="BE9" i="15" s="1"/>
  <c r="BE8" i="15" s="1"/>
  <c r="Z145" i="14"/>
  <c r="Z194" i="13"/>
  <c r="Z193" i="13" s="1"/>
  <c r="Z194" i="12"/>
  <c r="Z193" i="12" s="1"/>
  <c r="BE3" i="5"/>
  <c r="BK3" i="5" s="1"/>
  <c r="BQ3" i="5" s="1"/>
  <c r="BN5" i="5" s="1"/>
  <c r="AJ200" i="8"/>
  <c r="AF110" i="6"/>
  <c r="AC145" i="14"/>
  <c r="AC110" i="14" s="1"/>
  <c r="AM14" i="14"/>
  <c r="AL170" i="12"/>
  <c r="AL112" i="6"/>
  <c r="AL110" i="6" s="1"/>
  <c r="BC5" i="9"/>
  <c r="BH5" i="9"/>
  <c r="AW19" i="9"/>
  <c r="AW4" i="9"/>
  <c r="AH201" i="16"/>
  <c r="AH53" i="13"/>
  <c r="W152" i="9"/>
  <c r="W152" i="10" s="1"/>
  <c r="AF234" i="12"/>
  <c r="AF232" i="12" s="1"/>
  <c r="BQ29" i="12" s="1"/>
  <c r="M53" i="20" s="1"/>
  <c r="AF234" i="10"/>
  <c r="AF232" i="10" s="1"/>
  <c r="BQ29" i="10" s="1"/>
  <c r="K53" i="20" s="1"/>
  <c r="AF234" i="8"/>
  <c r="AF232" i="8" s="1"/>
  <c r="BQ29" i="8" s="1"/>
  <c r="BK13" i="8" s="1"/>
  <c r="AM43" i="5"/>
  <c r="AM14" i="5" s="1"/>
  <c r="AM170" i="5"/>
  <c r="AL170" i="7"/>
  <c r="AB112" i="5"/>
  <c r="AF234" i="14"/>
  <c r="AF232" i="14" s="1"/>
  <c r="BQ29" i="14" s="1"/>
  <c r="BK13" i="14" s="1"/>
  <c r="BQ14" i="12"/>
  <c r="M38" i="20" s="1"/>
  <c r="AC90" i="10"/>
  <c r="AC63" i="10" s="1"/>
  <c r="AC145" i="15"/>
  <c r="AC194" i="14"/>
  <c r="AC193" i="14" s="1"/>
  <c r="AF194" i="11"/>
  <c r="AF193" i="11" s="1"/>
  <c r="AF220" i="15"/>
  <c r="BQ30" i="15" s="1"/>
  <c r="P54" i="20" s="1"/>
  <c r="AC220" i="8"/>
  <c r="AC220" i="12"/>
  <c r="AF220" i="10"/>
  <c r="BQ30" i="10" s="1"/>
  <c r="K54" i="20" s="1"/>
  <c r="AC234" i="8"/>
  <c r="AC232" i="8" s="1"/>
  <c r="Z43" i="10"/>
  <c r="Z14" i="10" s="1"/>
  <c r="Z43" i="15"/>
  <c r="Z14" i="15" s="1"/>
  <c r="Z220" i="8"/>
  <c r="Z234" i="10"/>
  <c r="Z232" i="10" s="1"/>
  <c r="AM14" i="13"/>
  <c r="AL170" i="15"/>
  <c r="AL112" i="10"/>
  <c r="AL110" i="10" s="1"/>
  <c r="AL170" i="8"/>
  <c r="AL112" i="8"/>
  <c r="AL110" i="8" s="1"/>
  <c r="AL220" i="7"/>
  <c r="AL90" i="7"/>
  <c r="AL63" i="7" s="1"/>
  <c r="AL220" i="6"/>
  <c r="AL112" i="5"/>
  <c r="AL90" i="5"/>
  <c r="AL63" i="5" s="1"/>
  <c r="AB145" i="5"/>
  <c r="Y234" i="5"/>
  <c r="Y232" i="5" s="1"/>
  <c r="Y112" i="5"/>
  <c r="Y90" i="5"/>
  <c r="Y63" i="5" s="1"/>
  <c r="J28" i="5"/>
  <c r="J21" i="5" s="1"/>
  <c r="J19" i="5" s="1"/>
  <c r="J17" i="5" s="1"/>
  <c r="J8" i="5" s="1"/>
  <c r="G28" i="5"/>
  <c r="G21" i="5" s="1"/>
  <c r="G19" i="5" s="1"/>
  <c r="G17" i="5" s="1"/>
  <c r="G8" i="5" s="1"/>
  <c r="BE10" i="11"/>
  <c r="BE9" i="11" s="1"/>
  <c r="BE8" i="11" s="1"/>
  <c r="AC90" i="16"/>
  <c r="AC63" i="16" s="1"/>
  <c r="AC90" i="8"/>
  <c r="AC63" i="8" s="1"/>
  <c r="AC112" i="10"/>
  <c r="AC112" i="13"/>
  <c r="AC145" i="16"/>
  <c r="AF145" i="10"/>
  <c r="AC194" i="13"/>
  <c r="AC193" i="13" s="1"/>
  <c r="AF220" i="12"/>
  <c r="BQ30" i="12" s="1"/>
  <c r="BK14" i="12" s="1"/>
  <c r="AF234" i="11"/>
  <c r="AF232" i="11" s="1"/>
  <c r="BQ29" i="11" s="1"/>
  <c r="BK13" i="11" s="1"/>
  <c r="AF234" i="16"/>
  <c r="AF232" i="16" s="1"/>
  <c r="BQ29" i="16" s="1"/>
  <c r="Q53" i="20" s="1"/>
  <c r="Z43" i="11"/>
  <c r="Z14" i="11" s="1"/>
  <c r="Z90" i="13"/>
  <c r="AM112" i="15"/>
  <c r="AM112" i="14"/>
  <c r="AL220" i="13"/>
  <c r="AL145" i="12"/>
  <c r="AL112" i="12"/>
  <c r="AL220" i="11"/>
  <c r="AL43" i="11"/>
  <c r="AL14" i="11" s="1"/>
  <c r="AM112" i="9"/>
  <c r="AM110" i="9" s="1"/>
  <c r="AL170" i="9"/>
  <c r="AL90" i="9"/>
  <c r="AL63" i="9" s="1"/>
  <c r="AL43" i="8"/>
  <c r="AL43" i="6"/>
  <c r="AL14" i="6" s="1"/>
  <c r="Y145" i="5"/>
  <c r="Y43" i="5"/>
  <c r="Y14" i="5" s="1"/>
  <c r="AM145" i="7"/>
  <c r="P28" i="9"/>
  <c r="P21" i="9" s="1"/>
  <c r="P19" i="9" s="1"/>
  <c r="P17" i="9" s="1"/>
  <c r="P8" i="9" s="1"/>
  <c r="AF43" i="16"/>
  <c r="AF14" i="16" s="1"/>
  <c r="AF43" i="15"/>
  <c r="BQ13" i="15" s="1"/>
  <c r="P37" i="20" s="1"/>
  <c r="AF43" i="14"/>
  <c r="AF14" i="14" s="1"/>
  <c r="AM145" i="10"/>
  <c r="BP19" i="5"/>
  <c r="W211" i="5"/>
  <c r="W210" i="5" s="1"/>
  <c r="W209" i="5" s="1"/>
  <c r="W207" i="5" s="1"/>
  <c r="V105" i="5"/>
  <c r="V104" i="5" s="1"/>
  <c r="V69" i="5"/>
  <c r="V65" i="5" s="1"/>
  <c r="V35" i="5"/>
  <c r="D72" i="5"/>
  <c r="D60" i="5"/>
  <c r="D32" i="5"/>
  <c r="D10" i="5"/>
  <c r="AJ159" i="5"/>
  <c r="AI255" i="5"/>
  <c r="AI73" i="5"/>
  <c r="AI52" i="5"/>
  <c r="AI19" i="5"/>
  <c r="AH71" i="5"/>
  <c r="AG227" i="5"/>
  <c r="AG172" i="5"/>
  <c r="AG114" i="5"/>
  <c r="BQ14" i="5"/>
  <c r="L42" i="5"/>
  <c r="AS10" i="5" s="1"/>
  <c r="L22" i="5"/>
  <c r="AS7" i="5" s="1"/>
  <c r="AA227" i="5"/>
  <c r="AA149" i="5"/>
  <c r="AA147" i="5" s="1"/>
  <c r="X248" i="5"/>
  <c r="AI248" i="5" s="1"/>
  <c r="AJ229" i="5"/>
  <c r="X213" i="5"/>
  <c r="AI213" i="5" s="1"/>
  <c r="X200" i="5"/>
  <c r="X76" i="5"/>
  <c r="X66" i="5"/>
  <c r="AI66" i="5" s="1"/>
  <c r="X18" i="5"/>
  <c r="F13" i="5"/>
  <c r="F68" i="5"/>
  <c r="N68" i="5" s="1"/>
  <c r="F62" i="5"/>
  <c r="F60" i="5" s="1"/>
  <c r="F24" i="5"/>
  <c r="F22" i="5" s="1"/>
  <c r="AQ7" i="5" s="1"/>
  <c r="G42" i="6"/>
  <c r="X78" i="6"/>
  <c r="AJ78" i="6" s="1"/>
  <c r="X66" i="6"/>
  <c r="X26" i="6"/>
  <c r="X22" i="6"/>
  <c r="AI22" i="6" s="1"/>
  <c r="D81" i="6"/>
  <c r="D57" i="6"/>
  <c r="X253" i="8"/>
  <c r="AH253" i="8" s="1"/>
  <c r="X29" i="8"/>
  <c r="X26" i="8"/>
  <c r="C10" i="8"/>
  <c r="X253" i="9"/>
  <c r="AH253" i="9" s="1"/>
  <c r="U211" i="9"/>
  <c r="U210" i="9" s="1"/>
  <c r="U209" i="9" s="1"/>
  <c r="U207" i="9" s="1"/>
  <c r="C63" i="9"/>
  <c r="C45" i="9"/>
  <c r="C10" i="9"/>
  <c r="D63" i="9"/>
  <c r="K28" i="7"/>
  <c r="K21" i="7" s="1"/>
  <c r="K19" i="7" s="1"/>
  <c r="K17" i="7" s="1"/>
  <c r="X78" i="7"/>
  <c r="X205" i="10"/>
  <c r="X80" i="10"/>
  <c r="AI80" i="10" s="1"/>
  <c r="X46" i="10"/>
  <c r="X26" i="11"/>
  <c r="X22" i="11"/>
  <c r="AH22" i="11" s="1"/>
  <c r="C48" i="11"/>
  <c r="C32" i="11"/>
  <c r="C25" i="11"/>
  <c r="X27" i="12"/>
  <c r="AI27" i="12" s="1"/>
  <c r="X101" i="13"/>
  <c r="AH101" i="13" s="1"/>
  <c r="X46" i="13"/>
  <c r="X29" i="13"/>
  <c r="AH29" i="13" s="1"/>
  <c r="X26" i="13"/>
  <c r="X22" i="13"/>
  <c r="AH22" i="13" s="1"/>
  <c r="X76" i="14"/>
  <c r="AH76" i="14" s="1"/>
  <c r="X67" i="14"/>
  <c r="X52" i="14"/>
  <c r="X29" i="14"/>
  <c r="AH29" i="14" s="1"/>
  <c r="AM234" i="11"/>
  <c r="AM232" i="11" s="1"/>
  <c r="BE7" i="6"/>
  <c r="U211" i="10"/>
  <c r="U210" i="10" s="1"/>
  <c r="U209" i="10" s="1"/>
  <c r="U207" i="10" s="1"/>
  <c r="AM90" i="9"/>
  <c r="AM63" i="9" s="1"/>
  <c r="AM220" i="9"/>
  <c r="K8" i="9"/>
  <c r="Q28" i="10"/>
  <c r="Q21" i="10" s="1"/>
  <c r="Q19" i="10" s="1"/>
  <c r="Q17" i="10" s="1"/>
  <c r="Q8" i="10" s="1"/>
  <c r="AF90" i="13"/>
  <c r="AF63" i="13" s="1"/>
  <c r="AF43" i="10"/>
  <c r="AF14" i="10" s="1"/>
  <c r="W58" i="5"/>
  <c r="W57" i="5" s="1"/>
  <c r="V49" i="5"/>
  <c r="D81" i="5"/>
  <c r="D66" i="5"/>
  <c r="D54" i="5"/>
  <c r="D42" i="5"/>
  <c r="D25" i="5"/>
  <c r="AJ218" i="5"/>
  <c r="AJ79" i="5"/>
  <c r="AJ22" i="5"/>
  <c r="AG210" i="5"/>
  <c r="AG209" i="5" s="1"/>
  <c r="AG207" i="5" s="1"/>
  <c r="AS29" i="5" s="1"/>
  <c r="AX29" i="5" s="1"/>
  <c r="M36" i="5"/>
  <c r="AD203" i="5"/>
  <c r="AD69" i="5"/>
  <c r="AD65" i="5" s="1"/>
  <c r="AA211" i="5"/>
  <c r="AA210" i="5" s="1"/>
  <c r="AA209" i="5" s="1"/>
  <c r="BO27" i="5" s="1"/>
  <c r="I35" i="5"/>
  <c r="X225" i="5"/>
  <c r="X217" i="5"/>
  <c r="AJ115" i="5"/>
  <c r="X101" i="5"/>
  <c r="X78" i="5"/>
  <c r="X60" i="5"/>
  <c r="AJ60" i="5" s="1"/>
  <c r="X29" i="5"/>
  <c r="AI29" i="5" s="1"/>
  <c r="X21" i="5"/>
  <c r="AJ21" i="5" s="1"/>
  <c r="F83" i="5"/>
  <c r="F65" i="5"/>
  <c r="X217" i="6"/>
  <c r="AJ217" i="6" s="1"/>
  <c r="X80" i="6"/>
  <c r="AI80" i="6" s="1"/>
  <c r="X76" i="6"/>
  <c r="D63" i="6"/>
  <c r="X52" i="8"/>
  <c r="AI182" i="9"/>
  <c r="X46" i="9"/>
  <c r="C60" i="9"/>
  <c r="C32" i="9"/>
  <c r="AF220" i="7"/>
  <c r="BQ30" i="7" s="1"/>
  <c r="BK14" i="7" s="1"/>
  <c r="Z170" i="7"/>
  <c r="X201" i="7"/>
  <c r="U149" i="7"/>
  <c r="U147" i="7" s="1"/>
  <c r="X101" i="7"/>
  <c r="X80" i="7"/>
  <c r="X76" i="7"/>
  <c r="X67" i="7"/>
  <c r="X52" i="7"/>
  <c r="D63" i="7"/>
  <c r="X78" i="10"/>
  <c r="X27" i="10"/>
  <c r="AI27" i="10" s="1"/>
  <c r="X18" i="10"/>
  <c r="AI18" i="10" s="1"/>
  <c r="C75" i="11"/>
  <c r="C63" i="11"/>
  <c r="C57" i="11"/>
  <c r="C45" i="11"/>
  <c r="C35" i="11"/>
  <c r="X46" i="12"/>
  <c r="X29" i="12"/>
  <c r="AH29" i="12" s="1"/>
  <c r="X41" i="13"/>
  <c r="X27" i="13"/>
  <c r="AI27" i="13" s="1"/>
  <c r="X78" i="14"/>
  <c r="AH78" i="14" s="1"/>
  <c r="X46" i="15"/>
  <c r="X80" i="12"/>
  <c r="AI80" i="12" s="1"/>
  <c r="X76" i="12"/>
  <c r="AJ76" i="12" s="1"/>
  <c r="X67" i="12"/>
  <c r="X26" i="12"/>
  <c r="X22" i="12"/>
  <c r="AH22" i="12" s="1"/>
  <c r="X230" i="13"/>
  <c r="AH230" i="13" s="1"/>
  <c r="U222" i="13"/>
  <c r="X80" i="14"/>
  <c r="AI80" i="14" s="1"/>
  <c r="C45" i="15"/>
  <c r="X241" i="15"/>
  <c r="X218" i="15"/>
  <c r="AH218" i="15" s="1"/>
  <c r="X191" i="15"/>
  <c r="AH191" i="15" s="1"/>
  <c r="U141" i="15"/>
  <c r="X26" i="15"/>
  <c r="L12" i="6"/>
  <c r="J12" i="7" s="1"/>
  <c r="L12" i="7" s="1"/>
  <c r="J12" i="8" s="1"/>
  <c r="L12" i="8" s="1"/>
  <c r="J12" i="9" s="1"/>
  <c r="L12" i="9" s="1"/>
  <c r="J12" i="10" s="1"/>
  <c r="L12" i="10" s="1"/>
  <c r="J12" i="11" s="1"/>
  <c r="L12" i="11" s="1"/>
  <c r="J12" i="12" s="1"/>
  <c r="L12" i="12" s="1"/>
  <c r="J12" i="13" s="1"/>
  <c r="L12" i="13" s="1"/>
  <c r="J12" i="14" s="1"/>
  <c r="L12" i="14" s="1"/>
  <c r="J12" i="15" s="1"/>
  <c r="L12" i="15" s="1"/>
  <c r="J12" i="16" s="1"/>
  <c r="L12" i="16" s="1"/>
  <c r="X78" i="12"/>
  <c r="X255" i="13"/>
  <c r="AH255" i="13" s="1"/>
  <c r="X241" i="13"/>
  <c r="C48" i="13"/>
  <c r="C25" i="13"/>
  <c r="X230" i="14"/>
  <c r="AH230" i="14" s="1"/>
  <c r="X216" i="14"/>
  <c r="AH216" i="14" s="1"/>
  <c r="X201" i="14"/>
  <c r="AH201" i="14" s="1"/>
  <c r="X197" i="14"/>
  <c r="X46" i="14"/>
  <c r="X26" i="14"/>
  <c r="X22" i="14"/>
  <c r="AH22" i="14" s="1"/>
  <c r="X230" i="15"/>
  <c r="AH230" i="15" s="1"/>
  <c r="X216" i="15"/>
  <c r="AH216" i="15" s="1"/>
  <c r="X201" i="15"/>
  <c r="AH201" i="15" s="1"/>
  <c r="X197" i="15"/>
  <c r="X189" i="15"/>
  <c r="AH189" i="15" s="1"/>
  <c r="X182" i="15"/>
  <c r="X168" i="15"/>
  <c r="AH168" i="15" s="1"/>
  <c r="X153" i="15"/>
  <c r="AI153" i="15" s="1"/>
  <c r="AJ27" i="16"/>
  <c r="L14" i="6"/>
  <c r="J14" i="7" s="1"/>
  <c r="L14" i="7" s="1"/>
  <c r="J14" i="8" s="1"/>
  <c r="L14" i="8" s="1"/>
  <c r="D40" i="6"/>
  <c r="D40" i="7" s="1"/>
  <c r="D40" i="8" s="1"/>
  <c r="D40" i="9" s="1"/>
  <c r="F107" i="5"/>
  <c r="N107" i="5" s="1"/>
  <c r="C85" i="12"/>
  <c r="C94" i="12"/>
  <c r="C104" i="12"/>
  <c r="C113" i="12"/>
  <c r="C85" i="13"/>
  <c r="C94" i="13"/>
  <c r="C104" i="13"/>
  <c r="C113" i="13"/>
  <c r="C85" i="14"/>
  <c r="C94" i="14"/>
  <c r="C104" i="14"/>
  <c r="C113" i="14"/>
  <c r="C94" i="15"/>
  <c r="C94" i="16"/>
  <c r="F39" i="6"/>
  <c r="M39" i="6" s="1"/>
  <c r="F102" i="5"/>
  <c r="N102" i="5" s="1"/>
  <c r="D123" i="6"/>
  <c r="D123" i="7" s="1"/>
  <c r="F123" i="7" s="1"/>
  <c r="J123" i="10"/>
  <c r="L123" i="10" s="1"/>
  <c r="J123" i="11" s="1"/>
  <c r="L123" i="11" s="1"/>
  <c r="J123" i="12" s="1"/>
  <c r="L123" i="12" s="1"/>
  <c r="J123" i="13" s="1"/>
  <c r="L123" i="13" s="1"/>
  <c r="G119" i="10"/>
  <c r="I119" i="10" s="1"/>
  <c r="G119" i="11" s="1"/>
  <c r="I119" i="11" s="1"/>
  <c r="G119" i="12" s="1"/>
  <c r="I119" i="12" s="1"/>
  <c r="G119" i="13" s="1"/>
  <c r="I119" i="13" s="1"/>
  <c r="G119" i="14" s="1"/>
  <c r="I119" i="14" s="1"/>
  <c r="G119" i="15" s="1"/>
  <c r="I119" i="15" s="1"/>
  <c r="G119" i="16" s="1"/>
  <c r="I119" i="16" s="1"/>
  <c r="H21" i="8"/>
  <c r="H19" i="8" s="1"/>
  <c r="H17" i="8" s="1"/>
  <c r="H8" i="8" s="1"/>
  <c r="R35" i="20"/>
  <c r="BQ17" i="8"/>
  <c r="I41" i="20" s="1"/>
  <c r="BP23" i="12"/>
  <c r="BP23" i="13"/>
  <c r="BP23" i="9"/>
  <c r="BP23" i="11"/>
  <c r="AC90" i="9"/>
  <c r="AC63" i="9" s="1"/>
  <c r="BR11" i="16"/>
  <c r="AI27" i="15"/>
  <c r="Z234" i="9"/>
  <c r="Z232" i="9" s="1"/>
  <c r="AC194" i="9"/>
  <c r="AC193" i="9" s="1"/>
  <c r="Z194" i="9"/>
  <c r="Z193" i="9" s="1"/>
  <c r="AC170" i="9"/>
  <c r="AH164" i="11"/>
  <c r="AC145" i="9"/>
  <c r="BQ17" i="9"/>
  <c r="J41" i="20" s="1"/>
  <c r="BP18" i="15"/>
  <c r="BQ16" i="9"/>
  <c r="J40" i="20" s="1"/>
  <c r="AI151" i="12"/>
  <c r="BR18" i="16"/>
  <c r="R42" i="20"/>
  <c r="BP18" i="11"/>
  <c r="BP18" i="16"/>
  <c r="BO18" i="14"/>
  <c r="BO18" i="10"/>
  <c r="BO18" i="15"/>
  <c r="AF112" i="9"/>
  <c r="Z90" i="9"/>
  <c r="Z63" i="9" s="1"/>
  <c r="AE79" i="14"/>
  <c r="AG79" i="14" s="1"/>
  <c r="Q17" i="9"/>
  <c r="Q8" i="9" s="1"/>
  <c r="AJ162" i="8"/>
  <c r="AF145" i="8"/>
  <c r="BR31" i="16"/>
  <c r="BR19" i="16"/>
  <c r="BQ12" i="8"/>
  <c r="I36" i="20" s="1"/>
  <c r="I33" i="20" s="1"/>
  <c r="BK15" i="8"/>
  <c r="AE36" i="15"/>
  <c r="AG36" i="15" s="1"/>
  <c r="AE36" i="16" s="1"/>
  <c r="AG36" i="16" s="1"/>
  <c r="AC170" i="8"/>
  <c r="BP18" i="13"/>
  <c r="BP18" i="12"/>
  <c r="BP18" i="9"/>
  <c r="BP18" i="14"/>
  <c r="BP18" i="8"/>
  <c r="BP18" i="10"/>
  <c r="AC43" i="8"/>
  <c r="AC14" i="8" s="1"/>
  <c r="AH164" i="9"/>
  <c r="Z145" i="8"/>
  <c r="BO18" i="16"/>
  <c r="BO18" i="11"/>
  <c r="BO18" i="13"/>
  <c r="Y126" i="10"/>
  <c r="AA126" i="10" s="1"/>
  <c r="Y126" i="11" s="1"/>
  <c r="AH101" i="15"/>
  <c r="Z43" i="8"/>
  <c r="Z14" i="8" s="1"/>
  <c r="AH31" i="10"/>
  <c r="AH18" i="13"/>
  <c r="AA123" i="6"/>
  <c r="AS16" i="5"/>
  <c r="G10" i="6"/>
  <c r="I10" i="5"/>
  <c r="G10" i="7"/>
  <c r="K10" i="5"/>
  <c r="AD88" i="8"/>
  <c r="AB88" i="9" s="1"/>
  <c r="AD88" i="9" s="1"/>
  <c r="V50" i="11"/>
  <c r="AJ151" i="7"/>
  <c r="AE151" i="8"/>
  <c r="W58" i="9"/>
  <c r="W57" i="9" s="1"/>
  <c r="W60" i="10"/>
  <c r="Y94" i="10"/>
  <c r="AJ3" i="13"/>
  <c r="AW4" i="13"/>
  <c r="BH5" i="13"/>
  <c r="AW19" i="13"/>
  <c r="I30" i="8"/>
  <c r="BP23" i="15"/>
  <c r="H36" i="20"/>
  <c r="H33" i="20" s="1"/>
  <c r="BQ9" i="7"/>
  <c r="Y40" i="8"/>
  <c r="AA40" i="8" s="1"/>
  <c r="AJ3" i="12"/>
  <c r="BE3" i="12"/>
  <c r="BK3" i="12" s="1"/>
  <c r="BQ3" i="12" s="1"/>
  <c r="BN5" i="12" s="1"/>
  <c r="AW4" i="12"/>
  <c r="BC5" i="12"/>
  <c r="W93" i="13"/>
  <c r="W93" i="14" s="1"/>
  <c r="W58" i="8"/>
  <c r="W57" i="8" s="1"/>
  <c r="AE182" i="9"/>
  <c r="AG182" i="9" s="1"/>
  <c r="AJ182" i="9" s="1"/>
  <c r="AE248" i="9"/>
  <c r="AG248" i="9" s="1"/>
  <c r="AE248" i="10" s="1"/>
  <c r="AG248" i="10" s="1"/>
  <c r="AF145" i="11"/>
  <c r="BQ16" i="11"/>
  <c r="E77" i="9"/>
  <c r="Y143" i="8"/>
  <c r="AA143" i="8" s="1"/>
  <c r="Y143" i="9" s="1"/>
  <c r="AA143" i="9" s="1"/>
  <c r="Y143" i="10" s="1"/>
  <c r="AA143" i="10" s="1"/>
  <c r="BQ28" i="13"/>
  <c r="N52" i="20" s="1"/>
  <c r="N49" i="20" s="1"/>
  <c r="H14" i="20"/>
  <c r="BF14" i="7"/>
  <c r="BF14" i="10" s="1"/>
  <c r="BF14" i="13" s="1"/>
  <c r="BF14" i="16" s="1"/>
  <c r="E12" i="8"/>
  <c r="AI101" i="12"/>
  <c r="AF170" i="16"/>
  <c r="BQ24" i="16" s="1"/>
  <c r="Q48" i="20" s="1"/>
  <c r="Q46" i="20" s="1"/>
  <c r="BQ17" i="13"/>
  <c r="N41" i="20" s="1"/>
  <c r="BQ16" i="12"/>
  <c r="M40" i="20" s="1"/>
  <c r="AF145" i="12"/>
  <c r="Z220" i="9"/>
  <c r="AD166" i="8"/>
  <c r="AH248" i="6"/>
  <c r="AJ248" i="6"/>
  <c r="R15" i="20"/>
  <c r="BQ27" i="10"/>
  <c r="K51" i="20" s="1"/>
  <c r="AF207" i="10"/>
  <c r="Z112" i="10"/>
  <c r="AM112" i="6"/>
  <c r="AM110" i="6" s="1"/>
  <c r="AS6" i="16"/>
  <c r="AT21" i="16"/>
  <c r="AT6" i="16"/>
  <c r="AR21" i="16"/>
  <c r="AS21" i="16"/>
  <c r="AS6" i="12"/>
  <c r="AT21" i="12"/>
  <c r="AT21" i="9"/>
  <c r="AS6" i="9"/>
  <c r="AI101" i="14"/>
  <c r="AH101" i="14"/>
  <c r="AB30" i="10"/>
  <c r="AD30" i="10" s="1"/>
  <c r="AB30" i="11" s="1"/>
  <c r="AD30" i="11" s="1"/>
  <c r="AB30" i="12" s="1"/>
  <c r="AD30" i="12" s="1"/>
  <c r="W132" i="15"/>
  <c r="BQ14" i="15"/>
  <c r="BK9" i="15" s="1"/>
  <c r="BQ14" i="13"/>
  <c r="BQ14" i="9"/>
  <c r="BK9" i="9" s="1"/>
  <c r="BE3" i="11"/>
  <c r="BK3" i="11" s="1"/>
  <c r="BQ3" i="11" s="1"/>
  <c r="BN5" i="11" s="1"/>
  <c r="BH5" i="11"/>
  <c r="AW19" i="11"/>
  <c r="BH5" i="7"/>
  <c r="AJ3" i="7"/>
  <c r="BE3" i="7"/>
  <c r="BK3" i="7" s="1"/>
  <c r="BQ3" i="7" s="1"/>
  <c r="BN5" i="7" s="1"/>
  <c r="BE10" i="7"/>
  <c r="BE9" i="7" s="1"/>
  <c r="BE8" i="7" s="1"/>
  <c r="AC43" i="10"/>
  <c r="AC14" i="10" s="1"/>
  <c r="BQ16" i="10"/>
  <c r="AF112" i="15"/>
  <c r="AC170" i="15"/>
  <c r="AL90" i="14"/>
  <c r="AL63" i="14" s="1"/>
  <c r="AS6" i="7"/>
  <c r="AS21" i="7"/>
  <c r="AS21" i="13"/>
  <c r="AR21" i="13"/>
  <c r="AR21" i="6"/>
  <c r="AT21" i="6"/>
  <c r="AI162" i="5"/>
  <c r="AJ162" i="5"/>
  <c r="AH162" i="5"/>
  <c r="AI148" i="5"/>
  <c r="AJ148" i="5"/>
  <c r="AI133" i="5"/>
  <c r="AJ121" i="5"/>
  <c r="AH121" i="5"/>
  <c r="M56" i="5"/>
  <c r="N56" i="5"/>
  <c r="BQ27" i="6"/>
  <c r="AF207" i="6"/>
  <c r="U49" i="6"/>
  <c r="U43" i="6" s="1"/>
  <c r="U35" i="7"/>
  <c r="AE245" i="6"/>
  <c r="AG245" i="6" s="1"/>
  <c r="AE245" i="7" s="1"/>
  <c r="AG245" i="7" s="1"/>
  <c r="AE245" i="8" s="1"/>
  <c r="AG243" i="5"/>
  <c r="AE47" i="6"/>
  <c r="AG47" i="6" s="1"/>
  <c r="AE47" i="7" s="1"/>
  <c r="AG47" i="7" s="1"/>
  <c r="AE47" i="8" s="1"/>
  <c r="AG47" i="8" s="1"/>
  <c r="AE47" i="9" s="1"/>
  <c r="AG47" i="9" s="1"/>
  <c r="AE47" i="10" s="1"/>
  <c r="AG47" i="10" s="1"/>
  <c r="AE47" i="11" s="1"/>
  <c r="AG47" i="11" s="1"/>
  <c r="AG44" i="5"/>
  <c r="AB142" i="6"/>
  <c r="AI142" i="5"/>
  <c r="AD141" i="5"/>
  <c r="BP20" i="5" s="1"/>
  <c r="BQ12" i="15"/>
  <c r="BQ12" i="13"/>
  <c r="BQ12" i="9"/>
  <c r="AI167" i="5"/>
  <c r="M34" i="5"/>
  <c r="N34" i="5"/>
  <c r="U43" i="15"/>
  <c r="W252" i="13"/>
  <c r="W252" i="14" s="1"/>
  <c r="X252" i="12"/>
  <c r="AH252" i="12" s="1"/>
  <c r="AJ3" i="6"/>
  <c r="AF170" i="12"/>
  <c r="BQ24" i="12" s="1"/>
  <c r="M48" i="20" s="1"/>
  <c r="M46" i="20" s="1"/>
  <c r="J10" i="20"/>
  <c r="J9" i="20" s="1"/>
  <c r="AC90" i="13"/>
  <c r="AC63" i="13" s="1"/>
  <c r="BQ17" i="10"/>
  <c r="K41" i="20" s="1"/>
  <c r="AF145" i="16"/>
  <c r="AF110" i="16" s="1"/>
  <c r="AF145" i="9"/>
  <c r="AC170" i="16"/>
  <c r="AC170" i="12"/>
  <c r="AF170" i="10"/>
  <c r="BQ24" i="10" s="1"/>
  <c r="K48" i="20" s="1"/>
  <c r="K46" i="20" s="1"/>
  <c r="Z14" i="12"/>
  <c r="Z43" i="16"/>
  <c r="Z14" i="16" s="1"/>
  <c r="Z170" i="14"/>
  <c r="Z170" i="9"/>
  <c r="Z170" i="16"/>
  <c r="Z170" i="12"/>
  <c r="Z220" i="12"/>
  <c r="Z220" i="11"/>
  <c r="AM63" i="8"/>
  <c r="AM145" i="16"/>
  <c r="AM220" i="14"/>
  <c r="AW19" i="6"/>
  <c r="AR21" i="10"/>
  <c r="AL145" i="16"/>
  <c r="AL90" i="16"/>
  <c r="AL63" i="16" s="1"/>
  <c r="AL112" i="15"/>
  <c r="AL110" i="15" s="1"/>
  <c r="AT21" i="13"/>
  <c r="AL43" i="10"/>
  <c r="AL14" i="10" s="1"/>
  <c r="AT6" i="15"/>
  <c r="AS21" i="15"/>
  <c r="AH181" i="5"/>
  <c r="AJ174" i="5"/>
  <c r="AH174" i="5"/>
  <c r="AI174" i="5"/>
  <c r="BC5" i="6"/>
  <c r="BQ16" i="16"/>
  <c r="Q40" i="20" s="1"/>
  <c r="AF194" i="8"/>
  <c r="AF193" i="8" s="1"/>
  <c r="AF194" i="12"/>
  <c r="AF194" i="16"/>
  <c r="M10" i="20"/>
  <c r="M9" i="20" s="1"/>
  <c r="BQ14" i="8"/>
  <c r="I38" i="20" s="1"/>
  <c r="AC43" i="16"/>
  <c r="AC14" i="16" s="1"/>
  <c r="AC43" i="11"/>
  <c r="AC14" i="11" s="1"/>
  <c r="AC145" i="8"/>
  <c r="AF170" i="14"/>
  <c r="BQ24" i="14" s="1"/>
  <c r="O48" i="20" s="1"/>
  <c r="AC194" i="16"/>
  <c r="AC193" i="16" s="1"/>
  <c r="AC194" i="8"/>
  <c r="AC193" i="8" s="1"/>
  <c r="AF220" i="14"/>
  <c r="BQ30" i="14" s="1"/>
  <c r="AC234" i="10"/>
  <c r="AC232" i="10" s="1"/>
  <c r="Z63" i="13"/>
  <c r="Z90" i="8"/>
  <c r="Z63" i="8" s="1"/>
  <c r="Z170" i="10"/>
  <c r="Z234" i="8"/>
  <c r="Z232" i="8" s="1"/>
  <c r="Z234" i="13"/>
  <c r="Z232" i="13" s="1"/>
  <c r="AM14" i="10"/>
  <c r="AM63" i="14"/>
  <c r="AM145" i="13"/>
  <c r="AM110" i="13" s="1"/>
  <c r="AM145" i="12"/>
  <c r="AM145" i="5"/>
  <c r="AM110" i="5" s="1"/>
  <c r="AM220" i="10"/>
  <c r="AL43" i="15"/>
  <c r="AL14" i="15" s="1"/>
  <c r="AL112" i="11"/>
  <c r="AL112" i="7"/>
  <c r="AE145" i="5"/>
  <c r="AE110" i="5" s="1"/>
  <c r="AG235" i="5"/>
  <c r="AI254" i="5"/>
  <c r="AJ254" i="5"/>
  <c r="AI250" i="5"/>
  <c r="AH250" i="5"/>
  <c r="AH230" i="5"/>
  <c r="AJ230" i="5"/>
  <c r="AI230" i="5"/>
  <c r="AH107" i="5"/>
  <c r="AJ77" i="5"/>
  <c r="AI77" i="5"/>
  <c r="AI67" i="5"/>
  <c r="AH59" i="5"/>
  <c r="AJ59" i="5"/>
  <c r="AH39" i="5"/>
  <c r="AI39" i="5"/>
  <c r="AI252" i="6"/>
  <c r="U105" i="6"/>
  <c r="U104" i="6" s="1"/>
  <c r="F26" i="6"/>
  <c r="C25" i="6"/>
  <c r="F14" i="6"/>
  <c r="M14" i="6" s="1"/>
  <c r="C10" i="6"/>
  <c r="AL234" i="7"/>
  <c r="AL232" i="7" s="1"/>
  <c r="AM14" i="6"/>
  <c r="AM90" i="11"/>
  <c r="AM63" i="11" s="1"/>
  <c r="AM194" i="12"/>
  <c r="AM193" i="12" s="1"/>
  <c r="Q28" i="8"/>
  <c r="Q21" i="8" s="1"/>
  <c r="Q19" i="8" s="1"/>
  <c r="Q17" i="8" s="1"/>
  <c r="Q8" i="8" s="1"/>
  <c r="K28" i="11"/>
  <c r="K21" i="11" s="1"/>
  <c r="K19" i="11" s="1"/>
  <c r="K17" i="11" s="1"/>
  <c r="K8" i="11" s="1"/>
  <c r="AF43" i="11"/>
  <c r="BQ13" i="11" s="1"/>
  <c r="L37" i="20" s="1"/>
  <c r="AM145" i="11"/>
  <c r="Z220" i="5"/>
  <c r="Z145" i="6"/>
  <c r="Z110" i="6" s="1"/>
  <c r="AC43" i="7"/>
  <c r="AC14" i="7" s="1"/>
  <c r="AC12" i="7" s="1"/>
  <c r="AC10" i="7" s="1"/>
  <c r="C29" i="10"/>
  <c r="W84" i="16"/>
  <c r="W18" i="16"/>
  <c r="X18" i="16" s="1"/>
  <c r="BN11" i="16" s="1"/>
  <c r="X18" i="15"/>
  <c r="E73" i="13"/>
  <c r="F73" i="12"/>
  <c r="E55" i="8"/>
  <c r="E54" i="7"/>
  <c r="V253" i="16"/>
  <c r="X253" i="16" s="1"/>
  <c r="AH253" i="16" s="1"/>
  <c r="X253" i="15"/>
  <c r="AH253" i="15" s="1"/>
  <c r="AM194" i="13"/>
  <c r="AM193" i="13" s="1"/>
  <c r="AM43" i="9"/>
  <c r="AM14" i="9" s="1"/>
  <c r="K28" i="8"/>
  <c r="K21" i="8" s="1"/>
  <c r="K19" i="8" s="1"/>
  <c r="K17" i="8" s="1"/>
  <c r="Q28" i="16"/>
  <c r="Q21" i="16" s="1"/>
  <c r="Q19" i="16" s="1"/>
  <c r="Q17" i="16" s="1"/>
  <c r="Q8" i="16" s="1"/>
  <c r="AF90" i="12"/>
  <c r="AF63" i="12" s="1"/>
  <c r="AF43" i="12"/>
  <c r="AJ106" i="5"/>
  <c r="AJ53" i="5"/>
  <c r="AI223" i="5"/>
  <c r="AI53" i="5"/>
  <c r="AH188" i="5"/>
  <c r="AH46" i="5"/>
  <c r="N61" i="5"/>
  <c r="AH247" i="5"/>
  <c r="AJ23" i="5"/>
  <c r="AF234" i="6"/>
  <c r="AF232" i="6" s="1"/>
  <c r="BQ29" i="6" s="1"/>
  <c r="Z234" i="6"/>
  <c r="Z232" i="6" s="1"/>
  <c r="BE10" i="14"/>
  <c r="BE9" i="14" s="1"/>
  <c r="BE8" i="14" s="1"/>
  <c r="AC43" i="13"/>
  <c r="AC14" i="13" s="1"/>
  <c r="AC43" i="9"/>
  <c r="AC14" i="9" s="1"/>
  <c r="AC112" i="16"/>
  <c r="AC110" i="16" s="1"/>
  <c r="AF112" i="14"/>
  <c r="AC112" i="9"/>
  <c r="AC112" i="12"/>
  <c r="AC194" i="12"/>
  <c r="AC193" i="12" s="1"/>
  <c r="AC220" i="11"/>
  <c r="AC220" i="9"/>
  <c r="AC234" i="11"/>
  <c r="AC232" i="11" s="1"/>
  <c r="Z90" i="11"/>
  <c r="Z63" i="11" s="1"/>
  <c r="Z90" i="16"/>
  <c r="Z63" i="16" s="1"/>
  <c r="Z145" i="10"/>
  <c r="AM90" i="6"/>
  <c r="AM63" i="6" s="1"/>
  <c r="AM145" i="8"/>
  <c r="AM110" i="8" s="1"/>
  <c r="AM170" i="7"/>
  <c r="AM170" i="14"/>
  <c r="AM220" i="6"/>
  <c r="AL220" i="14"/>
  <c r="AL170" i="14"/>
  <c r="AL112" i="13"/>
  <c r="AL90" i="13"/>
  <c r="AL63" i="13" s="1"/>
  <c r="AM112" i="12"/>
  <c r="AL220" i="12"/>
  <c r="AM112" i="11"/>
  <c r="AM110" i="11" s="1"/>
  <c r="AL170" i="11"/>
  <c r="AL145" i="9"/>
  <c r="AL90" i="8"/>
  <c r="AL63" i="8" s="1"/>
  <c r="AL145" i="7"/>
  <c r="AE43" i="5"/>
  <c r="AE14" i="5" s="1"/>
  <c r="AE12" i="5" s="1"/>
  <c r="Y220" i="5"/>
  <c r="Q28" i="15"/>
  <c r="Q21" i="15" s="1"/>
  <c r="Q19" i="15" s="1"/>
  <c r="Q17" i="15" s="1"/>
  <c r="Q8" i="15" s="1"/>
  <c r="K28" i="16"/>
  <c r="K21" i="16" s="1"/>
  <c r="K19" i="16" s="1"/>
  <c r="K17" i="16" s="1"/>
  <c r="K8" i="16" s="1"/>
  <c r="AF90" i="14"/>
  <c r="AF43" i="8"/>
  <c r="AF14" i="8" s="1"/>
  <c r="BQ12" i="10"/>
  <c r="AJ132" i="5"/>
  <c r="AI229" i="5"/>
  <c r="AI76" i="5"/>
  <c r="AH229" i="5"/>
  <c r="AD96" i="5"/>
  <c r="AD90" i="5" s="1"/>
  <c r="AR25" i="5" s="1"/>
  <c r="AW25" i="5" s="1"/>
  <c r="AD20" i="5"/>
  <c r="AD16" i="5" s="1"/>
  <c r="C66" i="6"/>
  <c r="X76" i="8"/>
  <c r="U187" i="9"/>
  <c r="U185" i="9" s="1"/>
  <c r="X30" i="9"/>
  <c r="AI30" i="9" s="1"/>
  <c r="F73" i="9"/>
  <c r="AF234" i="7"/>
  <c r="AF232" i="7" s="1"/>
  <c r="BQ29" i="7" s="1"/>
  <c r="H53" i="20" s="1"/>
  <c r="AF194" i="7"/>
  <c r="U227" i="7"/>
  <c r="X18" i="7"/>
  <c r="U114" i="10"/>
  <c r="C75" i="10"/>
  <c r="U211" i="11"/>
  <c r="U210" i="11" s="1"/>
  <c r="U209" i="11" s="1"/>
  <c r="U207" i="11" s="1"/>
  <c r="X148" i="11"/>
  <c r="X76" i="11"/>
  <c r="X115" i="12"/>
  <c r="AI115" i="12" s="1"/>
  <c r="X248" i="13"/>
  <c r="AH248" i="13" s="1"/>
  <c r="X115" i="13"/>
  <c r="AI115" i="13" s="1"/>
  <c r="X30" i="13"/>
  <c r="U141" i="14"/>
  <c r="X30" i="15"/>
  <c r="X248" i="9"/>
  <c r="AH248" i="9" s="1"/>
  <c r="Z220" i="7"/>
  <c r="X30" i="7"/>
  <c r="X30" i="10"/>
  <c r="C51" i="10"/>
  <c r="C45" i="10"/>
  <c r="C35" i="10"/>
  <c r="X18" i="11"/>
  <c r="X255" i="12"/>
  <c r="AH255" i="12" s="1"/>
  <c r="X248" i="12"/>
  <c r="AH248" i="12" s="1"/>
  <c r="X148" i="12"/>
  <c r="X18" i="12"/>
  <c r="X30" i="14"/>
  <c r="AH30" i="14" s="1"/>
  <c r="X18" i="14"/>
  <c r="X30" i="8"/>
  <c r="AI30" i="8" s="1"/>
  <c r="X18" i="8"/>
  <c r="X255" i="9"/>
  <c r="Z194" i="7"/>
  <c r="Z193" i="7" s="1"/>
  <c r="X255" i="7"/>
  <c r="X138" i="7"/>
  <c r="AJ138" i="7" s="1"/>
  <c r="X115" i="10"/>
  <c r="AI115" i="10" s="1"/>
  <c r="U187" i="11"/>
  <c r="U185" i="11" s="1"/>
  <c r="X30" i="11"/>
  <c r="AJ30" i="11" s="1"/>
  <c r="F73" i="11"/>
  <c r="U235" i="12"/>
  <c r="U234" i="12" s="1"/>
  <c r="U232" i="12" s="1"/>
  <c r="U227" i="12"/>
  <c r="X253" i="13"/>
  <c r="AH253" i="13" s="1"/>
  <c r="X115" i="14"/>
  <c r="AI115" i="14" s="1"/>
  <c r="K10" i="7"/>
  <c r="X148" i="15"/>
  <c r="C63" i="13"/>
  <c r="C51" i="13"/>
  <c r="C35" i="13"/>
  <c r="X253" i="14"/>
  <c r="AH253" i="14" s="1"/>
  <c r="U187" i="14"/>
  <c r="U185" i="14" s="1"/>
  <c r="X148" i="14"/>
  <c r="X255" i="15"/>
  <c r="AH255" i="15" s="1"/>
  <c r="X76" i="16"/>
  <c r="AI76" i="16" s="1"/>
  <c r="X197" i="16"/>
  <c r="F88" i="5"/>
  <c r="D88" i="6"/>
  <c r="D88" i="7" s="1"/>
  <c r="D88" i="8" s="1"/>
  <c r="D88" i="9" s="1"/>
  <c r="D90" i="6"/>
  <c r="D90" i="7" s="1"/>
  <c r="F90" i="5"/>
  <c r="M90" i="5" s="1"/>
  <c r="BD19" i="5"/>
  <c r="G105" i="6"/>
  <c r="I105" i="6" s="1"/>
  <c r="G105" i="7" s="1"/>
  <c r="I105" i="7" s="1"/>
  <c r="G105" i="8" s="1"/>
  <c r="I105" i="8" s="1"/>
  <c r="G105" i="9" s="1"/>
  <c r="I105" i="9" s="1"/>
  <c r="G105" i="10" s="1"/>
  <c r="I105" i="10" s="1"/>
  <c r="G105" i="11" s="1"/>
  <c r="I105" i="11" s="1"/>
  <c r="G105" i="12" s="1"/>
  <c r="I105" i="12" s="1"/>
  <c r="G105" i="13" s="1"/>
  <c r="U227" i="16"/>
  <c r="M124" i="5"/>
  <c r="E86" i="6"/>
  <c r="E86" i="7" s="1"/>
  <c r="E86" i="8" s="1"/>
  <c r="E86" i="9" s="1"/>
  <c r="E86" i="10" s="1"/>
  <c r="F86" i="5"/>
  <c r="G115" i="6"/>
  <c r="I115" i="6" s="1"/>
  <c r="G115" i="7" s="1"/>
  <c r="I113" i="5"/>
  <c r="AR15" i="5" s="1"/>
  <c r="AW15" i="5" s="1"/>
  <c r="C113" i="6"/>
  <c r="C94" i="6"/>
  <c r="C60" i="16"/>
  <c r="E118" i="6"/>
  <c r="F118" i="5"/>
  <c r="M118" i="5" s="1"/>
  <c r="E116" i="6"/>
  <c r="E116" i="7" s="1"/>
  <c r="E116" i="8" s="1"/>
  <c r="F116" i="5"/>
  <c r="N116" i="5" s="1"/>
  <c r="I94" i="5"/>
  <c r="D92" i="6"/>
  <c r="F39" i="5"/>
  <c r="M39" i="5" s="1"/>
  <c r="F98" i="5"/>
  <c r="F106" i="5"/>
  <c r="M106" i="5" s="1"/>
  <c r="F122" i="5"/>
  <c r="N122" i="5" s="1"/>
  <c r="R21" i="20"/>
  <c r="N92" i="5"/>
  <c r="F100" i="5"/>
  <c r="M100" i="5" s="1"/>
  <c r="C94" i="11"/>
  <c r="C113" i="11"/>
  <c r="C104" i="15"/>
  <c r="C113" i="15"/>
  <c r="C85" i="15"/>
  <c r="C85" i="16"/>
  <c r="C104" i="16"/>
  <c r="C113" i="16"/>
  <c r="H11" i="20"/>
  <c r="I34" i="14"/>
  <c r="G88" i="11"/>
  <c r="I88" i="11" s="1"/>
  <c r="AR11" i="11" s="1"/>
  <c r="AR11" i="10"/>
  <c r="AW11" i="10"/>
  <c r="AE251" i="9"/>
  <c r="AG251" i="9" s="1"/>
  <c r="P8" i="5"/>
  <c r="AE180" i="13"/>
  <c r="AG180" i="13" s="1"/>
  <c r="K8" i="6"/>
  <c r="AE236" i="10"/>
  <c r="AG236" i="10" s="1"/>
  <c r="F53" i="20"/>
  <c r="BK13" i="5"/>
  <c r="L50" i="16"/>
  <c r="E33" i="12"/>
  <c r="M14" i="10"/>
  <c r="J77" i="11"/>
  <c r="L77" i="11" s="1"/>
  <c r="J77" i="12" s="1"/>
  <c r="L77" i="12" s="1"/>
  <c r="J77" i="13" s="1"/>
  <c r="L77" i="13" s="1"/>
  <c r="J77" i="14" s="1"/>
  <c r="L77" i="14" s="1"/>
  <c r="J77" i="15" s="1"/>
  <c r="L77" i="15" s="1"/>
  <c r="J77" i="16" s="1"/>
  <c r="L77" i="16" s="1"/>
  <c r="Q8" i="5"/>
  <c r="AE217" i="12"/>
  <c r="AG217" i="12" s="1"/>
  <c r="AE217" i="13" s="1"/>
  <c r="AG217" i="13" s="1"/>
  <c r="AE217" i="14" s="1"/>
  <c r="AG217" i="14" s="1"/>
  <c r="AE247" i="13"/>
  <c r="AG247" i="13" s="1"/>
  <c r="AE247" i="14" s="1"/>
  <c r="AG247" i="14" s="1"/>
  <c r="J41" i="15"/>
  <c r="L41" i="15" s="1"/>
  <c r="J41" i="16" s="1"/>
  <c r="L41" i="16" s="1"/>
  <c r="Y237" i="9"/>
  <c r="AA237" i="9" s="1"/>
  <c r="Y237" i="10" s="1"/>
  <c r="AA237" i="10" s="1"/>
  <c r="Y237" i="11" s="1"/>
  <c r="AA237" i="11" s="1"/>
  <c r="Y237" i="12" s="1"/>
  <c r="AA237" i="12" s="1"/>
  <c r="Y237" i="13" s="1"/>
  <c r="AA237" i="13" s="1"/>
  <c r="Y237" i="14" s="1"/>
  <c r="K10" i="20"/>
  <c r="K9" i="20" s="1"/>
  <c r="AJ108" i="5"/>
  <c r="AJ37" i="7"/>
  <c r="X199" i="7"/>
  <c r="V199" i="8"/>
  <c r="X199" i="8" s="1"/>
  <c r="AH199" i="8" s="1"/>
  <c r="AA106" i="7"/>
  <c r="J53" i="20"/>
  <c r="N47" i="20"/>
  <c r="BR23" i="16"/>
  <c r="BF11" i="7"/>
  <c r="BF11" i="10" s="1"/>
  <c r="BF11" i="13" s="1"/>
  <c r="BF11" i="16" s="1"/>
  <c r="G11" i="20"/>
  <c r="Y247" i="8"/>
  <c r="AA247" i="8" s="1"/>
  <c r="Y247" i="9" s="1"/>
  <c r="AA247" i="9" s="1"/>
  <c r="Y247" i="10" s="1"/>
  <c r="AA247" i="10" s="1"/>
  <c r="Y238" i="6"/>
  <c r="AA238" i="6" s="1"/>
  <c r="Y142" i="6"/>
  <c r="AA141" i="5"/>
  <c r="AH142" i="5"/>
  <c r="Y86" i="6"/>
  <c r="AA83" i="5"/>
  <c r="Y80" i="6"/>
  <c r="AA69" i="5"/>
  <c r="AA65" i="5" s="1"/>
  <c r="W256" i="7"/>
  <c r="X256" i="6"/>
  <c r="D122" i="7"/>
  <c r="D122" i="8" s="1"/>
  <c r="D122" i="9" s="1"/>
  <c r="F122" i="9" s="1"/>
  <c r="F122" i="6"/>
  <c r="N122" i="6" s="1"/>
  <c r="AE214" i="9"/>
  <c r="AG214" i="9" s="1"/>
  <c r="AE214" i="10" s="1"/>
  <c r="AG214" i="10" s="1"/>
  <c r="W162" i="16"/>
  <c r="AE87" i="16"/>
  <c r="AG87" i="16" s="1"/>
  <c r="G80" i="9"/>
  <c r="I80" i="9" s="1"/>
  <c r="F40" i="20"/>
  <c r="F39" i="20" s="1"/>
  <c r="BK13" i="10"/>
  <c r="N55" i="20"/>
  <c r="BK15" i="13"/>
  <c r="P44" i="20"/>
  <c r="R44" i="20" s="1"/>
  <c r="BR20" i="16"/>
  <c r="AW4" i="15"/>
  <c r="AJ3" i="15"/>
  <c r="AW19" i="8"/>
  <c r="AJ3" i="8"/>
  <c r="BC5" i="8"/>
  <c r="BE3" i="8"/>
  <c r="BK3" i="8" s="1"/>
  <c r="BQ3" i="8" s="1"/>
  <c r="BN5" i="8" s="1"/>
  <c r="AW4" i="8"/>
  <c r="I10" i="20"/>
  <c r="I9" i="20" s="1"/>
  <c r="D24" i="14"/>
  <c r="AB244" i="10"/>
  <c r="AD244" i="10" s="1"/>
  <c r="AB244" i="11" s="1"/>
  <c r="AD244" i="11" s="1"/>
  <c r="AB244" i="12" s="1"/>
  <c r="AD244" i="12" s="1"/>
  <c r="AB244" i="13" s="1"/>
  <c r="AD244" i="13" s="1"/>
  <c r="AB244" i="14" s="1"/>
  <c r="AD244" i="14" s="1"/>
  <c r="AB244" i="15" s="1"/>
  <c r="AD244" i="15" s="1"/>
  <c r="AB244" i="16" s="1"/>
  <c r="AD244" i="16" s="1"/>
  <c r="E47" i="11"/>
  <c r="E14" i="11"/>
  <c r="W238" i="11"/>
  <c r="X238" i="11" s="1"/>
  <c r="AI238" i="11" s="1"/>
  <c r="I12" i="7"/>
  <c r="W73" i="10"/>
  <c r="W73" i="11" s="1"/>
  <c r="E80" i="13"/>
  <c r="X238" i="9"/>
  <c r="AI238" i="9" s="1"/>
  <c r="AE202" i="9"/>
  <c r="AG202" i="9" s="1"/>
  <c r="AE202" i="10" s="1"/>
  <c r="AG202" i="10" s="1"/>
  <c r="L46" i="7"/>
  <c r="AH37" i="7"/>
  <c r="X246" i="7"/>
  <c r="BE10" i="9"/>
  <c r="BE9" i="9" s="1"/>
  <c r="BE8" i="9" s="1"/>
  <c r="AI160" i="8"/>
  <c r="AH151" i="6"/>
  <c r="AF207" i="9"/>
  <c r="O13" i="20"/>
  <c r="O10" i="20" s="1"/>
  <c r="O9" i="20" s="1"/>
  <c r="BQ14" i="16"/>
  <c r="BQ16" i="14"/>
  <c r="BQ17" i="15"/>
  <c r="P41" i="20" s="1"/>
  <c r="AM63" i="10"/>
  <c r="AB14" i="5"/>
  <c r="BQ9" i="6"/>
  <c r="G36" i="20"/>
  <c r="AE191" i="9"/>
  <c r="AG191" i="9" s="1"/>
  <c r="AJ191" i="8"/>
  <c r="BQ28" i="8"/>
  <c r="BQ28" i="14"/>
  <c r="N12" i="20"/>
  <c r="N10" i="20" s="1"/>
  <c r="N9" i="20" s="1"/>
  <c r="AF112" i="12"/>
  <c r="BQ17" i="12"/>
  <c r="M41" i="20" s="1"/>
  <c r="AF207" i="11"/>
  <c r="BQ27" i="11"/>
  <c r="J55" i="20"/>
  <c r="BK15" i="9"/>
  <c r="V150" i="12"/>
  <c r="V237" i="14"/>
  <c r="V237" i="15" s="1"/>
  <c r="Y133" i="9"/>
  <c r="AD50" i="8"/>
  <c r="E59" i="10"/>
  <c r="E59" i="11" s="1"/>
  <c r="L27" i="7"/>
  <c r="J31" i="8"/>
  <c r="G59" i="9"/>
  <c r="I59" i="9" s="1"/>
  <c r="W59" i="12"/>
  <c r="W59" i="13" s="1"/>
  <c r="E71" i="9"/>
  <c r="AI151" i="6"/>
  <c r="E68" i="14"/>
  <c r="AC63" i="15"/>
  <c r="AL14" i="12"/>
  <c r="AL234" i="15"/>
  <c r="AL232" i="15" s="1"/>
  <c r="AM14" i="15"/>
  <c r="AM14" i="7"/>
  <c r="BQ13" i="7"/>
  <c r="AF63" i="7"/>
  <c r="AF12" i="7" s="1"/>
  <c r="BQ22" i="7"/>
  <c r="BK11" i="7" s="1"/>
  <c r="H48" i="20"/>
  <c r="H46" i="20" s="1"/>
  <c r="AE201" i="10"/>
  <c r="AG201" i="10" s="1"/>
  <c r="AJ33" i="5"/>
  <c r="Y51" i="8"/>
  <c r="AA51" i="8" s="1"/>
  <c r="X244" i="9"/>
  <c r="H55" i="20"/>
  <c r="BK15" i="7"/>
  <c r="M79" i="5"/>
  <c r="N79" i="5"/>
  <c r="L48" i="20"/>
  <c r="L46" i="20" s="1"/>
  <c r="M50" i="20"/>
  <c r="Q50" i="20"/>
  <c r="BR26" i="16"/>
  <c r="BF16" i="7"/>
  <c r="BF16" i="10" s="1"/>
  <c r="BF16" i="13" s="1"/>
  <c r="BF16" i="16" s="1"/>
  <c r="G16" i="20"/>
  <c r="BQ16" i="13"/>
  <c r="AF112" i="13"/>
  <c r="AF112" i="8"/>
  <c r="BQ16" i="8"/>
  <c r="AF145" i="15"/>
  <c r="BQ16" i="15"/>
  <c r="Q54" i="20"/>
  <c r="BK14" i="16"/>
  <c r="X27" i="9"/>
  <c r="U20" i="9"/>
  <c r="U16" i="9" s="1"/>
  <c r="C54" i="9"/>
  <c r="C42" i="9"/>
  <c r="U35" i="11"/>
  <c r="C66" i="11"/>
  <c r="C42" i="11"/>
  <c r="U235" i="13"/>
  <c r="U211" i="13"/>
  <c r="U210" i="13" s="1"/>
  <c r="U209" i="13" s="1"/>
  <c r="U207" i="13" s="1"/>
  <c r="V134" i="16"/>
  <c r="AE183" i="9"/>
  <c r="AG183" i="9" s="1"/>
  <c r="AI153" i="13"/>
  <c r="BQ13" i="5"/>
  <c r="F37" i="20" s="1"/>
  <c r="F32" i="20" s="1"/>
  <c r="BE10" i="13"/>
  <c r="BE9" i="13" s="1"/>
  <c r="BE8" i="13" s="1"/>
  <c r="BE10" i="12"/>
  <c r="BE9" i="12" s="1"/>
  <c r="BE8" i="12" s="1"/>
  <c r="AE21" i="15"/>
  <c r="AG21" i="15" s="1"/>
  <c r="AE21" i="16" s="1"/>
  <c r="AG21" i="16" s="1"/>
  <c r="BH5" i="8"/>
  <c r="BQ14" i="11"/>
  <c r="L16" i="20"/>
  <c r="L10" i="20" s="1"/>
  <c r="L9" i="20" s="1"/>
  <c r="AF170" i="15"/>
  <c r="BQ24" i="15" s="1"/>
  <c r="AF170" i="13"/>
  <c r="BQ24" i="13" s="1"/>
  <c r="N48" i="20" s="1"/>
  <c r="Z63" i="15"/>
  <c r="Z12" i="15" s="1"/>
  <c r="Z112" i="16"/>
  <c r="U195" i="13"/>
  <c r="U194" i="13" s="1"/>
  <c r="U193" i="13" s="1"/>
  <c r="AH37" i="12"/>
  <c r="K55" i="20"/>
  <c r="BK15" i="10"/>
  <c r="AH256" i="5"/>
  <c r="AJ256" i="5"/>
  <c r="AH252" i="5"/>
  <c r="AJ252" i="5"/>
  <c r="AI252" i="5"/>
  <c r="AH130" i="5"/>
  <c r="AI130" i="5"/>
  <c r="AJ130" i="5"/>
  <c r="AI119" i="5"/>
  <c r="AH119" i="5"/>
  <c r="AJ98" i="5"/>
  <c r="AI98" i="5"/>
  <c r="AH98" i="5"/>
  <c r="AI87" i="5"/>
  <c r="AH87" i="5"/>
  <c r="AJ87" i="5"/>
  <c r="AI61" i="5"/>
  <c r="AJ61" i="5"/>
  <c r="X217" i="7"/>
  <c r="AI217" i="7" s="1"/>
  <c r="U211" i="7"/>
  <c r="U210" i="7" s="1"/>
  <c r="U209" i="7" s="1"/>
  <c r="U207" i="7" s="1"/>
  <c r="AE137" i="6"/>
  <c r="AG137" i="6" s="1"/>
  <c r="AE137" i="7" s="1"/>
  <c r="AG137" i="7" s="1"/>
  <c r="H39" i="20"/>
  <c r="BR10" i="16"/>
  <c r="C28" i="12"/>
  <c r="AF170" i="9"/>
  <c r="BQ24" i="9" s="1"/>
  <c r="J48" i="20" s="1"/>
  <c r="J46" i="20" s="1"/>
  <c r="BQ14" i="14"/>
  <c r="AF112" i="11"/>
  <c r="AC112" i="8"/>
  <c r="AC170" i="13"/>
  <c r="AC170" i="11"/>
  <c r="Z220" i="16"/>
  <c r="AM14" i="8"/>
  <c r="AM63" i="13"/>
  <c r="AM12" i="13" s="1"/>
  <c r="AL112" i="14"/>
  <c r="AL14" i="8"/>
  <c r="W227" i="7"/>
  <c r="W229" i="8"/>
  <c r="W227" i="8" s="1"/>
  <c r="P55" i="20"/>
  <c r="BK15" i="15"/>
  <c r="O47" i="20"/>
  <c r="O46" i="20" s="1"/>
  <c r="AF207" i="14"/>
  <c r="BQ27" i="14"/>
  <c r="BQ27" i="12"/>
  <c r="M51" i="20" s="1"/>
  <c r="AF207" i="12"/>
  <c r="I54" i="20"/>
  <c r="AW19" i="12"/>
  <c r="BH5" i="12"/>
  <c r="C75" i="8"/>
  <c r="AB253" i="6"/>
  <c r="AD253" i="6" s="1"/>
  <c r="AB253" i="7" s="1"/>
  <c r="AD253" i="7" s="1"/>
  <c r="AD243" i="5"/>
  <c r="AI253" i="5"/>
  <c r="AF194" i="10"/>
  <c r="BE10" i="10"/>
  <c r="BE9" i="10" s="1"/>
  <c r="BE8" i="10" s="1"/>
  <c r="AC63" i="12"/>
  <c r="AC90" i="14"/>
  <c r="AC63" i="14" s="1"/>
  <c r="AC112" i="15"/>
  <c r="AC220" i="16"/>
  <c r="Z43" i="9"/>
  <c r="Z14" i="9" s="1"/>
  <c r="Z112" i="9"/>
  <c r="Z170" i="11"/>
  <c r="Z170" i="15"/>
  <c r="Z220" i="14"/>
  <c r="AM220" i="8"/>
  <c r="AM14" i="12"/>
  <c r="AM14" i="11"/>
  <c r="U222" i="9"/>
  <c r="AB136" i="8"/>
  <c r="AD136" i="8" s="1"/>
  <c r="AB136" i="9" s="1"/>
  <c r="AD136" i="9" s="1"/>
  <c r="AB136" i="10" s="1"/>
  <c r="AD136" i="10" s="1"/>
  <c r="AB136" i="11" s="1"/>
  <c r="AD136" i="11" s="1"/>
  <c r="AB136" i="12" s="1"/>
  <c r="AD136" i="12" s="1"/>
  <c r="AB136" i="13" s="1"/>
  <c r="AD136" i="13" s="1"/>
  <c r="AI136" i="7"/>
  <c r="AD99" i="6"/>
  <c r="AB96" i="6"/>
  <c r="AD97" i="7"/>
  <c r="AB78" i="13"/>
  <c r="AD78" i="13" s="1"/>
  <c r="L80" i="6"/>
  <c r="J78" i="6"/>
  <c r="L78" i="6" s="1"/>
  <c r="AH213" i="5"/>
  <c r="AH38" i="5"/>
  <c r="AI28" i="5"/>
  <c r="C66" i="10"/>
  <c r="AE153" i="7"/>
  <c r="AJ153" i="6"/>
  <c r="AE26" i="6"/>
  <c r="AG26" i="6" s="1"/>
  <c r="AE26" i="7" s="1"/>
  <c r="AG26" i="7" s="1"/>
  <c r="AG20" i="5"/>
  <c r="AG16" i="5" s="1"/>
  <c r="AB236" i="6"/>
  <c r="AD235" i="5"/>
  <c r="AD227" i="6"/>
  <c r="AB152" i="6"/>
  <c r="AD149" i="5"/>
  <c r="AD147" i="5" s="1"/>
  <c r="J73" i="6"/>
  <c r="L72" i="5"/>
  <c r="Y236" i="6"/>
  <c r="AA235" i="5"/>
  <c r="AH236" i="5"/>
  <c r="W250" i="7"/>
  <c r="X250" i="6"/>
  <c r="AJ250" i="6" s="1"/>
  <c r="W245" i="6"/>
  <c r="W243" i="5"/>
  <c r="X245" i="5"/>
  <c r="W237" i="6"/>
  <c r="X237" i="6" s="1"/>
  <c r="X237" i="5"/>
  <c r="W235" i="5"/>
  <c r="W215" i="6"/>
  <c r="X215" i="5"/>
  <c r="W212" i="6"/>
  <c r="X212" i="5"/>
  <c r="R23" i="20"/>
  <c r="Z43" i="13"/>
  <c r="Z14" i="13" s="1"/>
  <c r="Z194" i="8"/>
  <c r="Z193" i="8" s="1"/>
  <c r="Z194" i="16"/>
  <c r="Z193" i="16" s="1"/>
  <c r="AW19" i="16"/>
  <c r="AT21" i="7"/>
  <c r="AT6" i="6"/>
  <c r="AT6" i="13"/>
  <c r="AT6" i="7"/>
  <c r="AM112" i="10"/>
  <c r="AL112" i="9"/>
  <c r="AB194" i="5"/>
  <c r="AB193" i="5" s="1"/>
  <c r="BQ12" i="12"/>
  <c r="U123" i="6"/>
  <c r="AR21" i="12"/>
  <c r="AT6" i="12"/>
  <c r="AS21" i="9"/>
  <c r="AT6" i="9"/>
  <c r="AR21" i="9"/>
  <c r="AH241" i="5"/>
  <c r="AI241" i="5"/>
  <c r="N49" i="5"/>
  <c r="AE197" i="6"/>
  <c r="AG195" i="5"/>
  <c r="AG194" i="5" s="1"/>
  <c r="AG193" i="5" s="1"/>
  <c r="AS28" i="5" s="1"/>
  <c r="AX28" i="5" s="1"/>
  <c r="AE189" i="6"/>
  <c r="AG189" i="6" s="1"/>
  <c r="AG187" i="5"/>
  <c r="AG185" i="5" s="1"/>
  <c r="AE86" i="6"/>
  <c r="AG83" i="5"/>
  <c r="AE67" i="6"/>
  <c r="AG67" i="6" s="1"/>
  <c r="AJ67" i="5"/>
  <c r="AE60" i="6"/>
  <c r="AG58" i="5"/>
  <c r="AG57" i="5" s="1"/>
  <c r="J49" i="6"/>
  <c r="L48" i="5"/>
  <c r="L30" i="6"/>
  <c r="J29" i="6"/>
  <c r="Y197" i="6"/>
  <c r="AH197" i="5"/>
  <c r="W190" i="6"/>
  <c r="X190" i="6" s="1"/>
  <c r="W187" i="5"/>
  <c r="W185" i="5" s="1"/>
  <c r="W179" i="6"/>
  <c r="X179" i="5"/>
  <c r="W176" i="5"/>
  <c r="W167" i="7"/>
  <c r="W158" i="6"/>
  <c r="W157" i="5"/>
  <c r="W155" i="5" s="1"/>
  <c r="W119" i="7"/>
  <c r="X119" i="7" s="1"/>
  <c r="X119" i="6"/>
  <c r="AJ119" i="6" s="1"/>
  <c r="W108" i="9"/>
  <c r="W102" i="10"/>
  <c r="W92" i="6"/>
  <c r="X92" i="5"/>
  <c r="W91" i="5"/>
  <c r="W71" i="12"/>
  <c r="W71" i="13" s="1"/>
  <c r="W71" i="14" s="1"/>
  <c r="W71" i="15" s="1"/>
  <c r="W71" i="16" s="1"/>
  <c r="W68" i="6"/>
  <c r="W68" i="7" s="1"/>
  <c r="X68" i="5"/>
  <c r="W65" i="5"/>
  <c r="W66" i="9"/>
  <c r="W66" i="10" s="1"/>
  <c r="X66" i="8"/>
  <c r="W54" i="6"/>
  <c r="X54" i="5"/>
  <c r="W49" i="5"/>
  <c r="W48" i="6"/>
  <c r="X48" i="5"/>
  <c r="U220" i="11"/>
  <c r="BK15" i="11"/>
  <c r="BK15" i="14"/>
  <c r="BF12" i="7"/>
  <c r="BF12" i="10" s="1"/>
  <c r="BF12" i="13" s="1"/>
  <c r="BF12" i="16" s="1"/>
  <c r="BE10" i="8"/>
  <c r="BE9" i="8" s="1"/>
  <c r="BE8" i="8" s="1"/>
  <c r="AF220" i="9"/>
  <c r="BQ30" i="9" s="1"/>
  <c r="AC220" i="10"/>
  <c r="Z112" i="8"/>
  <c r="Z112" i="12"/>
  <c r="Z170" i="8"/>
  <c r="Z234" i="14"/>
  <c r="Z232" i="14" s="1"/>
  <c r="AR21" i="7"/>
  <c r="AT6" i="10"/>
  <c r="AL43" i="16"/>
  <c r="AL14" i="16" s="1"/>
  <c r="AL220" i="15"/>
  <c r="AS6" i="13"/>
  <c r="AL43" i="7"/>
  <c r="AL14" i="7" s="1"/>
  <c r="P28" i="13"/>
  <c r="P21" i="13" s="1"/>
  <c r="P19" i="13" s="1"/>
  <c r="P17" i="13" s="1"/>
  <c r="P8" i="13" s="1"/>
  <c r="BC5" i="16"/>
  <c r="BH5" i="16"/>
  <c r="AH201" i="5"/>
  <c r="AI201" i="5"/>
  <c r="AJ201" i="5"/>
  <c r="AH190" i="5"/>
  <c r="AI190" i="5"/>
  <c r="AJ190" i="5"/>
  <c r="AE178" i="6"/>
  <c r="AG176" i="5"/>
  <c r="Y173" i="6"/>
  <c r="AA172" i="5"/>
  <c r="Y116" i="6"/>
  <c r="AA116" i="6" s="1"/>
  <c r="AH116" i="5"/>
  <c r="Y26" i="6"/>
  <c r="AA20" i="5"/>
  <c r="AA16" i="5" s="1"/>
  <c r="I76" i="6"/>
  <c r="I68" i="6"/>
  <c r="G65" i="6"/>
  <c r="I63" i="5"/>
  <c r="G52" i="6"/>
  <c r="I51" i="5"/>
  <c r="G23" i="6"/>
  <c r="I22" i="5"/>
  <c r="D89" i="6"/>
  <c r="D89" i="7" s="1"/>
  <c r="D89" i="8" s="1"/>
  <c r="D89" i="9" s="1"/>
  <c r="D89" i="10" s="1"/>
  <c r="F89" i="5"/>
  <c r="E95" i="6"/>
  <c r="F95" i="6" s="1"/>
  <c r="M95" i="6" s="1"/>
  <c r="F95" i="5"/>
  <c r="E94" i="5"/>
  <c r="N99" i="5"/>
  <c r="F97" i="5"/>
  <c r="D97" i="6"/>
  <c r="D94" i="5"/>
  <c r="I96" i="6"/>
  <c r="G96" i="7" s="1"/>
  <c r="I96" i="7" s="1"/>
  <c r="G96" i="8" s="1"/>
  <c r="I96" i="8" s="1"/>
  <c r="G96" i="9" s="1"/>
  <c r="I96" i="9" s="1"/>
  <c r="G96" i="10" s="1"/>
  <c r="I96" i="10" s="1"/>
  <c r="G96" i="11" s="1"/>
  <c r="I96" i="11" s="1"/>
  <c r="G96" i="12" s="1"/>
  <c r="I96" i="12" s="1"/>
  <c r="G96" i="13" s="1"/>
  <c r="I96" i="13" s="1"/>
  <c r="G96" i="14" s="1"/>
  <c r="I96" i="14" s="1"/>
  <c r="G96" i="15" s="1"/>
  <c r="I96" i="15" s="1"/>
  <c r="G96" i="16" s="1"/>
  <c r="I96" i="16" s="1"/>
  <c r="G94" i="6"/>
  <c r="I106" i="6"/>
  <c r="G106" i="7" s="1"/>
  <c r="G111" i="8"/>
  <c r="I111" i="8" s="1"/>
  <c r="G111" i="9" s="1"/>
  <c r="I111" i="9" s="1"/>
  <c r="G111" i="10" s="1"/>
  <c r="I111" i="10" s="1"/>
  <c r="AL170" i="10"/>
  <c r="AL43" i="9"/>
  <c r="AL14" i="9" s="1"/>
  <c r="AL90" i="6"/>
  <c r="AL63" i="6" s="1"/>
  <c r="AL220" i="5"/>
  <c r="AB90" i="5"/>
  <c r="AB63" i="5" s="1"/>
  <c r="Q28" i="13"/>
  <c r="Q21" i="13" s="1"/>
  <c r="Q19" i="13" s="1"/>
  <c r="Q17" i="13" s="1"/>
  <c r="Q8" i="13" s="1"/>
  <c r="BQ12" i="14"/>
  <c r="AJ78" i="5"/>
  <c r="AH41" i="5"/>
  <c r="AI41" i="5"/>
  <c r="N47" i="5"/>
  <c r="AH37" i="9"/>
  <c r="AE136" i="6"/>
  <c r="AJ136" i="5"/>
  <c r="AG106" i="6"/>
  <c r="AJ78" i="13"/>
  <c r="AE78" i="14"/>
  <c r="AG78" i="14" s="1"/>
  <c r="AE78" i="15" s="1"/>
  <c r="AG78" i="15" s="1"/>
  <c r="AE17" i="6"/>
  <c r="AG17" i="6" s="1"/>
  <c r="AB215" i="6"/>
  <c r="AD211" i="5"/>
  <c r="AD210" i="5" s="1"/>
  <c r="AD209" i="5" s="1"/>
  <c r="AB190" i="6"/>
  <c r="AD187" i="5"/>
  <c r="AD185" i="5" s="1"/>
  <c r="J76" i="6"/>
  <c r="L75" i="5"/>
  <c r="J53" i="6"/>
  <c r="L51" i="5"/>
  <c r="J33" i="6"/>
  <c r="N33" i="5"/>
  <c r="AA115" i="6"/>
  <c r="I79" i="6"/>
  <c r="G79" i="7" s="1"/>
  <c r="G78" i="6"/>
  <c r="I78" i="6" s="1"/>
  <c r="W249" i="6"/>
  <c r="X249" i="5"/>
  <c r="W163" i="6"/>
  <c r="W163" i="7" s="1"/>
  <c r="X163" i="5"/>
  <c r="W97" i="8"/>
  <c r="W86" i="6"/>
  <c r="X86" i="6" s="1"/>
  <c r="X86" i="5"/>
  <c r="W47" i="6"/>
  <c r="X47" i="5"/>
  <c r="W33" i="7"/>
  <c r="E62" i="8"/>
  <c r="E60" i="7"/>
  <c r="V214" i="6"/>
  <c r="X214" i="5"/>
  <c r="V129" i="6"/>
  <c r="V129" i="7" s="1"/>
  <c r="X129" i="5"/>
  <c r="D46" i="8"/>
  <c r="D45" i="7"/>
  <c r="D43" i="7"/>
  <c r="F43" i="7" s="1"/>
  <c r="BE13" i="5"/>
  <c r="L38" i="5"/>
  <c r="AF220" i="5"/>
  <c r="BQ30" i="5" s="1"/>
  <c r="AJ189" i="5"/>
  <c r="BQ14" i="6"/>
  <c r="Z43" i="6"/>
  <c r="Z14" i="6" s="1"/>
  <c r="Z12" i="6" s="1"/>
  <c r="X66" i="7"/>
  <c r="C66" i="15"/>
  <c r="AI244" i="5"/>
  <c r="AJ244" i="5"/>
  <c r="C45" i="6"/>
  <c r="AB225" i="6"/>
  <c r="AD222" i="5"/>
  <c r="AD204" i="6"/>
  <c r="AB203" i="6"/>
  <c r="AB125" i="6"/>
  <c r="AD123" i="5"/>
  <c r="AB75" i="6"/>
  <c r="AD75" i="6" s="1"/>
  <c r="AD59" i="6"/>
  <c r="L67" i="6"/>
  <c r="J66" i="6"/>
  <c r="L58" i="6"/>
  <c r="J57" i="6"/>
  <c r="L55" i="7"/>
  <c r="Y84" i="7"/>
  <c r="G77" i="6"/>
  <c r="I77" i="6" s="1"/>
  <c r="I75" i="5"/>
  <c r="I33" i="6"/>
  <c r="G32" i="6"/>
  <c r="W204" i="6"/>
  <c r="X204" i="5"/>
  <c r="W203" i="5"/>
  <c r="W165" i="6"/>
  <c r="W165" i="7" s="1"/>
  <c r="X165" i="5"/>
  <c r="W134" i="6"/>
  <c r="X134" i="5"/>
  <c r="W45" i="6"/>
  <c r="X45" i="5"/>
  <c r="W44" i="5"/>
  <c r="E56" i="10"/>
  <c r="V240" i="6"/>
  <c r="X240" i="5"/>
  <c r="V156" i="6"/>
  <c r="X156" i="5"/>
  <c r="V125" i="7"/>
  <c r="V94" i="6"/>
  <c r="X94" i="6" s="1"/>
  <c r="X94" i="5"/>
  <c r="U243" i="7"/>
  <c r="AH153" i="7"/>
  <c r="U222" i="12"/>
  <c r="X200" i="12"/>
  <c r="AH200" i="12" s="1"/>
  <c r="AI238" i="5"/>
  <c r="AH224" i="5"/>
  <c r="AI197" i="5"/>
  <c r="AJ197" i="5"/>
  <c r="F72" i="5"/>
  <c r="U141" i="6"/>
  <c r="AG244" i="6"/>
  <c r="AG142" i="6"/>
  <c r="AE142" i="7" s="1"/>
  <c r="AG46" i="6"/>
  <c r="AE25" i="6"/>
  <c r="AG25" i="6" s="1"/>
  <c r="AJ25" i="5"/>
  <c r="AB189" i="7"/>
  <c r="AB66" i="6"/>
  <c r="AB29" i="6"/>
  <c r="AD29" i="6" s="1"/>
  <c r="AD21" i="6"/>
  <c r="L43" i="7"/>
  <c r="Y244" i="6"/>
  <c r="AA243" i="5"/>
  <c r="AA204" i="6"/>
  <c r="Y203" i="6"/>
  <c r="K28" i="13"/>
  <c r="K21" i="13" s="1"/>
  <c r="K19" i="13" s="1"/>
  <c r="K17" i="13" s="1"/>
  <c r="AF90" i="16"/>
  <c r="AF43" i="9"/>
  <c r="AF90" i="8"/>
  <c r="AJ247" i="5"/>
  <c r="AJ191" i="5"/>
  <c r="AJ181" i="5"/>
  <c r="AJ39" i="5"/>
  <c r="AI74" i="5"/>
  <c r="AF194" i="5"/>
  <c r="AF90" i="6"/>
  <c r="C78" i="8"/>
  <c r="C22" i="8"/>
  <c r="U227" i="15"/>
  <c r="AJ37" i="5"/>
  <c r="AJ19" i="5"/>
  <c r="AI37" i="5"/>
  <c r="N77" i="5"/>
  <c r="X223" i="6"/>
  <c r="AI223" i="6" s="1"/>
  <c r="X213" i="6"/>
  <c r="AI213" i="6" s="1"/>
  <c r="C60" i="6"/>
  <c r="C51" i="6"/>
  <c r="X201" i="8"/>
  <c r="X78" i="8"/>
  <c r="C45" i="8"/>
  <c r="X197" i="9"/>
  <c r="U49" i="9"/>
  <c r="U35" i="9"/>
  <c r="C78" i="9"/>
  <c r="C69" i="9"/>
  <c r="C51" i="9"/>
  <c r="C22" i="9"/>
  <c r="X244" i="7"/>
  <c r="U222" i="7"/>
  <c r="X216" i="7"/>
  <c r="X93" i="7"/>
  <c r="F62" i="7"/>
  <c r="C45" i="7"/>
  <c r="C10" i="7"/>
  <c r="U222" i="10"/>
  <c r="X29" i="10"/>
  <c r="C69" i="10"/>
  <c r="X162" i="11"/>
  <c r="AI162" i="11" s="1"/>
  <c r="U149" i="11"/>
  <c r="U147" i="11" s="1"/>
  <c r="U114" i="11"/>
  <c r="X78" i="11"/>
  <c r="AJ78" i="11" s="1"/>
  <c r="X52" i="11"/>
  <c r="C29" i="11"/>
  <c r="C10" i="11"/>
  <c r="X218" i="12"/>
  <c r="AH218" i="12" s="1"/>
  <c r="X136" i="12"/>
  <c r="AH30" i="12"/>
  <c r="X138" i="13"/>
  <c r="AH138" i="13" s="1"/>
  <c r="X27" i="14"/>
  <c r="AI27" i="14" s="1"/>
  <c r="U20" i="14"/>
  <c r="U16" i="14" s="1"/>
  <c r="C57" i="14"/>
  <c r="C45" i="14"/>
  <c r="C29" i="14"/>
  <c r="U222" i="15"/>
  <c r="X81" i="6"/>
  <c r="X241" i="8"/>
  <c r="X230" i="8"/>
  <c r="U222" i="8"/>
  <c r="X217" i="8"/>
  <c r="X180" i="8"/>
  <c r="U149" i="8"/>
  <c r="U147" i="8" s="1"/>
  <c r="U145" i="8" s="1"/>
  <c r="X136" i="8"/>
  <c r="X59" i="8"/>
  <c r="U227" i="9"/>
  <c r="X216" i="9"/>
  <c r="AH216" i="9" s="1"/>
  <c r="X153" i="9"/>
  <c r="X136" i="9"/>
  <c r="U114" i="9"/>
  <c r="U112" i="9" s="1"/>
  <c r="X29" i="9"/>
  <c r="AJ29" i="9" s="1"/>
  <c r="C48" i="9"/>
  <c r="X230" i="7"/>
  <c r="AJ230" i="7" s="1"/>
  <c r="U157" i="7"/>
  <c r="U155" i="7" s="1"/>
  <c r="X148" i="7"/>
  <c r="X59" i="7"/>
  <c r="X230" i="10"/>
  <c r="X200" i="10"/>
  <c r="AH200" i="10" s="1"/>
  <c r="U172" i="10"/>
  <c r="X148" i="10"/>
  <c r="U123" i="10"/>
  <c r="X136" i="10"/>
  <c r="AH136" i="10" s="1"/>
  <c r="U96" i="10"/>
  <c r="U90" i="10" s="1"/>
  <c r="C10" i="10"/>
  <c r="X253" i="11"/>
  <c r="X201" i="11"/>
  <c r="C69" i="11"/>
  <c r="X201" i="12"/>
  <c r="U149" i="12"/>
  <c r="U147" i="12" s="1"/>
  <c r="C54" i="12"/>
  <c r="C42" i="12"/>
  <c r="X216" i="13"/>
  <c r="U49" i="14"/>
  <c r="U43" i="14" s="1"/>
  <c r="X25" i="14"/>
  <c r="C66" i="14"/>
  <c r="C60" i="14"/>
  <c r="C54" i="14"/>
  <c r="AH30" i="15"/>
  <c r="U187" i="16"/>
  <c r="U185" i="16" s="1"/>
  <c r="U91" i="16"/>
  <c r="C29" i="16"/>
  <c r="F39" i="7"/>
  <c r="M39" i="7" s="1"/>
  <c r="D39" i="8"/>
  <c r="G90" i="6"/>
  <c r="I90" i="6" s="1"/>
  <c r="E110" i="6"/>
  <c r="F110" i="5"/>
  <c r="I118" i="6"/>
  <c r="G118" i="7" s="1"/>
  <c r="I118" i="7" s="1"/>
  <c r="G118" i="8" s="1"/>
  <c r="I118" i="8" s="1"/>
  <c r="G118" i="9" s="1"/>
  <c r="I118" i="9" s="1"/>
  <c r="G118" i="10" s="1"/>
  <c r="I118" i="10" s="1"/>
  <c r="G118" i="11" s="1"/>
  <c r="I118" i="11" s="1"/>
  <c r="G118" i="12" s="1"/>
  <c r="I118" i="12" s="1"/>
  <c r="G118" i="13" s="1"/>
  <c r="I118" i="13" s="1"/>
  <c r="G118" i="14" s="1"/>
  <c r="I118" i="14" s="1"/>
  <c r="G118" i="15" s="1"/>
  <c r="I118" i="15" s="1"/>
  <c r="G118" i="16" s="1"/>
  <c r="I118" i="16" s="1"/>
  <c r="U35" i="15"/>
  <c r="X29" i="15"/>
  <c r="U49" i="16"/>
  <c r="J104" i="6"/>
  <c r="L105" i="6"/>
  <c r="L104" i="6" s="1"/>
  <c r="E91" i="6"/>
  <c r="F91" i="6" s="1"/>
  <c r="F91" i="5"/>
  <c r="E85" i="5"/>
  <c r="J119" i="6"/>
  <c r="L113" i="5"/>
  <c r="AS15" i="5" s="1"/>
  <c r="AX15" i="5" s="1"/>
  <c r="D115" i="8"/>
  <c r="D115" i="9" s="1"/>
  <c r="D95" i="7"/>
  <c r="C66" i="16"/>
  <c r="F109" i="10"/>
  <c r="N109" i="10" s="1"/>
  <c r="D117" i="6"/>
  <c r="D117" i="7" s="1"/>
  <c r="F117" i="5"/>
  <c r="E115" i="6"/>
  <c r="E113" i="5"/>
  <c r="C85" i="7"/>
  <c r="C113" i="7"/>
  <c r="F109" i="9"/>
  <c r="M109" i="9" s="1"/>
  <c r="D87" i="6"/>
  <c r="D87" i="7" s="1"/>
  <c r="F87" i="5"/>
  <c r="D120" i="6"/>
  <c r="F120" i="5"/>
  <c r="G108" i="6"/>
  <c r="I108" i="6" s="1"/>
  <c r="G108" i="7" s="1"/>
  <c r="I108" i="7" s="1"/>
  <c r="G108" i="8" s="1"/>
  <c r="I108" i="8" s="1"/>
  <c r="G108" i="9" s="1"/>
  <c r="I108" i="9" s="1"/>
  <c r="G108" i="10" s="1"/>
  <c r="I108" i="10" s="1"/>
  <c r="G108" i="11" s="1"/>
  <c r="I108" i="11" s="1"/>
  <c r="G108" i="12" s="1"/>
  <c r="I108" i="12" s="1"/>
  <c r="G108" i="13" s="1"/>
  <c r="I108" i="13" s="1"/>
  <c r="G108" i="14" s="1"/>
  <c r="I108" i="14" s="1"/>
  <c r="G108" i="15" s="1"/>
  <c r="I108" i="15" s="1"/>
  <c r="G108" i="16" s="1"/>
  <c r="I108" i="16" s="1"/>
  <c r="I104" i="5"/>
  <c r="D110" i="7"/>
  <c r="D111" i="6"/>
  <c r="D111" i="7" s="1"/>
  <c r="F111" i="5"/>
  <c r="F121" i="5"/>
  <c r="F119" i="5"/>
  <c r="E104" i="5"/>
  <c r="F100" i="9"/>
  <c r="D121" i="6"/>
  <c r="J86" i="6"/>
  <c r="L86" i="6" s="1"/>
  <c r="J86" i="7" s="1"/>
  <c r="L85" i="5"/>
  <c r="L94" i="5"/>
  <c r="J95" i="6"/>
  <c r="D101" i="6"/>
  <c r="F101" i="5"/>
  <c r="D96" i="8"/>
  <c r="F96" i="7"/>
  <c r="D104" i="5"/>
  <c r="F105" i="5"/>
  <c r="D105" i="6"/>
  <c r="F105" i="6" s="1"/>
  <c r="J110" i="8"/>
  <c r="L110" i="8" s="1"/>
  <c r="J110" i="9" s="1"/>
  <c r="L110" i="9" s="1"/>
  <c r="J110" i="10" s="1"/>
  <c r="L110" i="10" s="1"/>
  <c r="J110" i="11" s="1"/>
  <c r="L110" i="11" s="1"/>
  <c r="J110" i="12" s="1"/>
  <c r="L110" i="12" s="1"/>
  <c r="J110" i="13" s="1"/>
  <c r="L110" i="13" s="1"/>
  <c r="J110" i="14" s="1"/>
  <c r="L110" i="14" s="1"/>
  <c r="J110" i="15" s="1"/>
  <c r="L110" i="15" s="1"/>
  <c r="J110" i="16" s="1"/>
  <c r="L110" i="16" s="1"/>
  <c r="E119" i="10"/>
  <c r="D85" i="5"/>
  <c r="F99" i="6"/>
  <c r="F100" i="8"/>
  <c r="F99" i="7"/>
  <c r="BD18" i="5"/>
  <c r="D38" i="6"/>
  <c r="F38" i="5"/>
  <c r="N86" i="5"/>
  <c r="M86" i="5"/>
  <c r="G86" i="6"/>
  <c r="G85" i="6" s="1"/>
  <c r="I85" i="5"/>
  <c r="G120" i="6"/>
  <c r="I120" i="6" s="1"/>
  <c r="BD20" i="5"/>
  <c r="F115" i="5"/>
  <c r="D113" i="5"/>
  <c r="D102" i="7"/>
  <c r="F102" i="6"/>
  <c r="D108" i="6"/>
  <c r="F108" i="5"/>
  <c r="D116" i="10"/>
  <c r="D116" i="11" s="1"/>
  <c r="D116" i="12" s="1"/>
  <c r="D124" i="10"/>
  <c r="D124" i="11" s="1"/>
  <c r="D124" i="12" s="1"/>
  <c r="D124" i="13" s="1"/>
  <c r="D124" i="14" s="1"/>
  <c r="G95" i="7"/>
  <c r="I95" i="7" s="1"/>
  <c r="G95" i="8" s="1"/>
  <c r="I95" i="8" s="1"/>
  <c r="N39" i="5"/>
  <c r="N96" i="5"/>
  <c r="L104" i="5"/>
  <c r="F109" i="5"/>
  <c r="D100" i="10"/>
  <c r="F100" i="10" s="1"/>
  <c r="F100" i="7"/>
  <c r="F100" i="6"/>
  <c r="D106" i="6"/>
  <c r="C85" i="11"/>
  <c r="C104" i="11"/>
  <c r="D86" i="6"/>
  <c r="F98" i="6"/>
  <c r="AA174" i="16"/>
  <c r="AE216" i="14"/>
  <c r="AG216" i="14" s="1"/>
  <c r="AD245" i="9"/>
  <c r="W228" i="11"/>
  <c r="AE205" i="10"/>
  <c r="AG205" i="10" s="1"/>
  <c r="AJ205" i="9"/>
  <c r="AB213" i="8"/>
  <c r="W99" i="13"/>
  <c r="AA159" i="8"/>
  <c r="E44" i="15"/>
  <c r="AJ23" i="10"/>
  <c r="AH23" i="10"/>
  <c r="AE239" i="9"/>
  <c r="AG239" i="9" s="1"/>
  <c r="AJ230" i="11"/>
  <c r="AE230" i="12"/>
  <c r="AG230" i="12" s="1"/>
  <c r="AE129" i="16"/>
  <c r="AG129" i="16" s="1"/>
  <c r="AH41" i="16"/>
  <c r="V212" i="11"/>
  <c r="W23" i="11"/>
  <c r="AB224" i="7"/>
  <c r="D82" i="9"/>
  <c r="I55" i="8"/>
  <c r="AE102" i="13"/>
  <c r="AG102" i="13" s="1"/>
  <c r="U194" i="11"/>
  <c r="U193" i="11" s="1"/>
  <c r="X93" i="13"/>
  <c r="AD143" i="9"/>
  <c r="AE256" i="10"/>
  <c r="AG256" i="10" s="1"/>
  <c r="AE200" i="10"/>
  <c r="AG200" i="10" s="1"/>
  <c r="AJ200" i="9"/>
  <c r="AB26" i="8"/>
  <c r="L82" i="7"/>
  <c r="L52" i="7"/>
  <c r="L37" i="7"/>
  <c r="H8" i="7"/>
  <c r="AE88" i="16"/>
  <c r="AG88" i="16" s="1"/>
  <c r="H8" i="14"/>
  <c r="AI182" i="12"/>
  <c r="AH182" i="12"/>
  <c r="AB55" i="10"/>
  <c r="AD55" i="10" s="1"/>
  <c r="X252" i="13"/>
  <c r="W138" i="16"/>
  <c r="X138" i="16" s="1"/>
  <c r="X138" i="15"/>
  <c r="AJ3" i="10"/>
  <c r="AW19" i="10"/>
  <c r="BC5" i="10"/>
  <c r="BE3" i="10"/>
  <c r="BK3" i="10" s="1"/>
  <c r="BQ3" i="10" s="1"/>
  <c r="BN5" i="10" s="1"/>
  <c r="BH5" i="10"/>
  <c r="AE74" i="16"/>
  <c r="AG74" i="16" s="1"/>
  <c r="V50" i="12"/>
  <c r="D34" i="11"/>
  <c r="V38" i="9"/>
  <c r="AB212" i="9"/>
  <c r="BP26" i="8"/>
  <c r="AI93" i="12"/>
  <c r="W106" i="9"/>
  <c r="AE198" i="9"/>
  <c r="AG198" i="9" s="1"/>
  <c r="AE198" i="10" s="1"/>
  <c r="AG198" i="10" s="1"/>
  <c r="AE198" i="11" s="1"/>
  <c r="AG198" i="11" s="1"/>
  <c r="AE198" i="12" s="1"/>
  <c r="AG198" i="12" s="1"/>
  <c r="AE198" i="13" s="1"/>
  <c r="AG198" i="13" s="1"/>
  <c r="AE198" i="14" s="1"/>
  <c r="AG198" i="14" s="1"/>
  <c r="AE198" i="15" s="1"/>
  <c r="AG198" i="15" s="1"/>
  <c r="AE198" i="16" s="1"/>
  <c r="AG198" i="16" s="1"/>
  <c r="AE199" i="9"/>
  <c r="AG199" i="9" s="1"/>
  <c r="AE199" i="10" s="1"/>
  <c r="AG199" i="10" s="1"/>
  <c r="AE199" i="11" s="1"/>
  <c r="AG199" i="11" s="1"/>
  <c r="AE199" i="12" s="1"/>
  <c r="AG199" i="12" s="1"/>
  <c r="AE199" i="13" s="1"/>
  <c r="AG199" i="13" s="1"/>
  <c r="AE199" i="14" s="1"/>
  <c r="AG199" i="14" s="1"/>
  <c r="AE199" i="15" s="1"/>
  <c r="AG199" i="15" s="1"/>
  <c r="AE199" i="16" s="1"/>
  <c r="AG199" i="16" s="1"/>
  <c r="AH191" i="16"/>
  <c r="G41" i="7"/>
  <c r="I41" i="7" s="1"/>
  <c r="AA27" i="7"/>
  <c r="AH136" i="11"/>
  <c r="V28" i="9"/>
  <c r="Y229" i="9"/>
  <c r="AE163" i="16"/>
  <c r="AG163" i="16" s="1"/>
  <c r="R17" i="20"/>
  <c r="V245" i="12"/>
  <c r="AE190" i="11"/>
  <c r="AG190" i="11" s="1"/>
  <c r="AE240" i="11"/>
  <c r="AG240" i="11" s="1"/>
  <c r="E83" i="12"/>
  <c r="AE237" i="9"/>
  <c r="Y214" i="12"/>
  <c r="W244" i="11"/>
  <c r="X244" i="10"/>
  <c r="AE225" i="9"/>
  <c r="AG225" i="9" s="1"/>
  <c r="AE225" i="10" s="1"/>
  <c r="AG225" i="10" s="1"/>
  <c r="AE225" i="11" s="1"/>
  <c r="AG225" i="11" s="1"/>
  <c r="AE225" i="12" s="1"/>
  <c r="AG225" i="12" s="1"/>
  <c r="AE225" i="13" s="1"/>
  <c r="AG225" i="13" s="1"/>
  <c r="AE225" i="14" s="1"/>
  <c r="AG225" i="14" s="1"/>
  <c r="AE225" i="15" s="1"/>
  <c r="AG225" i="15" s="1"/>
  <c r="AE225" i="16" s="1"/>
  <c r="AG225" i="16" s="1"/>
  <c r="AE254" i="9"/>
  <c r="AG254" i="9" s="1"/>
  <c r="AG204" i="8"/>
  <c r="AE203" i="8"/>
  <c r="AE253" i="9"/>
  <c r="AG253" i="9" s="1"/>
  <c r="AI52" i="16"/>
  <c r="AH160" i="7"/>
  <c r="AI160" i="7"/>
  <c r="AJ160" i="7"/>
  <c r="AH53" i="12"/>
  <c r="AB23" i="10"/>
  <c r="W126" i="8"/>
  <c r="Y215" i="7"/>
  <c r="Y53" i="15"/>
  <c r="AA53" i="15" s="1"/>
  <c r="W223" i="9"/>
  <c r="V225" i="10"/>
  <c r="AH148" i="16"/>
  <c r="C10" i="18"/>
  <c r="AI148" i="16"/>
  <c r="L15" i="7"/>
  <c r="J15" i="8" s="1"/>
  <c r="AH153" i="12"/>
  <c r="W174" i="9"/>
  <c r="AB229" i="8"/>
  <c r="AB183" i="7"/>
  <c r="AD183" i="7" s="1"/>
  <c r="AE54" i="7"/>
  <c r="F25" i="20"/>
  <c r="V19" i="15"/>
  <c r="X213" i="7"/>
  <c r="V213" i="8"/>
  <c r="W94" i="8"/>
  <c r="I36" i="8"/>
  <c r="Y25" i="14"/>
  <c r="AA47" i="13"/>
  <c r="Y70" i="7"/>
  <c r="AB153" i="16"/>
  <c r="D3" i="5"/>
  <c r="V3" i="5"/>
  <c r="U114" i="8"/>
  <c r="U112" i="8" s="1"/>
  <c r="U105" i="8"/>
  <c r="U104" i="8" s="1"/>
  <c r="U58" i="8"/>
  <c r="U57" i="8" s="1"/>
  <c r="X76" i="10"/>
  <c r="U69" i="10"/>
  <c r="U65" i="10" s="1"/>
  <c r="U243" i="11"/>
  <c r="U234" i="11" s="1"/>
  <c r="U232" i="11" s="1"/>
  <c r="AH168" i="11"/>
  <c r="AE218" i="9"/>
  <c r="AG218" i="9" s="1"/>
  <c r="AE174" i="7"/>
  <c r="AE143" i="9"/>
  <c r="AG143" i="9" s="1"/>
  <c r="AE143" i="10" s="1"/>
  <c r="AG143" i="10" s="1"/>
  <c r="AE143" i="11" s="1"/>
  <c r="AG143" i="11" s="1"/>
  <c r="AE143" i="12" s="1"/>
  <c r="AG143" i="12" s="1"/>
  <c r="AE143" i="13" s="1"/>
  <c r="AG143" i="13" s="1"/>
  <c r="AE143" i="14" s="1"/>
  <c r="AG143" i="14" s="1"/>
  <c r="AE143" i="15" s="1"/>
  <c r="AG143" i="15" s="1"/>
  <c r="AE143" i="16" s="1"/>
  <c r="AG143" i="16" s="1"/>
  <c r="AE132" i="12"/>
  <c r="AG132" i="12" s="1"/>
  <c r="AE125" i="14"/>
  <c r="AG125" i="14" s="1"/>
  <c r="AE125" i="15" s="1"/>
  <c r="AG125" i="15" s="1"/>
  <c r="AE125" i="16" s="1"/>
  <c r="AG125" i="16" s="1"/>
  <c r="AG95" i="7"/>
  <c r="AE72" i="7"/>
  <c r="AG72" i="7" s="1"/>
  <c r="AE39" i="13"/>
  <c r="AG39" i="13" s="1"/>
  <c r="AE39" i="14" s="1"/>
  <c r="AG39" i="14" s="1"/>
  <c r="AE33" i="15"/>
  <c r="AE31" i="10"/>
  <c r="AG31" i="10" s="1"/>
  <c r="AJ31" i="9"/>
  <c r="AG19" i="7"/>
  <c r="AB201" i="11"/>
  <c r="AD201" i="11" s="1"/>
  <c r="AB135" i="13"/>
  <c r="AD135" i="13" s="1"/>
  <c r="AB134" i="8"/>
  <c r="AB61" i="11"/>
  <c r="AB53" i="11"/>
  <c r="AD53" i="11" s="1"/>
  <c r="AI53" i="10"/>
  <c r="AB17" i="15"/>
  <c r="Y241" i="11"/>
  <c r="AA241" i="11" s="1"/>
  <c r="AJ27" i="15"/>
  <c r="X93" i="11"/>
  <c r="D52" i="12"/>
  <c r="AI124" i="8"/>
  <c r="AE212" i="8"/>
  <c r="AI52" i="15"/>
  <c r="J63" i="6"/>
  <c r="L65" i="6"/>
  <c r="AH205" i="14"/>
  <c r="AH29" i="16"/>
  <c r="AH218" i="7"/>
  <c r="AJ218" i="7"/>
  <c r="AD70" i="8"/>
  <c r="AH252" i="11"/>
  <c r="AB36" i="9"/>
  <c r="AB94" i="12"/>
  <c r="AE30" i="14"/>
  <c r="AG30" i="14" s="1"/>
  <c r="V124" i="9"/>
  <c r="X223" i="7"/>
  <c r="Y31" i="14"/>
  <c r="AA31" i="14" s="1"/>
  <c r="X162" i="14"/>
  <c r="AB121" i="16"/>
  <c r="AD121" i="16" s="1"/>
  <c r="BC5" i="11"/>
  <c r="AJ3" i="11"/>
  <c r="AW4" i="11"/>
  <c r="AJ162" i="11"/>
  <c r="U123" i="11"/>
  <c r="U157" i="13"/>
  <c r="U155" i="13" s="1"/>
  <c r="U123" i="14"/>
  <c r="C10" i="15"/>
  <c r="U123" i="15"/>
  <c r="AE179" i="12"/>
  <c r="AG179" i="12" s="1"/>
  <c r="AE168" i="9"/>
  <c r="AE131" i="11"/>
  <c r="AG131" i="11" s="1"/>
  <c r="AE131" i="12" s="1"/>
  <c r="AG131" i="12" s="1"/>
  <c r="AE131" i="13" s="1"/>
  <c r="AG131" i="13" s="1"/>
  <c r="AE119" i="9"/>
  <c r="AG119" i="9" s="1"/>
  <c r="AE85" i="8"/>
  <c r="AE84" i="9"/>
  <c r="AE45" i="11"/>
  <c r="AE29" i="10"/>
  <c r="AG29" i="10" s="1"/>
  <c r="AG18" i="8"/>
  <c r="AB249" i="14"/>
  <c r="AD249" i="14" s="1"/>
  <c r="AD248" i="6"/>
  <c r="AB181" i="12"/>
  <c r="AD181" i="12" s="1"/>
  <c r="AB132" i="11"/>
  <c r="AB129" i="12"/>
  <c r="AB22" i="11"/>
  <c r="AI22" i="10"/>
  <c r="Y254" i="15"/>
  <c r="AA254" i="15" s="1"/>
  <c r="Y254" i="16" s="1"/>
  <c r="AA254" i="16" s="1"/>
  <c r="E74" i="11"/>
  <c r="AG115" i="8"/>
  <c r="AD93" i="16"/>
  <c r="AB39" i="15"/>
  <c r="AD39" i="15" s="1"/>
  <c r="X223" i="8"/>
  <c r="I71" i="11"/>
  <c r="AJ205" i="8"/>
  <c r="G50" i="7"/>
  <c r="W120" i="8"/>
  <c r="H8" i="11"/>
  <c r="B14" i="7"/>
  <c r="X67" i="15"/>
  <c r="U65" i="15"/>
  <c r="AE249" i="9"/>
  <c r="AG249" i="9" s="1"/>
  <c r="AE238" i="8"/>
  <c r="AJ238" i="7"/>
  <c r="AE161" i="13"/>
  <c r="AG161" i="13" s="1"/>
  <c r="AE148" i="9"/>
  <c r="AE118" i="8"/>
  <c r="AG118" i="8" s="1"/>
  <c r="AE107" i="11"/>
  <c r="AG107" i="11" s="1"/>
  <c r="AE107" i="12" s="1"/>
  <c r="AG107" i="12" s="1"/>
  <c r="AE101" i="9"/>
  <c r="AG101" i="9" s="1"/>
  <c r="AJ101" i="8"/>
  <c r="AE100" i="10"/>
  <c r="AG100" i="10" s="1"/>
  <c r="AG97" i="7"/>
  <c r="AE92" i="11"/>
  <c r="AG81" i="7"/>
  <c r="AE77" i="9"/>
  <c r="AG77" i="9" s="1"/>
  <c r="AG53" i="8"/>
  <c r="AG48" i="7"/>
  <c r="AB252" i="11"/>
  <c r="AD252" i="11" s="1"/>
  <c r="AB252" i="12" s="1"/>
  <c r="AD252" i="12" s="1"/>
  <c r="AB252" i="13" s="1"/>
  <c r="AD252" i="13" s="1"/>
  <c r="AB252" i="14" s="1"/>
  <c r="AD252" i="14" s="1"/>
  <c r="AB252" i="15" s="1"/>
  <c r="AD252" i="15" s="1"/>
  <c r="AB252" i="16" s="1"/>
  <c r="AD252" i="16" s="1"/>
  <c r="AI252" i="10"/>
  <c r="AD239" i="8"/>
  <c r="B24" i="10"/>
  <c r="AH162" i="15"/>
  <c r="AJ162" i="15"/>
  <c r="AD107" i="8"/>
  <c r="X246" i="8"/>
  <c r="V246" i="9"/>
  <c r="D13" i="9"/>
  <c r="AE108" i="16"/>
  <c r="AG108" i="16" s="1"/>
  <c r="AI151" i="11"/>
  <c r="AH37" i="10"/>
  <c r="W72" i="14"/>
  <c r="AH181" i="7"/>
  <c r="AJ181" i="7"/>
  <c r="AI181" i="7"/>
  <c r="AE158" i="7"/>
  <c r="AH252" i="9"/>
  <c r="AD115" i="16"/>
  <c r="AI162" i="12"/>
  <c r="BN5" i="16"/>
  <c r="BR5" i="16"/>
  <c r="X59" i="6"/>
  <c r="U58" i="6"/>
  <c r="U57" i="6" s="1"/>
  <c r="AJ29" i="6"/>
  <c r="AH23" i="6"/>
  <c r="U243" i="8"/>
  <c r="U195" i="8"/>
  <c r="U194" i="8" s="1"/>
  <c r="U193" i="8" s="1"/>
  <c r="U176" i="8"/>
  <c r="AI164" i="8"/>
  <c r="U195" i="9"/>
  <c r="U194" i="9" s="1"/>
  <c r="U193" i="9" s="1"/>
  <c r="X181" i="9"/>
  <c r="U176" i="9"/>
  <c r="AJ162" i="7"/>
  <c r="AI162" i="7"/>
  <c r="AE211" i="6"/>
  <c r="AE210" i="6" s="1"/>
  <c r="AE209" i="6" s="1"/>
  <c r="AE207" i="6" s="1"/>
  <c r="AG215" i="6"/>
  <c r="AE186" i="7"/>
  <c r="AE164" i="8"/>
  <c r="AG164" i="8" s="1"/>
  <c r="AJ164" i="7"/>
  <c r="AE135" i="13"/>
  <c r="AG135" i="13" s="1"/>
  <c r="AE134" i="9"/>
  <c r="AG134" i="9" s="1"/>
  <c r="AE133" i="10"/>
  <c r="AG133" i="10" s="1"/>
  <c r="AE99" i="8"/>
  <c r="AG99" i="8" s="1"/>
  <c r="AE80" i="9"/>
  <c r="AG80" i="9" s="1"/>
  <c r="AE66" i="14"/>
  <c r="AG66" i="14" s="1"/>
  <c r="AB230" i="13"/>
  <c r="AD230" i="13" s="1"/>
  <c r="AI230" i="12"/>
  <c r="E53" i="10"/>
  <c r="E50" i="10"/>
  <c r="U63" i="7"/>
  <c r="AI160" i="6"/>
  <c r="F15" i="7"/>
  <c r="D15" i="8"/>
  <c r="W116" i="8"/>
  <c r="W177" i="14"/>
  <c r="AH230" i="16"/>
  <c r="BC5" i="5"/>
  <c r="AW19" i="5"/>
  <c r="BH5" i="5"/>
  <c r="AW4" i="16"/>
  <c r="AJ3" i="16"/>
  <c r="BE3" i="14"/>
  <c r="BK3" i="14" s="1"/>
  <c r="BQ3" i="14" s="1"/>
  <c r="BN5" i="14" s="1"/>
  <c r="AJ3" i="14"/>
  <c r="BC5" i="14"/>
  <c r="BH5" i="14"/>
  <c r="AW4" i="14"/>
  <c r="X253" i="6"/>
  <c r="U243" i="6"/>
  <c r="U227" i="6"/>
  <c r="C54" i="6"/>
  <c r="U83" i="9"/>
  <c r="AH41" i="9"/>
  <c r="X18" i="9"/>
  <c r="C57" i="9"/>
  <c r="C35" i="9"/>
  <c r="X46" i="7"/>
  <c r="U44" i="7"/>
  <c r="U20" i="7"/>
  <c r="U16" i="7" s="1"/>
  <c r="AI23" i="7"/>
  <c r="AH23" i="7"/>
  <c r="X197" i="12"/>
  <c r="U195" i="12"/>
  <c r="U194" i="12" s="1"/>
  <c r="U193" i="12" s="1"/>
  <c r="U157" i="12"/>
  <c r="U155" i="12" s="1"/>
  <c r="C66" i="12"/>
  <c r="C48" i="12"/>
  <c r="U69" i="13"/>
  <c r="U65" i="13" s="1"/>
  <c r="AE177" i="7"/>
  <c r="AE167" i="9"/>
  <c r="AG167" i="9" s="1"/>
  <c r="AE166" i="12"/>
  <c r="AG166" i="12" s="1"/>
  <c r="AE166" i="13" s="1"/>
  <c r="AG166" i="13" s="1"/>
  <c r="AE165" i="8"/>
  <c r="AG165" i="8" s="1"/>
  <c r="AE156" i="14"/>
  <c r="AG156" i="14" s="1"/>
  <c r="AE130" i="9"/>
  <c r="AG130" i="9" s="1"/>
  <c r="AE130" i="10" s="1"/>
  <c r="AG130" i="10" s="1"/>
  <c r="AJ130" i="8"/>
  <c r="AG124" i="7"/>
  <c r="AE93" i="9"/>
  <c r="AE37" i="12"/>
  <c r="AG22" i="6"/>
  <c r="AB200" i="11"/>
  <c r="AD200" i="11" s="1"/>
  <c r="AB200" i="12" s="1"/>
  <c r="AD200" i="12" s="1"/>
  <c r="AI200" i="10"/>
  <c r="U211" i="12"/>
  <c r="U210" i="12" s="1"/>
  <c r="U209" i="12" s="1"/>
  <c r="U207" i="12" s="1"/>
  <c r="U123" i="13"/>
  <c r="U112" i="13" s="1"/>
  <c r="Y161" i="11"/>
  <c r="AA161" i="11" s="1"/>
  <c r="AI101" i="9"/>
  <c r="AH101" i="9"/>
  <c r="AE51" i="9"/>
  <c r="Y152" i="7"/>
  <c r="AA149" i="6"/>
  <c r="AA147" i="6" s="1"/>
  <c r="AB214" i="14"/>
  <c r="AD214" i="14" s="1"/>
  <c r="AW19" i="15"/>
  <c r="BC5" i="15"/>
  <c r="BH5" i="15"/>
  <c r="BE3" i="15"/>
  <c r="BK3" i="15" s="1"/>
  <c r="BQ3" i="15" s="1"/>
  <c r="BN5" i="15" s="1"/>
  <c r="AW19" i="7"/>
  <c r="AW4" i="7"/>
  <c r="BC5" i="7"/>
  <c r="X162" i="6"/>
  <c r="U157" i="6"/>
  <c r="U155" i="6" s="1"/>
  <c r="U176" i="10"/>
  <c r="U243" i="14"/>
  <c r="U222" i="14"/>
  <c r="U220" i="14" s="1"/>
  <c r="AE250" i="7"/>
  <c r="AG250" i="7" s="1"/>
  <c r="AE250" i="8" s="1"/>
  <c r="AG250" i="8" s="1"/>
  <c r="AG241" i="6"/>
  <c r="AE235" i="6"/>
  <c r="AE138" i="10"/>
  <c r="AG138" i="10" s="1"/>
  <c r="AJ138" i="9"/>
  <c r="AE127" i="10"/>
  <c r="AG127" i="10" s="1"/>
  <c r="AE76" i="13"/>
  <c r="AG76" i="13" s="1"/>
  <c r="AE75" i="9"/>
  <c r="AG75" i="9" s="1"/>
  <c r="AE71" i="12"/>
  <c r="AG71" i="12" s="1"/>
  <c r="AG70" i="7"/>
  <c r="AE61" i="9"/>
  <c r="AG61" i="9" s="1"/>
  <c r="AE40" i="10"/>
  <c r="AE32" i="11"/>
  <c r="AG32" i="11" s="1"/>
  <c r="AB256" i="13"/>
  <c r="AD256" i="13" s="1"/>
  <c r="AB250" i="9"/>
  <c r="AD250" i="9" s="1"/>
  <c r="AB197" i="8"/>
  <c r="AB138" i="11"/>
  <c r="AD138" i="11" s="1"/>
  <c r="AB95" i="16"/>
  <c r="AD95" i="16" s="1"/>
  <c r="AB80" i="15"/>
  <c r="AD80" i="15" s="1"/>
  <c r="AB67" i="7"/>
  <c r="Y251" i="10"/>
  <c r="AA251" i="10" s="1"/>
  <c r="AB216" i="9"/>
  <c r="AD216" i="9" s="1"/>
  <c r="AB216" i="10" s="1"/>
  <c r="AD216" i="10" s="1"/>
  <c r="AI30" i="6"/>
  <c r="AH30" i="6"/>
  <c r="AJ30" i="6"/>
  <c r="AH178" i="9"/>
  <c r="AI178" i="9"/>
  <c r="U49" i="12"/>
  <c r="X52" i="12"/>
  <c r="I83" i="7"/>
  <c r="X124" i="6"/>
  <c r="U35" i="6"/>
  <c r="U44" i="9"/>
  <c r="U114" i="7"/>
  <c r="C22" i="10"/>
  <c r="C51" i="11"/>
  <c r="X162" i="13"/>
  <c r="AI78" i="6"/>
  <c r="C57" i="6"/>
  <c r="F59" i="6"/>
  <c r="U211" i="8"/>
  <c r="U210" i="8" s="1"/>
  <c r="U209" i="8" s="1"/>
  <c r="U207" i="8" s="1"/>
  <c r="C66" i="9"/>
  <c r="AH182" i="7"/>
  <c r="AI182" i="7"/>
  <c r="U187" i="10"/>
  <c r="U185" i="10" s="1"/>
  <c r="X189" i="10"/>
  <c r="U105" i="11"/>
  <c r="U104" i="11" s="1"/>
  <c r="AE246" i="7"/>
  <c r="AG188" i="6"/>
  <c r="AE69" i="6"/>
  <c r="AG73" i="6"/>
  <c r="J74" i="8"/>
  <c r="U227" i="8"/>
  <c r="C75" i="6"/>
  <c r="C66" i="7"/>
  <c r="AE227" i="6"/>
  <c r="AG228" i="6"/>
  <c r="AG59" i="7"/>
  <c r="U69" i="8"/>
  <c r="U65" i="8" s="1"/>
  <c r="AJ164" i="6"/>
  <c r="C48" i="6"/>
  <c r="AJ75" i="6"/>
  <c r="U69" i="6"/>
  <c r="U65" i="6" s="1"/>
  <c r="BC5" i="13"/>
  <c r="BE3" i="13"/>
  <c r="BK3" i="13" s="1"/>
  <c r="BQ3" i="13" s="1"/>
  <c r="BN5" i="13" s="1"/>
  <c r="C63" i="8"/>
  <c r="U157" i="10"/>
  <c r="U155" i="10" s="1"/>
  <c r="U145" i="10" s="1"/>
  <c r="U172" i="13"/>
  <c r="C54" i="13"/>
  <c r="AE252" i="7"/>
  <c r="AG252" i="7" s="1"/>
  <c r="AE106" i="7"/>
  <c r="C35" i="8"/>
  <c r="C28" i="8" s="1"/>
  <c r="AJ37" i="9"/>
  <c r="C54" i="10"/>
  <c r="BP19" i="16"/>
  <c r="U222" i="6"/>
  <c r="AH217" i="6"/>
  <c r="U35" i="8"/>
  <c r="C72" i="9"/>
  <c r="J10" i="6"/>
  <c r="C22" i="16"/>
  <c r="X80" i="16"/>
  <c r="J39" i="8"/>
  <c r="L39" i="8" s="1"/>
  <c r="R45" i="20"/>
  <c r="G109" i="10"/>
  <c r="I109" i="10" s="1"/>
  <c r="G109" i="11" s="1"/>
  <c r="I109" i="11" s="1"/>
  <c r="G109" i="12" s="1"/>
  <c r="I109" i="12" s="1"/>
  <c r="G109" i="13" s="1"/>
  <c r="I109" i="13" s="1"/>
  <c r="G109" i="14" s="1"/>
  <c r="I109" i="14" s="1"/>
  <c r="G109" i="15" s="1"/>
  <c r="I109" i="15" s="1"/>
  <c r="G109" i="16" s="1"/>
  <c r="I109" i="16" s="1"/>
  <c r="C85" i="6"/>
  <c r="J100" i="10"/>
  <c r="L100" i="10" s="1"/>
  <c r="J100" i="11" s="1"/>
  <c r="L100" i="11" s="1"/>
  <c r="J100" i="12" s="1"/>
  <c r="L100" i="12" s="1"/>
  <c r="J100" i="13" s="1"/>
  <c r="L100" i="13" s="1"/>
  <c r="J100" i="14" s="1"/>
  <c r="L100" i="14" s="1"/>
  <c r="J100" i="15" s="1"/>
  <c r="L100" i="15" s="1"/>
  <c r="J100" i="16" s="1"/>
  <c r="L100" i="16" s="1"/>
  <c r="E101" i="8"/>
  <c r="E101" i="9" s="1"/>
  <c r="E101" i="10" s="1"/>
  <c r="E101" i="11" s="1"/>
  <c r="E101" i="12" s="1"/>
  <c r="E101" i="13" s="1"/>
  <c r="E101" i="14" s="1"/>
  <c r="E101" i="15" s="1"/>
  <c r="E101" i="16" s="1"/>
  <c r="J111" i="7"/>
  <c r="L111" i="7" s="1"/>
  <c r="G122" i="7"/>
  <c r="J97" i="10"/>
  <c r="L97" i="10" s="1"/>
  <c r="J97" i="11" s="1"/>
  <c r="L97" i="11" s="1"/>
  <c r="J97" i="12" s="1"/>
  <c r="L97" i="12" s="1"/>
  <c r="J97" i="13" s="1"/>
  <c r="L97" i="13" s="1"/>
  <c r="J97" i="14" s="1"/>
  <c r="L97" i="14" s="1"/>
  <c r="J105" i="7"/>
  <c r="G110" i="7"/>
  <c r="I110" i="7" s="1"/>
  <c r="J88" i="9"/>
  <c r="L88" i="9" s="1"/>
  <c r="D109" i="12"/>
  <c r="F109" i="11"/>
  <c r="G117" i="11"/>
  <c r="I117" i="11" s="1"/>
  <c r="J118" i="12"/>
  <c r="E120" i="12"/>
  <c r="J115" i="7"/>
  <c r="E124" i="7"/>
  <c r="D91" i="11"/>
  <c r="E105" i="8"/>
  <c r="F109" i="6"/>
  <c r="C104" i="6"/>
  <c r="J117" i="15"/>
  <c r="I97" i="7"/>
  <c r="D119" i="7"/>
  <c r="F119" i="6"/>
  <c r="E87" i="8"/>
  <c r="L87" i="6"/>
  <c r="E106" i="7"/>
  <c r="E106" i="8" s="1"/>
  <c r="E106" i="9" s="1"/>
  <c r="E106" i="10" s="1"/>
  <c r="E106" i="11" s="1"/>
  <c r="E106" i="12" s="1"/>
  <c r="E106" i="13" s="1"/>
  <c r="E106" i="14" s="1"/>
  <c r="E106" i="15" s="1"/>
  <c r="E106" i="16" s="1"/>
  <c r="L122" i="10"/>
  <c r="D118" i="7"/>
  <c r="F98" i="7"/>
  <c r="F109" i="7"/>
  <c r="F109" i="8"/>
  <c r="G98" i="7"/>
  <c r="I98" i="7" s="1"/>
  <c r="G98" i="8" s="1"/>
  <c r="I98" i="8" s="1"/>
  <c r="G98" i="9" s="1"/>
  <c r="I98" i="9" s="1"/>
  <c r="G98" i="10" s="1"/>
  <c r="I98" i="10" s="1"/>
  <c r="G98" i="11" s="1"/>
  <c r="I98" i="11" s="1"/>
  <c r="G98" i="12" s="1"/>
  <c r="I98" i="12" s="1"/>
  <c r="G98" i="13" s="1"/>
  <c r="I98" i="13" s="1"/>
  <c r="G98" i="14" s="1"/>
  <c r="I98" i="14" s="1"/>
  <c r="G98" i="15" s="1"/>
  <c r="I98" i="15" s="1"/>
  <c r="G98" i="16" s="1"/>
  <c r="I98" i="16" s="1"/>
  <c r="D107" i="7"/>
  <c r="F107" i="6"/>
  <c r="F124" i="6"/>
  <c r="G101" i="7"/>
  <c r="I101" i="7" s="1"/>
  <c r="G101" i="8" s="1"/>
  <c r="I101" i="8" s="1"/>
  <c r="G101" i="9" s="1"/>
  <c r="I101" i="9" s="1"/>
  <c r="G101" i="10" s="1"/>
  <c r="I101" i="10" s="1"/>
  <c r="G101" i="11" s="1"/>
  <c r="I101" i="11" s="1"/>
  <c r="G101" i="12" s="1"/>
  <c r="I101" i="12" s="1"/>
  <c r="G101" i="13" s="1"/>
  <c r="I101" i="13" s="1"/>
  <c r="G101" i="14" s="1"/>
  <c r="I101" i="14" s="1"/>
  <c r="G101" i="15" s="1"/>
  <c r="I101" i="15" s="1"/>
  <c r="G101" i="16" s="1"/>
  <c r="I101" i="16" s="1"/>
  <c r="D98" i="9"/>
  <c r="F98" i="8"/>
  <c r="J101" i="7"/>
  <c r="L101" i="7" s="1"/>
  <c r="J101" i="8" s="1"/>
  <c r="L101" i="8" s="1"/>
  <c r="J101" i="9" s="1"/>
  <c r="L101" i="9" s="1"/>
  <c r="J101" i="10" s="1"/>
  <c r="L101" i="10" s="1"/>
  <c r="J101" i="11" s="1"/>
  <c r="L101" i="11" s="1"/>
  <c r="J101" i="12" s="1"/>
  <c r="L101" i="12" s="1"/>
  <c r="J101" i="13" s="1"/>
  <c r="L101" i="13" s="1"/>
  <c r="J101" i="14" s="1"/>
  <c r="L101" i="14" s="1"/>
  <c r="J101" i="15" s="1"/>
  <c r="L101" i="15" s="1"/>
  <c r="J101" i="16" s="1"/>
  <c r="L101" i="16" s="1"/>
  <c r="D105" i="7"/>
  <c r="F105" i="7" s="1"/>
  <c r="D99" i="8"/>
  <c r="E108" i="8"/>
  <c r="E122" i="11"/>
  <c r="E122" i="12" s="1"/>
  <c r="E122" i="13" s="1"/>
  <c r="E122" i="14" s="1"/>
  <c r="E122" i="15" s="1"/>
  <c r="E122" i="16" s="1"/>
  <c r="F96" i="6"/>
  <c r="R22" i="20"/>
  <c r="J123" i="14" l="1"/>
  <c r="L123" i="14" s="1"/>
  <c r="J123" i="15" s="1"/>
  <c r="L123" i="15" s="1"/>
  <c r="J123" i="16" s="1"/>
  <c r="L123" i="16" s="1"/>
  <c r="J69" i="6"/>
  <c r="U145" i="16"/>
  <c r="AH124" i="7"/>
  <c r="U43" i="11"/>
  <c r="D75" i="7"/>
  <c r="U234" i="9"/>
  <c r="U232" i="9" s="1"/>
  <c r="AI101" i="13"/>
  <c r="X136" i="15"/>
  <c r="AH136" i="15" s="1"/>
  <c r="X117" i="6"/>
  <c r="AI201" i="9"/>
  <c r="AI178" i="11"/>
  <c r="F56" i="6"/>
  <c r="AJ160" i="6"/>
  <c r="F14" i="9"/>
  <c r="AH205" i="11"/>
  <c r="E26" i="10"/>
  <c r="BD7" i="6"/>
  <c r="AJ27" i="8"/>
  <c r="AJ255" i="6"/>
  <c r="X126" i="6"/>
  <c r="AI124" i="7"/>
  <c r="AI255" i="10"/>
  <c r="AI200" i="7"/>
  <c r="U43" i="10"/>
  <c r="U90" i="13"/>
  <c r="U90" i="6"/>
  <c r="E43" i="20"/>
  <c r="U145" i="11"/>
  <c r="D42" i="6"/>
  <c r="Q126" i="5"/>
  <c r="Q130" i="5" s="1"/>
  <c r="H10" i="20"/>
  <c r="H9" i="20" s="1"/>
  <c r="E25" i="8"/>
  <c r="G126" i="5"/>
  <c r="G130" i="5" s="1"/>
  <c r="L60" i="6"/>
  <c r="X186" i="11"/>
  <c r="AH186" i="11" s="1"/>
  <c r="F44" i="7"/>
  <c r="M44" i="7" s="1"/>
  <c r="X40" i="9"/>
  <c r="V185" i="6"/>
  <c r="G25" i="6"/>
  <c r="U90" i="15"/>
  <c r="U63" i="15" s="1"/>
  <c r="AJ255" i="10"/>
  <c r="AJ124" i="7"/>
  <c r="U234" i="6"/>
  <c r="U232" i="6" s="1"/>
  <c r="L85" i="6"/>
  <c r="AH201" i="9"/>
  <c r="X186" i="9"/>
  <c r="AI201" i="10"/>
  <c r="AH151" i="9"/>
  <c r="AI162" i="9"/>
  <c r="AI101" i="16"/>
  <c r="AI25" i="6"/>
  <c r="U110" i="16"/>
  <c r="AJ80" i="6"/>
  <c r="U145" i="13"/>
  <c r="AH252" i="6"/>
  <c r="AH218" i="6"/>
  <c r="AI181" i="6"/>
  <c r="AH162" i="12"/>
  <c r="AI164" i="15"/>
  <c r="X72" i="13"/>
  <c r="V44" i="8"/>
  <c r="N39" i="6"/>
  <c r="X72" i="9"/>
  <c r="AI72" i="9" s="1"/>
  <c r="AB90" i="6"/>
  <c r="F65" i="9"/>
  <c r="AH238" i="6"/>
  <c r="P126" i="5"/>
  <c r="P130" i="5" s="1"/>
  <c r="AH162" i="10"/>
  <c r="AI148" i="9"/>
  <c r="AI164" i="10"/>
  <c r="E47" i="20"/>
  <c r="AB227" i="6"/>
  <c r="AI25" i="11"/>
  <c r="F60" i="6"/>
  <c r="X236" i="6"/>
  <c r="AJ236" i="6" s="1"/>
  <c r="AI218" i="6"/>
  <c r="AJ31" i="6"/>
  <c r="AH181" i="6"/>
  <c r="F44" i="8"/>
  <c r="AH76" i="15"/>
  <c r="AJ238" i="6"/>
  <c r="AJ191" i="7"/>
  <c r="AI53" i="8"/>
  <c r="AJ255" i="8"/>
  <c r="X136" i="13"/>
  <c r="AH136" i="13" s="1"/>
  <c r="U90" i="12"/>
  <c r="U63" i="12" s="1"/>
  <c r="AI181" i="8"/>
  <c r="U112" i="7"/>
  <c r="X186" i="10"/>
  <c r="U43" i="7"/>
  <c r="AJ80" i="8"/>
  <c r="V203" i="8"/>
  <c r="AH78" i="6"/>
  <c r="U43" i="12"/>
  <c r="U14" i="12" s="1"/>
  <c r="U12" i="12" s="1"/>
  <c r="AI138" i="7"/>
  <c r="X247" i="8"/>
  <c r="AI181" i="11"/>
  <c r="U90" i="16"/>
  <c r="U63" i="16" s="1"/>
  <c r="AI136" i="6"/>
  <c r="U234" i="7"/>
  <c r="U232" i="7" s="1"/>
  <c r="AI205" i="13"/>
  <c r="AH81" i="12"/>
  <c r="U170" i="14"/>
  <c r="AI164" i="12"/>
  <c r="AI151" i="13"/>
  <c r="AH81" i="10"/>
  <c r="E42" i="7"/>
  <c r="X186" i="6"/>
  <c r="AI53" i="9"/>
  <c r="U234" i="15"/>
  <c r="U232" i="15" s="1"/>
  <c r="AI168" i="6"/>
  <c r="X186" i="12"/>
  <c r="AH186" i="12" s="1"/>
  <c r="X186" i="8"/>
  <c r="AH186" i="8" s="1"/>
  <c r="AJ93" i="8"/>
  <c r="W234" i="5"/>
  <c r="W232" i="5" s="1"/>
  <c r="V170" i="5"/>
  <c r="AI178" i="12"/>
  <c r="X40" i="14"/>
  <c r="AI40" i="14" s="1"/>
  <c r="F45" i="5"/>
  <c r="U90" i="8"/>
  <c r="AI182" i="13"/>
  <c r="X136" i="14"/>
  <c r="AH136" i="14" s="1"/>
  <c r="AI41" i="6"/>
  <c r="AH22" i="8"/>
  <c r="BQ15" i="5"/>
  <c r="BK10" i="5" s="1"/>
  <c r="BL10" i="7" s="1"/>
  <c r="AI168" i="7"/>
  <c r="U145" i="14"/>
  <c r="U112" i="12"/>
  <c r="AI132" i="5"/>
  <c r="X186" i="7"/>
  <c r="AH186" i="7" s="1"/>
  <c r="X128" i="6"/>
  <c r="AI128" i="6" s="1"/>
  <c r="AM110" i="16"/>
  <c r="AJ130" i="7"/>
  <c r="AH130" i="7"/>
  <c r="AH178" i="7"/>
  <c r="AI178" i="7"/>
  <c r="AJ130" i="6"/>
  <c r="AH130" i="6"/>
  <c r="AI138" i="6"/>
  <c r="AH138" i="6"/>
  <c r="AJ138" i="6"/>
  <c r="AI189" i="6"/>
  <c r="AH189" i="6"/>
  <c r="AI201" i="6"/>
  <c r="AJ201" i="6"/>
  <c r="AH201" i="6"/>
  <c r="C28" i="6"/>
  <c r="C21" i="6" s="1"/>
  <c r="C19" i="6" s="1"/>
  <c r="C17" i="6" s="1"/>
  <c r="AI53" i="7"/>
  <c r="AH53" i="7"/>
  <c r="AJ53" i="7"/>
  <c r="AI164" i="7"/>
  <c r="AH164" i="7"/>
  <c r="AH253" i="7"/>
  <c r="AJ253" i="7"/>
  <c r="AH138" i="9"/>
  <c r="AI138" i="9"/>
  <c r="AJ230" i="9"/>
  <c r="AI230" i="9"/>
  <c r="AH230" i="9"/>
  <c r="AH37" i="6"/>
  <c r="AJ37" i="6"/>
  <c r="AH148" i="6"/>
  <c r="AI148" i="6"/>
  <c r="AI153" i="6"/>
  <c r="AH153" i="6"/>
  <c r="AH164" i="6"/>
  <c r="AI164" i="6"/>
  <c r="AI182" i="6"/>
  <c r="AJ182" i="6"/>
  <c r="AH182" i="6"/>
  <c r="AI230" i="6"/>
  <c r="AH230" i="6"/>
  <c r="AJ230" i="6"/>
  <c r="AH168" i="5"/>
  <c r="AI168" i="5"/>
  <c r="M62" i="5"/>
  <c r="M60" i="5" s="1"/>
  <c r="F44" i="6"/>
  <c r="M44" i="6" s="1"/>
  <c r="Z12" i="7"/>
  <c r="AB43" i="6"/>
  <c r="BP14" i="5"/>
  <c r="BJ9" i="5" s="1"/>
  <c r="AH153" i="10"/>
  <c r="AI153" i="10"/>
  <c r="AI182" i="10"/>
  <c r="AH182" i="10"/>
  <c r="N109" i="9"/>
  <c r="R12" i="20"/>
  <c r="BD18" i="6"/>
  <c r="C28" i="14"/>
  <c r="AJ238" i="5"/>
  <c r="AH24" i="5"/>
  <c r="AL110" i="14"/>
  <c r="X236" i="13"/>
  <c r="AI252" i="8"/>
  <c r="AH80" i="5"/>
  <c r="BN11" i="11"/>
  <c r="AI30" i="10"/>
  <c r="AI138" i="5"/>
  <c r="M76" i="5"/>
  <c r="M75" i="5" s="1"/>
  <c r="Y123" i="7"/>
  <c r="X166" i="13"/>
  <c r="AH166" i="13" s="1"/>
  <c r="AJ251" i="5"/>
  <c r="AA220" i="5"/>
  <c r="BO30" i="5" s="1"/>
  <c r="BI14" i="5" s="1"/>
  <c r="AH228" i="5"/>
  <c r="AH227" i="5" s="1"/>
  <c r="AI151" i="5"/>
  <c r="F42" i="6"/>
  <c r="AQ10" i="6" s="1"/>
  <c r="AU10" i="6" s="1"/>
  <c r="AI31" i="6"/>
  <c r="X187" i="5"/>
  <c r="X185" i="5" s="1"/>
  <c r="X241" i="9"/>
  <c r="AH241" i="9" s="1"/>
  <c r="Z12" i="14"/>
  <c r="X227" i="5"/>
  <c r="U43" i="8"/>
  <c r="U14" i="8" s="1"/>
  <c r="X241" i="14"/>
  <c r="X142" i="8"/>
  <c r="AH230" i="11"/>
  <c r="AI230" i="11"/>
  <c r="AI200" i="6"/>
  <c r="AJ200" i="6"/>
  <c r="U170" i="13"/>
  <c r="U145" i="6"/>
  <c r="AH138" i="7"/>
  <c r="U234" i="8"/>
  <c r="U232" i="8" s="1"/>
  <c r="AI160" i="9"/>
  <c r="Y238" i="7"/>
  <c r="X247" i="13"/>
  <c r="AJ247" i="13" s="1"/>
  <c r="X228" i="7"/>
  <c r="W70" i="7"/>
  <c r="W69" i="7" s="1"/>
  <c r="W65" i="7" s="1"/>
  <c r="AH216" i="5"/>
  <c r="AH26" i="5"/>
  <c r="L44" i="6"/>
  <c r="AJ26" i="5"/>
  <c r="AH32" i="5"/>
  <c r="BQ25" i="15"/>
  <c r="BK12" i="15" s="1"/>
  <c r="F44" i="11"/>
  <c r="F44" i="9"/>
  <c r="BL15" i="7"/>
  <c r="AJ217" i="10"/>
  <c r="AF110" i="14"/>
  <c r="K8" i="8"/>
  <c r="AH84" i="5"/>
  <c r="AJ138" i="5"/>
  <c r="N53" i="20"/>
  <c r="R14" i="20"/>
  <c r="AH162" i="8"/>
  <c r="AG220" i="5"/>
  <c r="AC110" i="10"/>
  <c r="L56" i="6"/>
  <c r="J56" i="7" s="1"/>
  <c r="Z110" i="15"/>
  <c r="X74" i="6"/>
  <c r="AH74" i="6" s="1"/>
  <c r="AH55" i="5"/>
  <c r="F44" i="12"/>
  <c r="X241" i="10"/>
  <c r="AH241" i="10" s="1"/>
  <c r="AI128" i="5"/>
  <c r="U170" i="15"/>
  <c r="U14" i="13"/>
  <c r="U12" i="13" s="1"/>
  <c r="AF12" i="5"/>
  <c r="X247" i="12"/>
  <c r="AJ247" i="12" s="1"/>
  <c r="X128" i="7"/>
  <c r="AJ128" i="7" s="1"/>
  <c r="AI182" i="11"/>
  <c r="AH182" i="11"/>
  <c r="AI178" i="10"/>
  <c r="AH178" i="10"/>
  <c r="AJ128" i="6"/>
  <c r="X228" i="6"/>
  <c r="I86" i="6"/>
  <c r="I85" i="6" s="1"/>
  <c r="U63" i="13"/>
  <c r="C28" i="9"/>
  <c r="C21" i="9" s="1"/>
  <c r="C19" i="9" s="1"/>
  <c r="C17" i="9" s="1"/>
  <c r="C8" i="9" s="1"/>
  <c r="AH151" i="15"/>
  <c r="U170" i="8"/>
  <c r="AB255" i="11"/>
  <c r="AD255" i="11" s="1"/>
  <c r="X228" i="8"/>
  <c r="AA211" i="6"/>
  <c r="AA210" i="6" s="1"/>
  <c r="AA209" i="6" s="1"/>
  <c r="X228" i="9"/>
  <c r="AW8" i="6"/>
  <c r="X228" i="10"/>
  <c r="X127" i="9"/>
  <c r="AJ127" i="9" s="1"/>
  <c r="X247" i="15"/>
  <c r="AI247" i="15" s="1"/>
  <c r="U220" i="10"/>
  <c r="AI251" i="5"/>
  <c r="N100" i="5"/>
  <c r="X108" i="7"/>
  <c r="AJ108" i="7" s="1"/>
  <c r="AJ58" i="5"/>
  <c r="M64" i="5"/>
  <c r="Z110" i="9"/>
  <c r="BK14" i="13"/>
  <c r="AI198" i="5"/>
  <c r="U220" i="13"/>
  <c r="D32" i="6"/>
  <c r="AL12" i="11"/>
  <c r="X166" i="11"/>
  <c r="X166" i="7"/>
  <c r="AJ166" i="7" s="1"/>
  <c r="X166" i="10"/>
  <c r="AC110" i="11"/>
  <c r="X127" i="10"/>
  <c r="AI127" i="10" s="1"/>
  <c r="X127" i="6"/>
  <c r="AH127" i="6" s="1"/>
  <c r="X98" i="7"/>
  <c r="AI98" i="7" s="1"/>
  <c r="X98" i="13"/>
  <c r="V112" i="5"/>
  <c r="U170" i="6"/>
  <c r="X142" i="11"/>
  <c r="AI199" i="5"/>
  <c r="X142" i="9"/>
  <c r="AA90" i="5"/>
  <c r="BO13" i="5" s="1"/>
  <c r="U145" i="15"/>
  <c r="AH199" i="5"/>
  <c r="V128" i="9"/>
  <c r="X128" i="8"/>
  <c r="AI158" i="5"/>
  <c r="AJ158" i="5"/>
  <c r="V180" i="10"/>
  <c r="X180" i="9"/>
  <c r="AJ180" i="9" s="1"/>
  <c r="X254" i="6"/>
  <c r="G26" i="7"/>
  <c r="I26" i="7" s="1"/>
  <c r="BD11" i="6"/>
  <c r="Y124" i="8"/>
  <c r="AA123" i="7"/>
  <c r="AB117" i="7"/>
  <c r="AD114" i="6"/>
  <c r="AE94" i="7"/>
  <c r="AG91" i="6"/>
  <c r="X166" i="6"/>
  <c r="X241" i="6"/>
  <c r="E91" i="7"/>
  <c r="E91" i="8" s="1"/>
  <c r="E85" i="8" s="1"/>
  <c r="AH30" i="8"/>
  <c r="X126" i="7"/>
  <c r="AH126" i="7" s="1"/>
  <c r="X247" i="9"/>
  <c r="AJ247" i="9" s="1"/>
  <c r="X142" i="6"/>
  <c r="AJ142" i="6" s="1"/>
  <c r="D51" i="7"/>
  <c r="AD170" i="5"/>
  <c r="AJ85" i="5"/>
  <c r="X108" i="8"/>
  <c r="AH108" i="8" s="1"/>
  <c r="N64" i="5"/>
  <c r="U63" i="14"/>
  <c r="U234" i="13"/>
  <c r="U232" i="13" s="1"/>
  <c r="AJ88" i="5"/>
  <c r="BK14" i="10"/>
  <c r="BQ22" i="8"/>
  <c r="BK11" i="8" s="1"/>
  <c r="AJ198" i="5"/>
  <c r="AF14" i="15"/>
  <c r="AF12" i="15" s="1"/>
  <c r="X166" i="15"/>
  <c r="AH166" i="15" s="1"/>
  <c r="D51" i="6"/>
  <c r="AJ180" i="5"/>
  <c r="V43" i="5"/>
  <c r="V14" i="5" s="1"/>
  <c r="AH93" i="5"/>
  <c r="AI30" i="5"/>
  <c r="AM110" i="14"/>
  <c r="AF110" i="10"/>
  <c r="X166" i="12"/>
  <c r="AH166" i="12" s="1"/>
  <c r="Z110" i="7"/>
  <c r="X135" i="6"/>
  <c r="AH135" i="6" s="1"/>
  <c r="X254" i="7"/>
  <c r="AJ254" i="7" s="1"/>
  <c r="X142" i="10"/>
  <c r="F78" i="5"/>
  <c r="M78" i="5" s="1"/>
  <c r="X166" i="14"/>
  <c r="AH166" i="14" s="1"/>
  <c r="X247" i="14"/>
  <c r="AI247" i="14" s="1"/>
  <c r="AI115" i="5"/>
  <c r="AH115" i="5"/>
  <c r="X166" i="8"/>
  <c r="V174" i="7"/>
  <c r="V172" i="6"/>
  <c r="X142" i="7"/>
  <c r="X241" i="7"/>
  <c r="AH241" i="7" s="1"/>
  <c r="X180" i="6"/>
  <c r="AI180" i="6" s="1"/>
  <c r="X247" i="6"/>
  <c r="AJ30" i="8"/>
  <c r="AI138" i="10"/>
  <c r="U234" i="14"/>
  <c r="U232" i="14" s="1"/>
  <c r="U220" i="7"/>
  <c r="X108" i="6"/>
  <c r="AJ108" i="6" s="1"/>
  <c r="X127" i="11"/>
  <c r="AI127" i="11" s="1"/>
  <c r="D53" i="8"/>
  <c r="D51" i="8" s="1"/>
  <c r="AH85" i="5"/>
  <c r="N30" i="5"/>
  <c r="M54" i="20"/>
  <c r="AI88" i="5"/>
  <c r="BQ22" i="10"/>
  <c r="BK11" i="10" s="1"/>
  <c r="AH180" i="5"/>
  <c r="AJ30" i="5"/>
  <c r="C28" i="7"/>
  <c r="C21" i="7" s="1"/>
  <c r="C19" i="7" s="1"/>
  <c r="C17" i="7" s="1"/>
  <c r="Z12" i="5"/>
  <c r="Z10" i="5" s="1"/>
  <c r="Z258" i="5" s="1"/>
  <c r="X247" i="11"/>
  <c r="X127" i="7"/>
  <c r="AI127" i="7" s="1"/>
  <c r="X98" i="14"/>
  <c r="X127" i="8"/>
  <c r="AJ127" i="8" s="1"/>
  <c r="X247" i="10"/>
  <c r="AI247" i="10" s="1"/>
  <c r="X166" i="9"/>
  <c r="N68" i="6"/>
  <c r="AH67" i="6"/>
  <c r="AH128" i="5"/>
  <c r="U12" i="5"/>
  <c r="U10" i="5" s="1"/>
  <c r="H126" i="5"/>
  <c r="H130" i="5" s="1"/>
  <c r="V132" i="7"/>
  <c r="X132" i="6"/>
  <c r="AJ166" i="5"/>
  <c r="AI166" i="5"/>
  <c r="V186" i="15"/>
  <c r="X186" i="14"/>
  <c r="AH186" i="14" s="1"/>
  <c r="AA46" i="6"/>
  <c r="AH46" i="6" s="1"/>
  <c r="Y44" i="6"/>
  <c r="AD161" i="6"/>
  <c r="AB157" i="6"/>
  <c r="AB155" i="6" s="1"/>
  <c r="X180" i="7"/>
  <c r="X247" i="7"/>
  <c r="X174" i="6"/>
  <c r="L53" i="20"/>
  <c r="AI38" i="5"/>
  <c r="AC110" i="15"/>
  <c r="AJ102" i="5"/>
  <c r="C28" i="13"/>
  <c r="AJ23" i="9"/>
  <c r="AI148" i="13"/>
  <c r="U170" i="12"/>
  <c r="Z110" i="11"/>
  <c r="X98" i="9"/>
  <c r="AI98" i="9" s="1"/>
  <c r="X98" i="10"/>
  <c r="AI98" i="10" s="1"/>
  <c r="X236" i="14"/>
  <c r="X99" i="6"/>
  <c r="AH99" i="6" s="1"/>
  <c r="N71" i="5"/>
  <c r="M116" i="5"/>
  <c r="U63" i="9"/>
  <c r="I81" i="6"/>
  <c r="AH102" i="5"/>
  <c r="M41" i="5"/>
  <c r="F48" i="5"/>
  <c r="F71" i="6"/>
  <c r="N71" i="6" s="1"/>
  <c r="AJ73" i="5"/>
  <c r="AI99" i="5"/>
  <c r="AI151" i="16"/>
  <c r="V57" i="6"/>
  <c r="I28" i="5"/>
  <c r="AR9" i="5" s="1"/>
  <c r="X98" i="12"/>
  <c r="G81" i="6"/>
  <c r="BN19" i="5"/>
  <c r="F89" i="7"/>
  <c r="M89" i="7" s="1"/>
  <c r="AH22" i="6"/>
  <c r="BQ22" i="16"/>
  <c r="BK11" i="16" s="1"/>
  <c r="AH23" i="8"/>
  <c r="AH101" i="8"/>
  <c r="D69" i="6"/>
  <c r="AG112" i="5"/>
  <c r="AH151" i="14"/>
  <c r="J25" i="6"/>
  <c r="Z110" i="12"/>
  <c r="BK13" i="7"/>
  <c r="AG223" i="6"/>
  <c r="AJ223" i="6" s="1"/>
  <c r="AH99" i="5"/>
  <c r="AI55" i="5"/>
  <c r="M82" i="6"/>
  <c r="U14" i="11"/>
  <c r="AE255" i="11"/>
  <c r="AG255" i="11" s="1"/>
  <c r="AE255" i="12" s="1"/>
  <c r="AG255" i="12" s="1"/>
  <c r="BQ13" i="14"/>
  <c r="O37" i="20" s="1"/>
  <c r="AG145" i="5"/>
  <c r="AL110" i="5"/>
  <c r="X98" i="11"/>
  <c r="AI98" i="11" s="1"/>
  <c r="Y57" i="6"/>
  <c r="AB168" i="11"/>
  <c r="AD168" i="11" s="1"/>
  <c r="AI168" i="10"/>
  <c r="AF110" i="12"/>
  <c r="BD10" i="5"/>
  <c r="BD9" i="5" s="1"/>
  <c r="BD8" i="5" s="1"/>
  <c r="M102" i="5"/>
  <c r="P38" i="20"/>
  <c r="AJ118" i="5"/>
  <c r="AJ120" i="5"/>
  <c r="U63" i="6"/>
  <c r="AF193" i="9"/>
  <c r="AI101" i="11"/>
  <c r="G69" i="6"/>
  <c r="M107" i="5"/>
  <c r="X19" i="6"/>
  <c r="AH19" i="6" s="1"/>
  <c r="X77" i="6"/>
  <c r="X75" i="7"/>
  <c r="F33" i="6"/>
  <c r="M68" i="5"/>
  <c r="U220" i="16"/>
  <c r="AM12" i="14"/>
  <c r="X72" i="11"/>
  <c r="AI72" i="11" s="1"/>
  <c r="AI118" i="5"/>
  <c r="N69" i="5"/>
  <c r="F83" i="8"/>
  <c r="AJ181" i="10"/>
  <c r="AR24" i="5"/>
  <c r="AW24" i="5" s="1"/>
  <c r="D28" i="5"/>
  <c r="AI191" i="6"/>
  <c r="H38" i="20"/>
  <c r="BK9" i="7"/>
  <c r="G63" i="6"/>
  <c r="Y187" i="6"/>
  <c r="Y185" i="6" s="1"/>
  <c r="AJ26" i="6"/>
  <c r="Z110" i="14"/>
  <c r="Z10" i="14" s="1"/>
  <c r="Z258" i="14" s="1"/>
  <c r="J60" i="6"/>
  <c r="AL110" i="16"/>
  <c r="Z110" i="13"/>
  <c r="M83" i="6"/>
  <c r="AH216" i="13"/>
  <c r="AJ216" i="13"/>
  <c r="AE220" i="6"/>
  <c r="U220" i="8"/>
  <c r="W238" i="12"/>
  <c r="AJ39" i="6"/>
  <c r="AH39" i="6"/>
  <c r="AY10" i="6"/>
  <c r="E110" i="7"/>
  <c r="E110" i="8" s="1"/>
  <c r="E110" i="9" s="1"/>
  <c r="E110" i="10" s="1"/>
  <c r="E110" i="11" s="1"/>
  <c r="E110" i="12" s="1"/>
  <c r="E110" i="13" s="1"/>
  <c r="E110" i="14" s="1"/>
  <c r="E110" i="15" s="1"/>
  <c r="E110" i="16" s="1"/>
  <c r="E104" i="6"/>
  <c r="X66" i="9"/>
  <c r="AJ66" i="9" s="1"/>
  <c r="AL12" i="5"/>
  <c r="AL10" i="5" s="1"/>
  <c r="AL8" i="5" s="1"/>
  <c r="X31" i="15"/>
  <c r="X17" i="11"/>
  <c r="V110" i="5"/>
  <c r="AI52" i="13"/>
  <c r="AH168" i="8"/>
  <c r="AI168" i="8"/>
  <c r="AI115" i="6"/>
  <c r="AJ115" i="6"/>
  <c r="AH199" i="6"/>
  <c r="AJ199" i="6"/>
  <c r="AJ99" i="6"/>
  <c r="X55" i="7"/>
  <c r="I61" i="6"/>
  <c r="G60" i="6"/>
  <c r="M33" i="5"/>
  <c r="F32" i="5"/>
  <c r="D77" i="8"/>
  <c r="F77" i="7"/>
  <c r="N77" i="7" s="1"/>
  <c r="V21" i="7"/>
  <c r="V20" i="6"/>
  <c r="V16" i="6" s="1"/>
  <c r="V71" i="7"/>
  <c r="V69" i="7" s="1"/>
  <c r="V65" i="7" s="1"/>
  <c r="X71" i="6"/>
  <c r="V79" i="10"/>
  <c r="X79" i="9"/>
  <c r="AA177" i="6"/>
  <c r="AH177" i="6" s="1"/>
  <c r="Y176" i="6"/>
  <c r="Y222" i="6"/>
  <c r="Y220" i="6" s="1"/>
  <c r="AA223" i="6"/>
  <c r="J47" i="7"/>
  <c r="L45" i="6"/>
  <c r="L71" i="7"/>
  <c r="J69" i="7"/>
  <c r="AB46" i="7"/>
  <c r="AD44" i="6"/>
  <c r="AD85" i="6"/>
  <c r="AB83" i="6"/>
  <c r="M12" i="5"/>
  <c r="N12" i="5"/>
  <c r="D23" i="8"/>
  <c r="D22" i="7"/>
  <c r="D56" i="8"/>
  <c r="F56" i="7"/>
  <c r="V60" i="7"/>
  <c r="X60" i="6"/>
  <c r="V77" i="9"/>
  <c r="X77" i="8"/>
  <c r="V87" i="8"/>
  <c r="X87" i="7"/>
  <c r="V106" i="7"/>
  <c r="V105" i="6"/>
  <c r="V104" i="6" s="1"/>
  <c r="X106" i="6"/>
  <c r="AJ106" i="6" s="1"/>
  <c r="V229" i="7"/>
  <c r="V227" i="6"/>
  <c r="M73" i="6"/>
  <c r="G73" i="7"/>
  <c r="I73" i="7" s="1"/>
  <c r="G73" i="8" s="1"/>
  <c r="I73" i="8" s="1"/>
  <c r="AA107" i="6"/>
  <c r="Y105" i="6"/>
  <c r="Y104" i="6" s="1"/>
  <c r="L23" i="6"/>
  <c r="J22" i="6"/>
  <c r="AB31" i="10"/>
  <c r="AD31" i="10" s="1"/>
  <c r="AI31" i="9"/>
  <c r="AD116" i="8"/>
  <c r="AG150" i="6"/>
  <c r="AE149" i="6"/>
  <c r="AE147" i="6" s="1"/>
  <c r="F44" i="13"/>
  <c r="AI22" i="9"/>
  <c r="AI218" i="9"/>
  <c r="AI77" i="6"/>
  <c r="AI81" i="9"/>
  <c r="AJ115" i="7"/>
  <c r="AJ148" i="8"/>
  <c r="AG172" i="6"/>
  <c r="D81" i="8"/>
  <c r="F44" i="14"/>
  <c r="AW11" i="11"/>
  <c r="U170" i="16"/>
  <c r="U220" i="9"/>
  <c r="X72" i="8"/>
  <c r="AH72" i="8" s="1"/>
  <c r="AJ213" i="6"/>
  <c r="X102" i="8"/>
  <c r="AJ102" i="8" s="1"/>
  <c r="AE141" i="6"/>
  <c r="AI224" i="5"/>
  <c r="AB58" i="6"/>
  <c r="AB57" i="6" s="1"/>
  <c r="G66" i="6"/>
  <c r="AM110" i="10"/>
  <c r="AJ24" i="5"/>
  <c r="AC110" i="8"/>
  <c r="BK13" i="12"/>
  <c r="AF110" i="15"/>
  <c r="AM12" i="7"/>
  <c r="AH108" i="5"/>
  <c r="M39" i="20"/>
  <c r="AI217" i="10"/>
  <c r="O53" i="20"/>
  <c r="AI227" i="5"/>
  <c r="AH167" i="5"/>
  <c r="AG43" i="5"/>
  <c r="AS25" i="5" s="1"/>
  <c r="AX25" i="5" s="1"/>
  <c r="AI148" i="8"/>
  <c r="AJ162" i="10"/>
  <c r="AI101" i="10"/>
  <c r="X40" i="12"/>
  <c r="AI40" i="12" s="1"/>
  <c r="AJ247" i="10"/>
  <c r="X79" i="8"/>
  <c r="AJ79" i="8" s="1"/>
  <c r="D75" i="6"/>
  <c r="D45" i="6"/>
  <c r="AA187" i="6"/>
  <c r="AA185" i="6" s="1"/>
  <c r="J126" i="5"/>
  <c r="J130" i="5" s="1"/>
  <c r="L69" i="6"/>
  <c r="D22" i="6"/>
  <c r="AM12" i="16"/>
  <c r="AM10" i="16" s="1"/>
  <c r="AM8" i="16" s="1"/>
  <c r="AC10" i="6"/>
  <c r="AC8" i="6" s="1"/>
  <c r="X17" i="12"/>
  <c r="AI17" i="12" s="1"/>
  <c r="AI178" i="15"/>
  <c r="X236" i="8"/>
  <c r="AJ236" i="8" s="1"/>
  <c r="AJ181" i="8"/>
  <c r="G72" i="6"/>
  <c r="AH138" i="8"/>
  <c r="AJ138" i="8"/>
  <c r="AI138" i="8"/>
  <c r="AI178" i="8"/>
  <c r="AH178" i="8"/>
  <c r="F23" i="6"/>
  <c r="AH125" i="6"/>
  <c r="AJ125" i="6"/>
  <c r="X79" i="6"/>
  <c r="X73" i="6"/>
  <c r="F44" i="10"/>
  <c r="X77" i="7"/>
  <c r="AH81" i="5"/>
  <c r="AJ81" i="5"/>
  <c r="AI81" i="5"/>
  <c r="D33" i="8"/>
  <c r="D32" i="7"/>
  <c r="F33" i="7"/>
  <c r="D71" i="8"/>
  <c r="F71" i="7"/>
  <c r="AH75" i="5"/>
  <c r="AJ75" i="5"/>
  <c r="AI97" i="5"/>
  <c r="AJ97" i="5"/>
  <c r="AH97" i="5"/>
  <c r="I58" i="6"/>
  <c r="G57" i="6"/>
  <c r="AA52" i="6"/>
  <c r="AH52" i="6" s="1"/>
  <c r="Y49" i="6"/>
  <c r="Y67" i="7"/>
  <c r="AA67" i="7" s="1"/>
  <c r="AH67" i="7" s="1"/>
  <c r="BO11" i="6"/>
  <c r="AA98" i="6"/>
  <c r="AH98" i="6" s="1"/>
  <c r="Y96" i="6"/>
  <c r="X21" i="6"/>
  <c r="D12" i="7"/>
  <c r="D10" i="6"/>
  <c r="F12" i="6"/>
  <c r="M12" i="6" s="1"/>
  <c r="M50" i="5"/>
  <c r="N50" i="5"/>
  <c r="N48" i="5" s="1"/>
  <c r="N62" i="6"/>
  <c r="M62" i="6"/>
  <c r="D68" i="8"/>
  <c r="F68" i="7"/>
  <c r="N68" i="7" s="1"/>
  <c r="D66" i="7"/>
  <c r="AJ116" i="5"/>
  <c r="AI116" i="5"/>
  <c r="M32" i="5"/>
  <c r="X149" i="5"/>
  <c r="X147" i="5" s="1"/>
  <c r="AH168" i="12"/>
  <c r="AH182" i="8"/>
  <c r="AI182" i="8"/>
  <c r="AJ18" i="6"/>
  <c r="BN11" i="6"/>
  <c r="AI18" i="6"/>
  <c r="AH18" i="6"/>
  <c r="AI93" i="6"/>
  <c r="AJ93" i="6"/>
  <c r="E49" i="8"/>
  <c r="E48" i="7"/>
  <c r="AJ101" i="6"/>
  <c r="AI101" i="6"/>
  <c r="N26" i="5"/>
  <c r="BC11" i="5"/>
  <c r="D47" i="8"/>
  <c r="F47" i="7"/>
  <c r="V55" i="9"/>
  <c r="X55" i="8"/>
  <c r="V75" i="9"/>
  <c r="X75" i="8"/>
  <c r="V85" i="7"/>
  <c r="X85" i="6"/>
  <c r="AA167" i="6"/>
  <c r="Y157" i="6"/>
  <c r="Y155" i="6" s="1"/>
  <c r="Y145" i="6" s="1"/>
  <c r="AA188" i="7"/>
  <c r="Y187" i="7"/>
  <c r="Y185" i="7" s="1"/>
  <c r="J26" i="7"/>
  <c r="AX8" i="6"/>
  <c r="L83" i="6"/>
  <c r="J81" i="6"/>
  <c r="AB51" i="7"/>
  <c r="AD49" i="6"/>
  <c r="AB92" i="7"/>
  <c r="AD91" i="6"/>
  <c r="AG159" i="6"/>
  <c r="AE157" i="6"/>
  <c r="AE155" i="6" s="1"/>
  <c r="L25" i="6"/>
  <c r="AS8" i="6" s="1"/>
  <c r="AJ182" i="8"/>
  <c r="D36" i="7"/>
  <c r="D35" i="6"/>
  <c r="D50" i="8"/>
  <c r="F50" i="7"/>
  <c r="N50" i="7" s="1"/>
  <c r="D80" i="7"/>
  <c r="D78" i="6"/>
  <c r="V73" i="8"/>
  <c r="X73" i="7"/>
  <c r="V81" i="15"/>
  <c r="X81" i="14"/>
  <c r="V99" i="8"/>
  <c r="X99" i="7"/>
  <c r="V116" i="7"/>
  <c r="X116" i="6"/>
  <c r="AH116" i="6" s="1"/>
  <c r="Y61" i="7"/>
  <c r="AA61" i="7" s="1"/>
  <c r="BO31" i="6"/>
  <c r="BI15" i="6" s="1"/>
  <c r="L36" i="6"/>
  <c r="N36" i="6" s="1"/>
  <c r="J35" i="6"/>
  <c r="AB41" i="8"/>
  <c r="AD41" i="8" s="1"/>
  <c r="AI41" i="7"/>
  <c r="AB106" i="7"/>
  <c r="AD105" i="6"/>
  <c r="AD104" i="6" s="1"/>
  <c r="AB130" i="8"/>
  <c r="AD130" i="8" s="1"/>
  <c r="AI130" i="7"/>
  <c r="X37" i="14"/>
  <c r="AH37" i="14" s="1"/>
  <c r="W37" i="15"/>
  <c r="X81" i="13"/>
  <c r="I94" i="6"/>
  <c r="F122" i="7"/>
  <c r="N122" i="7" s="1"/>
  <c r="F76" i="6"/>
  <c r="M76" i="6" s="1"/>
  <c r="AJ162" i="9"/>
  <c r="U63" i="11"/>
  <c r="AI52" i="14"/>
  <c r="AI23" i="8"/>
  <c r="AG211" i="6"/>
  <c r="AG210" i="6" s="1"/>
  <c r="AG209" i="6" s="1"/>
  <c r="AG207" i="6" s="1"/>
  <c r="AS29" i="6" s="1"/>
  <c r="AX29" i="6" s="1"/>
  <c r="AH160" i="9"/>
  <c r="U112" i="15"/>
  <c r="AH25" i="13"/>
  <c r="AI23" i="9"/>
  <c r="AJ253" i="8"/>
  <c r="F83" i="11"/>
  <c r="AJ216" i="12"/>
  <c r="F40" i="8"/>
  <c r="N40" i="8" s="1"/>
  <c r="U14" i="15"/>
  <c r="C28" i="16"/>
  <c r="C21" i="16" s="1"/>
  <c r="C19" i="16" s="1"/>
  <c r="C17" i="16" s="1"/>
  <c r="C8" i="16" s="1"/>
  <c r="X236" i="15"/>
  <c r="N53" i="5"/>
  <c r="AE44" i="6"/>
  <c r="AI216" i="5"/>
  <c r="AI75" i="6"/>
  <c r="F47" i="6"/>
  <c r="N47" i="6" s="1"/>
  <c r="AA170" i="5"/>
  <c r="BO24" i="5" s="1"/>
  <c r="BO22" i="5" s="1"/>
  <c r="BI11" i="5" s="1"/>
  <c r="X102" i="9"/>
  <c r="AJ102" i="9" s="1"/>
  <c r="M24" i="5"/>
  <c r="AJ28" i="5"/>
  <c r="AC12" i="14"/>
  <c r="AC10" i="14" s="1"/>
  <c r="AC258" i="14" s="1"/>
  <c r="AF110" i="8"/>
  <c r="AM12" i="10"/>
  <c r="AM10" i="10" s="1"/>
  <c r="AM8" i="10" s="1"/>
  <c r="E65" i="11"/>
  <c r="F65" i="11" s="1"/>
  <c r="U170" i="11"/>
  <c r="AR23" i="5"/>
  <c r="AW23" i="5" s="1"/>
  <c r="N74" i="5"/>
  <c r="N72" i="5" s="1"/>
  <c r="AI120" i="5"/>
  <c r="AI84" i="5"/>
  <c r="Q39" i="20"/>
  <c r="AJ29" i="5"/>
  <c r="F83" i="10"/>
  <c r="F75" i="5"/>
  <c r="H54" i="20"/>
  <c r="V160" i="10"/>
  <c r="X160" i="10" s="1"/>
  <c r="L54" i="20"/>
  <c r="K8" i="5"/>
  <c r="K126" i="5" s="1"/>
  <c r="K130" i="5" s="1"/>
  <c r="AH164" i="13"/>
  <c r="AJ27" i="11"/>
  <c r="X40" i="7"/>
  <c r="AH40" i="7" s="1"/>
  <c r="J45" i="6"/>
  <c r="X222" i="5"/>
  <c r="X220" i="5" s="1"/>
  <c r="BN30" i="5" s="1"/>
  <c r="BH14" i="5" s="1"/>
  <c r="AD194" i="5"/>
  <c r="BN11" i="14"/>
  <c r="X40" i="6"/>
  <c r="AH40" i="6" s="1"/>
  <c r="AH101" i="6"/>
  <c r="F23" i="7"/>
  <c r="BC12" i="7" s="1"/>
  <c r="X17" i="9"/>
  <c r="AI17" i="9" s="1"/>
  <c r="X72" i="10"/>
  <c r="X102" i="7"/>
  <c r="AJ102" i="7" s="1"/>
  <c r="X236" i="11"/>
  <c r="X202" i="6"/>
  <c r="AJ202" i="6" s="1"/>
  <c r="X98" i="8"/>
  <c r="AI98" i="8" s="1"/>
  <c r="AI81" i="8"/>
  <c r="AH81" i="8"/>
  <c r="F50" i="6"/>
  <c r="F48" i="6" s="1"/>
  <c r="AI98" i="6"/>
  <c r="AJ191" i="6"/>
  <c r="AH191" i="6"/>
  <c r="X55" i="6"/>
  <c r="Q36" i="20"/>
  <c r="Q33" i="20" s="1"/>
  <c r="BQ9" i="16"/>
  <c r="X87" i="6"/>
  <c r="X79" i="7"/>
  <c r="BQ22" i="5"/>
  <c r="BK11" i="5" s="1"/>
  <c r="BL11" i="7" s="1"/>
  <c r="F48" i="20"/>
  <c r="F46" i="20" s="1"/>
  <c r="E30" i="13"/>
  <c r="E30" i="14" s="1"/>
  <c r="E30" i="15" s="1"/>
  <c r="E30" i="16" s="1"/>
  <c r="D26" i="8"/>
  <c r="F26" i="7"/>
  <c r="D41" i="7"/>
  <c r="F41" i="6"/>
  <c r="D59" i="8"/>
  <c r="D57" i="7"/>
  <c r="F59" i="7"/>
  <c r="AI71" i="5"/>
  <c r="AJ71" i="5"/>
  <c r="V90" i="5"/>
  <c r="V63" i="5" s="1"/>
  <c r="V12" i="5" s="1"/>
  <c r="X97" i="6"/>
  <c r="V97" i="7"/>
  <c r="V118" i="7"/>
  <c r="X118" i="6"/>
  <c r="Y17" i="7"/>
  <c r="AA17" i="7" s="1"/>
  <c r="BO10" i="6"/>
  <c r="Y59" i="7"/>
  <c r="AA58" i="6"/>
  <c r="AA57" i="6" s="1"/>
  <c r="AA93" i="6"/>
  <c r="Y91" i="6"/>
  <c r="M72" i="5"/>
  <c r="F53" i="6"/>
  <c r="M53" i="6" s="1"/>
  <c r="F77" i="6"/>
  <c r="N77" i="6" s="1"/>
  <c r="N23" i="5"/>
  <c r="BC12" i="5"/>
  <c r="M23" i="5"/>
  <c r="D30" i="7"/>
  <c r="D29" i="6"/>
  <c r="F30" i="6"/>
  <c r="M30" i="6" s="1"/>
  <c r="M44" i="5"/>
  <c r="M42" i="5" s="1"/>
  <c r="F42" i="5"/>
  <c r="AQ10" i="5" s="1"/>
  <c r="AV10" i="5" s="1"/>
  <c r="N44" i="5"/>
  <c r="N42" i="5" s="1"/>
  <c r="D60" i="7"/>
  <c r="D62" i="8"/>
  <c r="D74" i="7"/>
  <c r="D72" i="6"/>
  <c r="F74" i="6"/>
  <c r="AH106" i="5"/>
  <c r="AH105" i="5" s="1"/>
  <c r="AH104" i="5" s="1"/>
  <c r="AI106" i="5"/>
  <c r="M100" i="9"/>
  <c r="N100" i="9"/>
  <c r="AH78" i="8"/>
  <c r="AI78" i="8"/>
  <c r="AH164" i="16"/>
  <c r="AI164" i="16"/>
  <c r="AH205" i="7"/>
  <c r="AI205" i="7"/>
  <c r="AJ205" i="7"/>
  <c r="AJ17" i="5"/>
  <c r="AH17" i="5"/>
  <c r="AI17" i="5"/>
  <c r="W239" i="7"/>
  <c r="X239" i="6"/>
  <c r="BN23" i="6"/>
  <c r="AJ177" i="6"/>
  <c r="AI177" i="6"/>
  <c r="D106" i="7"/>
  <c r="D106" i="8" s="1"/>
  <c r="D106" i="9" s="1"/>
  <c r="F106" i="6"/>
  <c r="N106" i="6" s="1"/>
  <c r="AW14" i="5"/>
  <c r="G33" i="20"/>
  <c r="AH30" i="13"/>
  <c r="AJ30" i="13"/>
  <c r="AH224" i="6"/>
  <c r="AJ224" i="6"/>
  <c r="AH72" i="11"/>
  <c r="AH72" i="5"/>
  <c r="AI72" i="5"/>
  <c r="D31" i="10"/>
  <c r="D31" i="11" s="1"/>
  <c r="D31" i="12" s="1"/>
  <c r="AJ78" i="14"/>
  <c r="J10" i="7"/>
  <c r="F86" i="6"/>
  <c r="AI247" i="9"/>
  <c r="AJ180" i="8"/>
  <c r="AH241" i="8"/>
  <c r="AI241" i="8"/>
  <c r="N75" i="5"/>
  <c r="AI70" i="5"/>
  <c r="AJ70" i="5"/>
  <c r="AG141" i="6"/>
  <c r="X167" i="6"/>
  <c r="AJ167" i="6" s="1"/>
  <c r="AE58" i="6"/>
  <c r="AE57" i="6" s="1"/>
  <c r="AG60" i="6"/>
  <c r="AJ217" i="7"/>
  <c r="AH217" i="7"/>
  <c r="I53" i="20"/>
  <c r="E118" i="7"/>
  <c r="E118" i="8" s="1"/>
  <c r="E118" i="9" s="1"/>
  <c r="E118" i="10" s="1"/>
  <c r="E118" i="11" s="1"/>
  <c r="E118" i="12" s="1"/>
  <c r="E118" i="13" s="1"/>
  <c r="E118" i="14" s="1"/>
  <c r="E118" i="15" s="1"/>
  <c r="E118" i="16" s="1"/>
  <c r="F118" i="6"/>
  <c r="M118" i="6" s="1"/>
  <c r="W132" i="16"/>
  <c r="AE224" i="11"/>
  <c r="AG224" i="11" s="1"/>
  <c r="AE224" i="12" s="1"/>
  <c r="AG224" i="12" s="1"/>
  <c r="K38" i="20"/>
  <c r="BK9" i="10"/>
  <c r="AH127" i="7"/>
  <c r="AH216" i="8"/>
  <c r="AI216" i="8"/>
  <c r="AJ216" i="8"/>
  <c r="M70" i="6"/>
  <c r="N70" i="6"/>
  <c r="AJ23" i="6"/>
  <c r="AI23" i="6"/>
  <c r="AJ216" i="10"/>
  <c r="AH216" i="10"/>
  <c r="AH217" i="9"/>
  <c r="AI217" i="9"/>
  <c r="AJ217" i="9"/>
  <c r="V224" i="7"/>
  <c r="V222" i="6"/>
  <c r="E29" i="6"/>
  <c r="E31" i="7"/>
  <c r="F31" i="6"/>
  <c r="M52" i="5"/>
  <c r="M51" i="5" s="1"/>
  <c r="F51" i="5"/>
  <c r="E58" i="7"/>
  <c r="E57" i="6"/>
  <c r="F58" i="6"/>
  <c r="F57" i="6" s="1"/>
  <c r="E76" i="7"/>
  <c r="F76" i="7" s="1"/>
  <c r="F75" i="7" s="1"/>
  <c r="E75" i="6"/>
  <c r="W28" i="7"/>
  <c r="X28" i="6"/>
  <c r="W131" i="7"/>
  <c r="X131" i="6"/>
  <c r="W139" i="7"/>
  <c r="X139" i="6"/>
  <c r="W161" i="7"/>
  <c r="X161" i="6"/>
  <c r="AJ183" i="5"/>
  <c r="AH183" i="5"/>
  <c r="AI183" i="5"/>
  <c r="AI202" i="5"/>
  <c r="AJ202" i="5"/>
  <c r="AH202" i="5"/>
  <c r="AJ236" i="5"/>
  <c r="AI236" i="5"/>
  <c r="AJ255" i="9"/>
  <c r="AH255" i="9"/>
  <c r="AB141" i="6"/>
  <c r="AD142" i="6"/>
  <c r="AD141" i="6" s="1"/>
  <c r="BP20" i="6" s="1"/>
  <c r="M67" i="5"/>
  <c r="M66" i="5" s="1"/>
  <c r="N67" i="5"/>
  <c r="N66" i="5" s="1"/>
  <c r="AH40" i="5"/>
  <c r="AI40" i="5"/>
  <c r="AJ40" i="5"/>
  <c r="D27" i="7"/>
  <c r="D25" i="6"/>
  <c r="F27" i="6"/>
  <c r="F25" i="6" s="1"/>
  <c r="AQ8" i="6" s="1"/>
  <c r="M55" i="5"/>
  <c r="M54" i="5" s="1"/>
  <c r="N55" i="5"/>
  <c r="N54" i="5" s="1"/>
  <c r="F54" i="5"/>
  <c r="AI51" i="5"/>
  <c r="AJ51" i="5"/>
  <c r="AH51" i="5"/>
  <c r="V95" i="7"/>
  <c r="X95" i="6"/>
  <c r="V107" i="10"/>
  <c r="V120" i="7"/>
  <c r="X120" i="6"/>
  <c r="V137" i="7"/>
  <c r="X137" i="6"/>
  <c r="V152" i="7"/>
  <c r="X152" i="6"/>
  <c r="V149" i="6"/>
  <c r="V147" i="6" s="1"/>
  <c r="V188" i="8"/>
  <c r="V187" i="7"/>
  <c r="V185" i="7" s="1"/>
  <c r="X188" i="7"/>
  <c r="B12" i="7"/>
  <c r="H128" i="7" s="1"/>
  <c r="H126" i="7" s="1"/>
  <c r="C128" i="6"/>
  <c r="BE21" i="6"/>
  <c r="G25" i="20" s="1"/>
  <c r="H128" i="6"/>
  <c r="H126" i="6" s="1"/>
  <c r="H130" i="6" s="1"/>
  <c r="P128" i="6"/>
  <c r="P126" i="6" s="1"/>
  <c r="P130" i="6" s="1"/>
  <c r="AE138" i="11"/>
  <c r="AG138" i="11" s="1"/>
  <c r="AE138" i="12" s="1"/>
  <c r="AG138" i="12" s="1"/>
  <c r="AJ138" i="10"/>
  <c r="E12" i="9"/>
  <c r="E12" i="10" s="1"/>
  <c r="U112" i="14"/>
  <c r="AB29" i="7"/>
  <c r="AD29" i="7" s="1"/>
  <c r="AB29" i="8" s="1"/>
  <c r="AD29" i="8" s="1"/>
  <c r="AI29" i="6"/>
  <c r="J27" i="8"/>
  <c r="L27" i="8" s="1"/>
  <c r="D92" i="7"/>
  <c r="D92" i="8" s="1"/>
  <c r="F92" i="6"/>
  <c r="N92" i="6" s="1"/>
  <c r="AI18" i="16"/>
  <c r="AH18" i="16"/>
  <c r="AJ78" i="7"/>
  <c r="AH78" i="7"/>
  <c r="AH126" i="6"/>
  <c r="AJ126" i="6"/>
  <c r="AI126" i="6"/>
  <c r="J85" i="6"/>
  <c r="N14" i="7"/>
  <c r="Q128" i="6"/>
  <c r="Q126" i="6" s="1"/>
  <c r="Q130" i="6" s="1"/>
  <c r="AH31" i="13"/>
  <c r="U63" i="10"/>
  <c r="D120" i="7"/>
  <c r="F120" i="7" s="1"/>
  <c r="F120" i="6"/>
  <c r="N120" i="6" s="1"/>
  <c r="N118" i="5"/>
  <c r="AI148" i="10"/>
  <c r="AH148" i="10"/>
  <c r="AG105" i="6"/>
  <c r="AG104" i="6" s="1"/>
  <c r="N14" i="6"/>
  <c r="AJ18" i="7"/>
  <c r="BN11" i="7"/>
  <c r="BK13" i="6"/>
  <c r="BL13" i="7" s="1"/>
  <c r="BL13" i="10" s="1"/>
  <c r="G53" i="20"/>
  <c r="AJ72" i="5"/>
  <c r="AE79" i="15"/>
  <c r="AG79" i="15" s="1"/>
  <c r="AE79" i="16" s="1"/>
  <c r="AG79" i="16" s="1"/>
  <c r="AI80" i="7"/>
  <c r="AJ80" i="7"/>
  <c r="AI78" i="5"/>
  <c r="AH78" i="5"/>
  <c r="AI182" i="14"/>
  <c r="AH182" i="14"/>
  <c r="AH22" i="7"/>
  <c r="AI22" i="7"/>
  <c r="AI33" i="6"/>
  <c r="AH33" i="6"/>
  <c r="AJ33" i="6"/>
  <c r="AI36" i="6"/>
  <c r="AJ36" i="6"/>
  <c r="AH36" i="6"/>
  <c r="AI121" i="5"/>
  <c r="BN31" i="5"/>
  <c r="BH15" i="5" s="1"/>
  <c r="AH50" i="5"/>
  <c r="AI50" i="5"/>
  <c r="AJ50" i="5"/>
  <c r="W107" i="7"/>
  <c r="W105" i="6"/>
  <c r="W104" i="6" s="1"/>
  <c r="X107" i="6"/>
  <c r="AJ107" i="6" s="1"/>
  <c r="W217" i="12"/>
  <c r="X217" i="11"/>
  <c r="AB186" i="7"/>
  <c r="AD186" i="7" s="1"/>
  <c r="AI186" i="6"/>
  <c r="AJ37" i="11"/>
  <c r="AH37" i="11"/>
  <c r="AH25" i="8"/>
  <c r="AI25" i="8"/>
  <c r="E67" i="7"/>
  <c r="E66" i="6"/>
  <c r="E24" i="7"/>
  <c r="F24" i="6"/>
  <c r="G74" i="7"/>
  <c r="I72" i="6"/>
  <c r="AJ117" i="5"/>
  <c r="X114" i="5"/>
  <c r="BN16" i="5" s="1"/>
  <c r="AB241" i="10"/>
  <c r="AD241" i="10" s="1"/>
  <c r="AI241" i="9"/>
  <c r="AG38" i="6"/>
  <c r="AE35" i="6"/>
  <c r="I25" i="6"/>
  <c r="AR8" i="6" s="1"/>
  <c r="X40" i="13"/>
  <c r="AI40" i="13" s="1"/>
  <c r="X236" i="9"/>
  <c r="AJ236" i="9" s="1"/>
  <c r="X212" i="6"/>
  <c r="AJ212" i="6" s="1"/>
  <c r="V69" i="6"/>
  <c r="V65" i="6" s="1"/>
  <c r="W194" i="5"/>
  <c r="W193" i="5" s="1"/>
  <c r="AD220" i="5"/>
  <c r="BP30" i="5" s="1"/>
  <c r="BJ14" i="5" s="1"/>
  <c r="W96" i="7"/>
  <c r="AI187" i="5"/>
  <c r="AI185" i="5" s="1"/>
  <c r="W90" i="5"/>
  <c r="W63" i="5" s="1"/>
  <c r="M49" i="5"/>
  <c r="Z12" i="13"/>
  <c r="AJ32" i="5"/>
  <c r="AM12" i="12"/>
  <c r="N12" i="6"/>
  <c r="AM12" i="15"/>
  <c r="BO14" i="5"/>
  <c r="BI9" i="5" s="1"/>
  <c r="BK13" i="15"/>
  <c r="M123" i="5"/>
  <c r="AL110" i="13"/>
  <c r="AJ105" i="5"/>
  <c r="AJ104" i="5" s="1"/>
  <c r="AI100" i="5"/>
  <c r="AL110" i="11"/>
  <c r="AL10" i="11" s="1"/>
  <c r="AL8" i="11" s="1"/>
  <c r="AH29" i="5"/>
  <c r="AC12" i="13"/>
  <c r="AH117" i="5"/>
  <c r="AH114" i="5" s="1"/>
  <c r="AJ133" i="5"/>
  <c r="X72" i="12"/>
  <c r="AI72" i="12" s="1"/>
  <c r="AI117" i="5"/>
  <c r="F66" i="5"/>
  <c r="AH130" i="14"/>
  <c r="AH41" i="11"/>
  <c r="X236" i="10"/>
  <c r="AJ236" i="10" s="1"/>
  <c r="AI27" i="7"/>
  <c r="AJ27" i="7"/>
  <c r="X236" i="7"/>
  <c r="AJ236" i="7" s="1"/>
  <c r="X100" i="6"/>
  <c r="X236" i="12"/>
  <c r="X17" i="10"/>
  <c r="X40" i="10"/>
  <c r="AI40" i="10" s="1"/>
  <c r="AH181" i="10"/>
  <c r="AI181" i="10"/>
  <c r="AJ37" i="8"/>
  <c r="AH37" i="8"/>
  <c r="X17" i="14"/>
  <c r="AI17" i="14" s="1"/>
  <c r="X17" i="13"/>
  <c r="AJ29" i="7"/>
  <c r="AH29" i="7"/>
  <c r="AH36" i="5"/>
  <c r="AJ36" i="5"/>
  <c r="X35" i="5"/>
  <c r="W96" i="6"/>
  <c r="BC16" i="6"/>
  <c r="M43" i="6"/>
  <c r="N43" i="6"/>
  <c r="X17" i="6"/>
  <c r="AQ22" i="6" s="1"/>
  <c r="AI46" i="6"/>
  <c r="AH74" i="5"/>
  <c r="AJ74" i="5"/>
  <c r="V84" i="7"/>
  <c r="V83" i="6"/>
  <c r="V100" i="7"/>
  <c r="V96" i="6"/>
  <c r="V117" i="7"/>
  <c r="V114" i="6"/>
  <c r="V133" i="7"/>
  <c r="X133" i="6"/>
  <c r="V143" i="7"/>
  <c r="V141" i="6"/>
  <c r="X143" i="6"/>
  <c r="V159" i="7"/>
  <c r="V157" i="6"/>
  <c r="V155" i="6" s="1"/>
  <c r="V145" i="6" s="1"/>
  <c r="V177" i="7"/>
  <c r="V176" i="6"/>
  <c r="V170" i="6" s="1"/>
  <c r="V196" i="7"/>
  <c r="V195" i="6"/>
  <c r="V194" i="6" s="1"/>
  <c r="V193" i="6" s="1"/>
  <c r="X196" i="6"/>
  <c r="X17" i="8"/>
  <c r="AQ22" i="8" s="1"/>
  <c r="X102" i="6"/>
  <c r="AH178" i="6"/>
  <c r="AI178" i="6"/>
  <c r="E28" i="5"/>
  <c r="E21" i="5" s="1"/>
  <c r="E19" i="5" s="1"/>
  <c r="E17" i="5" s="1"/>
  <c r="N37" i="5"/>
  <c r="N35" i="5" s="1"/>
  <c r="M37" i="5"/>
  <c r="M35" i="5" s="1"/>
  <c r="E45" i="6"/>
  <c r="E46" i="7"/>
  <c r="F46" i="6"/>
  <c r="E70" i="7"/>
  <c r="E69" i="6"/>
  <c r="W24" i="7"/>
  <c r="W20" i="6"/>
  <c r="W16" i="6" s="1"/>
  <c r="X24" i="6"/>
  <c r="W32" i="7"/>
  <c r="X32" i="6"/>
  <c r="W127" i="13"/>
  <c r="X127" i="12"/>
  <c r="W135" i="8"/>
  <c r="X135" i="7"/>
  <c r="W150" i="7"/>
  <c r="X150" i="6"/>
  <c r="W149" i="6"/>
  <c r="W147" i="6" s="1"/>
  <c r="W117" i="7"/>
  <c r="W117" i="8" s="1"/>
  <c r="W117" i="9" s="1"/>
  <c r="W117" i="10" s="1"/>
  <c r="W117" i="11" s="1"/>
  <c r="W117" i="12" s="1"/>
  <c r="W117" i="13" s="1"/>
  <c r="W117" i="14" s="1"/>
  <c r="W117" i="15" s="1"/>
  <c r="W117" i="16" s="1"/>
  <c r="W114" i="6"/>
  <c r="AB172" i="6"/>
  <c r="AD174" i="6"/>
  <c r="AJ216" i="11"/>
  <c r="AH216" i="11"/>
  <c r="AJ40" i="9"/>
  <c r="AI40" i="9"/>
  <c r="AH76" i="9"/>
  <c r="AI76" i="9"/>
  <c r="AH218" i="8"/>
  <c r="AI218" i="8"/>
  <c r="AH102" i="7"/>
  <c r="D70" i="9"/>
  <c r="AH25" i="12"/>
  <c r="AI25" i="12"/>
  <c r="AI25" i="9"/>
  <c r="AH25" i="9"/>
  <c r="E34" i="8"/>
  <c r="F34" i="7"/>
  <c r="E32" i="7"/>
  <c r="W17" i="16"/>
  <c r="X17" i="16" s="1"/>
  <c r="X17" i="15"/>
  <c r="N34" i="6"/>
  <c r="F32" i="6"/>
  <c r="M34" i="6"/>
  <c r="F67" i="6"/>
  <c r="N67" i="6" s="1"/>
  <c r="N66" i="6" s="1"/>
  <c r="D55" i="7"/>
  <c r="D54" i="6"/>
  <c r="F55" i="6"/>
  <c r="F54" i="6" s="1"/>
  <c r="V51" i="7"/>
  <c r="V49" i="6"/>
  <c r="V43" i="6" s="1"/>
  <c r="AH143" i="5"/>
  <c r="AH141" i="5" s="1"/>
  <c r="X141" i="5"/>
  <c r="BN20" i="5" s="1"/>
  <c r="AH177" i="5"/>
  <c r="BN23" i="5"/>
  <c r="AI177" i="5"/>
  <c r="G37" i="7"/>
  <c r="I35" i="6"/>
  <c r="G56" i="7"/>
  <c r="I54" i="6"/>
  <c r="AA38" i="6"/>
  <c r="Y35" i="6"/>
  <c r="AA180" i="8"/>
  <c r="AH180" i="8" s="1"/>
  <c r="AE96" i="6"/>
  <c r="AE90" i="6" s="1"/>
  <c r="AG98" i="6"/>
  <c r="X72" i="6"/>
  <c r="AJ251" i="6"/>
  <c r="AH251" i="6"/>
  <c r="AI251" i="6"/>
  <c r="F81" i="6"/>
  <c r="N82" i="6"/>
  <c r="D79" i="12"/>
  <c r="V254" i="9"/>
  <c r="X254" i="8"/>
  <c r="M46" i="5"/>
  <c r="M45" i="5" s="1"/>
  <c r="BC15" i="5"/>
  <c r="E51" i="6"/>
  <c r="F52" i="6"/>
  <c r="E52" i="7"/>
  <c r="M70" i="5"/>
  <c r="M69" i="5" s="1"/>
  <c r="F69" i="5"/>
  <c r="M82" i="5"/>
  <c r="N82" i="5"/>
  <c r="W38" i="7"/>
  <c r="X38" i="6"/>
  <c r="AI127" i="5"/>
  <c r="AH127" i="5"/>
  <c r="AH135" i="5"/>
  <c r="AJ135" i="5"/>
  <c r="AH150" i="5"/>
  <c r="AI150" i="5"/>
  <c r="AH173" i="5"/>
  <c r="AH172" i="5" s="1"/>
  <c r="AI173" i="5"/>
  <c r="AI172" i="5" s="1"/>
  <c r="AJ173" i="5"/>
  <c r="AJ172" i="5" s="1"/>
  <c r="W183" i="7"/>
  <c r="X183" i="6"/>
  <c r="W202" i="8"/>
  <c r="X202" i="7"/>
  <c r="BO26" i="6"/>
  <c r="Y196" i="7"/>
  <c r="AA196" i="7" s="1"/>
  <c r="V121" i="8"/>
  <c r="X121" i="7"/>
  <c r="W50" i="7"/>
  <c r="X50" i="6"/>
  <c r="AB191" i="7"/>
  <c r="AD191" i="7" s="1"/>
  <c r="AI191" i="7" s="1"/>
  <c r="U110" i="13"/>
  <c r="AI115" i="16"/>
  <c r="G42" i="8"/>
  <c r="M40" i="5"/>
  <c r="D123" i="8"/>
  <c r="F123" i="8" s="1"/>
  <c r="M123" i="8" s="1"/>
  <c r="E113" i="6"/>
  <c r="U43" i="16"/>
  <c r="U14" i="16" s="1"/>
  <c r="X40" i="15"/>
  <c r="AI40" i="15" s="1"/>
  <c r="C28" i="11"/>
  <c r="C21" i="11" s="1"/>
  <c r="C19" i="11" s="1"/>
  <c r="C17" i="11" s="1"/>
  <c r="C8" i="11" s="1"/>
  <c r="N51" i="5"/>
  <c r="AI143" i="5"/>
  <c r="AI141" i="5" s="1"/>
  <c r="AI241" i="7"/>
  <c r="AG170" i="5"/>
  <c r="AS27" i="5" s="1"/>
  <c r="AX27" i="5" s="1"/>
  <c r="AH187" i="5"/>
  <c r="AH185" i="5" s="1"/>
  <c r="U14" i="10"/>
  <c r="W145" i="5"/>
  <c r="W110" i="5" s="1"/>
  <c r="AJ213" i="5"/>
  <c r="Z110" i="16"/>
  <c r="L10" i="6"/>
  <c r="AS16" i="6" s="1"/>
  <c r="AX16" i="6" s="1"/>
  <c r="X40" i="11"/>
  <c r="AI40" i="11" s="1"/>
  <c r="R11" i="20"/>
  <c r="AH100" i="5"/>
  <c r="AJ227" i="5"/>
  <c r="N62" i="5"/>
  <c r="N60" i="5" s="1"/>
  <c r="X40" i="8"/>
  <c r="AI40" i="8" s="1"/>
  <c r="F81" i="5"/>
  <c r="N46" i="5"/>
  <c r="N45" i="5" s="1"/>
  <c r="AI135" i="5"/>
  <c r="AJ127" i="5"/>
  <c r="AM110" i="7"/>
  <c r="AM110" i="15"/>
  <c r="AM12" i="5"/>
  <c r="AH41" i="14"/>
  <c r="AH168" i="14"/>
  <c r="AH168" i="13"/>
  <c r="X70" i="6"/>
  <c r="X121" i="6"/>
  <c r="AJ216" i="6"/>
  <c r="AI216" i="6"/>
  <c r="AH216" i="6"/>
  <c r="X17" i="7"/>
  <c r="AQ22" i="7" s="1"/>
  <c r="X72" i="7"/>
  <c r="AJ72" i="7" s="1"/>
  <c r="AH41" i="8"/>
  <c r="D64" i="11"/>
  <c r="D63" i="10"/>
  <c r="D76" i="8"/>
  <c r="AI25" i="10"/>
  <c r="AH25" i="10"/>
  <c r="E43" i="9"/>
  <c r="E42" i="8"/>
  <c r="E79" i="7"/>
  <c r="E78" i="6"/>
  <c r="F79" i="6"/>
  <c r="N79" i="6" s="1"/>
  <c r="W36" i="7"/>
  <c r="W35" i="6"/>
  <c r="W98" i="16"/>
  <c r="X98" i="16" s="1"/>
  <c r="X98" i="15"/>
  <c r="M49" i="6"/>
  <c r="AI198" i="6"/>
  <c r="AH198" i="6"/>
  <c r="AJ198" i="6"/>
  <c r="M27" i="5"/>
  <c r="M25" i="5" s="1"/>
  <c r="N27" i="5"/>
  <c r="F25" i="5"/>
  <c r="AQ8" i="5" s="1"/>
  <c r="AZ8" i="5" s="1"/>
  <c r="D49" i="7"/>
  <c r="D48" i="6"/>
  <c r="V39" i="7"/>
  <c r="V35" i="6"/>
  <c r="V61" i="7"/>
  <c r="X61" i="6"/>
  <c r="AJ95" i="5"/>
  <c r="AI95" i="5"/>
  <c r="AH95" i="5"/>
  <c r="AI137" i="5"/>
  <c r="AH137" i="5"/>
  <c r="AI152" i="5"/>
  <c r="AJ152" i="5"/>
  <c r="AJ149" i="5" s="1"/>
  <c r="AJ147" i="5" s="1"/>
  <c r="AH152" i="5"/>
  <c r="AH239" i="5"/>
  <c r="AI239" i="5"/>
  <c r="I31" i="6"/>
  <c r="AW9" i="6" s="1"/>
  <c r="G29" i="6"/>
  <c r="G28" i="6" s="1"/>
  <c r="I46" i="6"/>
  <c r="G45" i="6"/>
  <c r="AG52" i="6"/>
  <c r="AE49" i="6"/>
  <c r="AE43" i="6" s="1"/>
  <c r="M36" i="6"/>
  <c r="X159" i="6"/>
  <c r="AJ160" i="8"/>
  <c r="AH160" i="8"/>
  <c r="AJ126" i="5"/>
  <c r="AH126" i="5"/>
  <c r="AI126" i="5"/>
  <c r="V251" i="7"/>
  <c r="V243" i="6"/>
  <c r="E13" i="7"/>
  <c r="F13" i="6"/>
  <c r="E10" i="6"/>
  <c r="M31" i="5"/>
  <c r="M29" i="5" s="1"/>
  <c r="F29" i="5"/>
  <c r="E35" i="6"/>
  <c r="E37" i="7"/>
  <c r="F37" i="6"/>
  <c r="M58" i="5"/>
  <c r="M57" i="5" s="1"/>
  <c r="N58" i="5"/>
  <c r="N57" i="5" s="1"/>
  <c r="F57" i="5"/>
  <c r="E64" i="7"/>
  <c r="E63" i="6"/>
  <c r="F64" i="6"/>
  <c r="M64" i="6" s="1"/>
  <c r="E81" i="6"/>
  <c r="E82" i="7"/>
  <c r="W88" i="7"/>
  <c r="X88" i="6"/>
  <c r="AJ131" i="5"/>
  <c r="AH131" i="5"/>
  <c r="AJ139" i="5"/>
  <c r="AI139" i="5"/>
  <c r="AH139" i="5"/>
  <c r="AJ161" i="5"/>
  <c r="AH161" i="5"/>
  <c r="AI161" i="5"/>
  <c r="W173" i="7"/>
  <c r="W172" i="6"/>
  <c r="X173" i="6"/>
  <c r="W198" i="7"/>
  <c r="W195" i="6"/>
  <c r="W225" i="7"/>
  <c r="W222" i="6"/>
  <c r="W220" i="6" s="1"/>
  <c r="X225" i="6"/>
  <c r="AA193" i="5"/>
  <c r="BO28" i="5"/>
  <c r="BO25" i="5" s="1"/>
  <c r="BI12" i="5" s="1"/>
  <c r="AB180" i="7"/>
  <c r="AD180" i="7" s="1"/>
  <c r="AD176" i="7" s="1"/>
  <c r="D37" i="11"/>
  <c r="W19" i="8"/>
  <c r="X19" i="7"/>
  <c r="AJ19" i="7" s="1"/>
  <c r="AI107" i="5"/>
  <c r="X105" i="5"/>
  <c r="X104" i="5" s="1"/>
  <c r="G70" i="7"/>
  <c r="I69" i="6"/>
  <c r="AD199" i="6"/>
  <c r="AB195" i="6"/>
  <c r="AB194" i="6" s="1"/>
  <c r="AB193" i="6" s="1"/>
  <c r="AE41" i="7"/>
  <c r="AG41" i="7" s="1"/>
  <c r="AJ41" i="6"/>
  <c r="AI178" i="13"/>
  <c r="AH178" i="14"/>
  <c r="AI178" i="14"/>
  <c r="AI164" i="14"/>
  <c r="AF110" i="13"/>
  <c r="AC110" i="13"/>
  <c r="BQ22" i="12"/>
  <c r="BK11" i="12" s="1"/>
  <c r="AC110" i="12"/>
  <c r="BK9" i="12"/>
  <c r="BQ28" i="11"/>
  <c r="L52" i="20" s="1"/>
  <c r="AF110" i="11"/>
  <c r="AC12" i="11"/>
  <c r="AC10" i="11" s="1"/>
  <c r="AC258" i="11" s="1"/>
  <c r="BQ9" i="11"/>
  <c r="BK8" i="11" s="1"/>
  <c r="Y110" i="5"/>
  <c r="AH31" i="12"/>
  <c r="AJ31" i="8"/>
  <c r="AH31" i="8"/>
  <c r="AJ31" i="7"/>
  <c r="AI31" i="7"/>
  <c r="AH31" i="7"/>
  <c r="AJ78" i="9"/>
  <c r="AH78" i="9"/>
  <c r="AI78" i="9"/>
  <c r="AG110" i="5"/>
  <c r="AS26" i="5" s="1"/>
  <c r="AX26" i="5" s="1"/>
  <c r="U112" i="10"/>
  <c r="AL110" i="7"/>
  <c r="BK8" i="7"/>
  <c r="AL110" i="12"/>
  <c r="AA228" i="7"/>
  <c r="Y227" i="7"/>
  <c r="AB37" i="7"/>
  <c r="AI37" i="6"/>
  <c r="AD35" i="6"/>
  <c r="AE117" i="7"/>
  <c r="AG114" i="6"/>
  <c r="AL12" i="10"/>
  <c r="AL10" i="10" s="1"/>
  <c r="AL8" i="10" s="1"/>
  <c r="U145" i="7"/>
  <c r="Z10" i="7"/>
  <c r="Z8" i="7" s="1"/>
  <c r="AF193" i="6"/>
  <c r="BQ28" i="6"/>
  <c r="G52" i="20" s="1"/>
  <c r="J61" i="7"/>
  <c r="L61" i="7" s="1"/>
  <c r="N61" i="6"/>
  <c r="N60" i="6" s="1"/>
  <c r="AF12" i="10"/>
  <c r="AC12" i="10"/>
  <c r="AC10" i="10" s="1"/>
  <c r="AC258" i="10" s="1"/>
  <c r="Z12" i="10"/>
  <c r="J39" i="20"/>
  <c r="AE131" i="14"/>
  <c r="AG131" i="14" s="1"/>
  <c r="AE131" i="15" s="1"/>
  <c r="AG131" i="15" s="1"/>
  <c r="M102" i="6"/>
  <c r="N102" i="6"/>
  <c r="AH78" i="12"/>
  <c r="AJ78" i="12"/>
  <c r="N65" i="5"/>
  <c r="N63" i="5" s="1"/>
  <c r="F63" i="5"/>
  <c r="AZ7" i="5"/>
  <c r="AY7" i="5"/>
  <c r="W142" i="13"/>
  <c r="X142" i="12"/>
  <c r="N122" i="9"/>
  <c r="I104" i="6"/>
  <c r="M122" i="5"/>
  <c r="F123" i="6"/>
  <c r="X165" i="6"/>
  <c r="AI165" i="6" s="1"/>
  <c r="AH153" i="15"/>
  <c r="AI217" i="6"/>
  <c r="M65" i="5"/>
  <c r="AD234" i="5"/>
  <c r="AD232" i="5" s="1"/>
  <c r="BP29" i="5" s="1"/>
  <c r="BJ13" i="5" s="1"/>
  <c r="AJ248" i="5"/>
  <c r="AC12" i="8"/>
  <c r="AF12" i="13"/>
  <c r="AH18" i="10"/>
  <c r="D40" i="10"/>
  <c r="F40" i="9"/>
  <c r="AI201" i="7"/>
  <c r="AJ201" i="7"/>
  <c r="AH201" i="7"/>
  <c r="AJ18" i="5"/>
  <c r="AH18" i="5"/>
  <c r="AI18" i="5"/>
  <c r="AH200" i="5"/>
  <c r="AI200" i="5"/>
  <c r="AI195" i="5" s="1"/>
  <c r="AJ200" i="5"/>
  <c r="X195" i="5"/>
  <c r="F90" i="6"/>
  <c r="AQ13" i="6" s="1"/>
  <c r="N39" i="7"/>
  <c r="U220" i="6"/>
  <c r="AJ78" i="8"/>
  <c r="F40" i="7"/>
  <c r="D115" i="10"/>
  <c r="D115" i="11" s="1"/>
  <c r="AH76" i="16"/>
  <c r="BN11" i="10"/>
  <c r="U220" i="12"/>
  <c r="W43" i="5"/>
  <c r="W14" i="5" s="1"/>
  <c r="AL12" i="7"/>
  <c r="N83" i="5"/>
  <c r="AH248" i="5"/>
  <c r="AI78" i="12"/>
  <c r="AC12" i="12"/>
  <c r="BQ22" i="14"/>
  <c r="BK11" i="14" s="1"/>
  <c r="BK13" i="16"/>
  <c r="AA207" i="5"/>
  <c r="J38" i="20"/>
  <c r="BQ15" i="16"/>
  <c r="BK10" i="16" s="1"/>
  <c r="AJ181" i="11"/>
  <c r="D122" i="10"/>
  <c r="AE10" i="5"/>
  <c r="AE8" i="5" s="1"/>
  <c r="BN11" i="5"/>
  <c r="AC12" i="16"/>
  <c r="AC10" i="16" s="1"/>
  <c r="AC8" i="16" s="1"/>
  <c r="BK14" i="15"/>
  <c r="AJ27" i="10"/>
  <c r="AJ27" i="12"/>
  <c r="AH182" i="15"/>
  <c r="AI182" i="15"/>
  <c r="AH78" i="10"/>
  <c r="AJ78" i="10"/>
  <c r="AI78" i="10"/>
  <c r="AI52" i="8"/>
  <c r="AI76" i="6"/>
  <c r="AJ76" i="6"/>
  <c r="AH76" i="6"/>
  <c r="AH21" i="5"/>
  <c r="AI21" i="5"/>
  <c r="AI20" i="5" s="1"/>
  <c r="X20" i="5"/>
  <c r="X16" i="5" s="1"/>
  <c r="AH225" i="5"/>
  <c r="AH222" i="5" s="1"/>
  <c r="AJ225" i="5"/>
  <c r="AJ222" i="5" s="1"/>
  <c r="AJ220" i="5" s="1"/>
  <c r="AI225" i="5"/>
  <c r="BP28" i="5"/>
  <c r="AD193" i="5"/>
  <c r="AR28" i="5" s="1"/>
  <c r="AW28" i="5" s="1"/>
  <c r="BQ13" i="10"/>
  <c r="K37" i="20" s="1"/>
  <c r="AH66" i="6"/>
  <c r="AJ66" i="6"/>
  <c r="AH66" i="5"/>
  <c r="AJ66" i="5"/>
  <c r="BN10" i="5"/>
  <c r="AQ22" i="5"/>
  <c r="BO16" i="5"/>
  <c r="AA145" i="5"/>
  <c r="BQ13" i="13"/>
  <c r="N37" i="20" s="1"/>
  <c r="AI76" i="14"/>
  <c r="AB110" i="5"/>
  <c r="AB98" i="13"/>
  <c r="AD98" i="13" s="1"/>
  <c r="AI98" i="12"/>
  <c r="AB251" i="15"/>
  <c r="AD251" i="15" s="1"/>
  <c r="AB251" i="16" s="1"/>
  <c r="AD251" i="16" s="1"/>
  <c r="F116" i="8"/>
  <c r="N116" i="8" s="1"/>
  <c r="E116" i="9"/>
  <c r="AH205" i="10"/>
  <c r="AI205" i="10"/>
  <c r="AH84" i="6"/>
  <c r="AI84" i="6"/>
  <c r="AJ84" i="6"/>
  <c r="N13" i="5"/>
  <c r="M13" i="5"/>
  <c r="M10" i="5" s="1"/>
  <c r="F10" i="5"/>
  <c r="AJ216" i="9"/>
  <c r="AI78" i="7"/>
  <c r="AI136" i="11"/>
  <c r="AE182" i="10"/>
  <c r="AG182" i="10" s="1"/>
  <c r="AE182" i="11" s="1"/>
  <c r="AG182" i="11" s="1"/>
  <c r="F116" i="7"/>
  <c r="N116" i="7" s="1"/>
  <c r="AJ187" i="5"/>
  <c r="AJ185" i="5" s="1"/>
  <c r="N32" i="5"/>
  <c r="N29" i="5"/>
  <c r="BE7" i="7"/>
  <c r="AC258" i="7"/>
  <c r="AG234" i="5"/>
  <c r="AG232" i="5" s="1"/>
  <c r="AS30" i="5" s="1"/>
  <c r="AX30" i="5" s="1"/>
  <c r="AM10" i="5"/>
  <c r="AM8" i="5" s="1"/>
  <c r="AI76" i="12"/>
  <c r="AH76" i="12"/>
  <c r="AH41" i="13"/>
  <c r="AJ76" i="7"/>
  <c r="AI76" i="7"/>
  <c r="AH76" i="7"/>
  <c r="AI60" i="5"/>
  <c r="AI58" i="5" s="1"/>
  <c r="AI57" i="5" s="1"/>
  <c r="AH60" i="5"/>
  <c r="AH58" i="5" s="1"/>
  <c r="AH57" i="5" s="1"/>
  <c r="X58" i="5"/>
  <c r="X57" i="5" s="1"/>
  <c r="AJ217" i="5"/>
  <c r="AI217" i="5"/>
  <c r="AH217" i="5"/>
  <c r="AH29" i="8"/>
  <c r="AJ29" i="8"/>
  <c r="F38" i="20"/>
  <c r="F31" i="20" s="1"/>
  <c r="BK9" i="5"/>
  <c r="M122" i="6"/>
  <c r="AI255" i="9"/>
  <c r="V24" i="9"/>
  <c r="V24" i="10" s="1"/>
  <c r="AH162" i="11"/>
  <c r="AE236" i="11"/>
  <c r="AG236" i="11" s="1"/>
  <c r="G88" i="12"/>
  <c r="I88" i="12" s="1"/>
  <c r="G88" i="13" s="1"/>
  <c r="I88" i="13" s="1"/>
  <c r="I113" i="6"/>
  <c r="AR15" i="6" s="1"/>
  <c r="AW15" i="6" s="1"/>
  <c r="AJ130" i="9"/>
  <c r="U63" i="8"/>
  <c r="AE65" i="6"/>
  <c r="AE20" i="6"/>
  <c r="AE16" i="6" s="1"/>
  <c r="AH213" i="6"/>
  <c r="AI26" i="6"/>
  <c r="V199" i="9"/>
  <c r="X199" i="9" s="1"/>
  <c r="AH66" i="8"/>
  <c r="AJ199" i="8"/>
  <c r="F89" i="6"/>
  <c r="AH30" i="11"/>
  <c r="BQ13" i="8"/>
  <c r="I37" i="20" s="1"/>
  <c r="I32" i="20" s="1"/>
  <c r="I31" i="20" s="1"/>
  <c r="W65" i="6"/>
  <c r="AJ141" i="5"/>
  <c r="Y114" i="6"/>
  <c r="AL12" i="9"/>
  <c r="N24" i="5"/>
  <c r="N22" i="5" s="1"/>
  <c r="AL110" i="9"/>
  <c r="M83" i="5"/>
  <c r="G10" i="20"/>
  <c r="G9" i="20" s="1"/>
  <c r="AL12" i="14"/>
  <c r="R47" i="20"/>
  <c r="F40" i="6"/>
  <c r="AM12" i="6"/>
  <c r="AM10" i="6" s="1"/>
  <c r="AM8" i="6" s="1"/>
  <c r="AM12" i="9"/>
  <c r="AM10" i="9" s="1"/>
  <c r="AM8" i="9" s="1"/>
  <c r="AV7" i="5"/>
  <c r="AJ27" i="13"/>
  <c r="AI52" i="7"/>
  <c r="AI101" i="7"/>
  <c r="AH101" i="7"/>
  <c r="AJ101" i="7"/>
  <c r="AI101" i="5"/>
  <c r="AJ101" i="5"/>
  <c r="AJ96" i="5" s="1"/>
  <c r="X96" i="5"/>
  <c r="AH101" i="5"/>
  <c r="AC258" i="6"/>
  <c r="AH76" i="5"/>
  <c r="AJ76" i="5"/>
  <c r="X69" i="5"/>
  <c r="X65" i="5" s="1"/>
  <c r="D21" i="5"/>
  <c r="D19" i="5" s="1"/>
  <c r="D17" i="5" s="1"/>
  <c r="Y12" i="5"/>
  <c r="W141" i="10"/>
  <c r="W143" i="11"/>
  <c r="BQ9" i="8"/>
  <c r="BQ25" i="9"/>
  <c r="BK12" i="9" s="1"/>
  <c r="AC110" i="9"/>
  <c r="BQ15" i="9"/>
  <c r="BK10" i="9" s="1"/>
  <c r="D42" i="20"/>
  <c r="AF110" i="9"/>
  <c r="Z12" i="9"/>
  <c r="Z10" i="9" s="1"/>
  <c r="Z258" i="9" s="1"/>
  <c r="AC12" i="9"/>
  <c r="BL15" i="10"/>
  <c r="BL15" i="13" s="1"/>
  <c r="BL15" i="16" s="1"/>
  <c r="BK9" i="8"/>
  <c r="E42" i="20"/>
  <c r="Z110" i="8"/>
  <c r="Z12" i="8"/>
  <c r="AR16" i="5"/>
  <c r="BD7" i="5"/>
  <c r="BE7" i="5"/>
  <c r="AX16" i="5"/>
  <c r="AC8" i="7"/>
  <c r="AL12" i="16"/>
  <c r="AL10" i="16" s="1"/>
  <c r="AL8" i="16" s="1"/>
  <c r="Z10" i="15"/>
  <c r="Z258" i="15" s="1"/>
  <c r="BP12" i="5"/>
  <c r="BP9" i="5" s="1"/>
  <c r="AD14" i="5"/>
  <c r="E73" i="14"/>
  <c r="F73" i="13"/>
  <c r="N78" i="5"/>
  <c r="AF14" i="11"/>
  <c r="AF12" i="11" s="1"/>
  <c r="W60" i="11"/>
  <c r="W58" i="10"/>
  <c r="W57" i="10" s="1"/>
  <c r="AG151" i="8"/>
  <c r="M109" i="10"/>
  <c r="BD19" i="6"/>
  <c r="C21" i="13"/>
  <c r="C19" i="13" s="1"/>
  <c r="C17" i="13" s="1"/>
  <c r="C8" i="13" s="1"/>
  <c r="AG243" i="6"/>
  <c r="U14" i="6"/>
  <c r="U12" i="6" s="1"/>
  <c r="G81" i="7"/>
  <c r="U145" i="12"/>
  <c r="U110" i="12" s="1"/>
  <c r="D128" i="6"/>
  <c r="AB243" i="6"/>
  <c r="AB166" i="9"/>
  <c r="F116" i="6"/>
  <c r="M116" i="6" s="1"/>
  <c r="F88" i="6"/>
  <c r="N88" i="6" s="1"/>
  <c r="N106" i="5"/>
  <c r="F88" i="8"/>
  <c r="N88" i="8" s="1"/>
  <c r="AB20" i="6"/>
  <c r="AB16" i="6" s="1"/>
  <c r="L32" i="20"/>
  <c r="AM10" i="13"/>
  <c r="AM8" i="13" s="1"/>
  <c r="AM10" i="14"/>
  <c r="AM8" i="14" s="1"/>
  <c r="R55" i="20"/>
  <c r="R41" i="20"/>
  <c r="M98" i="5"/>
  <c r="N98" i="5"/>
  <c r="N88" i="5"/>
  <c r="M88" i="5"/>
  <c r="AQ11" i="5"/>
  <c r="AI255" i="7"/>
  <c r="AH255" i="7"/>
  <c r="AJ255" i="7"/>
  <c r="AH148" i="11"/>
  <c r="AI148" i="11"/>
  <c r="BP13" i="5"/>
  <c r="AD63" i="5"/>
  <c r="AH18" i="15"/>
  <c r="AI18" i="15"/>
  <c r="C28" i="10"/>
  <c r="C21" i="10" s="1"/>
  <c r="C19" i="10" s="1"/>
  <c r="C17" i="10" s="1"/>
  <c r="AF63" i="14"/>
  <c r="AF12" i="14" s="1"/>
  <c r="AF10" i="14" s="1"/>
  <c r="AF8" i="14" s="1"/>
  <c r="BQ28" i="16"/>
  <c r="AF193" i="16"/>
  <c r="AJ51" i="6"/>
  <c r="AH51" i="6"/>
  <c r="AI51" i="6"/>
  <c r="AM12" i="11"/>
  <c r="AM10" i="11" s="1"/>
  <c r="AM8" i="11" s="1"/>
  <c r="AI148" i="12"/>
  <c r="AH148" i="12"/>
  <c r="D113" i="6"/>
  <c r="E85" i="6"/>
  <c r="D100" i="11"/>
  <c r="D100" i="12" s="1"/>
  <c r="C21" i="8"/>
  <c r="C19" i="8" s="1"/>
  <c r="C17" i="8" s="1"/>
  <c r="C8" i="8" s="1"/>
  <c r="E128" i="6"/>
  <c r="AJ248" i="9"/>
  <c r="F88" i="7"/>
  <c r="N88" i="7" s="1"/>
  <c r="AE243" i="6"/>
  <c r="AE234" i="6" s="1"/>
  <c r="AE232" i="6" s="1"/>
  <c r="V123" i="6"/>
  <c r="AJ57" i="5"/>
  <c r="BQ15" i="12"/>
  <c r="BK10" i="12" s="1"/>
  <c r="AL12" i="15"/>
  <c r="AL10" i="15" s="1"/>
  <c r="AL8" i="15" s="1"/>
  <c r="AM12" i="8"/>
  <c r="AM10" i="8" s="1"/>
  <c r="AM8" i="8" s="1"/>
  <c r="Z12" i="16"/>
  <c r="N46" i="20"/>
  <c r="BQ25" i="13"/>
  <c r="BK12" i="13" s="1"/>
  <c r="BR29" i="16"/>
  <c r="N90" i="5"/>
  <c r="AQ13" i="5"/>
  <c r="AI148" i="14"/>
  <c r="AH148" i="14"/>
  <c r="BN11" i="8"/>
  <c r="AI18" i="8"/>
  <c r="AH18" i="8"/>
  <c r="AI18" i="12"/>
  <c r="BN11" i="12"/>
  <c r="AH18" i="12"/>
  <c r="AJ76" i="8"/>
  <c r="AH76" i="8"/>
  <c r="AI76" i="8"/>
  <c r="K36" i="20"/>
  <c r="K33" i="20" s="1"/>
  <c r="BQ9" i="10"/>
  <c r="E55" i="9"/>
  <c r="E54" i="8"/>
  <c r="M26" i="6"/>
  <c r="N26" i="6"/>
  <c r="BC11" i="6"/>
  <c r="O54" i="20"/>
  <c r="BK14" i="14"/>
  <c r="BQ28" i="12"/>
  <c r="M52" i="20" s="1"/>
  <c r="M49" i="20" s="1"/>
  <c r="AF193" i="12"/>
  <c r="J36" i="20"/>
  <c r="J33" i="20" s="1"/>
  <c r="BQ9" i="9"/>
  <c r="N38" i="20"/>
  <c r="BK9" i="13"/>
  <c r="AC10" i="5"/>
  <c r="AC258" i="5" s="1"/>
  <c r="E77" i="10"/>
  <c r="L40" i="20"/>
  <c r="L39" i="20" s="1"/>
  <c r="BQ15" i="11"/>
  <c r="BK10" i="11" s="1"/>
  <c r="E25" i="10"/>
  <c r="E26" i="11"/>
  <c r="Z10" i="6"/>
  <c r="Z258" i="6" s="1"/>
  <c r="AH148" i="15"/>
  <c r="AI148" i="15"/>
  <c r="AH18" i="14"/>
  <c r="AI18" i="14"/>
  <c r="AH30" i="7"/>
  <c r="AI30" i="7"/>
  <c r="AJ30" i="7"/>
  <c r="AI76" i="11"/>
  <c r="AJ76" i="11"/>
  <c r="AH76" i="11"/>
  <c r="AF193" i="7"/>
  <c r="AF10" i="7" s="1"/>
  <c r="AF8" i="7" s="1"/>
  <c r="BQ28" i="7"/>
  <c r="P36" i="20"/>
  <c r="P33" i="20" s="1"/>
  <c r="P32" i="20" s="1"/>
  <c r="BQ9" i="15"/>
  <c r="K40" i="20"/>
  <c r="K39" i="20" s="1"/>
  <c r="BQ15" i="10"/>
  <c r="BK10" i="10" s="1"/>
  <c r="F117" i="6"/>
  <c r="N117" i="6" s="1"/>
  <c r="AI30" i="11"/>
  <c r="AE187" i="6"/>
  <c r="AE185" i="6" s="1"/>
  <c r="U43" i="9"/>
  <c r="U14" i="9" s="1"/>
  <c r="U12" i="9" s="1"/>
  <c r="U112" i="11"/>
  <c r="U110" i="11" s="1"/>
  <c r="U110" i="8"/>
  <c r="U14" i="14"/>
  <c r="U12" i="14" s="1"/>
  <c r="AI136" i="10"/>
  <c r="X163" i="6"/>
  <c r="AI163" i="6" s="1"/>
  <c r="X68" i="6"/>
  <c r="AI68" i="6" s="1"/>
  <c r="U112" i="6"/>
  <c r="U110" i="6" s="1"/>
  <c r="Z12" i="12"/>
  <c r="BR17" i="16"/>
  <c r="AH18" i="11"/>
  <c r="AI18" i="11"/>
  <c r="AH30" i="10"/>
  <c r="AJ30" i="10"/>
  <c r="AH18" i="7"/>
  <c r="AI18" i="7"/>
  <c r="K8" i="7"/>
  <c r="AH30" i="9"/>
  <c r="AJ30" i="9"/>
  <c r="AM110" i="12"/>
  <c r="AM10" i="12" s="1"/>
  <c r="AM8" i="12" s="1"/>
  <c r="BQ13" i="12"/>
  <c r="M37" i="20" s="1"/>
  <c r="AF14" i="12"/>
  <c r="AF12" i="12" s="1"/>
  <c r="N36" i="20"/>
  <c r="N33" i="20" s="1"/>
  <c r="BQ9" i="13"/>
  <c r="G51" i="20"/>
  <c r="Z110" i="10"/>
  <c r="G30" i="9"/>
  <c r="AA94" i="10"/>
  <c r="BP24" i="5"/>
  <c r="BP22" i="5" s="1"/>
  <c r="BJ11" i="5" s="1"/>
  <c r="AR27" i="5"/>
  <c r="AW27" i="5" s="1"/>
  <c r="F89" i="9"/>
  <c r="N89" i="9" s="1"/>
  <c r="G94" i="7"/>
  <c r="U110" i="7"/>
  <c r="D86" i="7"/>
  <c r="D85" i="6"/>
  <c r="D108" i="7"/>
  <c r="F108" i="6"/>
  <c r="BC20" i="5"/>
  <c r="M115" i="5"/>
  <c r="N115" i="5"/>
  <c r="F113" i="5"/>
  <c r="AQ15" i="5" s="1"/>
  <c r="AZ15" i="5" s="1"/>
  <c r="D38" i="7"/>
  <c r="F38" i="6"/>
  <c r="N99" i="7"/>
  <c r="M99" i="7"/>
  <c r="N96" i="7"/>
  <c r="M96" i="7"/>
  <c r="L95" i="6"/>
  <c r="J94" i="6"/>
  <c r="D121" i="7"/>
  <c r="F121" i="6"/>
  <c r="M121" i="5"/>
  <c r="N121" i="5"/>
  <c r="M40" i="8"/>
  <c r="D88" i="10"/>
  <c r="F88" i="9"/>
  <c r="N88" i="9" s="1"/>
  <c r="D110" i="8"/>
  <c r="G90" i="7"/>
  <c r="I90" i="7" s="1"/>
  <c r="AR13" i="6"/>
  <c r="AW13" i="6"/>
  <c r="AH148" i="7"/>
  <c r="AI148" i="7"/>
  <c r="AJ148" i="7"/>
  <c r="AI153" i="9"/>
  <c r="AH153" i="9"/>
  <c r="AI136" i="8"/>
  <c r="AH136" i="8"/>
  <c r="AH81" i="6"/>
  <c r="AJ81" i="6"/>
  <c r="AI81" i="6"/>
  <c r="AI52" i="11"/>
  <c r="AJ117" i="6"/>
  <c r="AH117" i="6"/>
  <c r="AI117" i="6"/>
  <c r="BC16" i="7"/>
  <c r="N43" i="7"/>
  <c r="M43" i="7"/>
  <c r="M42" i="7" s="1"/>
  <c r="F42" i="7"/>
  <c r="AQ10" i="7" s="1"/>
  <c r="AF193" i="5"/>
  <c r="AF10" i="5" s="1"/>
  <c r="AF8" i="5" s="1"/>
  <c r="BQ28" i="5"/>
  <c r="V156" i="7"/>
  <c r="X156" i="6"/>
  <c r="AJ45" i="5"/>
  <c r="AI45" i="5"/>
  <c r="AH45" i="5"/>
  <c r="X44" i="5"/>
  <c r="AH165" i="5"/>
  <c r="AJ165" i="5"/>
  <c r="AI165" i="5"/>
  <c r="W204" i="7"/>
  <c r="W203" i="6"/>
  <c r="X204" i="6"/>
  <c r="AA84" i="7"/>
  <c r="L57" i="6"/>
  <c r="J58" i="7"/>
  <c r="J67" i="7"/>
  <c r="L66" i="6"/>
  <c r="AB75" i="7"/>
  <c r="AD69" i="6"/>
  <c r="AD225" i="6"/>
  <c r="AB222" i="6"/>
  <c r="AB220" i="6" s="1"/>
  <c r="AJ66" i="7"/>
  <c r="AH66" i="7"/>
  <c r="G38" i="20"/>
  <c r="BK9" i="6"/>
  <c r="F54" i="20"/>
  <c r="BK14" i="5"/>
  <c r="BL14" i="7" s="1"/>
  <c r="J38" i="6"/>
  <c r="L38" i="6" s="1"/>
  <c r="J38" i="7" s="1"/>
  <c r="L38" i="7" s="1"/>
  <c r="J38" i="8" s="1"/>
  <c r="L38" i="8" s="1"/>
  <c r="J38" i="9" s="1"/>
  <c r="L38" i="9" s="1"/>
  <c r="J38" i="10" s="1"/>
  <c r="L38" i="10" s="1"/>
  <c r="J38" i="11" s="1"/>
  <c r="L38" i="11" s="1"/>
  <c r="J38" i="12" s="1"/>
  <c r="L38" i="12" s="1"/>
  <c r="J38" i="13" s="1"/>
  <c r="L38" i="13" s="1"/>
  <c r="AX9" i="5"/>
  <c r="L28" i="5"/>
  <c r="AJ47" i="5"/>
  <c r="AH47" i="5"/>
  <c r="AI47" i="5"/>
  <c r="AJ249" i="5"/>
  <c r="AI249" i="5"/>
  <c r="AH249" i="5"/>
  <c r="AS23" i="5"/>
  <c r="F94" i="5"/>
  <c r="M95" i="5"/>
  <c r="N95" i="5"/>
  <c r="BC18" i="5"/>
  <c r="AR7" i="5"/>
  <c r="I65" i="6"/>
  <c r="I63" i="6" s="1"/>
  <c r="G128" i="6"/>
  <c r="G76" i="7"/>
  <c r="I75" i="6"/>
  <c r="BO12" i="5"/>
  <c r="BO9" i="5" s="1"/>
  <c r="AA14" i="5"/>
  <c r="AJ190" i="6"/>
  <c r="AH190" i="6"/>
  <c r="X187" i="6"/>
  <c r="X185" i="6" s="1"/>
  <c r="W66" i="11"/>
  <c r="X66" i="10"/>
  <c r="W92" i="7"/>
  <c r="W91" i="6"/>
  <c r="X92" i="6"/>
  <c r="W108" i="10"/>
  <c r="X108" i="9"/>
  <c r="W158" i="7"/>
  <c r="W157" i="6"/>
  <c r="W155" i="6" s="1"/>
  <c r="W145" i="6" s="1"/>
  <c r="AJ179" i="5"/>
  <c r="AI179" i="5"/>
  <c r="AH179" i="5"/>
  <c r="X176" i="5"/>
  <c r="AS24" i="5"/>
  <c r="AX24" i="5" s="1"/>
  <c r="AG63" i="5"/>
  <c r="AJ215" i="5"/>
  <c r="AI215" i="5"/>
  <c r="AH215" i="5"/>
  <c r="W237" i="7"/>
  <c r="W235" i="6"/>
  <c r="AH250" i="6"/>
  <c r="AI250" i="6"/>
  <c r="AA236" i="6"/>
  <c r="Y235" i="6"/>
  <c r="AD152" i="6"/>
  <c r="AB149" i="6"/>
  <c r="AB147" i="6" s="1"/>
  <c r="AE26" i="8"/>
  <c r="AG26" i="8" s="1"/>
  <c r="AJ26" i="7"/>
  <c r="J80" i="7"/>
  <c r="N80" i="6"/>
  <c r="AB97" i="8"/>
  <c r="AB136" i="14"/>
  <c r="AD136" i="14" s="1"/>
  <c r="AI136" i="13"/>
  <c r="AB253" i="8"/>
  <c r="AD253" i="8" s="1"/>
  <c r="AI253" i="7"/>
  <c r="W229" i="9"/>
  <c r="O38" i="20"/>
  <c r="BK9" i="14"/>
  <c r="P40" i="20"/>
  <c r="P39" i="20" s="1"/>
  <c r="BQ15" i="15"/>
  <c r="BR16" i="16"/>
  <c r="N14" i="8"/>
  <c r="J14" i="9"/>
  <c r="L14" i="9" s="1"/>
  <c r="J14" i="10" s="1"/>
  <c r="L14" i="10" s="1"/>
  <c r="AJ201" i="10"/>
  <c r="AE201" i="11"/>
  <c r="AG201" i="11" s="1"/>
  <c r="AE201" i="12" s="1"/>
  <c r="AG201" i="12" s="1"/>
  <c r="AE201" i="13" s="1"/>
  <c r="AG201" i="13" s="1"/>
  <c r="BQ8" i="7"/>
  <c r="BQ7" i="7" s="1"/>
  <c r="H37" i="20"/>
  <c r="H32" i="20" s="1"/>
  <c r="E68" i="15"/>
  <c r="L31" i="8"/>
  <c r="M14" i="9"/>
  <c r="L51" i="20"/>
  <c r="I52" i="20"/>
  <c r="I49" i="20" s="1"/>
  <c r="BQ25" i="8"/>
  <c r="BK12" i="8" s="1"/>
  <c r="J46" i="8"/>
  <c r="E80" i="14"/>
  <c r="W73" i="12"/>
  <c r="E47" i="12"/>
  <c r="AH199" i="7"/>
  <c r="AJ199" i="7"/>
  <c r="Y143" i="11"/>
  <c r="AJ181" i="12"/>
  <c r="AE181" i="13"/>
  <c r="AG181" i="13" s="1"/>
  <c r="AE251" i="10"/>
  <c r="AG251" i="10" s="1"/>
  <c r="AX14" i="5"/>
  <c r="F87" i="6"/>
  <c r="M87" i="6" s="1"/>
  <c r="C21" i="14"/>
  <c r="C19" i="14" s="1"/>
  <c r="C17" i="14" s="1"/>
  <c r="G104" i="6"/>
  <c r="AJ27" i="14"/>
  <c r="X129" i="6"/>
  <c r="R16" i="20"/>
  <c r="AB12" i="5"/>
  <c r="Z12" i="11"/>
  <c r="AC12" i="15"/>
  <c r="M108" i="5"/>
  <c r="N108" i="5"/>
  <c r="N38" i="5"/>
  <c r="M38" i="5"/>
  <c r="BC13" i="5"/>
  <c r="F28" i="5"/>
  <c r="D101" i="7"/>
  <c r="F101" i="6"/>
  <c r="M119" i="5"/>
  <c r="N119" i="5"/>
  <c r="N120" i="5"/>
  <c r="M120" i="5"/>
  <c r="E115" i="7"/>
  <c r="F115" i="6"/>
  <c r="D117" i="8"/>
  <c r="F117" i="7"/>
  <c r="L119" i="6"/>
  <c r="N119" i="6" s="1"/>
  <c r="J113" i="6"/>
  <c r="AI25" i="14"/>
  <c r="AH253" i="11"/>
  <c r="AH74" i="7"/>
  <c r="AJ74" i="7"/>
  <c r="AI74" i="7"/>
  <c r="AH230" i="7"/>
  <c r="AI230" i="7"/>
  <c r="AH29" i="9"/>
  <c r="AH136" i="9"/>
  <c r="AI136" i="9"/>
  <c r="AI217" i="8"/>
  <c r="AJ217" i="8"/>
  <c r="AH217" i="8"/>
  <c r="AI201" i="8"/>
  <c r="AH201" i="8"/>
  <c r="AJ201" i="8"/>
  <c r="AI108" i="6"/>
  <c r="X222" i="6"/>
  <c r="AI94" i="6"/>
  <c r="AH94" i="6"/>
  <c r="AJ94" i="6"/>
  <c r="K8" i="13"/>
  <c r="Y243" i="6"/>
  <c r="AA244" i="6"/>
  <c r="AB21" i="7"/>
  <c r="AD20" i="6"/>
  <c r="AD16" i="6" s="1"/>
  <c r="AI21" i="6"/>
  <c r="AD66" i="6"/>
  <c r="AE25" i="7"/>
  <c r="AG25" i="7" s="1"/>
  <c r="AJ25" i="6"/>
  <c r="AJ119" i="7"/>
  <c r="AI119" i="7"/>
  <c r="AH119" i="7"/>
  <c r="V94" i="7"/>
  <c r="V91" i="6"/>
  <c r="AI156" i="5"/>
  <c r="BN18" i="5"/>
  <c r="AJ156" i="5"/>
  <c r="AH156" i="5"/>
  <c r="W134" i="7"/>
  <c r="X134" i="6"/>
  <c r="W123" i="6"/>
  <c r="W112" i="6" s="1"/>
  <c r="X203" i="5"/>
  <c r="AI204" i="5"/>
  <c r="AI203" i="5" s="1"/>
  <c r="AH204" i="5"/>
  <c r="AH203" i="5" s="1"/>
  <c r="AJ204" i="5"/>
  <c r="AJ203" i="5" s="1"/>
  <c r="AH127" i="11"/>
  <c r="D43" i="8"/>
  <c r="D42" i="7"/>
  <c r="V129" i="8"/>
  <c r="X129" i="7"/>
  <c r="V214" i="7"/>
  <c r="V211" i="6"/>
  <c r="V210" i="6" s="1"/>
  <c r="V209" i="6" s="1"/>
  <c r="V207" i="6" s="1"/>
  <c r="W33" i="8"/>
  <c r="X33" i="7"/>
  <c r="W86" i="7"/>
  <c r="W83" i="6"/>
  <c r="W163" i="8"/>
  <c r="X163" i="7"/>
  <c r="Y115" i="7"/>
  <c r="AA114" i="6"/>
  <c r="BO16" i="6" s="1"/>
  <c r="AH115" i="6"/>
  <c r="L53" i="6"/>
  <c r="J128" i="6"/>
  <c r="J51" i="6"/>
  <c r="L76" i="6"/>
  <c r="J75" i="6"/>
  <c r="AD215" i="6"/>
  <c r="AB211" i="6"/>
  <c r="AB210" i="6" s="1"/>
  <c r="AB209" i="6" s="1"/>
  <c r="AB207" i="6" s="1"/>
  <c r="AG136" i="6"/>
  <c r="AE123" i="6"/>
  <c r="AE112" i="6" s="1"/>
  <c r="I52" i="6"/>
  <c r="G51" i="6"/>
  <c r="Y116" i="7"/>
  <c r="AA116" i="7" s="1"/>
  <c r="Y116" i="8" s="1"/>
  <c r="AA116" i="8" s="1"/>
  <c r="Y116" i="9" s="1"/>
  <c r="AA116" i="9" s="1"/>
  <c r="Y116" i="10" s="1"/>
  <c r="AA116" i="10" s="1"/>
  <c r="Y116" i="11" s="1"/>
  <c r="AA116" i="11" s="1"/>
  <c r="Y116" i="12" s="1"/>
  <c r="AA116" i="12" s="1"/>
  <c r="Y116" i="13" s="1"/>
  <c r="AA116" i="13" s="1"/>
  <c r="Y116" i="14" s="1"/>
  <c r="AA116" i="14" s="1"/>
  <c r="Y116" i="15" s="1"/>
  <c r="AA116" i="15" s="1"/>
  <c r="Y116" i="16" s="1"/>
  <c r="AA116" i="16" s="1"/>
  <c r="AG178" i="6"/>
  <c r="AE176" i="6"/>
  <c r="W48" i="7"/>
  <c r="X48" i="6"/>
  <c r="AJ66" i="8"/>
  <c r="X68" i="7"/>
  <c r="W68" i="8"/>
  <c r="AJ92" i="5"/>
  <c r="AI92" i="5"/>
  <c r="AH92" i="5"/>
  <c r="X91" i="5"/>
  <c r="AJ108" i="8"/>
  <c r="W190" i="7"/>
  <c r="W187" i="6"/>
  <c r="W185" i="6" s="1"/>
  <c r="J30" i="7"/>
  <c r="L29" i="6"/>
  <c r="N30" i="6"/>
  <c r="L49" i="6"/>
  <c r="J48" i="6"/>
  <c r="AE67" i="7"/>
  <c r="AG67" i="7" s="1"/>
  <c r="AJ67" i="6"/>
  <c r="AJ189" i="6"/>
  <c r="AE189" i="7"/>
  <c r="AG189" i="7" s="1"/>
  <c r="M22" i="5"/>
  <c r="W212" i="7"/>
  <c r="W211" i="6"/>
  <c r="W210" i="6" s="1"/>
  <c r="W209" i="6" s="1"/>
  <c r="W207" i="6" s="1"/>
  <c r="AJ237" i="5"/>
  <c r="AH237" i="5"/>
  <c r="AI237" i="5"/>
  <c r="X235" i="5"/>
  <c r="W245" i="7"/>
  <c r="X245" i="6"/>
  <c r="W243" i="6"/>
  <c r="BP16" i="5"/>
  <c r="AD145" i="5"/>
  <c r="AB71" i="8"/>
  <c r="P48" i="20"/>
  <c r="P46" i="20" s="1"/>
  <c r="BQ22" i="15"/>
  <c r="BK11" i="15" s="1"/>
  <c r="AE183" i="10"/>
  <c r="AG183" i="10" s="1"/>
  <c r="G59" i="10"/>
  <c r="I59" i="10" s="1"/>
  <c r="G59" i="11" s="1"/>
  <c r="I59" i="11" s="1"/>
  <c r="G59" i="12" s="1"/>
  <c r="AB50" i="9"/>
  <c r="AB88" i="10"/>
  <c r="O40" i="20"/>
  <c r="O39" i="20" s="1"/>
  <c r="BQ15" i="14"/>
  <c r="BK10" i="14" s="1"/>
  <c r="I10" i="7"/>
  <c r="G12" i="8"/>
  <c r="AA86" i="6"/>
  <c r="AH86" i="6" s="1"/>
  <c r="Y83" i="6"/>
  <c r="L70" i="8"/>
  <c r="E33" i="13"/>
  <c r="AE180" i="14"/>
  <c r="AG180" i="14" s="1"/>
  <c r="G34" i="15"/>
  <c r="I34" i="15" s="1"/>
  <c r="G34" i="16" s="1"/>
  <c r="I34" i="16" s="1"/>
  <c r="F111" i="6"/>
  <c r="F110" i="6"/>
  <c r="G113" i="6"/>
  <c r="X158" i="6"/>
  <c r="G75" i="6"/>
  <c r="W170" i="5"/>
  <c r="AL12" i="6"/>
  <c r="AL10" i="6" s="1"/>
  <c r="AL8" i="6" s="1"/>
  <c r="AA234" i="5"/>
  <c r="AA232" i="5" s="1"/>
  <c r="BO29" i="5" s="1"/>
  <c r="BI13" i="5" s="1"/>
  <c r="AB69" i="6"/>
  <c r="AB65" i="6" s="1"/>
  <c r="AC10" i="8"/>
  <c r="AC258" i="8" s="1"/>
  <c r="C21" i="15"/>
  <c r="C19" i="15" s="1"/>
  <c r="C17" i="15" s="1"/>
  <c r="BR24" i="16"/>
  <c r="BR22" i="16" s="1"/>
  <c r="AL12" i="12"/>
  <c r="BQ22" i="13"/>
  <c r="BK11" i="13" s="1"/>
  <c r="BQ8" i="5"/>
  <c r="BQ7" i="5" s="1"/>
  <c r="BQ22" i="9"/>
  <c r="BK11" i="9" s="1"/>
  <c r="AI244" i="9"/>
  <c r="N98" i="6"/>
  <c r="M98" i="6"/>
  <c r="N100" i="6"/>
  <c r="M100" i="6"/>
  <c r="D116" i="13"/>
  <c r="F102" i="7"/>
  <c r="D102" i="8"/>
  <c r="G120" i="7"/>
  <c r="I120" i="7" s="1"/>
  <c r="G120" i="8" s="1"/>
  <c r="I120" i="8" s="1"/>
  <c r="G120" i="9" s="1"/>
  <c r="I120" i="9" s="1"/>
  <c r="G120" i="10" s="1"/>
  <c r="I120" i="10" s="1"/>
  <c r="G120" i="11" s="1"/>
  <c r="I120" i="11" s="1"/>
  <c r="G120" i="12" s="1"/>
  <c r="I120" i="12" s="1"/>
  <c r="G120" i="13" s="1"/>
  <c r="I120" i="13" s="1"/>
  <c r="G120" i="14" s="1"/>
  <c r="I120" i="14" s="1"/>
  <c r="G120" i="15" s="1"/>
  <c r="I120" i="15" s="1"/>
  <c r="G120" i="16" s="1"/>
  <c r="I120" i="16" s="1"/>
  <c r="BD20" i="6"/>
  <c r="N99" i="6"/>
  <c r="M99" i="6"/>
  <c r="M105" i="5"/>
  <c r="N105" i="5"/>
  <c r="F104" i="5"/>
  <c r="BC19" i="5"/>
  <c r="N101" i="5"/>
  <c r="M101" i="5"/>
  <c r="N123" i="7"/>
  <c r="M123" i="7"/>
  <c r="D111" i="8"/>
  <c r="F111" i="7"/>
  <c r="M111" i="7" s="1"/>
  <c r="D87" i="8"/>
  <c r="D87" i="9" s="1"/>
  <c r="D87" i="10" s="1"/>
  <c r="F87" i="7"/>
  <c r="M87" i="7" s="1"/>
  <c r="N117" i="5"/>
  <c r="M117" i="5"/>
  <c r="D95" i="8"/>
  <c r="AH201" i="11"/>
  <c r="AI127" i="9"/>
  <c r="AH127" i="9"/>
  <c r="AH78" i="11"/>
  <c r="AI78" i="11"/>
  <c r="AH216" i="7"/>
  <c r="AI216" i="7"/>
  <c r="AJ216" i="7"/>
  <c r="AF63" i="6"/>
  <c r="AF12" i="6" s="1"/>
  <c r="BQ13" i="6"/>
  <c r="G37" i="20" s="1"/>
  <c r="AF63" i="16"/>
  <c r="AF12" i="16" s="1"/>
  <c r="BQ13" i="16"/>
  <c r="AI86" i="6"/>
  <c r="AH94" i="5"/>
  <c r="AJ94" i="5"/>
  <c r="AI94" i="5"/>
  <c r="V240" i="7"/>
  <c r="V235" i="6"/>
  <c r="E56" i="11"/>
  <c r="AH134" i="5"/>
  <c r="AJ134" i="5"/>
  <c r="AI134" i="5"/>
  <c r="G33" i="7"/>
  <c r="I32" i="6"/>
  <c r="M33" i="6"/>
  <c r="BD13" i="6"/>
  <c r="G77" i="7"/>
  <c r="I77" i="7" s="1"/>
  <c r="M77" i="6"/>
  <c r="J55" i="8"/>
  <c r="AD125" i="6"/>
  <c r="AB123" i="6"/>
  <c r="AB204" i="7"/>
  <c r="AD203" i="6"/>
  <c r="M47" i="6"/>
  <c r="AH129" i="5"/>
  <c r="AI129" i="5"/>
  <c r="AJ129" i="5"/>
  <c r="X123" i="5"/>
  <c r="AH214" i="5"/>
  <c r="AI214" i="5"/>
  <c r="AJ214" i="5"/>
  <c r="AI86" i="5"/>
  <c r="AI83" i="5" s="1"/>
  <c r="AH86" i="5"/>
  <c r="AJ86" i="5"/>
  <c r="X83" i="5"/>
  <c r="AI163" i="5"/>
  <c r="AH163" i="5"/>
  <c r="AJ163" i="5"/>
  <c r="X157" i="5"/>
  <c r="X155" i="5" s="1"/>
  <c r="X145" i="5" s="1"/>
  <c r="BP27" i="5"/>
  <c r="AD207" i="5"/>
  <c r="AR29" i="5" s="1"/>
  <c r="AW29" i="5" s="1"/>
  <c r="N97" i="5"/>
  <c r="M97" i="5"/>
  <c r="M89" i="5"/>
  <c r="N89" i="5"/>
  <c r="AQ12" i="5"/>
  <c r="G68" i="7"/>
  <c r="I66" i="6"/>
  <c r="M68" i="6"/>
  <c r="AI237" i="6"/>
  <c r="AH237" i="6"/>
  <c r="AJ237" i="6"/>
  <c r="J54" i="20"/>
  <c r="BK14" i="9"/>
  <c r="AH48" i="5"/>
  <c r="AJ48" i="5"/>
  <c r="AI48" i="5"/>
  <c r="W54" i="7"/>
  <c r="W49" i="6"/>
  <c r="X54" i="6"/>
  <c r="AJ68" i="5"/>
  <c r="AH68" i="5"/>
  <c r="AI68" i="5"/>
  <c r="W102" i="11"/>
  <c r="X102" i="10"/>
  <c r="W119" i="8"/>
  <c r="W167" i="8"/>
  <c r="X167" i="7"/>
  <c r="AH212" i="5"/>
  <c r="AI212" i="5"/>
  <c r="AJ212" i="5"/>
  <c r="X211" i="5"/>
  <c r="X210" i="5" s="1"/>
  <c r="X209" i="5" s="1"/>
  <c r="BN26" i="5"/>
  <c r="L73" i="6"/>
  <c r="J72" i="6"/>
  <c r="AD228" i="7"/>
  <c r="AB227" i="7"/>
  <c r="AG153" i="7"/>
  <c r="AI78" i="13"/>
  <c r="AB78" i="14"/>
  <c r="AD78" i="14" s="1"/>
  <c r="AB99" i="7"/>
  <c r="AD96" i="6"/>
  <c r="AF193" i="10"/>
  <c r="BQ28" i="10"/>
  <c r="AI27" i="9"/>
  <c r="AJ27" i="9"/>
  <c r="I40" i="20"/>
  <c r="BQ15" i="8"/>
  <c r="BK10" i="8" s="1"/>
  <c r="R50" i="20"/>
  <c r="X59" i="12"/>
  <c r="AA133" i="9"/>
  <c r="O52" i="20"/>
  <c r="AH246" i="7"/>
  <c r="AI246" i="7"/>
  <c r="AE202" i="11"/>
  <c r="AG202" i="11" s="1"/>
  <c r="F14" i="11"/>
  <c r="E14" i="12"/>
  <c r="G80" i="10"/>
  <c r="I80" i="10" s="1"/>
  <c r="W256" i="8"/>
  <c r="X256" i="7"/>
  <c r="AA142" i="6"/>
  <c r="Y141" i="6"/>
  <c r="Y112" i="6" s="1"/>
  <c r="Y110" i="6" s="1"/>
  <c r="Y247" i="11"/>
  <c r="AA247" i="11" s="1"/>
  <c r="Y106" i="8"/>
  <c r="U110" i="9"/>
  <c r="L10" i="7"/>
  <c r="X240" i="6"/>
  <c r="AL12" i="8"/>
  <c r="AL10" i="8" s="1"/>
  <c r="AL8" i="8" s="1"/>
  <c r="AL12" i="13"/>
  <c r="AF10" i="15"/>
  <c r="AF8" i="15" s="1"/>
  <c r="BK8" i="5"/>
  <c r="M100" i="7"/>
  <c r="N100" i="7"/>
  <c r="M109" i="5"/>
  <c r="N109" i="5"/>
  <c r="M100" i="8"/>
  <c r="N100" i="8"/>
  <c r="E119" i="11"/>
  <c r="D96" i="9"/>
  <c r="F96" i="8"/>
  <c r="M111" i="5"/>
  <c r="N111" i="5"/>
  <c r="F128" i="5"/>
  <c r="BC21" i="5"/>
  <c r="M87" i="5"/>
  <c r="F85" i="5"/>
  <c r="N87" i="5"/>
  <c r="N91" i="5"/>
  <c r="M91" i="5"/>
  <c r="AH29" i="15"/>
  <c r="M110" i="5"/>
  <c r="N110" i="5"/>
  <c r="D39" i="9"/>
  <c r="F39" i="8"/>
  <c r="M39" i="8" s="1"/>
  <c r="AH201" i="12"/>
  <c r="AJ230" i="10"/>
  <c r="AI230" i="10"/>
  <c r="AH230" i="10"/>
  <c r="AI230" i="8"/>
  <c r="AH230" i="8"/>
  <c r="AJ230" i="8"/>
  <c r="AH136" i="12"/>
  <c r="AI136" i="12"/>
  <c r="AH29" i="10"/>
  <c r="M62" i="7"/>
  <c r="F60" i="7"/>
  <c r="AJ93" i="7"/>
  <c r="AI93" i="7"/>
  <c r="AI244" i="7"/>
  <c r="AH72" i="9"/>
  <c r="AJ165" i="6"/>
  <c r="BN26" i="6"/>
  <c r="BQ13" i="9"/>
  <c r="AF14" i="9"/>
  <c r="AF12" i="9" s="1"/>
  <c r="Y204" i="7"/>
  <c r="AA203" i="6"/>
  <c r="J43" i="8"/>
  <c r="AD189" i="7"/>
  <c r="AE46" i="7"/>
  <c r="AJ46" i="6"/>
  <c r="AG44" i="6"/>
  <c r="AE244" i="7"/>
  <c r="AG244" i="7" s="1"/>
  <c r="AE244" i="8" s="1"/>
  <c r="AG244" i="8" s="1"/>
  <c r="AJ244" i="6"/>
  <c r="V74" i="8"/>
  <c r="V125" i="8"/>
  <c r="X125" i="7"/>
  <c r="AH240" i="5"/>
  <c r="AI240" i="5"/>
  <c r="AJ240" i="5"/>
  <c r="X45" i="6"/>
  <c r="W44" i="6"/>
  <c r="W45" i="7"/>
  <c r="W165" i="8"/>
  <c r="X165" i="7"/>
  <c r="AB59" i="7"/>
  <c r="AD58" i="6"/>
  <c r="AD57" i="6" s="1"/>
  <c r="BP17" i="5"/>
  <c r="AD112" i="5"/>
  <c r="F13" i="20"/>
  <c r="BF13" i="7"/>
  <c r="BF13" i="10" s="1"/>
  <c r="BF13" i="13" s="1"/>
  <c r="BF13" i="16" s="1"/>
  <c r="BE10" i="5"/>
  <c r="D46" i="9"/>
  <c r="D45" i="8"/>
  <c r="E62" i="9"/>
  <c r="E60" i="8"/>
  <c r="W47" i="7"/>
  <c r="X47" i="6"/>
  <c r="W97" i="9"/>
  <c r="W96" i="8"/>
  <c r="W249" i="7"/>
  <c r="X249" i="6"/>
  <c r="I79" i="7"/>
  <c r="G78" i="7"/>
  <c r="I78" i="7" s="1"/>
  <c r="L33" i="6"/>
  <c r="J32" i="6"/>
  <c r="L62" i="7"/>
  <c r="N62" i="7" s="1"/>
  <c r="AD190" i="6"/>
  <c r="AB187" i="6"/>
  <c r="AB185" i="6" s="1"/>
  <c r="AE17" i="7"/>
  <c r="AG17" i="7" s="1"/>
  <c r="AS22" i="6"/>
  <c r="O36" i="20"/>
  <c r="O33" i="20" s="1"/>
  <c r="BQ9" i="14"/>
  <c r="BR12" i="16"/>
  <c r="BR9" i="16" s="1"/>
  <c r="D97" i="7"/>
  <c r="F97" i="6"/>
  <c r="E95" i="7"/>
  <c r="E94" i="6"/>
  <c r="I23" i="6"/>
  <c r="G22" i="6"/>
  <c r="AA26" i="6"/>
  <c r="Y20" i="6"/>
  <c r="Y16" i="6" s="1"/>
  <c r="AA173" i="6"/>
  <c r="Y172" i="6"/>
  <c r="AI54" i="5"/>
  <c r="AJ54" i="5"/>
  <c r="X49" i="5"/>
  <c r="AH54" i="5"/>
  <c r="AH102" i="9"/>
  <c r="AI119" i="6"/>
  <c r="AH119" i="6"/>
  <c r="W179" i="7"/>
  <c r="W176" i="6"/>
  <c r="X179" i="6"/>
  <c r="AA197" i="6"/>
  <c r="Y195" i="6"/>
  <c r="Y194" i="6" s="1"/>
  <c r="Y193" i="6" s="1"/>
  <c r="J44" i="7"/>
  <c r="L42" i="6"/>
  <c r="AX10" i="6"/>
  <c r="AZ10" i="6" s="1"/>
  <c r="AG86" i="6"/>
  <c r="AJ86" i="6" s="1"/>
  <c r="AE83" i="6"/>
  <c r="AG197" i="6"/>
  <c r="AE195" i="6"/>
  <c r="AE194" i="6" s="1"/>
  <c r="AE193" i="6" s="1"/>
  <c r="M36" i="20"/>
  <c r="M33" i="20" s="1"/>
  <c r="BQ9" i="12"/>
  <c r="W215" i="7"/>
  <c r="X215" i="6"/>
  <c r="AJ215" i="6" s="1"/>
  <c r="AH245" i="5"/>
  <c r="AJ245" i="5"/>
  <c r="AI245" i="5"/>
  <c r="X243" i="5"/>
  <c r="W250" i="8"/>
  <c r="X250" i="7"/>
  <c r="AJ250" i="7" s="1"/>
  <c r="AD236" i="6"/>
  <c r="AB235" i="6"/>
  <c r="O51" i="20"/>
  <c r="BQ25" i="14"/>
  <c r="BK12" i="14" s="1"/>
  <c r="BR27" i="16"/>
  <c r="AE137" i="8"/>
  <c r="AG137" i="8" s="1"/>
  <c r="L38" i="20"/>
  <c r="BK9" i="11"/>
  <c r="N40" i="20"/>
  <c r="N39" i="20" s="1"/>
  <c r="BQ15" i="13"/>
  <c r="BK10" i="13" s="1"/>
  <c r="E71" i="10"/>
  <c r="V70" i="12"/>
  <c r="V150" i="13"/>
  <c r="AJ191" i="9"/>
  <c r="AE191" i="10"/>
  <c r="AG191" i="10" s="1"/>
  <c r="Q38" i="20"/>
  <c r="BK9" i="16"/>
  <c r="BR14" i="16"/>
  <c r="D24" i="15"/>
  <c r="X162" i="16"/>
  <c r="AI256" i="6"/>
  <c r="AH256" i="6"/>
  <c r="AJ256" i="6"/>
  <c r="AA80" i="6"/>
  <c r="Y69" i="6"/>
  <c r="Y65" i="6" s="1"/>
  <c r="BO20" i="5"/>
  <c r="AA112" i="5"/>
  <c r="AE196" i="11"/>
  <c r="AG196" i="11" s="1"/>
  <c r="C126" i="5"/>
  <c r="C130" i="5" s="1"/>
  <c r="C21" i="12"/>
  <c r="C19" i="12" s="1"/>
  <c r="C17" i="12" s="1"/>
  <c r="C8" i="12" s="1"/>
  <c r="D104" i="6"/>
  <c r="D94" i="6"/>
  <c r="U220" i="15"/>
  <c r="X214" i="6"/>
  <c r="AF63" i="8"/>
  <c r="AF12" i="8" s="1"/>
  <c r="BR30" i="16"/>
  <c r="BC17" i="5"/>
  <c r="AY8" i="5"/>
  <c r="D124" i="15"/>
  <c r="F107" i="7"/>
  <c r="D107" i="8"/>
  <c r="J87" i="7"/>
  <c r="L87" i="7" s="1"/>
  <c r="AS10" i="6"/>
  <c r="F119" i="7"/>
  <c r="D119" i="8"/>
  <c r="L115" i="7"/>
  <c r="J88" i="10"/>
  <c r="L88" i="10" s="1"/>
  <c r="AS11" i="9"/>
  <c r="AX11" i="9"/>
  <c r="J122" i="11"/>
  <c r="M119" i="6"/>
  <c r="N109" i="6"/>
  <c r="M109" i="6"/>
  <c r="L118" i="12"/>
  <c r="N109" i="11"/>
  <c r="M109" i="11"/>
  <c r="J104" i="7"/>
  <c r="L105" i="7"/>
  <c r="N105" i="7" s="1"/>
  <c r="F122" i="8"/>
  <c r="J111" i="8"/>
  <c r="L111" i="8" s="1"/>
  <c r="G111" i="11"/>
  <c r="I111" i="11" s="1"/>
  <c r="J39" i="9"/>
  <c r="L39" i="9" s="1"/>
  <c r="AE59" i="8"/>
  <c r="AE73" i="7"/>
  <c r="AJ73" i="6"/>
  <c r="AE188" i="7"/>
  <c r="AG187" i="6"/>
  <c r="AG185" i="6" s="1"/>
  <c r="AJ188" i="6"/>
  <c r="M59" i="6"/>
  <c r="N59" i="6"/>
  <c r="AE70" i="8"/>
  <c r="L86" i="7"/>
  <c r="D105" i="8"/>
  <c r="F98" i="9"/>
  <c r="D98" i="10"/>
  <c r="N118" i="6"/>
  <c r="G95" i="9"/>
  <c r="E86" i="11"/>
  <c r="F91" i="7"/>
  <c r="E124" i="8"/>
  <c r="E124" i="9" s="1"/>
  <c r="F124" i="7"/>
  <c r="G117" i="12"/>
  <c r="I117" i="12" s="1"/>
  <c r="N100" i="10"/>
  <c r="M100" i="10"/>
  <c r="AJ124" i="6"/>
  <c r="AH124" i="6"/>
  <c r="AI124" i="6"/>
  <c r="G83" i="8"/>
  <c r="M83" i="7"/>
  <c r="I81" i="7"/>
  <c r="AB216" i="11"/>
  <c r="AD216" i="11" s="1"/>
  <c r="AI216" i="10"/>
  <c r="AD67" i="7"/>
  <c r="AB218" i="11"/>
  <c r="AD218" i="11" s="1"/>
  <c r="AI218" i="10"/>
  <c r="AB256" i="14"/>
  <c r="AD256" i="14" s="1"/>
  <c r="AG40" i="10"/>
  <c r="AE71" i="13"/>
  <c r="AG71" i="13" s="1"/>
  <c r="AE76" i="14"/>
  <c r="AG76" i="14" s="1"/>
  <c r="AJ76" i="13"/>
  <c r="AE127" i="11"/>
  <c r="AG127" i="11" s="1"/>
  <c r="AE250" i="9"/>
  <c r="AG250" i="9" s="1"/>
  <c r="AJ162" i="6"/>
  <c r="AH162" i="6"/>
  <c r="AI162" i="6"/>
  <c r="AG51" i="9"/>
  <c r="Y161" i="12"/>
  <c r="AA161" i="12" s="1"/>
  <c r="AE22" i="7"/>
  <c r="AJ22" i="6"/>
  <c r="AG20" i="6"/>
  <c r="AG16" i="6" s="1"/>
  <c r="AE167" i="10"/>
  <c r="AG167" i="10" s="1"/>
  <c r="AI18" i="9"/>
  <c r="AH18" i="9"/>
  <c r="BN11" i="9"/>
  <c r="N15" i="7"/>
  <c r="M15" i="7"/>
  <c r="AG158" i="7"/>
  <c r="AI246" i="8"/>
  <c r="AH246" i="8"/>
  <c r="V45" i="10"/>
  <c r="V44" i="9"/>
  <c r="AB239" i="9"/>
  <c r="AE53" i="9"/>
  <c r="AG53" i="9" s="1"/>
  <c r="AJ53" i="8"/>
  <c r="AE81" i="8"/>
  <c r="AJ81" i="7"/>
  <c r="AE97" i="8"/>
  <c r="AE101" i="10"/>
  <c r="AG101" i="10" s="1"/>
  <c r="AJ101" i="9"/>
  <c r="AE118" i="9"/>
  <c r="AG118" i="9" s="1"/>
  <c r="AE249" i="10"/>
  <c r="AG249" i="10" s="1"/>
  <c r="K126" i="6"/>
  <c r="K130" i="6" s="1"/>
  <c r="AE119" i="10"/>
  <c r="AG119" i="10" s="1"/>
  <c r="AG212" i="8"/>
  <c r="AI93" i="11"/>
  <c r="AB53" i="12"/>
  <c r="AD53" i="12" s="1"/>
  <c r="AI53" i="11"/>
  <c r="AA25" i="14"/>
  <c r="AJ213" i="7"/>
  <c r="AI213" i="7"/>
  <c r="AH213" i="7"/>
  <c r="AG54" i="7"/>
  <c r="AB30" i="13"/>
  <c r="AD30" i="13" s="1"/>
  <c r="AI30" i="12"/>
  <c r="L15" i="8"/>
  <c r="J10" i="8"/>
  <c r="X223" i="9"/>
  <c r="W223" i="10"/>
  <c r="M44" i="8"/>
  <c r="G44" i="9"/>
  <c r="AW10" i="8"/>
  <c r="I42" i="8"/>
  <c r="AR10" i="8" s="1"/>
  <c r="AJ126" i="7"/>
  <c r="AJ253" i="9"/>
  <c r="AE253" i="10"/>
  <c r="AG253" i="10" s="1"/>
  <c r="AI244" i="10"/>
  <c r="L24" i="8"/>
  <c r="AG237" i="9"/>
  <c r="E83" i="13"/>
  <c r="F83" i="12"/>
  <c r="AE240" i="12"/>
  <c r="AG240" i="12" s="1"/>
  <c r="AA229" i="9"/>
  <c r="V28" i="10"/>
  <c r="G41" i="8"/>
  <c r="I41" i="8" s="1"/>
  <c r="W106" i="10"/>
  <c r="AE214" i="11"/>
  <c r="AG214" i="11" s="1"/>
  <c r="AH252" i="13"/>
  <c r="AI252" i="13"/>
  <c r="AE256" i="11"/>
  <c r="AG256" i="11" s="1"/>
  <c r="X93" i="14"/>
  <c r="W93" i="15"/>
  <c r="AE102" i="14"/>
  <c r="AG102" i="14" s="1"/>
  <c r="W23" i="12"/>
  <c r="X23" i="11"/>
  <c r="V212" i="12"/>
  <c r="AE230" i="13"/>
  <c r="AG230" i="13" s="1"/>
  <c r="AJ230" i="12"/>
  <c r="Y159" i="9"/>
  <c r="AD213" i="8"/>
  <c r="I67" i="11"/>
  <c r="J13" i="14"/>
  <c r="F89" i="8"/>
  <c r="D19" i="20"/>
  <c r="U170" i="9"/>
  <c r="M124" i="6"/>
  <c r="N124" i="6"/>
  <c r="M105" i="7"/>
  <c r="E87" i="9"/>
  <c r="D91" i="12"/>
  <c r="F109" i="12"/>
  <c r="D109" i="13"/>
  <c r="D89" i="11"/>
  <c r="F89" i="10"/>
  <c r="M107" i="6"/>
  <c r="N107" i="6"/>
  <c r="M109" i="7"/>
  <c r="N109" i="7"/>
  <c r="D118" i="8"/>
  <c r="D118" i="9" s="1"/>
  <c r="G86" i="7"/>
  <c r="E105" i="9"/>
  <c r="E104" i="8"/>
  <c r="J97" i="15"/>
  <c r="L97" i="15" s="1"/>
  <c r="E108" i="9"/>
  <c r="N105" i="6"/>
  <c r="M105" i="6"/>
  <c r="M98" i="8"/>
  <c r="N98" i="8"/>
  <c r="N109" i="8"/>
  <c r="M109" i="8"/>
  <c r="N98" i="7"/>
  <c r="M98" i="7"/>
  <c r="D90" i="8"/>
  <c r="F90" i="7"/>
  <c r="G97" i="8"/>
  <c r="I94" i="7"/>
  <c r="BD18" i="7"/>
  <c r="I115" i="7"/>
  <c r="L117" i="15"/>
  <c r="M91" i="6"/>
  <c r="N91" i="6"/>
  <c r="E120" i="13"/>
  <c r="G110" i="8"/>
  <c r="I110" i="8" s="1"/>
  <c r="I122" i="7"/>
  <c r="D120" i="8"/>
  <c r="I106" i="7"/>
  <c r="G104" i="7"/>
  <c r="AG106" i="7"/>
  <c r="AE105" i="7"/>
  <c r="AE104" i="7" s="1"/>
  <c r="AE173" i="9"/>
  <c r="AG246" i="7"/>
  <c r="AH189" i="10"/>
  <c r="AI162" i="13"/>
  <c r="AH162" i="13"/>
  <c r="AJ162" i="13"/>
  <c r="AI52" i="12"/>
  <c r="AI138" i="11"/>
  <c r="AB138" i="12"/>
  <c r="AD138" i="12" s="1"/>
  <c r="AH186" i="10"/>
  <c r="AG37" i="12"/>
  <c r="AE124" i="8"/>
  <c r="AE156" i="15"/>
  <c r="AG156" i="15" s="1"/>
  <c r="AE166" i="14"/>
  <c r="AG166" i="14" s="1"/>
  <c r="AJ166" i="13"/>
  <c r="M56" i="6"/>
  <c r="AJ253" i="6"/>
  <c r="AH253" i="6"/>
  <c r="AI253" i="6"/>
  <c r="W177" i="15"/>
  <c r="D15" i="9"/>
  <c r="F15" i="8"/>
  <c r="E50" i="11"/>
  <c r="AE66" i="15"/>
  <c r="AG66" i="15" s="1"/>
  <c r="AE99" i="9"/>
  <c r="AG99" i="9" s="1"/>
  <c r="AE133" i="11"/>
  <c r="AG133" i="11" s="1"/>
  <c r="AE135" i="14"/>
  <c r="AG135" i="14" s="1"/>
  <c r="AE164" i="9"/>
  <c r="AG164" i="9" s="1"/>
  <c r="AJ164" i="8"/>
  <c r="AH186" i="9"/>
  <c r="AH247" i="8"/>
  <c r="AJ247" i="8"/>
  <c r="AI247" i="8"/>
  <c r="AA126" i="11"/>
  <c r="X246" i="9"/>
  <c r="V246" i="10"/>
  <c r="W120" i="9"/>
  <c r="AB39" i="16"/>
  <c r="AD39" i="16" s="1"/>
  <c r="AD129" i="12"/>
  <c r="AB249" i="15"/>
  <c r="AD249" i="15" s="1"/>
  <c r="AE29" i="11"/>
  <c r="AG29" i="11" s="1"/>
  <c r="AJ29" i="10"/>
  <c r="AE179" i="13"/>
  <c r="AG179" i="13" s="1"/>
  <c r="AH162" i="14"/>
  <c r="AJ162" i="14"/>
  <c r="AI162" i="14"/>
  <c r="AD94" i="12"/>
  <c r="J65" i="7"/>
  <c r="N65" i="6"/>
  <c r="L63" i="6"/>
  <c r="Y241" i="12"/>
  <c r="AA241" i="12" s="1"/>
  <c r="AH241" i="11"/>
  <c r="AB135" i="14"/>
  <c r="AD135" i="14" s="1"/>
  <c r="AB201" i="12"/>
  <c r="AD201" i="12" s="1"/>
  <c r="AI201" i="11"/>
  <c r="AE19" i="8"/>
  <c r="AG33" i="15"/>
  <c r="AE47" i="12"/>
  <c r="AG47" i="12" s="1"/>
  <c r="AE218" i="10"/>
  <c r="AG218" i="10" s="1"/>
  <c r="AJ218" i="9"/>
  <c r="Y40" i="9"/>
  <c r="W94" i="9"/>
  <c r="X213" i="8"/>
  <c r="V213" i="9"/>
  <c r="V19" i="16"/>
  <c r="AB183" i="8"/>
  <c r="AD183" i="8" s="1"/>
  <c r="W174" i="10"/>
  <c r="BO27" i="6"/>
  <c r="AA207" i="6"/>
  <c r="V173" i="11"/>
  <c r="AE190" i="12"/>
  <c r="AG190" i="12" s="1"/>
  <c r="AH27" i="7"/>
  <c r="Y27" i="8"/>
  <c r="V198" i="11"/>
  <c r="AD212" i="9"/>
  <c r="V38" i="10"/>
  <c r="V50" i="13"/>
  <c r="AH138" i="16"/>
  <c r="J37" i="8"/>
  <c r="AE200" i="11"/>
  <c r="AG200" i="11" s="1"/>
  <c r="AJ200" i="10"/>
  <c r="AE247" i="15"/>
  <c r="AG247" i="15" s="1"/>
  <c r="G55" i="9"/>
  <c r="AJ248" i="10"/>
  <c r="AE248" i="11"/>
  <c r="AG248" i="11" s="1"/>
  <c r="AA237" i="14"/>
  <c r="AI200" i="11"/>
  <c r="AI216" i="9"/>
  <c r="AI252" i="11"/>
  <c r="AG69" i="6"/>
  <c r="AG65" i="6" s="1"/>
  <c r="M96" i="6"/>
  <c r="N96" i="6"/>
  <c r="F99" i="8"/>
  <c r="D99" i="9"/>
  <c r="N86" i="6"/>
  <c r="AE252" i="8"/>
  <c r="AG252" i="8" s="1"/>
  <c r="AJ252" i="7"/>
  <c r="AB191" i="8"/>
  <c r="AE228" i="7"/>
  <c r="AG227" i="6"/>
  <c r="L74" i="8"/>
  <c r="G64" i="7"/>
  <c r="BD14" i="6"/>
  <c r="Y251" i="11"/>
  <c r="AA251" i="11" s="1"/>
  <c r="AB80" i="16"/>
  <c r="AD80" i="16" s="1"/>
  <c r="AI80" i="16" s="1"/>
  <c r="AI80" i="15"/>
  <c r="AD197" i="8"/>
  <c r="AB250" i="10"/>
  <c r="AD250" i="10" s="1"/>
  <c r="AE32" i="12"/>
  <c r="AG32" i="12" s="1"/>
  <c r="AE61" i="10"/>
  <c r="AG61" i="10" s="1"/>
  <c r="AE75" i="10"/>
  <c r="AG75" i="10" s="1"/>
  <c r="AJ78" i="15"/>
  <c r="AE78" i="16"/>
  <c r="AG78" i="16" s="1"/>
  <c r="AJ78" i="16" s="1"/>
  <c r="AE241" i="7"/>
  <c r="AG235" i="6"/>
  <c r="AJ241" i="6"/>
  <c r="AB214" i="15"/>
  <c r="AD214" i="15" s="1"/>
  <c r="AG177" i="7"/>
  <c r="AE215" i="7"/>
  <c r="AI59" i="6"/>
  <c r="AJ59" i="6"/>
  <c r="AH59" i="6"/>
  <c r="AI72" i="13"/>
  <c r="AH72" i="13"/>
  <c r="AB107" i="9"/>
  <c r="B24" i="11"/>
  <c r="AE48" i="8"/>
  <c r="AE77" i="10"/>
  <c r="AG77" i="10" s="1"/>
  <c r="AG92" i="11"/>
  <c r="AE100" i="11"/>
  <c r="AG100" i="11" s="1"/>
  <c r="AE107" i="13"/>
  <c r="AG107" i="13" s="1"/>
  <c r="AG148" i="9"/>
  <c r="AE161" i="14"/>
  <c r="AG161" i="14" s="1"/>
  <c r="AG238" i="8"/>
  <c r="BN11" i="15"/>
  <c r="I50" i="7"/>
  <c r="G48" i="7"/>
  <c r="G71" i="12"/>
  <c r="AI223" i="8"/>
  <c r="AE115" i="9"/>
  <c r="AJ115" i="8"/>
  <c r="E72" i="11"/>
  <c r="E74" i="12"/>
  <c r="AG85" i="8"/>
  <c r="V124" i="10"/>
  <c r="X124" i="9"/>
  <c r="AE30" i="15"/>
  <c r="AG30" i="15" s="1"/>
  <c r="AJ30" i="14"/>
  <c r="AD36" i="9"/>
  <c r="AB70" i="9"/>
  <c r="D52" i="13"/>
  <c r="AD17" i="15"/>
  <c r="AD61" i="11"/>
  <c r="AE72" i="8"/>
  <c r="AG72" i="8" s="1"/>
  <c r="AE95" i="8"/>
  <c r="AE132" i="13"/>
  <c r="AG132" i="13" s="1"/>
  <c r="AH76" i="10"/>
  <c r="AJ76" i="10"/>
  <c r="AI76" i="10"/>
  <c r="AA70" i="7"/>
  <c r="G36" i="9"/>
  <c r="V225" i="11"/>
  <c r="Y53" i="16"/>
  <c r="AA53" i="16" s="1"/>
  <c r="AH53" i="16" s="1"/>
  <c r="AH53" i="15"/>
  <c r="Y211" i="7"/>
  <c r="Y210" i="7" s="1"/>
  <c r="Y209" i="7" s="1"/>
  <c r="Y207" i="7" s="1"/>
  <c r="AA215" i="7"/>
  <c r="AD23" i="10"/>
  <c r="AE204" i="9"/>
  <c r="AG203" i="8"/>
  <c r="AA214" i="12"/>
  <c r="E59" i="12"/>
  <c r="V92" i="10"/>
  <c r="D34" i="12"/>
  <c r="V237" i="16"/>
  <c r="AH138" i="15"/>
  <c r="AB55" i="11"/>
  <c r="AD55" i="11" s="1"/>
  <c r="J82" i="8"/>
  <c r="AB143" i="10"/>
  <c r="D81" i="9"/>
  <c r="D82" i="10"/>
  <c r="AD224" i="7"/>
  <c r="AE239" i="10"/>
  <c r="AG239" i="10" s="1"/>
  <c r="F44" i="15"/>
  <c r="E44" i="16"/>
  <c r="W99" i="14"/>
  <c r="AR11" i="12"/>
  <c r="AE217" i="15"/>
  <c r="AG217" i="15" s="1"/>
  <c r="U170" i="10"/>
  <c r="U14" i="7"/>
  <c r="U12" i="7" s="1"/>
  <c r="AJ59" i="7"/>
  <c r="AI252" i="12"/>
  <c r="AA152" i="7"/>
  <c r="Y149" i="7"/>
  <c r="Y147" i="7" s="1"/>
  <c r="Y51" i="9"/>
  <c r="AB200" i="13"/>
  <c r="AD200" i="13" s="1"/>
  <c r="AI200" i="12"/>
  <c r="AG93" i="9"/>
  <c r="AE130" i="11"/>
  <c r="AG130" i="11" s="1"/>
  <c r="AJ130" i="10"/>
  <c r="AE165" i="9"/>
  <c r="AG165" i="9" s="1"/>
  <c r="AJ229" i="6"/>
  <c r="AH229" i="6"/>
  <c r="AI229" i="6"/>
  <c r="W116" i="9"/>
  <c r="E53" i="11"/>
  <c r="AB230" i="14"/>
  <c r="AD230" i="14" s="1"/>
  <c r="AI230" i="13"/>
  <c r="AE80" i="10"/>
  <c r="AG80" i="10" s="1"/>
  <c r="AJ80" i="9"/>
  <c r="AE134" i="10"/>
  <c r="AG134" i="10" s="1"/>
  <c r="AG186" i="7"/>
  <c r="AG245" i="8"/>
  <c r="AI181" i="9"/>
  <c r="AH181" i="9"/>
  <c r="AJ181" i="9"/>
  <c r="X72" i="14"/>
  <c r="W72" i="15"/>
  <c r="D13" i="10"/>
  <c r="B14" i="8"/>
  <c r="B14" i="9" s="1"/>
  <c r="B14" i="10" s="1"/>
  <c r="B14" i="11" s="1"/>
  <c r="B14" i="12" s="1"/>
  <c r="B14" i="13" s="1"/>
  <c r="B14" i="14" s="1"/>
  <c r="B14" i="15" s="1"/>
  <c r="B14" i="16" s="1"/>
  <c r="BE21" i="7"/>
  <c r="K128" i="7"/>
  <c r="V203" i="9"/>
  <c r="V204" i="10"/>
  <c r="X59" i="13"/>
  <c r="W59" i="14"/>
  <c r="AD22" i="11"/>
  <c r="AD132" i="11"/>
  <c r="AB181" i="13"/>
  <c r="AD181" i="13" s="1"/>
  <c r="AI181" i="12"/>
  <c r="AB248" i="7"/>
  <c r="AI248" i="6"/>
  <c r="AD243" i="6"/>
  <c r="AE18" i="9"/>
  <c r="AJ18" i="8"/>
  <c r="AG45" i="11"/>
  <c r="AG84" i="9"/>
  <c r="AG168" i="9"/>
  <c r="Y31" i="15"/>
  <c r="AA31" i="15" s="1"/>
  <c r="AH31" i="14"/>
  <c r="AI223" i="7"/>
  <c r="AA238" i="7"/>
  <c r="AD134" i="8"/>
  <c r="AB255" i="12"/>
  <c r="AD255" i="12" s="1"/>
  <c r="AI255" i="11"/>
  <c r="AE31" i="11"/>
  <c r="AG31" i="11" s="1"/>
  <c r="AJ31" i="10"/>
  <c r="AE39" i="15"/>
  <c r="AG39" i="15" s="1"/>
  <c r="AE141" i="7"/>
  <c r="AG142" i="7"/>
  <c r="AG174" i="7"/>
  <c r="AE172" i="7"/>
  <c r="AD153" i="16"/>
  <c r="Y47" i="14"/>
  <c r="W152" i="11"/>
  <c r="AD229" i="8"/>
  <c r="W126" i="9"/>
  <c r="X126" i="8"/>
  <c r="AE254" i="10"/>
  <c r="AG254" i="10" s="1"/>
  <c r="W244" i="12"/>
  <c r="X244" i="11"/>
  <c r="J68" i="9"/>
  <c r="V245" i="13"/>
  <c r="X238" i="12"/>
  <c r="W238" i="13"/>
  <c r="W252" i="15"/>
  <c r="X252" i="14"/>
  <c r="J52" i="8"/>
  <c r="AD26" i="8"/>
  <c r="I27" i="7"/>
  <c r="G25" i="7"/>
  <c r="AI93" i="13"/>
  <c r="AE205" i="11"/>
  <c r="AG205" i="11" s="1"/>
  <c r="AJ205" i="10"/>
  <c r="X228" i="11"/>
  <c r="W228" i="12"/>
  <c r="I105" i="13"/>
  <c r="AB245" i="10"/>
  <c r="AJ216" i="14"/>
  <c r="AE216" i="15"/>
  <c r="AG216" i="15" s="1"/>
  <c r="U110" i="10"/>
  <c r="X227" i="6"/>
  <c r="J38" i="14" l="1"/>
  <c r="L38" i="14" s="1"/>
  <c r="J38" i="15" s="1"/>
  <c r="L38" i="15" s="1"/>
  <c r="J38" i="16" s="1"/>
  <c r="L38" i="16" s="1"/>
  <c r="U110" i="15"/>
  <c r="AI99" i="6"/>
  <c r="H31" i="20"/>
  <c r="H30" i="20" s="1"/>
  <c r="AH187" i="6"/>
  <c r="AH185" i="6" s="1"/>
  <c r="AH66" i="9"/>
  <c r="L54" i="6"/>
  <c r="U12" i="16"/>
  <c r="AI126" i="7"/>
  <c r="AH247" i="10"/>
  <c r="AH108" i="6"/>
  <c r="F78" i="6"/>
  <c r="M78" i="6" s="1"/>
  <c r="U110" i="14"/>
  <c r="F69" i="6"/>
  <c r="M81" i="6"/>
  <c r="AH128" i="6"/>
  <c r="U10" i="14"/>
  <c r="U258" i="14" s="1"/>
  <c r="X70" i="7"/>
  <c r="AB145" i="6"/>
  <c r="P31" i="20"/>
  <c r="M71" i="6"/>
  <c r="M69" i="6" s="1"/>
  <c r="AJ247" i="14"/>
  <c r="AQ12" i="7"/>
  <c r="AY12" i="7" s="1"/>
  <c r="AV10" i="6"/>
  <c r="F53" i="8"/>
  <c r="AJ17" i="6"/>
  <c r="AI212" i="6"/>
  <c r="G32" i="20"/>
  <c r="AJ255" i="11"/>
  <c r="AI108" i="8"/>
  <c r="D113" i="7"/>
  <c r="V112" i="6"/>
  <c r="V160" i="11"/>
  <c r="X160" i="11" s="1"/>
  <c r="AJ160" i="11" s="1"/>
  <c r="AH166" i="7"/>
  <c r="E85" i="7"/>
  <c r="AI74" i="6"/>
  <c r="AH254" i="7"/>
  <c r="AJ60" i="6"/>
  <c r="AJ58" i="6" s="1"/>
  <c r="AJ182" i="10"/>
  <c r="AB180" i="8"/>
  <c r="N89" i="7"/>
  <c r="AB176" i="7"/>
  <c r="AH142" i="6"/>
  <c r="W90" i="6"/>
  <c r="AI254" i="7"/>
  <c r="AJ186" i="6"/>
  <c r="AH186" i="6"/>
  <c r="D53" i="9"/>
  <c r="AH212" i="6"/>
  <c r="AH72" i="12"/>
  <c r="Y43" i="6"/>
  <c r="X90" i="5"/>
  <c r="BN10" i="6"/>
  <c r="AI247" i="13"/>
  <c r="AI247" i="12"/>
  <c r="AC10" i="13"/>
  <c r="AC8" i="13" s="1"/>
  <c r="U8" i="5"/>
  <c r="U258" i="5"/>
  <c r="AI69" i="5"/>
  <c r="AJ127" i="10"/>
  <c r="BO15" i="5"/>
  <c r="BI10" i="5" s="1"/>
  <c r="N44" i="6"/>
  <c r="N42" i="6" s="1"/>
  <c r="W70" i="8"/>
  <c r="X70" i="8" s="1"/>
  <c r="AJ83" i="5"/>
  <c r="AR30" i="5"/>
  <c r="AW30" i="5" s="1"/>
  <c r="AI72" i="8"/>
  <c r="M116" i="7"/>
  <c r="Z10" i="12"/>
  <c r="Z258" i="12" s="1"/>
  <c r="AB14" i="6"/>
  <c r="AH247" i="9"/>
  <c r="AL10" i="14"/>
  <c r="AL8" i="14" s="1"/>
  <c r="N10" i="5"/>
  <c r="AJ40" i="7"/>
  <c r="M42" i="6"/>
  <c r="AI35" i="5"/>
  <c r="AJ127" i="7"/>
  <c r="BD17" i="6"/>
  <c r="AH128" i="7"/>
  <c r="AI128" i="7"/>
  <c r="W43" i="6"/>
  <c r="W14" i="6" s="1"/>
  <c r="M88" i="6"/>
  <c r="M63" i="5"/>
  <c r="N56" i="6"/>
  <c r="M116" i="8"/>
  <c r="AF10" i="8"/>
  <c r="AF8" i="8" s="1"/>
  <c r="AD110" i="5"/>
  <c r="BP25" i="5"/>
  <c r="BJ12" i="5" s="1"/>
  <c r="F45" i="6"/>
  <c r="Z10" i="11"/>
  <c r="Z258" i="11" s="1"/>
  <c r="X170" i="5"/>
  <c r="AQ23" i="5"/>
  <c r="AU23" i="5" s="1"/>
  <c r="AI222" i="5"/>
  <c r="AI220" i="5" s="1"/>
  <c r="AI180" i="7"/>
  <c r="X114" i="6"/>
  <c r="AI102" i="7"/>
  <c r="R53" i="20"/>
  <c r="AJ74" i="6"/>
  <c r="AH127" i="10"/>
  <c r="M86" i="6"/>
  <c r="Y90" i="6"/>
  <c r="Y63" i="6" s="1"/>
  <c r="U12" i="15"/>
  <c r="U10" i="15" s="1"/>
  <c r="Z10" i="13"/>
  <c r="Z8" i="13" s="1"/>
  <c r="AH174" i="6"/>
  <c r="AJ174" i="6"/>
  <c r="AB161" i="7"/>
  <c r="AD157" i="6"/>
  <c r="AD155" i="6" s="1"/>
  <c r="V186" i="16"/>
  <c r="X186" i="16" s="1"/>
  <c r="AH186" i="16" s="1"/>
  <c r="X186" i="15"/>
  <c r="AH186" i="15" s="1"/>
  <c r="V132" i="8"/>
  <c r="X132" i="7"/>
  <c r="AJ247" i="6"/>
  <c r="AH247" i="6"/>
  <c r="AI247" i="6"/>
  <c r="AH241" i="6"/>
  <c r="AI241" i="6"/>
  <c r="V128" i="10"/>
  <c r="X128" i="9"/>
  <c r="AH228" i="6"/>
  <c r="AH227" i="6" s="1"/>
  <c r="AI228" i="6"/>
  <c r="AH243" i="5"/>
  <c r="O32" i="20"/>
  <c r="O31" i="20" s="1"/>
  <c r="O30" i="20" s="1"/>
  <c r="AH165" i="6"/>
  <c r="AH83" i="5"/>
  <c r="M92" i="6"/>
  <c r="AC10" i="15"/>
  <c r="AC258" i="15" s="1"/>
  <c r="AI79" i="8"/>
  <c r="AJ40" i="6"/>
  <c r="N81" i="5"/>
  <c r="Z8" i="5"/>
  <c r="N25" i="5"/>
  <c r="AJ35" i="5"/>
  <c r="W12" i="5"/>
  <c r="W10" i="5" s="1"/>
  <c r="AI127" i="6"/>
  <c r="X20" i="6"/>
  <c r="X16" i="6" s="1"/>
  <c r="AJ247" i="7"/>
  <c r="AH247" i="7"/>
  <c r="AI247" i="7"/>
  <c r="AH180" i="6"/>
  <c r="AJ180" i="6"/>
  <c r="V174" i="8"/>
  <c r="X174" i="7"/>
  <c r="AH174" i="7" s="1"/>
  <c r="V172" i="7"/>
  <c r="AH166" i="6"/>
  <c r="AI166" i="6"/>
  <c r="AJ166" i="6"/>
  <c r="AD117" i="7"/>
  <c r="AB114" i="7"/>
  <c r="G26" i="8"/>
  <c r="I26" i="8" s="1"/>
  <c r="BD11" i="7"/>
  <c r="AH166" i="11"/>
  <c r="AJ166" i="11"/>
  <c r="V180" i="11"/>
  <c r="X180" i="10"/>
  <c r="AJ180" i="10" s="1"/>
  <c r="AI227" i="6"/>
  <c r="V199" i="10"/>
  <c r="AI102" i="9"/>
  <c r="AH235" i="5"/>
  <c r="AI102" i="8"/>
  <c r="U10" i="16"/>
  <c r="U8" i="16" s="1"/>
  <c r="AJ176" i="5"/>
  <c r="BN10" i="7"/>
  <c r="AI40" i="6"/>
  <c r="AJ166" i="12"/>
  <c r="AI166" i="7"/>
  <c r="V220" i="6"/>
  <c r="AJ127" i="6"/>
  <c r="U12" i="11"/>
  <c r="AJ180" i="7"/>
  <c r="AH180" i="7"/>
  <c r="Y46" i="7"/>
  <c r="AA44" i="6"/>
  <c r="AJ166" i="9"/>
  <c r="AH166" i="9"/>
  <c r="AJ166" i="8"/>
  <c r="AH166" i="8"/>
  <c r="AJ135" i="6"/>
  <c r="AI135" i="6"/>
  <c r="AH254" i="6"/>
  <c r="AI254" i="6"/>
  <c r="AJ254" i="6"/>
  <c r="AH108" i="7"/>
  <c r="AI108" i="7"/>
  <c r="AJ228" i="6"/>
  <c r="AJ227" i="6" s="1"/>
  <c r="AI167" i="6"/>
  <c r="AF10" i="16"/>
  <c r="AF8" i="16" s="1"/>
  <c r="AH102" i="8"/>
  <c r="AA63" i="5"/>
  <c r="AH127" i="8"/>
  <c r="AI127" i="8"/>
  <c r="AH132" i="6"/>
  <c r="AJ132" i="6"/>
  <c r="AI132" i="6"/>
  <c r="AI247" i="11"/>
  <c r="AJ247" i="11"/>
  <c r="AI166" i="8"/>
  <c r="AG94" i="7"/>
  <c r="AE91" i="7"/>
  <c r="AA124" i="8"/>
  <c r="Y123" i="8"/>
  <c r="AJ128" i="8"/>
  <c r="AH128" i="8"/>
  <c r="AI128" i="8"/>
  <c r="AJ166" i="10"/>
  <c r="AH166" i="10"/>
  <c r="AD90" i="6"/>
  <c r="M120" i="6"/>
  <c r="I21" i="5"/>
  <c r="I19" i="5" s="1"/>
  <c r="X105" i="6"/>
  <c r="X104" i="6" s="1"/>
  <c r="AD43" i="6"/>
  <c r="AQ11" i="7"/>
  <c r="AG14" i="5"/>
  <c r="AJ195" i="5"/>
  <c r="AJ194" i="5" s="1"/>
  <c r="AJ193" i="5" s="1"/>
  <c r="BK7" i="7"/>
  <c r="V123" i="7"/>
  <c r="M48" i="5"/>
  <c r="BL13" i="13"/>
  <c r="V10" i="5"/>
  <c r="V8" i="5" s="1"/>
  <c r="AH202" i="6"/>
  <c r="BD22" i="5"/>
  <c r="AH20" i="5"/>
  <c r="AH16" i="5" s="1"/>
  <c r="AI114" i="5"/>
  <c r="AI202" i="6"/>
  <c r="D28" i="6"/>
  <c r="D21" i="6" s="1"/>
  <c r="D19" i="6" s="1"/>
  <c r="D17" i="6" s="1"/>
  <c r="F100" i="11"/>
  <c r="N100" i="11" s="1"/>
  <c r="Y170" i="6"/>
  <c r="V90" i="6"/>
  <c r="AI16" i="5"/>
  <c r="AI105" i="5"/>
  <c r="AI104" i="5" s="1"/>
  <c r="F75" i="6"/>
  <c r="AE223" i="7"/>
  <c r="AG222" i="6"/>
  <c r="AG220" i="6" s="1"/>
  <c r="X243" i="6"/>
  <c r="Z10" i="16"/>
  <c r="Z258" i="16" s="1"/>
  <c r="BK8" i="8"/>
  <c r="F92" i="7"/>
  <c r="M92" i="7" s="1"/>
  <c r="AM10" i="7"/>
  <c r="AM8" i="7" s="1"/>
  <c r="D128" i="7"/>
  <c r="N69" i="6"/>
  <c r="AJ77" i="6"/>
  <c r="AH77" i="6"/>
  <c r="AJ114" i="5"/>
  <c r="AH75" i="7"/>
  <c r="AJ75" i="7"/>
  <c r="M81" i="5"/>
  <c r="AJ69" i="5"/>
  <c r="AJ65" i="5" s="1"/>
  <c r="AI96" i="5"/>
  <c r="AL10" i="7"/>
  <c r="AL8" i="7" s="1"/>
  <c r="AJ20" i="5"/>
  <c r="AJ16" i="5" s="1"/>
  <c r="AB168" i="12"/>
  <c r="AD168" i="12" s="1"/>
  <c r="AI168" i="11"/>
  <c r="AI19" i="6"/>
  <c r="AJ19" i="6"/>
  <c r="O49" i="20"/>
  <c r="U12" i="10"/>
  <c r="AZ8" i="6"/>
  <c r="AU8" i="6"/>
  <c r="AI55" i="6"/>
  <c r="AH55" i="6"/>
  <c r="AJ55" i="6"/>
  <c r="AH81" i="13"/>
  <c r="AI81" i="13"/>
  <c r="AB41" i="9"/>
  <c r="AD41" i="9" s="1"/>
  <c r="AI41" i="8"/>
  <c r="V99" i="9"/>
  <c r="X99" i="8"/>
  <c r="D50" i="9"/>
  <c r="F50" i="8"/>
  <c r="N50" i="8" s="1"/>
  <c r="AD51" i="7"/>
  <c r="AB49" i="7"/>
  <c r="Y167" i="7"/>
  <c r="BO19" i="6"/>
  <c r="AA157" i="6"/>
  <c r="AA155" i="6" s="1"/>
  <c r="D47" i="9"/>
  <c r="D45" i="9" s="1"/>
  <c r="F47" i="8"/>
  <c r="AJ79" i="6"/>
  <c r="AH79" i="6"/>
  <c r="AI79" i="6"/>
  <c r="AB31" i="11"/>
  <c r="AD31" i="11" s="1"/>
  <c r="AI31" i="10"/>
  <c r="V227" i="7"/>
  <c r="V229" i="8"/>
  <c r="X229" i="7"/>
  <c r="AI60" i="6"/>
  <c r="AH60" i="6"/>
  <c r="AH58" i="6" s="1"/>
  <c r="AA222" i="6"/>
  <c r="AA220" i="6" s="1"/>
  <c r="BO30" i="6" s="1"/>
  <c r="BI14" i="6" s="1"/>
  <c r="Y223" i="7"/>
  <c r="AI55" i="7"/>
  <c r="AJ55" i="7"/>
  <c r="AH55" i="7"/>
  <c r="X58" i="6"/>
  <c r="X57" i="6" s="1"/>
  <c r="F106" i="8"/>
  <c r="N106" i="8" s="1"/>
  <c r="AG58" i="6"/>
  <c r="AG57" i="6" s="1"/>
  <c r="J28" i="6"/>
  <c r="J21" i="6" s="1"/>
  <c r="J19" i="6" s="1"/>
  <c r="J17" i="6" s="1"/>
  <c r="J8" i="6" s="1"/>
  <c r="J126" i="6" s="1"/>
  <c r="J130" i="6" s="1"/>
  <c r="AJ163" i="6"/>
  <c r="W114" i="7"/>
  <c r="AF10" i="6"/>
  <c r="AF8" i="6" s="1"/>
  <c r="AB63" i="6"/>
  <c r="AJ68" i="6"/>
  <c r="AQ22" i="9"/>
  <c r="F110" i="7"/>
  <c r="N110" i="7" s="1"/>
  <c r="AH79" i="8"/>
  <c r="AE14" i="6"/>
  <c r="U10" i="12"/>
  <c r="U8" i="12" s="1"/>
  <c r="Z258" i="7"/>
  <c r="C35" i="20"/>
  <c r="D62" i="9"/>
  <c r="F62" i="9" s="1"/>
  <c r="F62" i="8"/>
  <c r="D60" i="8"/>
  <c r="AJ118" i="6"/>
  <c r="AI118" i="6"/>
  <c r="AH118" i="6"/>
  <c r="M26" i="7"/>
  <c r="BC11" i="7"/>
  <c r="M73" i="7"/>
  <c r="AD106" i="7"/>
  <c r="AB105" i="7"/>
  <c r="AB104" i="7" s="1"/>
  <c r="J36" i="7"/>
  <c r="L35" i="6"/>
  <c r="V116" i="8"/>
  <c r="X116" i="7"/>
  <c r="AH116" i="7" s="1"/>
  <c r="V81" i="16"/>
  <c r="X81" i="16" s="1"/>
  <c r="X81" i="15"/>
  <c r="D80" i="8"/>
  <c r="D78" i="7"/>
  <c r="F80" i="7"/>
  <c r="M80" i="7" s="1"/>
  <c r="D36" i="8"/>
  <c r="D35" i="7"/>
  <c r="F36" i="7"/>
  <c r="AD92" i="7"/>
  <c r="AB91" i="7"/>
  <c r="J83" i="7"/>
  <c r="L81" i="6"/>
  <c r="N83" i="6"/>
  <c r="Y188" i="8"/>
  <c r="AA187" i="7"/>
  <c r="AA185" i="7" s="1"/>
  <c r="V85" i="8"/>
  <c r="X85" i="7"/>
  <c r="V55" i="10"/>
  <c r="X55" i="9"/>
  <c r="D12" i="8"/>
  <c r="F12" i="7"/>
  <c r="D10" i="7"/>
  <c r="D71" i="9"/>
  <c r="D69" i="9" s="1"/>
  <c r="F71" i="8"/>
  <c r="AB116" i="9"/>
  <c r="J23" i="7"/>
  <c r="L22" i="6"/>
  <c r="AS7" i="6" s="1"/>
  <c r="AX7" i="6"/>
  <c r="AH77" i="8"/>
  <c r="AI77" i="8"/>
  <c r="AJ77" i="8"/>
  <c r="AH71" i="6"/>
  <c r="AI71" i="6"/>
  <c r="AJ71" i="6"/>
  <c r="AD166" i="9"/>
  <c r="AB166" i="10" s="1"/>
  <c r="AE60" i="7"/>
  <c r="AG60" i="7" s="1"/>
  <c r="BK8" i="6"/>
  <c r="BK7" i="6" s="1"/>
  <c r="AE63" i="6"/>
  <c r="AE12" i="6" s="1"/>
  <c r="AH167" i="6"/>
  <c r="AJ49" i="5"/>
  <c r="Y14" i="6"/>
  <c r="AB170" i="6"/>
  <c r="AJ201" i="12"/>
  <c r="N128" i="5"/>
  <c r="BQ8" i="16"/>
  <c r="BQ7" i="16" s="1"/>
  <c r="AH68" i="6"/>
  <c r="X194" i="5"/>
  <c r="AH223" i="6"/>
  <c r="M88" i="8"/>
  <c r="N28" i="5"/>
  <c r="AQ11" i="6"/>
  <c r="AV11" i="6" s="1"/>
  <c r="D85" i="7"/>
  <c r="E65" i="12"/>
  <c r="F30" i="20"/>
  <c r="AJ40" i="8"/>
  <c r="AI40" i="7"/>
  <c r="AH35" i="5"/>
  <c r="M74" i="6"/>
  <c r="M72" i="6" s="1"/>
  <c r="N74" i="6"/>
  <c r="F72" i="6"/>
  <c r="AA59" i="7"/>
  <c r="Y58" i="7"/>
  <c r="Y57" i="7" s="1"/>
  <c r="X118" i="7"/>
  <c r="V118" i="8"/>
  <c r="D59" i="9"/>
  <c r="D57" i="8"/>
  <c r="F59" i="8"/>
  <c r="D26" i="9"/>
  <c r="F26" i="8"/>
  <c r="AI72" i="10"/>
  <c r="AH72" i="10"/>
  <c r="AH99" i="7"/>
  <c r="AJ99" i="7"/>
  <c r="AI73" i="7"/>
  <c r="AH73" i="7"/>
  <c r="AH75" i="8"/>
  <c r="AJ75" i="8"/>
  <c r="M47" i="7"/>
  <c r="E49" i="9"/>
  <c r="E48" i="8"/>
  <c r="D66" i="8"/>
  <c r="F68" i="8"/>
  <c r="N68" i="8" s="1"/>
  <c r="D68" i="9"/>
  <c r="AH21" i="6"/>
  <c r="AJ21" i="6"/>
  <c r="Y67" i="8"/>
  <c r="AA67" i="8" s="1"/>
  <c r="BO11" i="7"/>
  <c r="I57" i="6"/>
  <c r="G58" i="7"/>
  <c r="AH73" i="6"/>
  <c r="AI73" i="6"/>
  <c r="BC12" i="6"/>
  <c r="N23" i="6"/>
  <c r="AE145" i="6"/>
  <c r="AE110" i="6" s="1"/>
  <c r="V106" i="8"/>
  <c r="X106" i="7"/>
  <c r="AJ106" i="7" s="1"/>
  <c r="V105" i="7"/>
  <c r="V104" i="7" s="1"/>
  <c r="V77" i="10"/>
  <c r="X77" i="9"/>
  <c r="D56" i="9"/>
  <c r="F56" i="8"/>
  <c r="AD46" i="7"/>
  <c r="AB44" i="7"/>
  <c r="L47" i="7"/>
  <c r="N47" i="7" s="1"/>
  <c r="J45" i="7"/>
  <c r="Y177" i="7"/>
  <c r="BO23" i="6"/>
  <c r="AA176" i="6"/>
  <c r="V71" i="8"/>
  <c r="X71" i="7"/>
  <c r="D77" i="9"/>
  <c r="F77" i="8"/>
  <c r="N77" i="8" s="1"/>
  <c r="M61" i="6"/>
  <c r="M60" i="6" s="1"/>
  <c r="G61" i="7"/>
  <c r="I60" i="6"/>
  <c r="D69" i="8"/>
  <c r="X97" i="7"/>
  <c r="V97" i="8"/>
  <c r="N41" i="6"/>
  <c r="M41" i="6"/>
  <c r="AH79" i="7"/>
  <c r="AJ79" i="7"/>
  <c r="AI79" i="7"/>
  <c r="AB130" i="9"/>
  <c r="AD130" i="9" s="1"/>
  <c r="AI130" i="8"/>
  <c r="Y61" i="8"/>
  <c r="AA61" i="8" s="1"/>
  <c r="BO31" i="7"/>
  <c r="BI15" i="7" s="1"/>
  <c r="V73" i="9"/>
  <c r="X73" i="8"/>
  <c r="AE159" i="7"/>
  <c r="AG157" i="6"/>
  <c r="AG155" i="6" s="1"/>
  <c r="L26" i="7"/>
  <c r="J25" i="7"/>
  <c r="V75" i="10"/>
  <c r="X75" i="9"/>
  <c r="AE150" i="7"/>
  <c r="AG149" i="6"/>
  <c r="AG147" i="6" s="1"/>
  <c r="Y107" i="7"/>
  <c r="AA105" i="6"/>
  <c r="AA104" i="6" s="1"/>
  <c r="AH87" i="7"/>
  <c r="AJ87" i="7"/>
  <c r="AI87" i="7"/>
  <c r="AH79" i="9"/>
  <c r="AJ79" i="9"/>
  <c r="AI79" i="9"/>
  <c r="AI58" i="6"/>
  <c r="N90" i="6"/>
  <c r="E104" i="7"/>
  <c r="J85" i="7"/>
  <c r="BQ25" i="12"/>
  <c r="BK12" i="12" s="1"/>
  <c r="M32" i="6"/>
  <c r="G31" i="20"/>
  <c r="G30" i="20" s="1"/>
  <c r="BL11" i="10"/>
  <c r="BL11" i="13" s="1"/>
  <c r="BL11" i="16" s="1"/>
  <c r="BN10" i="9"/>
  <c r="Z8" i="15"/>
  <c r="AH107" i="6"/>
  <c r="AM259" i="16"/>
  <c r="D123" i="9"/>
  <c r="D123" i="10" s="1"/>
  <c r="AI149" i="5"/>
  <c r="AI147" i="5" s="1"/>
  <c r="V14" i="6"/>
  <c r="N81" i="6"/>
  <c r="U10" i="13"/>
  <c r="U8" i="13" s="1"/>
  <c r="BL13" i="16"/>
  <c r="D74" i="8"/>
  <c r="D72" i="7"/>
  <c r="F74" i="7"/>
  <c r="AU10" i="5"/>
  <c r="AY10" i="5"/>
  <c r="AZ10" i="5"/>
  <c r="D30" i="8"/>
  <c r="D29" i="7"/>
  <c r="D28" i="7" s="1"/>
  <c r="F30" i="7"/>
  <c r="M30" i="7" s="1"/>
  <c r="Y93" i="7"/>
  <c r="AA91" i="6"/>
  <c r="Y17" i="8"/>
  <c r="AA17" i="8" s="1"/>
  <c r="AH17" i="8" s="1"/>
  <c r="BO10" i="7"/>
  <c r="AI97" i="6"/>
  <c r="AJ97" i="6"/>
  <c r="AH97" i="6"/>
  <c r="N59" i="7"/>
  <c r="M59" i="7"/>
  <c r="D41" i="8"/>
  <c r="F41" i="7"/>
  <c r="AI87" i="6"/>
  <c r="AJ87" i="6"/>
  <c r="AH87" i="6"/>
  <c r="N50" i="6"/>
  <c r="M50" i="6"/>
  <c r="M48" i="6" s="1"/>
  <c r="W37" i="16"/>
  <c r="X37" i="16" s="1"/>
  <c r="AH37" i="16" s="1"/>
  <c r="X37" i="15"/>
  <c r="AH37" i="15" s="1"/>
  <c r="AJ116" i="6"/>
  <c r="AI116" i="6"/>
  <c r="AH81" i="14"/>
  <c r="AI81" i="14"/>
  <c r="AJ85" i="6"/>
  <c r="AH85" i="6"/>
  <c r="AI85" i="6"/>
  <c r="AH55" i="8"/>
  <c r="AI55" i="8"/>
  <c r="AJ55" i="8"/>
  <c r="AH93" i="6"/>
  <c r="Y98" i="7"/>
  <c r="AA96" i="6"/>
  <c r="Y52" i="7"/>
  <c r="AA49" i="6"/>
  <c r="AA43" i="6" s="1"/>
  <c r="N71" i="7"/>
  <c r="M71" i="7"/>
  <c r="D33" i="9"/>
  <c r="D32" i="8"/>
  <c r="F33" i="8"/>
  <c r="AI77" i="7"/>
  <c r="AH77" i="7"/>
  <c r="AJ77" i="7"/>
  <c r="AI106" i="6"/>
  <c r="AH106" i="6"/>
  <c r="V87" i="9"/>
  <c r="X87" i="8"/>
  <c r="V58" i="7"/>
  <c r="V57" i="7" s="1"/>
  <c r="X60" i="7"/>
  <c r="V60" i="8"/>
  <c r="D23" i="9"/>
  <c r="D22" i="8"/>
  <c r="F23" i="8"/>
  <c r="AB85" i="7"/>
  <c r="AD83" i="6"/>
  <c r="J71" i="8"/>
  <c r="L69" i="7"/>
  <c r="V79" i="11"/>
  <c r="X79" i="10"/>
  <c r="V21" i="8"/>
  <c r="X21" i="7"/>
  <c r="V20" i="7"/>
  <c r="V16" i="7" s="1"/>
  <c r="AI17" i="11"/>
  <c r="AL10" i="12"/>
  <c r="AL8" i="12" s="1"/>
  <c r="AJ105" i="6"/>
  <c r="AJ104" i="6" s="1"/>
  <c r="F92" i="8"/>
  <c r="M92" i="8" s="1"/>
  <c r="D92" i="9"/>
  <c r="D92" i="10" s="1"/>
  <c r="AE138" i="13"/>
  <c r="AG138" i="13" s="1"/>
  <c r="AJ138" i="13" s="1"/>
  <c r="AJ138" i="12"/>
  <c r="E63" i="7"/>
  <c r="F64" i="7"/>
  <c r="E64" i="8"/>
  <c r="V152" i="8"/>
  <c r="X152" i="7"/>
  <c r="AJ152" i="7" s="1"/>
  <c r="V149" i="7"/>
  <c r="V147" i="7" s="1"/>
  <c r="V95" i="8"/>
  <c r="X95" i="7"/>
  <c r="AJ139" i="6"/>
  <c r="AH139" i="6"/>
  <c r="AI139" i="6"/>
  <c r="AY8" i="6"/>
  <c r="W170" i="6"/>
  <c r="AJ201" i="11"/>
  <c r="AE170" i="6"/>
  <c r="V63" i="6"/>
  <c r="E128" i="7"/>
  <c r="AI107" i="6"/>
  <c r="AH220" i="5"/>
  <c r="AI137" i="6"/>
  <c r="AH137" i="6"/>
  <c r="D27" i="8"/>
  <c r="D25" i="7"/>
  <c r="F27" i="7"/>
  <c r="M27" i="7" s="1"/>
  <c r="W139" i="8"/>
  <c r="X139" i="7"/>
  <c r="BE22" i="6"/>
  <c r="W114" i="8"/>
  <c r="U10" i="7"/>
  <c r="U8" i="7" s="1"/>
  <c r="AW11" i="12"/>
  <c r="AE243" i="7"/>
  <c r="M106" i="6"/>
  <c r="BC19" i="6"/>
  <c r="D104" i="7"/>
  <c r="M117" i="6"/>
  <c r="BQ8" i="11"/>
  <c r="BQ7" i="11" s="1"/>
  <c r="AB234" i="6"/>
  <c r="AB232" i="6" s="1"/>
  <c r="AI49" i="5"/>
  <c r="AI142" i="6"/>
  <c r="AI29" i="7"/>
  <c r="AL10" i="13"/>
  <c r="AL8" i="13" s="1"/>
  <c r="AU8" i="5"/>
  <c r="AH123" i="5"/>
  <c r="AH112" i="5" s="1"/>
  <c r="V234" i="6"/>
  <c r="V232" i="6" s="1"/>
  <c r="X157" i="6"/>
  <c r="X155" i="6" s="1"/>
  <c r="BQ25" i="11"/>
  <c r="BK12" i="11" s="1"/>
  <c r="AH176" i="5"/>
  <c r="AH170" i="5" s="1"/>
  <c r="BL9" i="7"/>
  <c r="BL9" i="10" s="1"/>
  <c r="AB142" i="7"/>
  <c r="AD142" i="7" s="1"/>
  <c r="BQ25" i="6"/>
  <c r="BK12" i="6" s="1"/>
  <c r="BK16" i="6" s="1"/>
  <c r="BN31" i="6"/>
  <c r="BH15" i="6" s="1"/>
  <c r="AH40" i="8"/>
  <c r="AH195" i="5"/>
  <c r="AH194" i="5" s="1"/>
  <c r="AH193" i="5" s="1"/>
  <c r="AJ138" i="11"/>
  <c r="AI19" i="7"/>
  <c r="AH19" i="7"/>
  <c r="AJ225" i="6"/>
  <c r="AJ222" i="6" s="1"/>
  <c r="AH225" i="6"/>
  <c r="W198" i="8"/>
  <c r="W195" i="7"/>
  <c r="X198" i="7"/>
  <c r="AI88" i="6"/>
  <c r="AH88" i="6"/>
  <c r="AJ88" i="6"/>
  <c r="BC14" i="6"/>
  <c r="F63" i="6"/>
  <c r="N64" i="6"/>
  <c r="N63" i="6" s="1"/>
  <c r="M13" i="6"/>
  <c r="M10" i="6" s="1"/>
  <c r="N13" i="6"/>
  <c r="N10" i="6" s="1"/>
  <c r="F10" i="6"/>
  <c r="AH159" i="6"/>
  <c r="AJ159" i="6"/>
  <c r="AI159" i="6"/>
  <c r="AI61" i="6"/>
  <c r="AH61" i="6"/>
  <c r="AJ61" i="6"/>
  <c r="E79" i="8"/>
  <c r="E78" i="7"/>
  <c r="F79" i="7"/>
  <c r="N79" i="7" s="1"/>
  <c r="AI72" i="7"/>
  <c r="AH72" i="7"/>
  <c r="W50" i="8"/>
  <c r="X50" i="7"/>
  <c r="W183" i="8"/>
  <c r="X183" i="7"/>
  <c r="E51" i="7"/>
  <c r="F52" i="7"/>
  <c r="E52" i="8"/>
  <c r="AJ98" i="6"/>
  <c r="AG96" i="6"/>
  <c r="AG90" i="6" s="1"/>
  <c r="AE98" i="7"/>
  <c r="V51" i="8"/>
  <c r="X51" i="7"/>
  <c r="V49" i="7"/>
  <c r="V43" i="7" s="1"/>
  <c r="F66" i="6"/>
  <c r="M67" i="6"/>
  <c r="M66" i="6" s="1"/>
  <c r="E34" i="9"/>
  <c r="E32" i="8"/>
  <c r="F34" i="8"/>
  <c r="AH150" i="6"/>
  <c r="AI150" i="6"/>
  <c r="AJ150" i="6"/>
  <c r="X149" i="6"/>
  <c r="X147" i="6" s="1"/>
  <c r="BN16" i="6" s="1"/>
  <c r="AI127" i="12"/>
  <c r="AH127" i="12"/>
  <c r="AI24" i="6"/>
  <c r="AJ24" i="6"/>
  <c r="AH24" i="6"/>
  <c r="E70" i="8"/>
  <c r="F70" i="7"/>
  <c r="E69" i="7"/>
  <c r="X143" i="7"/>
  <c r="V143" i="8"/>
  <c r="V141" i="7"/>
  <c r="V117" i="8"/>
  <c r="V114" i="7"/>
  <c r="X117" i="7"/>
  <c r="V84" i="8"/>
  <c r="V83" i="7"/>
  <c r="X84" i="7"/>
  <c r="AJ100" i="6"/>
  <c r="AH100" i="6"/>
  <c r="AI100" i="6"/>
  <c r="AI96" i="6" s="1"/>
  <c r="X96" i="6"/>
  <c r="N78" i="6"/>
  <c r="AI217" i="11"/>
  <c r="AH217" i="11"/>
  <c r="AJ217" i="11"/>
  <c r="W107" i="8"/>
  <c r="W105" i="7"/>
  <c r="W104" i="7" s="1"/>
  <c r="X107" i="7"/>
  <c r="P128" i="7"/>
  <c r="P126" i="7" s="1"/>
  <c r="P130" i="7" s="1"/>
  <c r="Q128" i="7"/>
  <c r="Q126" i="7" s="1"/>
  <c r="Q130" i="7" s="1"/>
  <c r="B12" i="8"/>
  <c r="B12" i="9" s="1"/>
  <c r="P128" i="9" s="1"/>
  <c r="V137" i="8"/>
  <c r="X137" i="7"/>
  <c r="V107" i="11"/>
  <c r="AJ161" i="6"/>
  <c r="AH161" i="6"/>
  <c r="AI161" i="6"/>
  <c r="AI131" i="6"/>
  <c r="AH131" i="6"/>
  <c r="AJ131" i="6"/>
  <c r="E58" i="8"/>
  <c r="E57" i="7"/>
  <c r="F58" i="7"/>
  <c r="F57" i="7" s="1"/>
  <c r="F31" i="7"/>
  <c r="E31" i="8"/>
  <c r="E29" i="7"/>
  <c r="C128" i="7"/>
  <c r="D37" i="12"/>
  <c r="W225" i="8"/>
  <c r="X225" i="7"/>
  <c r="W222" i="7"/>
  <c r="W220" i="7" s="1"/>
  <c r="E82" i="8"/>
  <c r="E81" i="7"/>
  <c r="F82" i="7"/>
  <c r="M37" i="6"/>
  <c r="M35" i="6" s="1"/>
  <c r="N37" i="6"/>
  <c r="N35" i="6" s="1"/>
  <c r="E43" i="10"/>
  <c r="E42" i="9"/>
  <c r="AJ70" i="6"/>
  <c r="AH70" i="6"/>
  <c r="X69" i="6"/>
  <c r="X65" i="6" s="1"/>
  <c r="AI70" i="6"/>
  <c r="V121" i="9"/>
  <c r="X121" i="8"/>
  <c r="W202" i="9"/>
  <c r="X202" i="8"/>
  <c r="AH38" i="6"/>
  <c r="AH35" i="6" s="1"/>
  <c r="AI38" i="6"/>
  <c r="AJ38" i="6"/>
  <c r="V254" i="10"/>
  <c r="X254" i="9"/>
  <c r="D70" i="10"/>
  <c r="AJ135" i="7"/>
  <c r="AI135" i="7"/>
  <c r="AH135" i="7"/>
  <c r="AI32" i="6"/>
  <c r="AH32" i="6"/>
  <c r="AJ32" i="6"/>
  <c r="W24" i="8"/>
  <c r="W20" i="7"/>
  <c r="W16" i="7" s="1"/>
  <c r="X24" i="7"/>
  <c r="F46" i="7"/>
  <c r="E46" i="8"/>
  <c r="E45" i="7"/>
  <c r="AI17" i="8"/>
  <c r="AI143" i="6"/>
  <c r="AJ143" i="6"/>
  <c r="AJ141" i="6" s="1"/>
  <c r="AH143" i="6"/>
  <c r="AH141" i="6" s="1"/>
  <c r="V133" i="8"/>
  <c r="X133" i="7"/>
  <c r="V100" i="8"/>
  <c r="V96" i="7"/>
  <c r="X100" i="7"/>
  <c r="AI17" i="10"/>
  <c r="M24" i="6"/>
  <c r="N24" i="6"/>
  <c r="F22" i="6"/>
  <c r="AQ7" i="6" s="1"/>
  <c r="V120" i="8"/>
  <c r="X120" i="7"/>
  <c r="AJ28" i="6"/>
  <c r="AH28" i="6"/>
  <c r="AI28" i="6"/>
  <c r="N58" i="6"/>
  <c r="N57" i="6" s="1"/>
  <c r="M58" i="6"/>
  <c r="M57" i="6" s="1"/>
  <c r="V224" i="8"/>
  <c r="V222" i="7"/>
  <c r="X224" i="7"/>
  <c r="AI224" i="7" s="1"/>
  <c r="AJ239" i="6"/>
  <c r="AH239" i="6"/>
  <c r="AI239" i="6"/>
  <c r="F118" i="7"/>
  <c r="M118" i="7" s="1"/>
  <c r="M90" i="6"/>
  <c r="R48" i="20"/>
  <c r="R46" i="20" s="1"/>
  <c r="AV8" i="5"/>
  <c r="AB199" i="7"/>
  <c r="AI199" i="6"/>
  <c r="AD195" i="6"/>
  <c r="AD194" i="6" s="1"/>
  <c r="W173" i="8"/>
  <c r="W172" i="7"/>
  <c r="X173" i="7"/>
  <c r="E37" i="8"/>
  <c r="E35" i="7"/>
  <c r="F37" i="7"/>
  <c r="V251" i="8"/>
  <c r="X251" i="7"/>
  <c r="V243" i="7"/>
  <c r="F35" i="6"/>
  <c r="BD15" i="6"/>
  <c r="I45" i="6"/>
  <c r="G46" i="7"/>
  <c r="V39" i="8"/>
  <c r="X39" i="7"/>
  <c r="V35" i="7"/>
  <c r="D76" i="9"/>
  <c r="D75" i="8"/>
  <c r="AI50" i="6"/>
  <c r="AH50" i="6"/>
  <c r="AJ50" i="6"/>
  <c r="BO26" i="7"/>
  <c r="Y196" i="8"/>
  <c r="AA196" i="8" s="1"/>
  <c r="Y196" i="9" s="1"/>
  <c r="AJ183" i="6"/>
  <c r="AH183" i="6"/>
  <c r="AI183" i="6"/>
  <c r="W38" i="8"/>
  <c r="X38" i="7"/>
  <c r="D79" i="13"/>
  <c r="AI72" i="6"/>
  <c r="AH72" i="6"/>
  <c r="AJ72" i="6"/>
  <c r="Y180" i="9"/>
  <c r="I56" i="7"/>
  <c r="G54" i="7"/>
  <c r="D55" i="8"/>
  <c r="D54" i="7"/>
  <c r="F55" i="7"/>
  <c r="N34" i="7"/>
  <c r="F32" i="7"/>
  <c r="M34" i="7"/>
  <c r="AI174" i="6"/>
  <c r="AD172" i="6"/>
  <c r="AB174" i="7"/>
  <c r="W135" i="9"/>
  <c r="X135" i="8"/>
  <c r="W32" i="8"/>
  <c r="X32" i="7"/>
  <c r="AJ196" i="6"/>
  <c r="AI196" i="6"/>
  <c r="AH196" i="6"/>
  <c r="X195" i="6"/>
  <c r="X177" i="7"/>
  <c r="AJ177" i="7" s="1"/>
  <c r="V176" i="7"/>
  <c r="V177" i="8"/>
  <c r="AI17" i="13"/>
  <c r="AE38" i="7"/>
  <c r="AG35" i="6"/>
  <c r="E22" i="7"/>
  <c r="F24" i="7"/>
  <c r="E24" i="8"/>
  <c r="AB186" i="8"/>
  <c r="AD186" i="8" s="1"/>
  <c r="AI186" i="7"/>
  <c r="V188" i="9"/>
  <c r="X188" i="8"/>
  <c r="V187" i="8"/>
  <c r="V185" i="8" s="1"/>
  <c r="W28" i="8"/>
  <c r="X28" i="7"/>
  <c r="N31" i="6"/>
  <c r="N29" i="6" s="1"/>
  <c r="F29" i="6"/>
  <c r="M31" i="6"/>
  <c r="M29" i="6" s="1"/>
  <c r="W239" i="8"/>
  <c r="X239" i="7"/>
  <c r="BF21" i="7"/>
  <c r="AV8" i="6"/>
  <c r="N87" i="6"/>
  <c r="N111" i="7"/>
  <c r="AI243" i="5"/>
  <c r="BN19" i="6"/>
  <c r="AH49" i="5"/>
  <c r="J60" i="7"/>
  <c r="X141" i="6"/>
  <c r="BN20" i="6" s="1"/>
  <c r="AJ137" i="6"/>
  <c r="M79" i="6"/>
  <c r="X235" i="6"/>
  <c r="AB112" i="6"/>
  <c r="BN10" i="8"/>
  <c r="M28" i="5"/>
  <c r="AI176" i="5"/>
  <c r="AI170" i="5" s="1"/>
  <c r="W194" i="6"/>
  <c r="W193" i="6" s="1"/>
  <c r="G49" i="20"/>
  <c r="F106" i="7"/>
  <c r="N106" i="7" s="1"/>
  <c r="Y10" i="5"/>
  <c r="Y8" i="5" s="1"/>
  <c r="AH69" i="5"/>
  <c r="AH65" i="5" s="1"/>
  <c r="AH96" i="5"/>
  <c r="X35" i="6"/>
  <c r="AC10" i="12"/>
  <c r="AC258" i="12" s="1"/>
  <c r="AE41" i="8"/>
  <c r="AG41" i="8" s="1"/>
  <c r="AJ41" i="7"/>
  <c r="I70" i="7"/>
  <c r="G69" i="7"/>
  <c r="W19" i="9"/>
  <c r="X19" i="8"/>
  <c r="AI173" i="6"/>
  <c r="AJ173" i="6"/>
  <c r="X172" i="6"/>
  <c r="W88" i="8"/>
  <c r="X88" i="7"/>
  <c r="E13" i="8"/>
  <c r="F13" i="7"/>
  <c r="E10" i="7"/>
  <c r="AE52" i="7"/>
  <c r="AJ52" i="6"/>
  <c r="AG49" i="6"/>
  <c r="AG43" i="6" s="1"/>
  <c r="G31" i="7"/>
  <c r="I29" i="6"/>
  <c r="I28" i="6" s="1"/>
  <c r="AR9" i="6" s="1"/>
  <c r="V61" i="8"/>
  <c r="X61" i="7"/>
  <c r="D49" i="8"/>
  <c r="D48" i="7"/>
  <c r="F49" i="7"/>
  <c r="W36" i="8"/>
  <c r="X36" i="7"/>
  <c r="W35" i="7"/>
  <c r="D64" i="12"/>
  <c r="D63" i="11"/>
  <c r="AH17" i="7"/>
  <c r="AI17" i="7"/>
  <c r="AI121" i="6"/>
  <c r="AJ121" i="6"/>
  <c r="AH121" i="6"/>
  <c r="AJ121" i="7"/>
  <c r="AI121" i="7"/>
  <c r="AH121" i="7"/>
  <c r="AI202" i="7"/>
  <c r="AJ202" i="7"/>
  <c r="AH202" i="7"/>
  <c r="AH149" i="5"/>
  <c r="AH147" i="5" s="1"/>
  <c r="F51" i="6"/>
  <c r="N52" i="6"/>
  <c r="AI254" i="8"/>
  <c r="AH254" i="8"/>
  <c r="AJ254" i="8"/>
  <c r="Y38" i="7"/>
  <c r="AA35" i="6"/>
  <c r="I37" i="7"/>
  <c r="G35" i="7"/>
  <c r="M55" i="6"/>
  <c r="M54" i="6" s="1"/>
  <c r="N55" i="6"/>
  <c r="N54" i="6" s="1"/>
  <c r="W150" i="8"/>
  <c r="W149" i="7"/>
  <c r="W147" i="7" s="1"/>
  <c r="X150" i="7"/>
  <c r="W127" i="14"/>
  <c r="X127" i="13"/>
  <c r="M46" i="6"/>
  <c r="M45" i="6" s="1"/>
  <c r="N46" i="6"/>
  <c r="N45" i="6" s="1"/>
  <c r="BC15" i="6"/>
  <c r="AJ102" i="6"/>
  <c r="AI102" i="6"/>
  <c r="AH102" i="6"/>
  <c r="V196" i="8"/>
  <c r="X196" i="7"/>
  <c r="V195" i="7"/>
  <c r="V194" i="7" s="1"/>
  <c r="V193" i="7" s="1"/>
  <c r="V159" i="8"/>
  <c r="V157" i="7"/>
  <c r="V155" i="7" s="1"/>
  <c r="V145" i="7" s="1"/>
  <c r="X159" i="7"/>
  <c r="AJ133" i="6"/>
  <c r="AH133" i="6"/>
  <c r="AI133" i="6"/>
  <c r="AI17" i="6"/>
  <c r="AH17" i="6"/>
  <c r="AM10" i="15"/>
  <c r="AM8" i="15" s="1"/>
  <c r="AM259" i="15" s="1"/>
  <c r="AB241" i="11"/>
  <c r="AD241" i="11" s="1"/>
  <c r="AI241" i="10"/>
  <c r="I74" i="7"/>
  <c r="G72" i="7"/>
  <c r="E67" i="8"/>
  <c r="E66" i="7"/>
  <c r="F67" i="7"/>
  <c r="W217" i="13"/>
  <c r="X217" i="12"/>
  <c r="X83" i="6"/>
  <c r="AI188" i="7"/>
  <c r="AH188" i="7"/>
  <c r="AJ152" i="6"/>
  <c r="AH152" i="6"/>
  <c r="AH120" i="6"/>
  <c r="AI120" i="6"/>
  <c r="AJ120" i="6"/>
  <c r="AI95" i="6"/>
  <c r="AJ95" i="6"/>
  <c r="AH95" i="6"/>
  <c r="N27" i="6"/>
  <c r="N25" i="6" s="1"/>
  <c r="M27" i="6"/>
  <c r="M25" i="6" s="1"/>
  <c r="W161" i="8"/>
  <c r="X161" i="7"/>
  <c r="W131" i="8"/>
  <c r="X131" i="7"/>
  <c r="E76" i="8"/>
  <c r="E75" i="7"/>
  <c r="E28" i="6"/>
  <c r="E21" i="6" s="1"/>
  <c r="E19" i="6" s="1"/>
  <c r="E17" i="6" s="1"/>
  <c r="E8" i="6" s="1"/>
  <c r="E126" i="6" s="1"/>
  <c r="E130" i="6" s="1"/>
  <c r="AF10" i="13"/>
  <c r="AF8" i="13" s="1"/>
  <c r="N32" i="20"/>
  <c r="N31" i="20" s="1"/>
  <c r="N30" i="20" s="1"/>
  <c r="N56" i="20" s="1"/>
  <c r="AF10" i="12"/>
  <c r="AF8" i="12" s="1"/>
  <c r="M32" i="20"/>
  <c r="M31" i="20" s="1"/>
  <c r="M30" i="20" s="1"/>
  <c r="M56" i="20" s="1"/>
  <c r="AF10" i="11"/>
  <c r="AF8" i="11" s="1"/>
  <c r="L31" i="20"/>
  <c r="L30" i="20" s="1"/>
  <c r="AC8" i="11"/>
  <c r="N123" i="8"/>
  <c r="Z10" i="8"/>
  <c r="Z258" i="8" s="1"/>
  <c r="BC20" i="6"/>
  <c r="BP14" i="6"/>
  <c r="BJ9" i="6" s="1"/>
  <c r="AR24" i="6"/>
  <c r="AW24" i="6" s="1"/>
  <c r="AD37" i="7"/>
  <c r="AB35" i="7"/>
  <c r="L56" i="7"/>
  <c r="J54" i="7"/>
  <c r="Y228" i="8"/>
  <c r="AA227" i="7"/>
  <c r="AI65" i="5"/>
  <c r="AM259" i="14"/>
  <c r="AM259" i="5"/>
  <c r="N61" i="7"/>
  <c r="N60" i="7" s="1"/>
  <c r="J61" i="8"/>
  <c r="L61" i="8" s="1"/>
  <c r="J61" i="9" s="1"/>
  <c r="AG117" i="7"/>
  <c r="AE114" i="7"/>
  <c r="AH228" i="7"/>
  <c r="AC8" i="10"/>
  <c r="AF10" i="10"/>
  <c r="AF8" i="10" s="1"/>
  <c r="Z10" i="10"/>
  <c r="Z258" i="10" s="1"/>
  <c r="D8" i="5"/>
  <c r="D126" i="5" s="1"/>
  <c r="D130" i="5" s="1"/>
  <c r="F118" i="9"/>
  <c r="D118" i="10"/>
  <c r="C8" i="14"/>
  <c r="E8" i="5"/>
  <c r="E126" i="5" s="1"/>
  <c r="E130" i="5" s="1"/>
  <c r="G21" i="6"/>
  <c r="G19" i="6" s="1"/>
  <c r="G17" i="6" s="1"/>
  <c r="G8" i="6" s="1"/>
  <c r="G126" i="6" s="1"/>
  <c r="G130" i="6" s="1"/>
  <c r="AH163" i="6"/>
  <c r="AJ157" i="5"/>
  <c r="AJ155" i="5" s="1"/>
  <c r="AJ145" i="5" s="1"/>
  <c r="AI123" i="5"/>
  <c r="N40" i="7"/>
  <c r="M40" i="7"/>
  <c r="C8" i="15"/>
  <c r="F87" i="8"/>
  <c r="M87" i="8" s="1"/>
  <c r="F120" i="8"/>
  <c r="M120" i="8" s="1"/>
  <c r="D120" i="9"/>
  <c r="C8" i="7"/>
  <c r="M88" i="7"/>
  <c r="M128" i="5"/>
  <c r="AM259" i="8"/>
  <c r="AH157" i="5"/>
  <c r="AH155" i="5" s="1"/>
  <c r="V110" i="6"/>
  <c r="AM259" i="6"/>
  <c r="F117" i="8"/>
  <c r="M117" i="8" s="1"/>
  <c r="D117" i="9"/>
  <c r="N116" i="6"/>
  <c r="AB10" i="5"/>
  <c r="AB258" i="5" s="1"/>
  <c r="AJ170" i="5"/>
  <c r="Z8" i="14"/>
  <c r="W141" i="11"/>
  <c r="W143" i="12"/>
  <c r="AQ12" i="6"/>
  <c r="N89" i="6"/>
  <c r="M89" i="6"/>
  <c r="AQ16" i="5"/>
  <c r="AV16" i="5" s="1"/>
  <c r="BC7" i="5"/>
  <c r="D122" i="11"/>
  <c r="F122" i="10"/>
  <c r="F40" i="10"/>
  <c r="D40" i="11"/>
  <c r="N123" i="6"/>
  <c r="M123" i="6"/>
  <c r="W142" i="14"/>
  <c r="X142" i="13"/>
  <c r="AC258" i="16"/>
  <c r="E116" i="10"/>
  <c r="F116" i="9"/>
  <c r="AI98" i="13"/>
  <c r="AB98" i="14"/>
  <c r="AD98" i="14" s="1"/>
  <c r="N40" i="9"/>
  <c r="M40" i="9"/>
  <c r="N92" i="7"/>
  <c r="AG234" i="6"/>
  <c r="AG232" i="6" s="1"/>
  <c r="AW14" i="6"/>
  <c r="E124" i="10"/>
  <c r="F124" i="9"/>
  <c r="F119" i="8"/>
  <c r="M119" i="8" s="1"/>
  <c r="D119" i="9"/>
  <c r="AA110" i="5"/>
  <c r="BK7" i="11"/>
  <c r="AI235" i="5"/>
  <c r="AM259" i="13"/>
  <c r="P30" i="20"/>
  <c r="P56" i="20" s="1"/>
  <c r="BP15" i="5"/>
  <c r="BJ10" i="5" s="1"/>
  <c r="X234" i="5"/>
  <c r="X232" i="5" s="1"/>
  <c r="BN29" i="5" s="1"/>
  <c r="BH13" i="5" s="1"/>
  <c r="AJ91" i="5"/>
  <c r="AJ90" i="5" s="1"/>
  <c r="AA12" i="5"/>
  <c r="AC8" i="14"/>
  <c r="U258" i="16"/>
  <c r="K32" i="20"/>
  <c r="K31" i="20" s="1"/>
  <c r="K30" i="20" s="1"/>
  <c r="BF7" i="7"/>
  <c r="BF7" i="10" s="1"/>
  <c r="BF7" i="13" s="1"/>
  <c r="BF7" i="16" s="1"/>
  <c r="M40" i="6"/>
  <c r="N40" i="6"/>
  <c r="AL10" i="9"/>
  <c r="AL8" i="9" s="1"/>
  <c r="AM259" i="9" s="1"/>
  <c r="U12" i="8"/>
  <c r="U10" i="8" s="1"/>
  <c r="AV22" i="5"/>
  <c r="AY22" i="5"/>
  <c r="AU22" i="5"/>
  <c r="AZ22" i="5"/>
  <c r="AC258" i="13"/>
  <c r="BQ8" i="8"/>
  <c r="BQ7" i="8" s="1"/>
  <c r="BQ32" i="8" s="1"/>
  <c r="AC10" i="9"/>
  <c r="AC8" i="9" s="1"/>
  <c r="BL10" i="10"/>
  <c r="BL10" i="13" s="1"/>
  <c r="AF10" i="9"/>
  <c r="AF8" i="9" s="1"/>
  <c r="Z8" i="9"/>
  <c r="BR15" i="16"/>
  <c r="AS16" i="7"/>
  <c r="AX16" i="7" s="1"/>
  <c r="AW16" i="5"/>
  <c r="E77" i="11"/>
  <c r="BK8" i="10"/>
  <c r="BK7" i="10" s="1"/>
  <c r="BQ8" i="10"/>
  <c r="BQ7" i="10" s="1"/>
  <c r="Q52" i="20"/>
  <c r="Q49" i="20" s="1"/>
  <c r="BQ25" i="16"/>
  <c r="BK12" i="16" s="1"/>
  <c r="AU11" i="5"/>
  <c r="AV11" i="5"/>
  <c r="AZ11" i="5"/>
  <c r="AY11" i="5"/>
  <c r="X220" i="6"/>
  <c r="BN30" i="6" s="1"/>
  <c r="BH14" i="6" s="1"/>
  <c r="BC17" i="6"/>
  <c r="F85" i="6"/>
  <c r="BC21" i="6"/>
  <c r="M75" i="6"/>
  <c r="F113" i="6"/>
  <c r="AQ15" i="6" s="1"/>
  <c r="AY15" i="6" s="1"/>
  <c r="M89" i="9"/>
  <c r="AJ243" i="5"/>
  <c r="M85" i="5"/>
  <c r="BR28" i="16"/>
  <c r="BR25" i="16" s="1"/>
  <c r="AJ123" i="5"/>
  <c r="W110" i="6"/>
  <c r="AQ11" i="8"/>
  <c r="AY11" i="8" s="1"/>
  <c r="Y94" i="11"/>
  <c r="AM259" i="11"/>
  <c r="AC8" i="5"/>
  <c r="AE151" i="9"/>
  <c r="AJ151" i="8"/>
  <c r="AH160" i="10"/>
  <c r="AI160" i="10"/>
  <c r="AJ160" i="10"/>
  <c r="G73" i="9"/>
  <c r="M73" i="8"/>
  <c r="E73" i="15"/>
  <c r="F73" i="14"/>
  <c r="BJ8" i="5"/>
  <c r="BP8" i="5"/>
  <c r="U10" i="6"/>
  <c r="AQ12" i="9"/>
  <c r="AZ12" i="9" s="1"/>
  <c r="AJ244" i="7"/>
  <c r="N85" i="5"/>
  <c r="AI211" i="5"/>
  <c r="AI210" i="5" s="1"/>
  <c r="AI209" i="5" s="1"/>
  <c r="AI207" i="5" s="1"/>
  <c r="AI194" i="5"/>
  <c r="AI193" i="5" s="1"/>
  <c r="W63" i="6"/>
  <c r="BK8" i="15"/>
  <c r="BQ8" i="15"/>
  <c r="BQ7" i="15" s="1"/>
  <c r="BQ32" i="15" s="1"/>
  <c r="H52" i="20"/>
  <c r="H49" i="20" s="1"/>
  <c r="H56" i="20" s="1"/>
  <c r="BQ25" i="7"/>
  <c r="BK12" i="7" s="1"/>
  <c r="Z8" i="6"/>
  <c r="E55" i="10"/>
  <c r="E54" i="9"/>
  <c r="W58" i="11"/>
  <c r="W57" i="11" s="1"/>
  <c r="W60" i="12"/>
  <c r="G113" i="7"/>
  <c r="AM259" i="12"/>
  <c r="AH91" i="5"/>
  <c r="R38" i="20"/>
  <c r="I30" i="9"/>
  <c r="BK8" i="13"/>
  <c r="BK7" i="13" s="1"/>
  <c r="BQ8" i="13"/>
  <c r="BQ7" i="13" s="1"/>
  <c r="BQ32" i="13" s="1"/>
  <c r="E26" i="12"/>
  <c r="E25" i="11"/>
  <c r="AU13" i="5"/>
  <c r="AY13" i="5"/>
  <c r="AZ13" i="5"/>
  <c r="AV13" i="5"/>
  <c r="AD12" i="5"/>
  <c r="AD10" i="5" s="1"/>
  <c r="AD8" i="5" s="1"/>
  <c r="AY23" i="5"/>
  <c r="AI256" i="7"/>
  <c r="AJ256" i="7"/>
  <c r="AH256" i="7"/>
  <c r="M14" i="11"/>
  <c r="BN27" i="5"/>
  <c r="X207" i="5"/>
  <c r="AQ29" i="5" s="1"/>
  <c r="AH102" i="10"/>
  <c r="AI102" i="10"/>
  <c r="AJ102" i="10"/>
  <c r="I68" i="7"/>
  <c r="G66" i="7"/>
  <c r="AQ24" i="5"/>
  <c r="BN14" i="5"/>
  <c r="BH9" i="5" s="1"/>
  <c r="AB125" i="7"/>
  <c r="AD123" i="6"/>
  <c r="AI125" i="6"/>
  <c r="I33" i="7"/>
  <c r="G32" i="7"/>
  <c r="W86" i="8"/>
  <c r="W83" i="7"/>
  <c r="X86" i="7"/>
  <c r="AJ134" i="6"/>
  <c r="AI134" i="6"/>
  <c r="AH134" i="6"/>
  <c r="F92" i="9"/>
  <c r="E115" i="8"/>
  <c r="E113" i="8" s="1"/>
  <c r="F115" i="7"/>
  <c r="M115" i="7" s="1"/>
  <c r="D101" i="8"/>
  <c r="F101" i="7"/>
  <c r="AE251" i="11"/>
  <c r="AG251" i="11" s="1"/>
  <c r="W73" i="13"/>
  <c r="L46" i="8"/>
  <c r="J14" i="11"/>
  <c r="L14" i="11" s="1"/>
  <c r="J14" i="12" s="1"/>
  <c r="L14" i="12" s="1"/>
  <c r="J14" i="13" s="1"/>
  <c r="L14" i="13" s="1"/>
  <c r="J14" i="14" s="1"/>
  <c r="L14" i="14" s="1"/>
  <c r="J14" i="15" s="1"/>
  <c r="L14" i="15" s="1"/>
  <c r="J14" i="16" s="1"/>
  <c r="L14" i="16" s="1"/>
  <c r="N14" i="10"/>
  <c r="W108" i="11"/>
  <c r="X108" i="10"/>
  <c r="BN10" i="10"/>
  <c r="AJ66" i="10"/>
  <c r="AH66" i="10"/>
  <c r="AQ22" i="10"/>
  <c r="D110" i="9"/>
  <c r="F110" i="8"/>
  <c r="N110" i="8" s="1"/>
  <c r="M53" i="8"/>
  <c r="AJ191" i="10"/>
  <c r="AE191" i="11"/>
  <c r="AG191" i="11" s="1"/>
  <c r="E71" i="11"/>
  <c r="AE137" i="9"/>
  <c r="AG137" i="9" s="1"/>
  <c r="AI215" i="6"/>
  <c r="AH215" i="6"/>
  <c r="W179" i="8"/>
  <c r="X179" i="7"/>
  <c r="W176" i="7"/>
  <c r="Y26" i="7"/>
  <c r="AA20" i="6"/>
  <c r="AA16" i="6" s="1"/>
  <c r="AH26" i="6"/>
  <c r="AW7" i="6"/>
  <c r="I22" i="6"/>
  <c r="AR7" i="6" s="1"/>
  <c r="BD12" i="6"/>
  <c r="G23" i="7"/>
  <c r="M23" i="6"/>
  <c r="F97" i="7"/>
  <c r="D97" i="8"/>
  <c r="AV22" i="6"/>
  <c r="AX22" i="6"/>
  <c r="AZ22" i="6" s="1"/>
  <c r="AB190" i="7"/>
  <c r="AD187" i="6"/>
  <c r="AD185" i="6" s="1"/>
  <c r="J33" i="7"/>
  <c r="L32" i="6"/>
  <c r="N33" i="6"/>
  <c r="N32" i="6" s="1"/>
  <c r="W249" i="8"/>
  <c r="X249" i="7"/>
  <c r="W47" i="8"/>
  <c r="X47" i="7"/>
  <c r="R13" i="20"/>
  <c r="R10" i="20" s="1"/>
  <c r="R9" i="20" s="1"/>
  <c r="F10" i="20"/>
  <c r="F9" i="20" s="1"/>
  <c r="W165" i="9"/>
  <c r="X165" i="8"/>
  <c r="AJ125" i="7"/>
  <c r="AH125" i="7"/>
  <c r="AE244" i="9"/>
  <c r="AG244" i="9" s="1"/>
  <c r="AJ244" i="8"/>
  <c r="Y203" i="7"/>
  <c r="AA204" i="7"/>
  <c r="AZ11" i="7"/>
  <c r="AU11" i="7"/>
  <c r="AV11" i="7"/>
  <c r="AY11" i="7"/>
  <c r="N96" i="8"/>
  <c r="M96" i="8"/>
  <c r="BK7" i="5"/>
  <c r="AI240" i="6"/>
  <c r="AH240" i="6"/>
  <c r="AJ240" i="6"/>
  <c r="Y247" i="12"/>
  <c r="AA247" i="12" s="1"/>
  <c r="AH247" i="11"/>
  <c r="W256" i="9"/>
  <c r="X256" i="8"/>
  <c r="AE202" i="12"/>
  <c r="AG202" i="12" s="1"/>
  <c r="K52" i="20"/>
  <c r="K49" i="20" s="1"/>
  <c r="BQ25" i="10"/>
  <c r="W167" i="9"/>
  <c r="X167" i="8"/>
  <c r="BN19" i="8" s="1"/>
  <c r="W102" i="12"/>
  <c r="X102" i="11"/>
  <c r="AU12" i="5"/>
  <c r="AY12" i="5"/>
  <c r="AZ12" i="5"/>
  <c r="AV12" i="5"/>
  <c r="L55" i="8"/>
  <c r="D116" i="14"/>
  <c r="AH158" i="6"/>
  <c r="AI158" i="6"/>
  <c r="AJ158" i="6"/>
  <c r="E33" i="14"/>
  <c r="J70" i="9"/>
  <c r="AD50" i="9"/>
  <c r="AE183" i="11"/>
  <c r="AG183" i="11" s="1"/>
  <c r="W212" i="8"/>
  <c r="X212" i="7"/>
  <c r="W211" i="7"/>
  <c r="W210" i="7" s="1"/>
  <c r="W209" i="7" s="1"/>
  <c r="W207" i="7" s="1"/>
  <c r="J49" i="7"/>
  <c r="L48" i="6"/>
  <c r="N49" i="6"/>
  <c r="L30" i="7"/>
  <c r="J29" i="7"/>
  <c r="AH68" i="7"/>
  <c r="AI68" i="7"/>
  <c r="AJ68" i="7"/>
  <c r="W48" i="8"/>
  <c r="X48" i="7"/>
  <c r="AH163" i="7"/>
  <c r="AI163" i="7"/>
  <c r="AJ163" i="7"/>
  <c r="AJ33" i="7"/>
  <c r="AI33" i="7"/>
  <c r="AH33" i="7"/>
  <c r="AJ129" i="7"/>
  <c r="AH129" i="7"/>
  <c r="AI129" i="7"/>
  <c r="W134" i="8"/>
  <c r="X134" i="7"/>
  <c r="W123" i="7"/>
  <c r="AE25" i="8"/>
  <c r="AG25" i="8" s="1"/>
  <c r="AJ25" i="7"/>
  <c r="N117" i="7"/>
  <c r="M117" i="7"/>
  <c r="AJ181" i="13"/>
  <c r="AE181" i="14"/>
  <c r="AG181" i="14" s="1"/>
  <c r="R51" i="20"/>
  <c r="L49" i="20"/>
  <c r="L56" i="20" s="1"/>
  <c r="AB253" i="9"/>
  <c r="AD253" i="9" s="1"/>
  <c r="AI253" i="8"/>
  <c r="AB136" i="15"/>
  <c r="AD136" i="15" s="1"/>
  <c r="AI136" i="14"/>
  <c r="L80" i="7"/>
  <c r="J78" i="7"/>
  <c r="L78" i="7" s="1"/>
  <c r="AB152" i="7"/>
  <c r="AI152" i="6"/>
  <c r="AD149" i="6"/>
  <c r="AD147" i="6" s="1"/>
  <c r="AQ27" i="5"/>
  <c r="BN24" i="5"/>
  <c r="BN22" i="5" s="1"/>
  <c r="BH11" i="5" s="1"/>
  <c r="AJ92" i="6"/>
  <c r="AI92" i="6"/>
  <c r="AH92" i="6"/>
  <c r="X91" i="6"/>
  <c r="W66" i="12"/>
  <c r="X66" i="11"/>
  <c r="I76" i="7"/>
  <c r="G75" i="7"/>
  <c r="AU7" i="5"/>
  <c r="AH204" i="6"/>
  <c r="AH203" i="6" s="1"/>
  <c r="AJ204" i="6"/>
  <c r="AJ203" i="6" s="1"/>
  <c r="AI204" i="6"/>
  <c r="AI203" i="6" s="1"/>
  <c r="X203" i="6"/>
  <c r="BN18" i="6"/>
  <c r="AI156" i="6"/>
  <c r="AH156" i="6"/>
  <c r="AJ156" i="6"/>
  <c r="BQ25" i="5"/>
  <c r="BK12" i="5" s="1"/>
  <c r="F52" i="20"/>
  <c r="M88" i="9"/>
  <c r="AQ11" i="9"/>
  <c r="AZ11" i="9" s="1"/>
  <c r="D38" i="8"/>
  <c r="F38" i="7"/>
  <c r="M94" i="5"/>
  <c r="X123" i="6"/>
  <c r="AJ187" i="6"/>
  <c r="AM259" i="10"/>
  <c r="AJ211" i="5"/>
  <c r="AJ210" i="5" s="1"/>
  <c r="AJ209" i="5" s="1"/>
  <c r="AJ207" i="5" s="1"/>
  <c r="N104" i="5"/>
  <c r="W234" i="6"/>
  <c r="W232" i="6" s="1"/>
  <c r="AI91" i="5"/>
  <c r="AI90" i="5" s="1"/>
  <c r="R36" i="20"/>
  <c r="R33" i="20" s="1"/>
  <c r="AI190" i="6"/>
  <c r="AI187" i="6" s="1"/>
  <c r="AI185" i="6" s="1"/>
  <c r="BL14" i="10"/>
  <c r="BL14" i="13" s="1"/>
  <c r="BL14" i="16" s="1"/>
  <c r="AI44" i="5"/>
  <c r="D24" i="16"/>
  <c r="V150" i="14"/>
  <c r="M97" i="6"/>
  <c r="N97" i="6"/>
  <c r="AJ249" i="6"/>
  <c r="AI249" i="6"/>
  <c r="AH249" i="6"/>
  <c r="AI47" i="6"/>
  <c r="AJ47" i="6"/>
  <c r="AH47" i="6"/>
  <c r="D53" i="10"/>
  <c r="D51" i="9"/>
  <c r="F53" i="9"/>
  <c r="AR26" i="5"/>
  <c r="V74" i="9"/>
  <c r="X74" i="8"/>
  <c r="AG46" i="7"/>
  <c r="AE44" i="7"/>
  <c r="AB29" i="9"/>
  <c r="AD29" i="9" s="1"/>
  <c r="AI29" i="8"/>
  <c r="W70" i="9"/>
  <c r="D39" i="10"/>
  <c r="F39" i="9"/>
  <c r="M39" i="9" s="1"/>
  <c r="D115" i="12"/>
  <c r="E119" i="12"/>
  <c r="AB228" i="8"/>
  <c r="AD227" i="7"/>
  <c r="E56" i="12"/>
  <c r="N102" i="7"/>
  <c r="M102" i="7"/>
  <c r="M111" i="6"/>
  <c r="N111" i="6"/>
  <c r="X68" i="8"/>
  <c r="W68" i="9"/>
  <c r="J31" i="9"/>
  <c r="L31" i="9" s="1"/>
  <c r="J31" i="10" s="1"/>
  <c r="L31" i="10" s="1"/>
  <c r="J31" i="11" s="1"/>
  <c r="L31" i="11" s="1"/>
  <c r="I17" i="5"/>
  <c r="AR14" i="5"/>
  <c r="AR17" i="5" s="1"/>
  <c r="M38" i="6"/>
  <c r="BC13" i="6"/>
  <c r="N38" i="6"/>
  <c r="F86" i="7"/>
  <c r="N86" i="7" s="1"/>
  <c r="D86" i="8"/>
  <c r="AB78" i="15"/>
  <c r="AD78" i="15" s="1"/>
  <c r="AI78" i="14"/>
  <c r="AJ167" i="7"/>
  <c r="AI167" i="7"/>
  <c r="W54" i="8"/>
  <c r="X54" i="7"/>
  <c r="AJ54" i="7" s="1"/>
  <c r="W49" i="7"/>
  <c r="D95" i="9"/>
  <c r="AE189" i="8"/>
  <c r="AG189" i="8" s="1"/>
  <c r="AJ189" i="7"/>
  <c r="AJ48" i="6"/>
  <c r="AI48" i="6"/>
  <c r="AH48" i="6"/>
  <c r="L75" i="6"/>
  <c r="J76" i="7"/>
  <c r="AH214" i="6"/>
  <c r="AJ214" i="6"/>
  <c r="AJ211" i="6" s="1"/>
  <c r="AJ210" i="6" s="1"/>
  <c r="AJ209" i="6" s="1"/>
  <c r="AJ207" i="6" s="1"/>
  <c r="AI214" i="6"/>
  <c r="AE196" i="12"/>
  <c r="AG196" i="12" s="1"/>
  <c r="V70" i="13"/>
  <c r="AH250" i="7"/>
  <c r="AI250" i="7"/>
  <c r="BK8" i="12"/>
  <c r="BK7" i="12" s="1"/>
  <c r="BK16" i="12" s="1"/>
  <c r="BQ8" i="12"/>
  <c r="BQ7" i="12" s="1"/>
  <c r="BQ32" i="12" s="1"/>
  <c r="AI179" i="6"/>
  <c r="X176" i="6"/>
  <c r="X170" i="6" s="1"/>
  <c r="AH179" i="6"/>
  <c r="AJ179" i="6"/>
  <c r="Y173" i="7"/>
  <c r="AA172" i="6"/>
  <c r="AH173" i="6"/>
  <c r="AH172" i="6" s="1"/>
  <c r="E95" i="8"/>
  <c r="E94" i="7"/>
  <c r="BQ8" i="14"/>
  <c r="BQ7" i="14" s="1"/>
  <c r="BQ32" i="14" s="1"/>
  <c r="BK8" i="14"/>
  <c r="BK7" i="14" s="1"/>
  <c r="BK16" i="14" s="1"/>
  <c r="AE17" i="8"/>
  <c r="AG17" i="8" s="1"/>
  <c r="AS22" i="7"/>
  <c r="AX22" i="7" s="1"/>
  <c r="AZ22" i="7" s="1"/>
  <c r="AJ17" i="7"/>
  <c r="J62" i="8"/>
  <c r="L60" i="7"/>
  <c r="G79" i="8"/>
  <c r="W97" i="10"/>
  <c r="W96" i="9"/>
  <c r="E62" i="10"/>
  <c r="E60" i="9"/>
  <c r="BF10" i="7"/>
  <c r="BF10" i="10" s="1"/>
  <c r="BF10" i="13" s="1"/>
  <c r="BF10" i="16" s="1"/>
  <c r="BE9" i="5"/>
  <c r="AD59" i="7"/>
  <c r="AB58" i="7"/>
  <c r="AB57" i="7" s="1"/>
  <c r="L43" i="8"/>
  <c r="AI70" i="7"/>
  <c r="X69" i="7"/>
  <c r="X65" i="7" s="1"/>
  <c r="AA106" i="8"/>
  <c r="Y142" i="7"/>
  <c r="AA141" i="6"/>
  <c r="BO20" i="6" s="1"/>
  <c r="G80" i="11"/>
  <c r="I80" i="11" s="1"/>
  <c r="E14" i="13"/>
  <c r="F14" i="12"/>
  <c r="AD99" i="7"/>
  <c r="AB96" i="7"/>
  <c r="AB90" i="7" s="1"/>
  <c r="W119" i="9"/>
  <c r="W114" i="9" s="1"/>
  <c r="X119" i="8"/>
  <c r="BN17" i="5"/>
  <c r="BN15" i="5" s="1"/>
  <c r="BH10" i="5" s="1"/>
  <c r="X112" i="5"/>
  <c r="X110" i="5" s="1"/>
  <c r="AQ26" i="5" s="1"/>
  <c r="G77" i="8"/>
  <c r="I77" i="8" s="1"/>
  <c r="M77" i="7"/>
  <c r="V240" i="8"/>
  <c r="X240" i="7"/>
  <c r="V235" i="7"/>
  <c r="F102" i="8"/>
  <c r="D102" i="9"/>
  <c r="N110" i="6"/>
  <c r="M110" i="6"/>
  <c r="Y86" i="7"/>
  <c r="AA83" i="6"/>
  <c r="AR16" i="7"/>
  <c r="AW16" i="7" s="1"/>
  <c r="BD7" i="7"/>
  <c r="I59" i="12"/>
  <c r="AD71" i="8"/>
  <c r="W245" i="8"/>
  <c r="W243" i="7"/>
  <c r="X245" i="7"/>
  <c r="AE67" i="8"/>
  <c r="AG67" i="8" s="1"/>
  <c r="AJ67" i="7"/>
  <c r="W190" i="8"/>
  <c r="X190" i="7"/>
  <c r="W187" i="7"/>
  <c r="W185" i="7" s="1"/>
  <c r="J53" i="7"/>
  <c r="L51" i="6"/>
  <c r="N53" i="6"/>
  <c r="L128" i="6"/>
  <c r="AB66" i="7"/>
  <c r="AR22" i="6"/>
  <c r="AI66" i="6"/>
  <c r="BP10" i="6"/>
  <c r="AD65" i="6"/>
  <c r="AH244" i="6"/>
  <c r="AA243" i="6"/>
  <c r="Y244" i="7"/>
  <c r="N115" i="6"/>
  <c r="M115" i="6"/>
  <c r="N101" i="6"/>
  <c r="M101" i="6"/>
  <c r="AQ9" i="5"/>
  <c r="AZ9" i="5" s="1"/>
  <c r="F21" i="5"/>
  <c r="F19" i="5" s="1"/>
  <c r="AH129" i="6"/>
  <c r="AI129" i="6"/>
  <c r="AJ129" i="6"/>
  <c r="AA143" i="11"/>
  <c r="E47" i="13"/>
  <c r="E80" i="15"/>
  <c r="W229" i="10"/>
  <c r="W227" i="9"/>
  <c r="AD97" i="8"/>
  <c r="AE26" i="9"/>
  <c r="AG26" i="9" s="1"/>
  <c r="AJ26" i="8"/>
  <c r="Y236" i="7"/>
  <c r="AA235" i="6"/>
  <c r="AH236" i="6"/>
  <c r="W237" i="8"/>
  <c r="X237" i="7"/>
  <c r="W235" i="7"/>
  <c r="AJ108" i="9"/>
  <c r="AH108" i="9"/>
  <c r="AI108" i="9"/>
  <c r="W92" i="8"/>
  <c r="X92" i="7"/>
  <c r="W91" i="7"/>
  <c r="W90" i="7" s="1"/>
  <c r="BI8" i="5"/>
  <c r="BI7" i="5" s="1"/>
  <c r="BI16" i="5" s="1"/>
  <c r="BO8" i="5"/>
  <c r="BO7" i="5" s="1"/>
  <c r="BO32" i="5" s="1"/>
  <c r="G65" i="7"/>
  <c r="G63" i="7" s="1"/>
  <c r="I128" i="6"/>
  <c r="BD21" i="6"/>
  <c r="M65" i="6"/>
  <c r="M63" i="6" s="1"/>
  <c r="AX23" i="5"/>
  <c r="AB225" i="7"/>
  <c r="AI225" i="6"/>
  <c r="AI222" i="6" s="1"/>
  <c r="AI220" i="6" s="1"/>
  <c r="AD222" i="6"/>
  <c r="AD220" i="6" s="1"/>
  <c r="BP30" i="6" s="1"/>
  <c r="BJ14" i="6" s="1"/>
  <c r="BP31" i="6"/>
  <c r="BJ15" i="6" s="1"/>
  <c r="AD75" i="7"/>
  <c r="AB69" i="7"/>
  <c r="J57" i="7"/>
  <c r="L58" i="7"/>
  <c r="W204" i="8"/>
  <c r="W203" i="7"/>
  <c r="W194" i="7" s="1"/>
  <c r="W193" i="7" s="1"/>
  <c r="X204" i="7"/>
  <c r="N121" i="6"/>
  <c r="M121" i="6"/>
  <c r="D108" i="8"/>
  <c r="D104" i="8" s="1"/>
  <c r="F108" i="7"/>
  <c r="F94" i="6"/>
  <c r="BN19" i="7"/>
  <c r="E113" i="7"/>
  <c r="N76" i="6"/>
  <c r="N75" i="6" s="1"/>
  <c r="BQ8" i="6"/>
  <c r="BQ7" i="6" s="1"/>
  <c r="AH211" i="5"/>
  <c r="AH210" i="5" s="1"/>
  <c r="AH209" i="5" s="1"/>
  <c r="AH207" i="5" s="1"/>
  <c r="AI157" i="5"/>
  <c r="AI155" i="5" s="1"/>
  <c r="AI145" i="5" s="1"/>
  <c r="D94" i="7"/>
  <c r="AJ235" i="5"/>
  <c r="N94" i="5"/>
  <c r="BL9" i="13"/>
  <c r="BL9" i="16" s="1"/>
  <c r="X43" i="5"/>
  <c r="BK7" i="8"/>
  <c r="BK16" i="8" s="1"/>
  <c r="AI228" i="7"/>
  <c r="N113" i="5"/>
  <c r="W250" i="9"/>
  <c r="X250" i="8"/>
  <c r="AE86" i="7"/>
  <c r="AG83" i="6"/>
  <c r="L44" i="7"/>
  <c r="J42" i="7"/>
  <c r="AH165" i="7"/>
  <c r="AI165" i="7"/>
  <c r="AJ165" i="7"/>
  <c r="AI45" i="6"/>
  <c r="AJ45" i="6"/>
  <c r="X44" i="6"/>
  <c r="AH45" i="6"/>
  <c r="D31" i="13"/>
  <c r="AE255" i="13"/>
  <c r="AG255" i="13" s="1"/>
  <c r="AJ255" i="12"/>
  <c r="AE136" i="7"/>
  <c r="AG123" i="6"/>
  <c r="AG112" i="6" s="1"/>
  <c r="AJ136" i="6"/>
  <c r="V214" i="8"/>
  <c r="X214" i="7"/>
  <c r="V211" i="7"/>
  <c r="V210" i="7" s="1"/>
  <c r="V209" i="7" s="1"/>
  <c r="V207" i="7" s="1"/>
  <c r="V94" i="8"/>
  <c r="V91" i="7"/>
  <c r="X94" i="7"/>
  <c r="J119" i="7"/>
  <c r="L113" i="6"/>
  <c r="AS15" i="6" s="1"/>
  <c r="AX15" i="6" s="1"/>
  <c r="D121" i="8"/>
  <c r="D113" i="8" s="1"/>
  <c r="F121" i="7"/>
  <c r="Y80" i="7"/>
  <c r="AH80" i="6"/>
  <c r="AA69" i="6"/>
  <c r="AA65" i="6" s="1"/>
  <c r="AH162" i="16"/>
  <c r="AI162" i="16"/>
  <c r="AJ162" i="16"/>
  <c r="AB236" i="7"/>
  <c r="AD235" i="6"/>
  <c r="AD234" i="6" s="1"/>
  <c r="AD232" i="6" s="1"/>
  <c r="AI236" i="6"/>
  <c r="X215" i="7"/>
  <c r="AH215" i="7" s="1"/>
  <c r="W215" i="8"/>
  <c r="AG195" i="6"/>
  <c r="AG194" i="6" s="1"/>
  <c r="AG193" i="6" s="1"/>
  <c r="AS28" i="6" s="1"/>
  <c r="AX28" i="6" s="1"/>
  <c r="AE197" i="7"/>
  <c r="AJ197" i="6"/>
  <c r="Y197" i="7"/>
  <c r="AA195" i="6"/>
  <c r="AA194" i="6" s="1"/>
  <c r="AH197" i="6"/>
  <c r="D46" i="10"/>
  <c r="W45" i="8"/>
  <c r="W44" i="7"/>
  <c r="X45" i="7"/>
  <c r="V125" i="9"/>
  <c r="X125" i="8"/>
  <c r="AB189" i="8"/>
  <c r="AI189" i="7"/>
  <c r="J37" i="20"/>
  <c r="J32" i="20" s="1"/>
  <c r="J31" i="20" s="1"/>
  <c r="J30" i="20" s="1"/>
  <c r="J56" i="20" s="1"/>
  <c r="BK8" i="9"/>
  <c r="BK7" i="9" s="1"/>
  <c r="BK16" i="9" s="1"/>
  <c r="BQ8" i="9"/>
  <c r="BQ7" i="9" s="1"/>
  <c r="BQ32" i="9" s="1"/>
  <c r="F96" i="9"/>
  <c r="D96" i="10"/>
  <c r="Y133" i="10"/>
  <c r="R40" i="20"/>
  <c r="R39" i="20" s="1"/>
  <c r="I39" i="20"/>
  <c r="I30" i="20" s="1"/>
  <c r="I56" i="20" s="1"/>
  <c r="AE153" i="8"/>
  <c r="AJ153" i="7"/>
  <c r="J73" i="7"/>
  <c r="L72" i="6"/>
  <c r="N73" i="6"/>
  <c r="N72" i="6" s="1"/>
  <c r="AH54" i="6"/>
  <c r="AH49" i="6" s="1"/>
  <c r="AI54" i="6"/>
  <c r="X49" i="6"/>
  <c r="AJ54" i="6"/>
  <c r="AD204" i="7"/>
  <c r="AB203" i="7"/>
  <c r="Q37" i="20"/>
  <c r="Q32" i="20" s="1"/>
  <c r="Q31" i="20" s="1"/>
  <c r="Q30" i="20" s="1"/>
  <c r="BR13" i="16"/>
  <c r="BR8" i="16" s="1"/>
  <c r="BK8" i="16"/>
  <c r="BK7" i="16" s="1"/>
  <c r="F111" i="8"/>
  <c r="M111" i="8" s="1"/>
  <c r="D111" i="9"/>
  <c r="AC8" i="8"/>
  <c r="AE180" i="15"/>
  <c r="AG180" i="15" s="1"/>
  <c r="I12" i="8"/>
  <c r="G10" i="8"/>
  <c r="AD88" i="10"/>
  <c r="AI245" i="6"/>
  <c r="AJ245" i="6"/>
  <c r="AH245" i="6"/>
  <c r="AE178" i="7"/>
  <c r="AJ178" i="6"/>
  <c r="AG176" i="6"/>
  <c r="AG170" i="6" s="1"/>
  <c r="AS27" i="6" s="1"/>
  <c r="AX27" i="6" s="1"/>
  <c r="G52" i="7"/>
  <c r="I51" i="6"/>
  <c r="M52" i="6"/>
  <c r="M51" i="6" s="1"/>
  <c r="AB215" i="7"/>
  <c r="AD211" i="6"/>
  <c r="AD210" i="6" s="1"/>
  <c r="AD209" i="6" s="1"/>
  <c r="AA115" i="7"/>
  <c r="Y114" i="7"/>
  <c r="W163" i="9"/>
  <c r="X163" i="8"/>
  <c r="W33" i="9"/>
  <c r="X33" i="8"/>
  <c r="V129" i="9"/>
  <c r="X129" i="8"/>
  <c r="D43" i="9"/>
  <c r="D42" i="8"/>
  <c r="F43" i="8"/>
  <c r="BN28" i="5"/>
  <c r="X193" i="5"/>
  <c r="AQ28" i="5" s="1"/>
  <c r="AD21" i="7"/>
  <c r="AB20" i="7"/>
  <c r="AB16" i="7" s="1"/>
  <c r="E68" i="16"/>
  <c r="AJ201" i="13"/>
  <c r="AE201" i="14"/>
  <c r="AG201" i="14" s="1"/>
  <c r="BK10" i="15"/>
  <c r="W158" i="8"/>
  <c r="W157" i="7"/>
  <c r="W155" i="7" s="1"/>
  <c r="W145" i="7" s="1"/>
  <c r="X158" i="7"/>
  <c r="AJ158" i="7" s="1"/>
  <c r="L21" i="5"/>
  <c r="L19" i="5" s="1"/>
  <c r="AS9" i="5"/>
  <c r="L67" i="7"/>
  <c r="J66" i="7"/>
  <c r="Y84" i="8"/>
  <c r="AH84" i="7"/>
  <c r="V156" i="8"/>
  <c r="X156" i="7"/>
  <c r="AU10" i="7"/>
  <c r="AY10" i="7"/>
  <c r="G90" i="8"/>
  <c r="I90" i="8" s="1"/>
  <c r="AW13" i="7"/>
  <c r="AR13" i="7"/>
  <c r="D88" i="11"/>
  <c r="F88" i="10"/>
  <c r="N88" i="10" s="1"/>
  <c r="L94" i="6"/>
  <c r="N95" i="6"/>
  <c r="J95" i="7"/>
  <c r="AU15" i="5"/>
  <c r="AY15" i="5"/>
  <c r="AV15" i="5"/>
  <c r="M108" i="6"/>
  <c r="N108" i="6"/>
  <c r="BC10" i="5"/>
  <c r="BC9" i="5" s="1"/>
  <c r="BC8" i="5" s="1"/>
  <c r="AH44" i="5"/>
  <c r="AH43" i="5" s="1"/>
  <c r="M113" i="5"/>
  <c r="U10" i="11"/>
  <c r="BC18" i="6"/>
  <c r="F128" i="6"/>
  <c r="F104" i="6"/>
  <c r="AJ70" i="7"/>
  <c r="N39" i="8"/>
  <c r="X211" i="6"/>
  <c r="X210" i="6" s="1"/>
  <c r="X209" i="6" s="1"/>
  <c r="X63" i="5"/>
  <c r="F95" i="7"/>
  <c r="M104" i="5"/>
  <c r="AX9" i="6"/>
  <c r="N14" i="9"/>
  <c r="BN12" i="5"/>
  <c r="BN9" i="5" s="1"/>
  <c r="Y234" i="6"/>
  <c r="Y232" i="6" s="1"/>
  <c r="AG12" i="5"/>
  <c r="AG10" i="5" s="1"/>
  <c r="AG258" i="5" s="1"/>
  <c r="R54" i="20"/>
  <c r="AJ44" i="5"/>
  <c r="W152" i="12"/>
  <c r="AG18" i="9"/>
  <c r="G105" i="14"/>
  <c r="AW8" i="7"/>
  <c r="I25" i="7"/>
  <c r="G27" i="8"/>
  <c r="L52" i="8"/>
  <c r="W238" i="14"/>
  <c r="X238" i="13"/>
  <c r="AA47" i="14"/>
  <c r="AI153" i="16"/>
  <c r="AE31" i="12"/>
  <c r="AG31" i="12" s="1"/>
  <c r="AJ31" i="11"/>
  <c r="Y238" i="8"/>
  <c r="AH238" i="7"/>
  <c r="Y31" i="16"/>
  <c r="AA31" i="16" s="1"/>
  <c r="AH31" i="16" s="1"/>
  <c r="AH31" i="15"/>
  <c r="AE84" i="10"/>
  <c r="AD248" i="7"/>
  <c r="AB243" i="7"/>
  <c r="AB132" i="12"/>
  <c r="K126" i="7"/>
  <c r="K130" i="7" s="1"/>
  <c r="E53" i="12"/>
  <c r="AE130" i="12"/>
  <c r="AG130" i="12" s="1"/>
  <c r="AJ130" i="11"/>
  <c r="Y152" i="8"/>
  <c r="AA149" i="7"/>
  <c r="AA147" i="7" s="1"/>
  <c r="G88" i="14"/>
  <c r="I88" i="14" s="1"/>
  <c r="AW11" i="13"/>
  <c r="AR11" i="13"/>
  <c r="F44" i="16"/>
  <c r="D81" i="10"/>
  <c r="D82" i="11"/>
  <c r="V92" i="11"/>
  <c r="Y214" i="13"/>
  <c r="AE132" i="14"/>
  <c r="AG132" i="14" s="1"/>
  <c r="AI124" i="9"/>
  <c r="E74" i="13"/>
  <c r="E72" i="12"/>
  <c r="AG48" i="8"/>
  <c r="AH199" i="9"/>
  <c r="AJ199" i="9"/>
  <c r="AE177" i="8"/>
  <c r="C8" i="6"/>
  <c r="AE200" i="12"/>
  <c r="AG200" i="12" s="1"/>
  <c r="AJ200" i="11"/>
  <c r="AE224" i="13"/>
  <c r="AG224" i="13" s="1"/>
  <c r="V173" i="12"/>
  <c r="AB183" i="9"/>
  <c r="AD183" i="9" s="1"/>
  <c r="X213" i="9"/>
  <c r="V213" i="10"/>
  <c r="W94" i="10"/>
  <c r="AG19" i="8"/>
  <c r="AB135" i="15"/>
  <c r="AD135" i="15" s="1"/>
  <c r="Y241" i="13"/>
  <c r="AA241" i="13" s="1"/>
  <c r="AH241" i="12"/>
  <c r="L65" i="7"/>
  <c r="J63" i="7"/>
  <c r="W120" i="10"/>
  <c r="X246" i="10"/>
  <c r="V246" i="11"/>
  <c r="M15" i="8"/>
  <c r="N15" i="8"/>
  <c r="E12" i="11"/>
  <c r="G106" i="8"/>
  <c r="BD19" i="7"/>
  <c r="I104" i="7"/>
  <c r="M120" i="7"/>
  <c r="N120" i="7"/>
  <c r="E120" i="14"/>
  <c r="G115" i="8"/>
  <c r="BD20" i="7"/>
  <c r="I113" i="7"/>
  <c r="AR15" i="7" s="1"/>
  <c r="AW15" i="7" s="1"/>
  <c r="E108" i="10"/>
  <c r="E105" i="10"/>
  <c r="E104" i="9"/>
  <c r="F118" i="8"/>
  <c r="N109" i="12"/>
  <c r="M109" i="12"/>
  <c r="E87" i="10"/>
  <c r="F87" i="10" s="1"/>
  <c r="G67" i="12"/>
  <c r="W23" i="13"/>
  <c r="X23" i="12"/>
  <c r="W93" i="16"/>
  <c r="X93" i="15"/>
  <c r="V28" i="11"/>
  <c r="J24" i="9"/>
  <c r="AE54" i="8"/>
  <c r="AE119" i="11"/>
  <c r="AG119" i="11" s="1"/>
  <c r="AE167" i="11"/>
  <c r="AG167" i="11" s="1"/>
  <c r="AE76" i="15"/>
  <c r="AG76" i="15" s="1"/>
  <c r="AJ76" i="14"/>
  <c r="AE40" i="11"/>
  <c r="AJ40" i="10"/>
  <c r="AB218" i="12"/>
  <c r="AD218" i="12" s="1"/>
  <c r="AI218" i="11"/>
  <c r="G81" i="8"/>
  <c r="I83" i="8"/>
  <c r="N91" i="7"/>
  <c r="M91" i="7"/>
  <c r="E86" i="12"/>
  <c r="M98" i="9"/>
  <c r="N98" i="9"/>
  <c r="AG188" i="7"/>
  <c r="AE187" i="7"/>
  <c r="AE185" i="7" s="1"/>
  <c r="L104" i="7"/>
  <c r="J105" i="8"/>
  <c r="M119" i="7"/>
  <c r="U10" i="10"/>
  <c r="U8" i="10" s="1"/>
  <c r="H25" i="20"/>
  <c r="BE22" i="7"/>
  <c r="AE186" i="8"/>
  <c r="AJ186" i="7"/>
  <c r="AE80" i="11"/>
  <c r="AG80" i="11" s="1"/>
  <c r="AJ80" i="10"/>
  <c r="W116" i="10"/>
  <c r="W99" i="15"/>
  <c r="L82" i="8"/>
  <c r="AB17" i="16"/>
  <c r="AI17" i="15"/>
  <c r="V124" i="11"/>
  <c r="X124" i="10"/>
  <c r="AE238" i="9"/>
  <c r="AJ238" i="8"/>
  <c r="AE100" i="12"/>
  <c r="AG100" i="12" s="1"/>
  <c r="AE77" i="11"/>
  <c r="AG77" i="11" s="1"/>
  <c r="AE75" i="11"/>
  <c r="AG75" i="11" s="1"/>
  <c r="AE252" i="9"/>
  <c r="AG252" i="9" s="1"/>
  <c r="AJ252" i="8"/>
  <c r="D15" i="10"/>
  <c r="F15" i="9"/>
  <c r="AE156" i="16"/>
  <c r="AG156" i="16" s="1"/>
  <c r="AE246" i="8"/>
  <c r="AG243" i="7"/>
  <c r="AJ246" i="7"/>
  <c r="F100" i="12"/>
  <c r="D100" i="13"/>
  <c r="N90" i="7"/>
  <c r="M90" i="7"/>
  <c r="AQ13" i="7"/>
  <c r="I86" i="7"/>
  <c r="G85" i="7"/>
  <c r="N89" i="8"/>
  <c r="M89" i="8"/>
  <c r="AQ12" i="8"/>
  <c r="D13" i="11"/>
  <c r="AH72" i="14"/>
  <c r="AI72" i="14"/>
  <c r="AE245" i="9"/>
  <c r="AB230" i="15"/>
  <c r="AD230" i="15" s="1"/>
  <c r="AI230" i="14"/>
  <c r="AA51" i="9"/>
  <c r="AB224" i="8"/>
  <c r="AE182" i="12"/>
  <c r="AG182" i="12" s="1"/>
  <c r="AJ182" i="11"/>
  <c r="D34" i="13"/>
  <c r="E59" i="13"/>
  <c r="AB23" i="11"/>
  <c r="AI23" i="10"/>
  <c r="V225" i="12"/>
  <c r="I36" i="9"/>
  <c r="Y70" i="8"/>
  <c r="AH70" i="7"/>
  <c r="AG95" i="8"/>
  <c r="AB61" i="12"/>
  <c r="D52" i="14"/>
  <c r="AE30" i="16"/>
  <c r="AG30" i="16" s="1"/>
  <c r="AJ30" i="16" s="1"/>
  <c r="AJ30" i="15"/>
  <c r="AE85" i="9"/>
  <c r="AE161" i="15"/>
  <c r="AG161" i="15" s="1"/>
  <c r="AE107" i="14"/>
  <c r="AG107" i="14" s="1"/>
  <c r="AE92" i="12"/>
  <c r="X199" i="10"/>
  <c r="V199" i="11"/>
  <c r="AG215" i="7"/>
  <c r="AE211" i="7"/>
  <c r="AE210" i="7" s="1"/>
  <c r="AE209" i="7" s="1"/>
  <c r="AE207" i="7" s="1"/>
  <c r="AG241" i="7"/>
  <c r="AE235" i="7"/>
  <c r="AE234" i="7" s="1"/>
  <c r="AE232" i="7" s="1"/>
  <c r="AE61" i="11"/>
  <c r="AG61" i="11" s="1"/>
  <c r="AB250" i="11"/>
  <c r="AD250" i="11" s="1"/>
  <c r="Y251" i="12"/>
  <c r="AA251" i="12" s="1"/>
  <c r="J74" i="9"/>
  <c r="AD191" i="8"/>
  <c r="M99" i="8"/>
  <c r="N99" i="8"/>
  <c r="Y237" i="15"/>
  <c r="AE248" i="12"/>
  <c r="AG248" i="12" s="1"/>
  <c r="AJ248" i="11"/>
  <c r="L37" i="8"/>
  <c r="V50" i="14"/>
  <c r="V198" i="12"/>
  <c r="AE47" i="13"/>
  <c r="AG47" i="13" s="1"/>
  <c r="AB94" i="13"/>
  <c r="AE179" i="14"/>
  <c r="AG179" i="14" s="1"/>
  <c r="AB249" i="16"/>
  <c r="AD249" i="16" s="1"/>
  <c r="AD180" i="8"/>
  <c r="AB176" i="8"/>
  <c r="AE164" i="10"/>
  <c r="AG164" i="10" s="1"/>
  <c r="AJ164" i="9"/>
  <c r="AE133" i="12"/>
  <c r="AG133" i="12" s="1"/>
  <c r="AE66" i="16"/>
  <c r="AG66" i="16" s="1"/>
  <c r="W177" i="16"/>
  <c r="AE166" i="15"/>
  <c r="AG166" i="15" s="1"/>
  <c r="AJ166" i="14"/>
  <c r="AG124" i="8"/>
  <c r="AE37" i="13"/>
  <c r="AJ37" i="12"/>
  <c r="AI138" i="12"/>
  <c r="AB138" i="13"/>
  <c r="AD138" i="13" s="1"/>
  <c r="G122" i="8"/>
  <c r="D106" i="10"/>
  <c r="F106" i="9"/>
  <c r="I97" i="8"/>
  <c r="G94" i="8"/>
  <c r="D89" i="12"/>
  <c r="F89" i="11"/>
  <c r="D109" i="14"/>
  <c r="F109" i="13"/>
  <c r="AU13" i="6"/>
  <c r="AV13" i="6"/>
  <c r="AZ13" i="6"/>
  <c r="AY13" i="6"/>
  <c r="U8" i="14"/>
  <c r="L13" i="14"/>
  <c r="V212" i="13"/>
  <c r="AH23" i="11"/>
  <c r="AJ23" i="11"/>
  <c r="AE256" i="12"/>
  <c r="AG256" i="12" s="1"/>
  <c r="AE214" i="12"/>
  <c r="AG214" i="12" s="1"/>
  <c r="AE240" i="13"/>
  <c r="AG240" i="13" s="1"/>
  <c r="F83" i="13"/>
  <c r="E83" i="14"/>
  <c r="I44" i="9"/>
  <c r="G42" i="9"/>
  <c r="AI223" i="9"/>
  <c r="AB30" i="14"/>
  <c r="AD30" i="14" s="1"/>
  <c r="AI30" i="13"/>
  <c r="Y25" i="15"/>
  <c r="AH25" i="14"/>
  <c r="AE118" i="10"/>
  <c r="AG118" i="10" s="1"/>
  <c r="AG97" i="8"/>
  <c r="AE158" i="8"/>
  <c r="V24" i="11"/>
  <c r="AG22" i="7"/>
  <c r="AE20" i="7"/>
  <c r="AE16" i="7" s="1"/>
  <c r="AI216" i="11"/>
  <c r="AB216" i="12"/>
  <c r="AD216" i="12" s="1"/>
  <c r="G117" i="13"/>
  <c r="I117" i="13" s="1"/>
  <c r="F91" i="8"/>
  <c r="E91" i="9"/>
  <c r="D98" i="11"/>
  <c r="F98" i="10"/>
  <c r="AG59" i="8"/>
  <c r="N122" i="8"/>
  <c r="J118" i="13"/>
  <c r="L122" i="11"/>
  <c r="J115" i="8"/>
  <c r="N115" i="7"/>
  <c r="N107" i="7"/>
  <c r="M107" i="7"/>
  <c r="U10" i="9"/>
  <c r="U258" i="9" s="1"/>
  <c r="AB26" i="9"/>
  <c r="AI26" i="8"/>
  <c r="AI252" i="14"/>
  <c r="AH252" i="14"/>
  <c r="AI238" i="12"/>
  <c r="AI244" i="11"/>
  <c r="AH126" i="8"/>
  <c r="AJ126" i="8"/>
  <c r="AI126" i="8"/>
  <c r="AE134" i="11"/>
  <c r="AG134" i="11" s="1"/>
  <c r="AE239" i="11"/>
  <c r="AG239" i="11" s="1"/>
  <c r="AD70" i="9"/>
  <c r="M50" i="7"/>
  <c r="I48" i="7"/>
  <c r="G50" i="8"/>
  <c r="AJ148" i="9"/>
  <c r="AE148" i="10"/>
  <c r="B24" i="12"/>
  <c r="AE32" i="13"/>
  <c r="AG32" i="13" s="1"/>
  <c r="AB212" i="10"/>
  <c r="BP26" i="9"/>
  <c r="AA27" i="8"/>
  <c r="AJ216" i="15"/>
  <c r="AE216" i="16"/>
  <c r="AG216" i="16" s="1"/>
  <c r="AJ216" i="16" s="1"/>
  <c r="AD245" i="10"/>
  <c r="AE205" i="12"/>
  <c r="AG205" i="12" s="1"/>
  <c r="AJ205" i="11"/>
  <c r="V245" i="14"/>
  <c r="L68" i="9"/>
  <c r="AE254" i="11"/>
  <c r="AG254" i="11" s="1"/>
  <c r="AB229" i="9"/>
  <c r="AG141" i="7"/>
  <c r="AE142" i="8"/>
  <c r="AJ142" i="7"/>
  <c r="V204" i="11"/>
  <c r="V203" i="10"/>
  <c r="X228" i="12"/>
  <c r="W228" i="13"/>
  <c r="W252" i="16"/>
  <c r="X252" i="16" s="1"/>
  <c r="X252" i="15"/>
  <c r="X244" i="12"/>
  <c r="W244" i="13"/>
  <c r="X126" i="9"/>
  <c r="W126" i="10"/>
  <c r="AE174" i="8"/>
  <c r="AG172" i="7"/>
  <c r="AE39" i="16"/>
  <c r="AG39" i="16" s="1"/>
  <c r="AB255" i="13"/>
  <c r="AD255" i="13" s="1"/>
  <c r="AI255" i="12"/>
  <c r="AB134" i="9"/>
  <c r="AE168" i="10"/>
  <c r="AJ168" i="9"/>
  <c r="AE45" i="12"/>
  <c r="AB181" i="14"/>
  <c r="AD181" i="14" s="1"/>
  <c r="AI181" i="13"/>
  <c r="AB22" i="12"/>
  <c r="AI22" i="11"/>
  <c r="W59" i="15"/>
  <c r="X59" i="14"/>
  <c r="X72" i="15"/>
  <c r="W72" i="16"/>
  <c r="AE165" i="10"/>
  <c r="AG165" i="10" s="1"/>
  <c r="AE93" i="10"/>
  <c r="AJ93" i="9"/>
  <c r="AB200" i="14"/>
  <c r="AD200" i="14" s="1"/>
  <c r="AI200" i="13"/>
  <c r="AD143" i="10"/>
  <c r="AG204" i="9"/>
  <c r="AE203" i="9"/>
  <c r="Y215" i="8"/>
  <c r="AA211" i="7"/>
  <c r="AA210" i="7" s="1"/>
  <c r="AA209" i="7" s="1"/>
  <c r="I71" i="12"/>
  <c r="I64" i="7"/>
  <c r="D99" i="10"/>
  <c r="F99" i="9"/>
  <c r="I55" i="9"/>
  <c r="AJ247" i="15"/>
  <c r="AE247" i="16"/>
  <c r="AG247" i="16" s="1"/>
  <c r="AJ247" i="16" s="1"/>
  <c r="V38" i="11"/>
  <c r="W174" i="11"/>
  <c r="AA40" i="9"/>
  <c r="AI201" i="12"/>
  <c r="AB201" i="13"/>
  <c r="AD201" i="13" s="1"/>
  <c r="AH160" i="11"/>
  <c r="H128" i="9"/>
  <c r="AG173" i="9"/>
  <c r="AE106" i="8"/>
  <c r="AG105" i="7"/>
  <c r="AG104" i="7" s="1"/>
  <c r="G110" i="9"/>
  <c r="I110" i="9" s="1"/>
  <c r="M110" i="8"/>
  <c r="J117" i="16"/>
  <c r="F90" i="8"/>
  <c r="D90" i="9"/>
  <c r="J97" i="16"/>
  <c r="L97" i="16" s="1"/>
  <c r="N89" i="10"/>
  <c r="M89" i="10"/>
  <c r="AQ12" i="10"/>
  <c r="D91" i="13"/>
  <c r="C8" i="10"/>
  <c r="AB213" i="9"/>
  <c r="AA159" i="9"/>
  <c r="AE230" i="14"/>
  <c r="AG230" i="14" s="1"/>
  <c r="AJ230" i="13"/>
  <c r="AI93" i="14"/>
  <c r="J27" i="9"/>
  <c r="G41" i="9"/>
  <c r="I41" i="9" s="1"/>
  <c r="Y229" i="10"/>
  <c r="AE237" i="10"/>
  <c r="X223" i="10"/>
  <c r="W223" i="11"/>
  <c r="AB53" i="13"/>
  <c r="AD53" i="13" s="1"/>
  <c r="AI53" i="12"/>
  <c r="AG81" i="8"/>
  <c r="AD239" i="9"/>
  <c r="Y161" i="13"/>
  <c r="AA161" i="13" s="1"/>
  <c r="AE250" i="10"/>
  <c r="AG250" i="10" s="1"/>
  <c r="AE127" i="12"/>
  <c r="AG127" i="12" s="1"/>
  <c r="AJ127" i="11"/>
  <c r="AE71" i="14"/>
  <c r="AG71" i="14" s="1"/>
  <c r="AB256" i="15"/>
  <c r="AD256" i="15" s="1"/>
  <c r="AB67" i="8"/>
  <c r="AI67" i="7"/>
  <c r="BP11" i="7"/>
  <c r="F124" i="8"/>
  <c r="D87" i="11"/>
  <c r="F105" i="8"/>
  <c r="D105" i="9"/>
  <c r="J86" i="8"/>
  <c r="L85" i="7"/>
  <c r="AG70" i="8"/>
  <c r="AG73" i="7"/>
  <c r="AE69" i="7"/>
  <c r="AE65" i="7" s="1"/>
  <c r="J39" i="10"/>
  <c r="L39" i="10" s="1"/>
  <c r="G111" i="12"/>
  <c r="I111" i="12" s="1"/>
  <c r="J87" i="8"/>
  <c r="L87" i="8" s="1"/>
  <c r="J87" i="9" s="1"/>
  <c r="L87" i="9" s="1"/>
  <c r="J87" i="10" s="1"/>
  <c r="L87" i="10" s="1"/>
  <c r="J87" i="11" s="1"/>
  <c r="L87" i="11" s="1"/>
  <c r="J87" i="12" s="1"/>
  <c r="L87" i="12" s="1"/>
  <c r="J87" i="13" s="1"/>
  <c r="L87" i="13" s="1"/>
  <c r="J87" i="14" s="1"/>
  <c r="L87" i="14" s="1"/>
  <c r="J87" i="15" s="1"/>
  <c r="L87" i="15" s="1"/>
  <c r="J87" i="16" s="1"/>
  <c r="L87" i="16" s="1"/>
  <c r="N87" i="7"/>
  <c r="D107" i="9"/>
  <c r="F107" i="8"/>
  <c r="D124" i="16"/>
  <c r="H130" i="7"/>
  <c r="Q128" i="8"/>
  <c r="M122" i="7"/>
  <c r="AE217" i="16"/>
  <c r="AG217" i="16" s="1"/>
  <c r="AB55" i="12"/>
  <c r="AD55" i="12" s="1"/>
  <c r="AJ236" i="11"/>
  <c r="AE236" i="12"/>
  <c r="AE72" i="9"/>
  <c r="AG72" i="9" s="1"/>
  <c r="AJ72" i="8"/>
  <c r="AB36" i="10"/>
  <c r="AG115" i="9"/>
  <c r="AD107" i="9"/>
  <c r="AB214" i="16"/>
  <c r="AD214" i="16" s="1"/>
  <c r="AB197" i="9"/>
  <c r="AI197" i="8"/>
  <c r="AG228" i="7"/>
  <c r="AE227" i="7"/>
  <c r="AE190" i="13"/>
  <c r="AG190" i="13" s="1"/>
  <c r="AH213" i="8"/>
  <c r="AJ213" i="8"/>
  <c r="AI213" i="8"/>
  <c r="AE218" i="11"/>
  <c r="AG218" i="11" s="1"/>
  <c r="AJ218" i="10"/>
  <c r="AE33" i="16"/>
  <c r="AE131" i="16"/>
  <c r="AG131" i="16" s="1"/>
  <c r="AE29" i="12"/>
  <c r="AG29" i="12" s="1"/>
  <c r="AJ29" i="11"/>
  <c r="AB129" i="13"/>
  <c r="AH246" i="9"/>
  <c r="AI246" i="9"/>
  <c r="Y126" i="12"/>
  <c r="AE135" i="15"/>
  <c r="AG135" i="15" s="1"/>
  <c r="AE99" i="10"/>
  <c r="AG99" i="10" s="1"/>
  <c r="E50" i="12"/>
  <c r="AE102" i="15"/>
  <c r="AG102" i="15" s="1"/>
  <c r="W106" i="11"/>
  <c r="AE253" i="11"/>
  <c r="AG253" i="11" s="1"/>
  <c r="AJ253" i="10"/>
  <c r="J15" i="9"/>
  <c r="L10" i="8"/>
  <c r="AE212" i="9"/>
  <c r="AE249" i="11"/>
  <c r="AG249" i="11" s="1"/>
  <c r="AE101" i="11"/>
  <c r="AG101" i="11" s="1"/>
  <c r="AJ101" i="10"/>
  <c r="AE53" i="10"/>
  <c r="AG53" i="10" s="1"/>
  <c r="AJ53" i="9"/>
  <c r="V45" i="11"/>
  <c r="V44" i="10"/>
  <c r="AS23" i="6"/>
  <c r="AE51" i="10"/>
  <c r="M124" i="7"/>
  <c r="N124" i="7"/>
  <c r="I95" i="9"/>
  <c r="J111" i="9"/>
  <c r="L111" i="9" s="1"/>
  <c r="J88" i="11"/>
  <c r="L88" i="11" s="1"/>
  <c r="AX11" i="10"/>
  <c r="AS11" i="10"/>
  <c r="F87" i="9"/>
  <c r="M113" i="6"/>
  <c r="X194" i="6" l="1"/>
  <c r="AY11" i="6"/>
  <c r="V90" i="7"/>
  <c r="AJ185" i="6"/>
  <c r="N48" i="6"/>
  <c r="M100" i="11"/>
  <c r="AZ11" i="6"/>
  <c r="AB110" i="6"/>
  <c r="V234" i="7"/>
  <c r="V232" i="7" s="1"/>
  <c r="AB141" i="7"/>
  <c r="V160" i="12"/>
  <c r="X160" i="12" s="1"/>
  <c r="AI160" i="11"/>
  <c r="N51" i="6"/>
  <c r="F123" i="9"/>
  <c r="N123" i="9" s="1"/>
  <c r="AB12" i="6"/>
  <c r="W112" i="7"/>
  <c r="AJ57" i="6"/>
  <c r="U258" i="15"/>
  <c r="U8" i="15"/>
  <c r="AZ7" i="6"/>
  <c r="M104" i="6"/>
  <c r="AR25" i="6"/>
  <c r="AW25" i="6" s="1"/>
  <c r="Y12" i="6"/>
  <c r="Y10" i="6" s="1"/>
  <c r="BQ32" i="5"/>
  <c r="AJ172" i="6"/>
  <c r="AJ35" i="6"/>
  <c r="AQ23" i="6"/>
  <c r="E128" i="8"/>
  <c r="AI57" i="6"/>
  <c r="M21" i="5"/>
  <c r="M19" i="5" s="1"/>
  <c r="M17" i="5" s="1"/>
  <c r="AE258" i="5" s="1"/>
  <c r="AM259" i="7"/>
  <c r="M85" i="6"/>
  <c r="Z8" i="11"/>
  <c r="Z258" i="13"/>
  <c r="BO26" i="8"/>
  <c r="AU11" i="8"/>
  <c r="Z8" i="12"/>
  <c r="BP13" i="6"/>
  <c r="V170" i="7"/>
  <c r="AI35" i="6"/>
  <c r="AI166" i="9"/>
  <c r="AU11" i="6"/>
  <c r="AX14" i="6"/>
  <c r="AX17" i="6" s="1"/>
  <c r="M79" i="7"/>
  <c r="W69" i="8"/>
  <c r="W65" i="8" s="1"/>
  <c r="AV23" i="5"/>
  <c r="BP7" i="5"/>
  <c r="BP32" i="5" s="1"/>
  <c r="Z8" i="16"/>
  <c r="AH96" i="6"/>
  <c r="AH222" i="6"/>
  <c r="AH220" i="6" s="1"/>
  <c r="AJ43" i="5"/>
  <c r="N117" i="8"/>
  <c r="Q56" i="20"/>
  <c r="AJ44" i="6"/>
  <c r="AH176" i="6"/>
  <c r="AD14" i="6"/>
  <c r="V258" i="5"/>
  <c r="AH234" i="5"/>
  <c r="AH232" i="5" s="1"/>
  <c r="AE58" i="7"/>
  <c r="AE57" i="7" s="1"/>
  <c r="AU15" i="6"/>
  <c r="AJ174" i="7"/>
  <c r="AH91" i="6"/>
  <c r="AH90" i="6" s="1"/>
  <c r="AJ235" i="6"/>
  <c r="BK16" i="7"/>
  <c r="W12" i="6"/>
  <c r="AJ112" i="5"/>
  <c r="AJ110" i="5" s="1"/>
  <c r="AI112" i="5"/>
  <c r="W258" i="5"/>
  <c r="W8" i="5"/>
  <c r="AH128" i="9"/>
  <c r="AJ128" i="9"/>
  <c r="AI128" i="9"/>
  <c r="AD161" i="7"/>
  <c r="AI161" i="7" s="1"/>
  <c r="AB157" i="7"/>
  <c r="AB155" i="7" s="1"/>
  <c r="C128" i="9"/>
  <c r="C126" i="9" s="1"/>
  <c r="C130" i="9" s="1"/>
  <c r="P128" i="8"/>
  <c r="P126" i="8" s="1"/>
  <c r="P130" i="8" s="1"/>
  <c r="N120" i="8"/>
  <c r="AI49" i="6"/>
  <c r="AH69" i="6"/>
  <c r="AH65" i="6" s="1"/>
  <c r="BL8" i="7"/>
  <c r="AH20" i="6"/>
  <c r="AH16" i="6" s="1"/>
  <c r="U258" i="7"/>
  <c r="X234" i="6"/>
  <c r="X232" i="6" s="1"/>
  <c r="BN29" i="6" s="1"/>
  <c r="BH13" i="6" s="1"/>
  <c r="AJ220" i="6"/>
  <c r="V180" i="12"/>
  <c r="X180" i="11"/>
  <c r="AJ180" i="11" s="1"/>
  <c r="AB117" i="8"/>
  <c r="AD114" i="7"/>
  <c r="V128" i="11"/>
  <c r="X128" i="10"/>
  <c r="AE94" i="8"/>
  <c r="AG91" i="7"/>
  <c r="V132" i="9"/>
  <c r="X132" i="8"/>
  <c r="X112" i="6"/>
  <c r="K128" i="9"/>
  <c r="K126" i="9" s="1"/>
  <c r="K130" i="9" s="1"/>
  <c r="AH14" i="5"/>
  <c r="AC8" i="15"/>
  <c r="AH195" i="6"/>
  <c r="AH194" i="6" s="1"/>
  <c r="AH193" i="6" s="1"/>
  <c r="AI235" i="6"/>
  <c r="BQ32" i="6"/>
  <c r="AA170" i="6"/>
  <c r="BO24" i="6" s="1"/>
  <c r="BO22" i="6" s="1"/>
  <c r="BI11" i="6" s="1"/>
  <c r="AI43" i="5"/>
  <c r="AI14" i="5" s="1"/>
  <c r="C128" i="8"/>
  <c r="C126" i="8" s="1"/>
  <c r="C130" i="8" s="1"/>
  <c r="AD170" i="6"/>
  <c r="AR27" i="6" s="1"/>
  <c r="AW27" i="6" s="1"/>
  <c r="BD10" i="6"/>
  <c r="BD9" i="6" s="1"/>
  <c r="BD8" i="6" s="1"/>
  <c r="BD22" i="6" s="1"/>
  <c r="M110" i="7"/>
  <c r="AH114" i="6"/>
  <c r="G56" i="20"/>
  <c r="AJ83" i="6"/>
  <c r="Y124" i="9"/>
  <c r="AH124" i="8"/>
  <c r="AA123" i="8"/>
  <c r="AI157" i="6"/>
  <c r="AI155" i="6" s="1"/>
  <c r="BK16" i="11"/>
  <c r="AJ69" i="6"/>
  <c r="AJ65" i="6" s="1"/>
  <c r="BQ32" i="11"/>
  <c r="N21" i="5"/>
  <c r="N19" i="5" s="1"/>
  <c r="N17" i="5" s="1"/>
  <c r="AF258" i="5" s="1"/>
  <c r="BQ33" i="5" s="1"/>
  <c r="AA46" i="7"/>
  <c r="Y44" i="7"/>
  <c r="G26" i="9"/>
  <c r="I26" i="9" s="1"/>
  <c r="BD11" i="8"/>
  <c r="V174" i="9"/>
  <c r="X174" i="8"/>
  <c r="AH174" i="8" s="1"/>
  <c r="V172" i="8"/>
  <c r="AI132" i="7"/>
  <c r="AJ132" i="7"/>
  <c r="AH132" i="7"/>
  <c r="D128" i="8"/>
  <c r="AG145" i="6"/>
  <c r="AG110" i="6" s="1"/>
  <c r="AS26" i="6" s="1"/>
  <c r="AX26" i="6" s="1"/>
  <c r="AH57" i="6"/>
  <c r="AV7" i="6"/>
  <c r="AS30" i="6"/>
  <c r="AX30" i="6" s="1"/>
  <c r="AH83" i="6"/>
  <c r="AH235" i="6"/>
  <c r="AI211" i="6"/>
  <c r="AI210" i="6" s="1"/>
  <c r="AI209" i="6" s="1"/>
  <c r="AI207" i="6" s="1"/>
  <c r="AI234" i="5"/>
  <c r="AI232" i="5" s="1"/>
  <c r="AG223" i="7"/>
  <c r="AE222" i="7"/>
  <c r="AE220" i="7" s="1"/>
  <c r="AI20" i="6"/>
  <c r="AI16" i="6" s="1"/>
  <c r="AJ14" i="5"/>
  <c r="AH149" i="6"/>
  <c r="AH147" i="6" s="1"/>
  <c r="AS25" i="6"/>
  <c r="AX25" i="6" s="1"/>
  <c r="O56" i="20"/>
  <c r="AH170" i="6"/>
  <c r="C126" i="7"/>
  <c r="C130" i="7" s="1"/>
  <c r="N118" i="7"/>
  <c r="AE138" i="14"/>
  <c r="AG138" i="14" s="1"/>
  <c r="AJ138" i="14" s="1"/>
  <c r="V63" i="7"/>
  <c r="AH211" i="6"/>
  <c r="AH210" i="6" s="1"/>
  <c r="AH209" i="6" s="1"/>
  <c r="AH207" i="6" s="1"/>
  <c r="AI63" i="5"/>
  <c r="AY7" i="6"/>
  <c r="V112" i="7"/>
  <c r="V110" i="7" s="1"/>
  <c r="V12" i="6"/>
  <c r="V10" i="6" s="1"/>
  <c r="V8" i="6" s="1"/>
  <c r="BN14" i="6"/>
  <c r="BH9" i="6" s="1"/>
  <c r="AB168" i="13"/>
  <c r="AD168" i="13" s="1"/>
  <c r="AI168" i="12"/>
  <c r="F78" i="7"/>
  <c r="M78" i="7" s="1"/>
  <c r="AI83" i="6"/>
  <c r="M106" i="7"/>
  <c r="AJ176" i="6"/>
  <c r="AJ234" i="5"/>
  <c r="AJ232" i="5" s="1"/>
  <c r="AA90" i="6"/>
  <c r="BO13" i="6" s="1"/>
  <c r="AB43" i="7"/>
  <c r="AB14" i="7" s="1"/>
  <c r="AE10" i="6"/>
  <c r="AE8" i="6" s="1"/>
  <c r="AZ11" i="8"/>
  <c r="V79" i="12"/>
  <c r="X79" i="11"/>
  <c r="AD85" i="7"/>
  <c r="AI85" i="7" s="1"/>
  <c r="AB83" i="7"/>
  <c r="X60" i="8"/>
  <c r="V60" i="9"/>
  <c r="V58" i="8"/>
  <c r="V57" i="8" s="1"/>
  <c r="V87" i="10"/>
  <c r="X87" i="9"/>
  <c r="D33" i="10"/>
  <c r="F33" i="9"/>
  <c r="D32" i="9"/>
  <c r="AA52" i="7"/>
  <c r="Y49" i="7"/>
  <c r="D74" i="9"/>
  <c r="D72" i="8"/>
  <c r="F74" i="8"/>
  <c r="AG150" i="7"/>
  <c r="AJ150" i="7" s="1"/>
  <c r="AJ149" i="7" s="1"/>
  <c r="AJ147" i="7" s="1"/>
  <c r="AE149" i="7"/>
  <c r="AE147" i="7" s="1"/>
  <c r="J26" i="8"/>
  <c r="AX8" i="7"/>
  <c r="L25" i="7"/>
  <c r="AS8" i="7" s="1"/>
  <c r="V73" i="10"/>
  <c r="X73" i="9"/>
  <c r="AB130" i="10"/>
  <c r="AD130" i="10" s="1"/>
  <c r="AI130" i="9"/>
  <c r="D77" i="10"/>
  <c r="F77" i="9"/>
  <c r="N77" i="9" s="1"/>
  <c r="AH77" i="9"/>
  <c r="AI77" i="9"/>
  <c r="AJ77" i="9"/>
  <c r="V106" i="9"/>
  <c r="V105" i="8"/>
  <c r="V104" i="8" s="1"/>
  <c r="X106" i="8"/>
  <c r="D68" i="10"/>
  <c r="F68" i="9"/>
  <c r="N68" i="9" s="1"/>
  <c r="D66" i="9"/>
  <c r="E49" i="10"/>
  <c r="E48" i="9"/>
  <c r="D26" i="10"/>
  <c r="F26" i="9"/>
  <c r="V118" i="9"/>
  <c r="X118" i="8"/>
  <c r="V55" i="11"/>
  <c r="X55" i="10"/>
  <c r="AA188" i="8"/>
  <c r="Y187" i="8"/>
  <c r="Y185" i="8" s="1"/>
  <c r="D36" i="9"/>
  <c r="F36" i="8"/>
  <c r="D35" i="8"/>
  <c r="AI81" i="15"/>
  <c r="AH81" i="15"/>
  <c r="M62" i="8"/>
  <c r="F60" i="8"/>
  <c r="BO17" i="6"/>
  <c r="BO15" i="6" s="1"/>
  <c r="BI10" i="6" s="1"/>
  <c r="AA145" i="6"/>
  <c r="AB51" i="8"/>
  <c r="AD49" i="7"/>
  <c r="V99" i="10"/>
  <c r="X99" i="9"/>
  <c r="AU7" i="6"/>
  <c r="BE21" i="9"/>
  <c r="BE22" i="9" s="1"/>
  <c r="B12" i="10"/>
  <c r="BE21" i="10" s="1"/>
  <c r="N113" i="6"/>
  <c r="AI91" i="6"/>
  <c r="AI90" i="6" s="1"/>
  <c r="AV11" i="8"/>
  <c r="L28" i="6"/>
  <c r="AS9" i="6" s="1"/>
  <c r="M22" i="6"/>
  <c r="BJ7" i="5"/>
  <c r="BJ16" i="5" s="1"/>
  <c r="AJ63" i="5"/>
  <c r="BN12" i="6"/>
  <c r="BN9" i="6" s="1"/>
  <c r="Y258" i="5"/>
  <c r="N85" i="6"/>
  <c r="U258" i="13"/>
  <c r="U258" i="12"/>
  <c r="F28" i="6"/>
  <c r="AQ9" i="6" s="1"/>
  <c r="AZ9" i="6" s="1"/>
  <c r="AG14" i="6"/>
  <c r="V220" i="7"/>
  <c r="AI105" i="6"/>
  <c r="AI104" i="6" s="1"/>
  <c r="AH21" i="7"/>
  <c r="AJ21" i="7"/>
  <c r="BC12" i="8"/>
  <c r="AI60" i="7"/>
  <c r="X58" i="7"/>
  <c r="X57" i="7" s="1"/>
  <c r="AH60" i="7"/>
  <c r="N41" i="7"/>
  <c r="M41" i="7"/>
  <c r="Y17" i="9"/>
  <c r="AA17" i="9" s="1"/>
  <c r="BO10" i="8"/>
  <c r="AH75" i="9"/>
  <c r="AJ75" i="9"/>
  <c r="G60" i="7"/>
  <c r="I61" i="7"/>
  <c r="AH71" i="7"/>
  <c r="AJ71" i="7"/>
  <c r="AI71" i="7"/>
  <c r="AA177" i="7"/>
  <c r="AH177" i="7" s="1"/>
  <c r="Y176" i="7"/>
  <c r="AB46" i="8"/>
  <c r="AD44" i="7"/>
  <c r="AI46" i="7"/>
  <c r="V77" i="11"/>
  <c r="X77" i="10"/>
  <c r="Y67" i="9"/>
  <c r="AA67" i="9" s="1"/>
  <c r="BO11" i="8"/>
  <c r="AH67" i="8"/>
  <c r="N59" i="8"/>
  <c r="M59" i="8"/>
  <c r="AH118" i="7"/>
  <c r="AI118" i="7"/>
  <c r="AJ118" i="7"/>
  <c r="AD116" i="9"/>
  <c r="N12" i="7"/>
  <c r="M12" i="7"/>
  <c r="AH85" i="7"/>
  <c r="AJ85" i="7"/>
  <c r="AB92" i="8"/>
  <c r="AD91" i="7"/>
  <c r="AI81" i="16"/>
  <c r="AH81" i="16"/>
  <c r="L36" i="7"/>
  <c r="J35" i="7"/>
  <c r="D60" i="9"/>
  <c r="D62" i="10"/>
  <c r="F62" i="10" s="1"/>
  <c r="V14" i="7"/>
  <c r="V21" i="9"/>
  <c r="X21" i="8"/>
  <c r="V20" i="8"/>
  <c r="V16" i="8" s="1"/>
  <c r="L71" i="8"/>
  <c r="N71" i="8" s="1"/>
  <c r="J69" i="8"/>
  <c r="AA98" i="7"/>
  <c r="Y96" i="7"/>
  <c r="D41" i="9"/>
  <c r="F41" i="8"/>
  <c r="D30" i="9"/>
  <c r="F30" i="8"/>
  <c r="M30" i="8" s="1"/>
  <c r="D29" i="8"/>
  <c r="N74" i="7"/>
  <c r="F72" i="7"/>
  <c r="AA107" i="7"/>
  <c r="AH107" i="7" s="1"/>
  <c r="Y105" i="7"/>
  <c r="Y104" i="7" s="1"/>
  <c r="V75" i="11"/>
  <c r="X75" i="10"/>
  <c r="AG159" i="7"/>
  <c r="AJ159" i="7" s="1"/>
  <c r="AE157" i="7"/>
  <c r="AE155" i="7" s="1"/>
  <c r="Y61" i="9"/>
  <c r="AA61" i="9" s="1"/>
  <c r="BO31" i="8"/>
  <c r="BI15" i="8" s="1"/>
  <c r="V97" i="9"/>
  <c r="X97" i="8"/>
  <c r="AH97" i="8" s="1"/>
  <c r="V71" i="9"/>
  <c r="X71" i="8"/>
  <c r="AI71" i="8" s="1"/>
  <c r="G57" i="7"/>
  <c r="I58" i="7"/>
  <c r="M71" i="8"/>
  <c r="D12" i="9"/>
  <c r="F12" i="8"/>
  <c r="N12" i="8" s="1"/>
  <c r="D10" i="8"/>
  <c r="V85" i="9"/>
  <c r="X85" i="8"/>
  <c r="M36" i="7"/>
  <c r="AJ116" i="7"/>
  <c r="AI116" i="7"/>
  <c r="Y222" i="7"/>
  <c r="Y220" i="7" s="1"/>
  <c r="AA223" i="7"/>
  <c r="AH229" i="7"/>
  <c r="AH227" i="7" s="1"/>
  <c r="X227" i="7"/>
  <c r="AI229" i="7"/>
  <c r="AI227" i="7" s="1"/>
  <c r="AJ229" i="7"/>
  <c r="AB31" i="12"/>
  <c r="AD31" i="12" s="1"/>
  <c r="AI31" i="11"/>
  <c r="M47" i="8"/>
  <c r="AA167" i="7"/>
  <c r="Y157" i="7"/>
  <c r="Y155" i="7" s="1"/>
  <c r="Y145" i="7" s="1"/>
  <c r="D50" i="10"/>
  <c r="F50" i="9"/>
  <c r="N50" i="9" s="1"/>
  <c r="AB41" i="10"/>
  <c r="AD41" i="10" s="1"/>
  <c r="AI41" i="9"/>
  <c r="Q128" i="9"/>
  <c r="Q126" i="9" s="1"/>
  <c r="Q130" i="9" s="1"/>
  <c r="BE21" i="8"/>
  <c r="BE22" i="8" s="1"/>
  <c r="K128" i="8"/>
  <c r="K126" i="8" s="1"/>
  <c r="K130" i="8" s="1"/>
  <c r="AH152" i="7"/>
  <c r="H128" i="8"/>
  <c r="H126" i="8" s="1"/>
  <c r="H130" i="8" s="1"/>
  <c r="AZ15" i="6"/>
  <c r="V69" i="8"/>
  <c r="V65" i="8" s="1"/>
  <c r="X90" i="6"/>
  <c r="X63" i="6" s="1"/>
  <c r="AH90" i="5"/>
  <c r="AH63" i="5" s="1"/>
  <c r="AH12" i="5" s="1"/>
  <c r="AC8" i="12"/>
  <c r="AH145" i="5"/>
  <c r="AH110" i="5" s="1"/>
  <c r="AJ114" i="6"/>
  <c r="AI114" i="6"/>
  <c r="AI69" i="6"/>
  <c r="AI65" i="6" s="1"/>
  <c r="AJ20" i="6"/>
  <c r="AJ16" i="6" s="1"/>
  <c r="N22" i="6"/>
  <c r="AI141" i="6"/>
  <c r="AH79" i="10"/>
  <c r="AI79" i="10"/>
  <c r="AJ79" i="10"/>
  <c r="D23" i="10"/>
  <c r="D22" i="9"/>
  <c r="F23" i="9"/>
  <c r="AI87" i="8"/>
  <c r="AJ87" i="8"/>
  <c r="AH87" i="8"/>
  <c r="AA93" i="7"/>
  <c r="Y91" i="7"/>
  <c r="AH105" i="6"/>
  <c r="AH104" i="6" s="1"/>
  <c r="AH73" i="8"/>
  <c r="AI73" i="8"/>
  <c r="AH97" i="7"/>
  <c r="AI97" i="7"/>
  <c r="AJ97" i="7"/>
  <c r="J47" i="8"/>
  <c r="L45" i="7"/>
  <c r="D56" i="10"/>
  <c r="F56" i="9"/>
  <c r="AI106" i="7"/>
  <c r="AH106" i="7"/>
  <c r="M26" i="8"/>
  <c r="BC11" i="8"/>
  <c r="D59" i="10"/>
  <c r="D57" i="9"/>
  <c r="F59" i="9"/>
  <c r="AA58" i="7"/>
  <c r="AA57" i="7" s="1"/>
  <c r="Y59" i="8"/>
  <c r="AH59" i="7"/>
  <c r="F65" i="12"/>
  <c r="E65" i="13"/>
  <c r="L23" i="7"/>
  <c r="J22" i="7"/>
  <c r="D71" i="10"/>
  <c r="F71" i="9"/>
  <c r="AJ55" i="9"/>
  <c r="AH55" i="9"/>
  <c r="AI55" i="9"/>
  <c r="L83" i="7"/>
  <c r="J81" i="7"/>
  <c r="D80" i="9"/>
  <c r="F80" i="8"/>
  <c r="M80" i="8" s="1"/>
  <c r="D78" i="8"/>
  <c r="V116" i="9"/>
  <c r="X116" i="8"/>
  <c r="AB106" i="8"/>
  <c r="AD105" i="7"/>
  <c r="AD104" i="7" s="1"/>
  <c r="N26" i="7"/>
  <c r="V229" i="9"/>
  <c r="V227" i="8"/>
  <c r="X229" i="8"/>
  <c r="D47" i="10"/>
  <c r="D45" i="10" s="1"/>
  <c r="F47" i="9"/>
  <c r="AH99" i="8"/>
  <c r="AJ99" i="8"/>
  <c r="AD193" i="6"/>
  <c r="AR28" i="6" s="1"/>
  <c r="AW28" i="6" s="1"/>
  <c r="BP28" i="6"/>
  <c r="N94" i="6"/>
  <c r="BN25" i="5"/>
  <c r="BH12" i="5" s="1"/>
  <c r="I21" i="6"/>
  <c r="I19" i="6" s="1"/>
  <c r="I17" i="6" s="1"/>
  <c r="I8" i="6" s="1"/>
  <c r="I126" i="6" s="1"/>
  <c r="I130" i="6" s="1"/>
  <c r="N61" i="8"/>
  <c r="AJ49" i="6"/>
  <c r="AJ43" i="6" s="1"/>
  <c r="AJ195" i="6"/>
  <c r="AJ194" i="6" s="1"/>
  <c r="AJ193" i="6" s="1"/>
  <c r="AH123" i="6"/>
  <c r="N92" i="8"/>
  <c r="AI176" i="6"/>
  <c r="AJ157" i="6"/>
  <c r="AJ155" i="6" s="1"/>
  <c r="Z8" i="8"/>
  <c r="AH161" i="7"/>
  <c r="AJ161" i="7"/>
  <c r="W217" i="14"/>
  <c r="X217" i="13"/>
  <c r="V159" i="9"/>
  <c r="V157" i="8"/>
  <c r="V155" i="8" s="1"/>
  <c r="X159" i="8"/>
  <c r="AI150" i="7"/>
  <c r="AH150" i="7"/>
  <c r="X149" i="7"/>
  <c r="X147" i="7" s="1"/>
  <c r="AA38" i="7"/>
  <c r="AH38" i="7" s="1"/>
  <c r="Y35" i="7"/>
  <c r="AG52" i="7"/>
  <c r="AE49" i="7"/>
  <c r="AE43" i="7" s="1"/>
  <c r="E13" i="9"/>
  <c r="F13" i="8"/>
  <c r="E10" i="8"/>
  <c r="W28" i="9"/>
  <c r="X28" i="8"/>
  <c r="AI32" i="7"/>
  <c r="AH32" i="7"/>
  <c r="AJ32" i="7"/>
  <c r="AD174" i="7"/>
  <c r="AB172" i="7"/>
  <c r="D55" i="9"/>
  <c r="D54" i="8"/>
  <c r="F55" i="8"/>
  <c r="N55" i="8" s="1"/>
  <c r="AA180" i="9"/>
  <c r="D79" i="14"/>
  <c r="X38" i="8"/>
  <c r="W38" i="9"/>
  <c r="AI251" i="7"/>
  <c r="AH251" i="7"/>
  <c r="AJ251" i="7"/>
  <c r="E37" i="9"/>
  <c r="E35" i="8"/>
  <c r="F37" i="8"/>
  <c r="N37" i="8" s="1"/>
  <c r="AH224" i="7"/>
  <c r="AJ224" i="7"/>
  <c r="X222" i="7"/>
  <c r="AH120" i="7"/>
  <c r="AI120" i="7"/>
  <c r="AJ120" i="7"/>
  <c r="AJ24" i="7"/>
  <c r="AI24" i="7"/>
  <c r="AH24" i="7"/>
  <c r="X20" i="7"/>
  <c r="X16" i="7" s="1"/>
  <c r="BN12" i="7" s="1"/>
  <c r="BN9" i="7" s="1"/>
  <c r="AH254" i="9"/>
  <c r="AI254" i="9"/>
  <c r="AJ254" i="9"/>
  <c r="V121" i="10"/>
  <c r="X121" i="9"/>
  <c r="W225" i="9"/>
  <c r="X225" i="8"/>
  <c r="W222" i="8"/>
  <c r="W220" i="8" s="1"/>
  <c r="AI137" i="7"/>
  <c r="AH137" i="7"/>
  <c r="AJ137" i="7"/>
  <c r="AI84" i="7"/>
  <c r="AJ84" i="7"/>
  <c r="AJ143" i="7"/>
  <c r="AJ141" i="7" s="1"/>
  <c r="AH143" i="7"/>
  <c r="AI143" i="7"/>
  <c r="X141" i="7"/>
  <c r="BN20" i="7" s="1"/>
  <c r="V51" i="9"/>
  <c r="V49" i="8"/>
  <c r="V43" i="8" s="1"/>
  <c r="X51" i="8"/>
  <c r="AH183" i="7"/>
  <c r="AJ183" i="7"/>
  <c r="AI183" i="7"/>
  <c r="E79" i="9"/>
  <c r="F79" i="8"/>
  <c r="N79" i="8" s="1"/>
  <c r="E78" i="8"/>
  <c r="AI198" i="7"/>
  <c r="AH198" i="7"/>
  <c r="AJ198" i="7"/>
  <c r="N27" i="7"/>
  <c r="F25" i="7"/>
  <c r="AQ8" i="7" s="1"/>
  <c r="AY8" i="7" s="1"/>
  <c r="BC14" i="7"/>
  <c r="F63" i="7"/>
  <c r="N64" i="7"/>
  <c r="AV23" i="6"/>
  <c r="W131" i="9"/>
  <c r="X131" i="8"/>
  <c r="AI217" i="12"/>
  <c r="AH217" i="12"/>
  <c r="AJ217" i="12"/>
  <c r="E67" i="9"/>
  <c r="E66" i="8"/>
  <c r="F67" i="8"/>
  <c r="AI241" i="11"/>
  <c r="AB241" i="12"/>
  <c r="AD241" i="12" s="1"/>
  <c r="V196" i="9"/>
  <c r="X196" i="8"/>
  <c r="V195" i="8"/>
  <c r="V194" i="8" s="1"/>
  <c r="V193" i="8" s="1"/>
  <c r="W127" i="15"/>
  <c r="X127" i="14"/>
  <c r="D64" i="13"/>
  <c r="D63" i="12"/>
  <c r="M49" i="7"/>
  <c r="M48" i="7" s="1"/>
  <c r="F48" i="7"/>
  <c r="V61" i="9"/>
  <c r="X61" i="8"/>
  <c r="N13" i="7"/>
  <c r="M13" i="7"/>
  <c r="F10" i="7"/>
  <c r="W19" i="10"/>
  <c r="X19" i="9"/>
  <c r="AE41" i="9"/>
  <c r="AG41" i="9" s="1"/>
  <c r="AJ41" i="8"/>
  <c r="W239" i="9"/>
  <c r="X239" i="8"/>
  <c r="AH28" i="7"/>
  <c r="AI28" i="7"/>
  <c r="AJ28" i="7"/>
  <c r="V187" i="9"/>
  <c r="V185" i="9" s="1"/>
  <c r="V188" i="10"/>
  <c r="X188" i="9"/>
  <c r="M24" i="7"/>
  <c r="F22" i="7"/>
  <c r="AQ7" i="7" s="1"/>
  <c r="N24" i="7"/>
  <c r="AI177" i="7"/>
  <c r="BN23" i="7"/>
  <c r="W135" i="10"/>
  <c r="X135" i="9"/>
  <c r="AI38" i="7"/>
  <c r="D76" i="10"/>
  <c r="D75" i="9"/>
  <c r="I46" i="7"/>
  <c r="G45" i="7"/>
  <c r="W173" i="9"/>
  <c r="X173" i="8"/>
  <c r="W172" i="8"/>
  <c r="AI100" i="7"/>
  <c r="AJ100" i="7"/>
  <c r="AH100" i="7"/>
  <c r="X96" i="7"/>
  <c r="V133" i="9"/>
  <c r="X133" i="8"/>
  <c r="BC15" i="7"/>
  <c r="F45" i="7"/>
  <c r="N46" i="7"/>
  <c r="N45" i="7" s="1"/>
  <c r="D70" i="11"/>
  <c r="AJ121" i="8"/>
  <c r="AI121" i="8"/>
  <c r="AH121" i="8"/>
  <c r="F81" i="7"/>
  <c r="M82" i="7"/>
  <c r="M81" i="7" s="1"/>
  <c r="N82" i="7"/>
  <c r="AH225" i="7"/>
  <c r="AJ225" i="7"/>
  <c r="F29" i="7"/>
  <c r="N31" i="7"/>
  <c r="V107" i="12"/>
  <c r="W107" i="9"/>
  <c r="W105" i="8"/>
  <c r="W104" i="8" s="1"/>
  <c r="X107" i="8"/>
  <c r="AH117" i="7"/>
  <c r="AI117" i="7"/>
  <c r="X114" i="7"/>
  <c r="V143" i="9"/>
  <c r="X143" i="8"/>
  <c r="V141" i="8"/>
  <c r="E70" i="9"/>
  <c r="E69" i="8"/>
  <c r="F70" i="8"/>
  <c r="E34" i="10"/>
  <c r="E32" i="9"/>
  <c r="F34" i="9"/>
  <c r="AI51" i="7"/>
  <c r="AJ51" i="7"/>
  <c r="AH51" i="7"/>
  <c r="AJ96" i="6"/>
  <c r="W50" i="9"/>
  <c r="X50" i="8"/>
  <c r="AQ16" i="6"/>
  <c r="BC7" i="6"/>
  <c r="W139" i="9"/>
  <c r="X139" i="8"/>
  <c r="E63" i="8"/>
  <c r="F64" i="8"/>
  <c r="E64" i="9"/>
  <c r="AV12" i="9"/>
  <c r="BK16" i="16"/>
  <c r="BO14" i="6"/>
  <c r="BI9" i="6" s="1"/>
  <c r="BC10" i="6"/>
  <c r="BC9" i="6" s="1"/>
  <c r="BC8" i="6" s="1"/>
  <c r="BC22" i="6" s="1"/>
  <c r="D21" i="7"/>
  <c r="D19" i="7" s="1"/>
  <c r="BN31" i="7"/>
  <c r="BH15" i="7" s="1"/>
  <c r="E76" i="9"/>
  <c r="F76" i="9" s="1"/>
  <c r="E75" i="8"/>
  <c r="W161" i="9"/>
  <c r="X161" i="8"/>
  <c r="M67" i="7"/>
  <c r="F66" i="7"/>
  <c r="G74" i="8"/>
  <c r="I72" i="7"/>
  <c r="M74" i="7"/>
  <c r="M72" i="7" s="1"/>
  <c r="AH36" i="7"/>
  <c r="AI36" i="7"/>
  <c r="AJ36" i="7"/>
  <c r="X35" i="7"/>
  <c r="D49" i="9"/>
  <c r="D48" i="8"/>
  <c r="F49" i="8"/>
  <c r="I31" i="7"/>
  <c r="AW9" i="7" s="1"/>
  <c r="G29" i="7"/>
  <c r="G28" i="7" s="1"/>
  <c r="AJ88" i="7"/>
  <c r="AI88" i="7"/>
  <c r="AH88" i="7"/>
  <c r="G70" i="8"/>
  <c r="I69" i="7"/>
  <c r="AB186" i="9"/>
  <c r="AD186" i="9" s="1"/>
  <c r="AI186" i="8"/>
  <c r="X177" i="8"/>
  <c r="V176" i="8"/>
  <c r="V170" i="8" s="1"/>
  <c r="V177" i="9"/>
  <c r="W32" i="9"/>
  <c r="X32" i="8"/>
  <c r="F76" i="8"/>
  <c r="F75" i="8" s="1"/>
  <c r="AI39" i="7"/>
  <c r="AH39" i="7"/>
  <c r="AJ39" i="7"/>
  <c r="V251" i="9"/>
  <c r="V243" i="8"/>
  <c r="X251" i="8"/>
  <c r="X172" i="7"/>
  <c r="AI173" i="7"/>
  <c r="AJ173" i="7"/>
  <c r="V120" i="9"/>
  <c r="X120" i="8"/>
  <c r="V100" i="9"/>
  <c r="X100" i="8"/>
  <c r="V96" i="8"/>
  <c r="V254" i="11"/>
  <c r="X254" i="10"/>
  <c r="AH202" i="8"/>
  <c r="AI202" i="8"/>
  <c r="AJ202" i="8"/>
  <c r="E82" i="9"/>
  <c r="E81" i="8"/>
  <c r="F82" i="8"/>
  <c r="N82" i="8" s="1"/>
  <c r="E28" i="7"/>
  <c r="E21" i="7" s="1"/>
  <c r="E19" i="7" s="1"/>
  <c r="E17" i="7" s="1"/>
  <c r="E8" i="7" s="1"/>
  <c r="E126" i="7" s="1"/>
  <c r="E130" i="7" s="1"/>
  <c r="V137" i="9"/>
  <c r="X137" i="8"/>
  <c r="AJ107" i="7"/>
  <c r="X105" i="7"/>
  <c r="X104" i="7" s="1"/>
  <c r="AI107" i="7"/>
  <c r="V117" i="9"/>
  <c r="V114" i="8"/>
  <c r="X117" i="8"/>
  <c r="M34" i="8"/>
  <c r="N34" i="8"/>
  <c r="F32" i="8"/>
  <c r="AG98" i="7"/>
  <c r="AE96" i="7"/>
  <c r="AE90" i="7" s="1"/>
  <c r="E51" i="8"/>
  <c r="E52" i="9"/>
  <c r="F52" i="8"/>
  <c r="F51" i="8" s="1"/>
  <c r="W183" i="9"/>
  <c r="X183" i="8"/>
  <c r="X145" i="6"/>
  <c r="AH95" i="7"/>
  <c r="AI95" i="7"/>
  <c r="AJ95" i="7"/>
  <c r="V152" i="9"/>
  <c r="X152" i="8"/>
  <c r="AJ152" i="8" s="1"/>
  <c r="V149" i="8"/>
  <c r="V147" i="8" s="1"/>
  <c r="BC21" i="7"/>
  <c r="AJ105" i="7"/>
  <c r="AJ104" i="7" s="1"/>
  <c r="AY13" i="7"/>
  <c r="V123" i="8"/>
  <c r="AJ123" i="6"/>
  <c r="AJ112" i="6" s="1"/>
  <c r="AS24" i="6"/>
  <c r="AX24" i="6" s="1"/>
  <c r="BC17" i="7"/>
  <c r="M28" i="6"/>
  <c r="BN17" i="6"/>
  <c r="BN15" i="6" s="1"/>
  <c r="BH10" i="6" s="1"/>
  <c r="AJ91" i="6"/>
  <c r="AI149" i="6"/>
  <c r="AI147" i="6" s="1"/>
  <c r="AY16" i="5"/>
  <c r="F128" i="7"/>
  <c r="AH131" i="7"/>
  <c r="AI131" i="7"/>
  <c r="AJ131" i="7"/>
  <c r="AI159" i="7"/>
  <c r="AH159" i="7"/>
  <c r="AI196" i="7"/>
  <c r="AJ196" i="7"/>
  <c r="AH196" i="7"/>
  <c r="X195" i="7"/>
  <c r="AH127" i="13"/>
  <c r="AI127" i="13"/>
  <c r="W150" i="9"/>
  <c r="W149" i="8"/>
  <c r="W147" i="8" s="1"/>
  <c r="X150" i="8"/>
  <c r="G37" i="8"/>
  <c r="I35" i="7"/>
  <c r="W36" i="9"/>
  <c r="X36" i="8"/>
  <c r="W35" i="8"/>
  <c r="AH61" i="7"/>
  <c r="AI61" i="7"/>
  <c r="AJ61" i="7"/>
  <c r="W88" i="9"/>
  <c r="X88" i="8"/>
  <c r="AI19" i="8"/>
  <c r="AH19" i="8"/>
  <c r="AQ24" i="6"/>
  <c r="AU24" i="6" s="1"/>
  <c r="AI239" i="7"/>
  <c r="AJ239" i="7"/>
  <c r="AH239" i="7"/>
  <c r="AH188" i="8"/>
  <c r="AI188" i="8"/>
  <c r="E22" i="8"/>
  <c r="F24" i="8"/>
  <c r="E24" i="9"/>
  <c r="AG38" i="7"/>
  <c r="AE35" i="7"/>
  <c r="AI195" i="6"/>
  <c r="AI194" i="6" s="1"/>
  <c r="AI193" i="6" s="1"/>
  <c r="AH135" i="8"/>
  <c r="AJ135" i="8"/>
  <c r="AI135" i="8"/>
  <c r="AI172" i="6"/>
  <c r="F54" i="7"/>
  <c r="M55" i="7"/>
  <c r="N55" i="7"/>
  <c r="M56" i="7"/>
  <c r="I54" i="7"/>
  <c r="G56" i="8"/>
  <c r="V39" i="9"/>
  <c r="V35" i="8"/>
  <c r="X39" i="8"/>
  <c r="M37" i="7"/>
  <c r="F35" i="7"/>
  <c r="N37" i="7"/>
  <c r="AD199" i="7"/>
  <c r="AB195" i="7"/>
  <c r="AB194" i="7" s="1"/>
  <c r="AB193" i="7" s="1"/>
  <c r="V224" i="9"/>
  <c r="X224" i="8"/>
  <c r="V222" i="8"/>
  <c r="AH133" i="7"/>
  <c r="AI133" i="7"/>
  <c r="AJ133" i="7"/>
  <c r="E45" i="8"/>
  <c r="F46" i="8"/>
  <c r="E46" i="9"/>
  <c r="W24" i="9"/>
  <c r="W20" i="8"/>
  <c r="W16" i="8" s="1"/>
  <c r="X24" i="8"/>
  <c r="W202" i="10"/>
  <c r="X202" i="9"/>
  <c r="E43" i="11"/>
  <c r="E42" i="10"/>
  <c r="D37" i="13"/>
  <c r="E29" i="8"/>
  <c r="E31" i="9"/>
  <c r="F31" i="8"/>
  <c r="E58" i="9"/>
  <c r="F58" i="8"/>
  <c r="F57" i="8" s="1"/>
  <c r="E57" i="8"/>
  <c r="V84" i="9"/>
  <c r="X84" i="8"/>
  <c r="V83" i="8"/>
  <c r="M70" i="7"/>
  <c r="M69" i="7" s="1"/>
  <c r="F69" i="7"/>
  <c r="N70" i="7"/>
  <c r="N69" i="7" s="1"/>
  <c r="AJ149" i="6"/>
  <c r="AJ147" i="6" s="1"/>
  <c r="F51" i="7"/>
  <c r="N52" i="7"/>
  <c r="AI50" i="7"/>
  <c r="AJ50" i="7"/>
  <c r="AH50" i="7"/>
  <c r="W198" i="9"/>
  <c r="W195" i="8"/>
  <c r="X198" i="8"/>
  <c r="AH139" i="7"/>
  <c r="AI139" i="7"/>
  <c r="AJ139" i="7"/>
  <c r="D25" i="8"/>
  <c r="D27" i="9"/>
  <c r="F27" i="8"/>
  <c r="V95" i="9"/>
  <c r="X95" i="8"/>
  <c r="AJ95" i="8" s="1"/>
  <c r="X43" i="6"/>
  <c r="X14" i="6" s="1"/>
  <c r="X12" i="6" s="1"/>
  <c r="U258" i="8"/>
  <c r="U8" i="8"/>
  <c r="AI123" i="6"/>
  <c r="AA10" i="5"/>
  <c r="AA8" i="5" s="1"/>
  <c r="Y1" i="5" s="1"/>
  <c r="AA228" i="8"/>
  <c r="Y227" i="8"/>
  <c r="J56" i="8"/>
  <c r="N56" i="7"/>
  <c r="L54" i="7"/>
  <c r="AB37" i="8"/>
  <c r="AD35" i="7"/>
  <c r="AI37" i="7"/>
  <c r="AH243" i="6"/>
  <c r="AE117" i="8"/>
  <c r="AJ117" i="7"/>
  <c r="AG114" i="7"/>
  <c r="Z8" i="10"/>
  <c r="E124" i="11"/>
  <c r="F124" i="10"/>
  <c r="M123" i="9"/>
  <c r="M116" i="9"/>
  <c r="N116" i="9"/>
  <c r="F40" i="11"/>
  <c r="D40" i="12"/>
  <c r="AU12" i="9"/>
  <c r="N104" i="6"/>
  <c r="D119" i="10"/>
  <c r="F119" i="9"/>
  <c r="M119" i="9" s="1"/>
  <c r="E116" i="11"/>
  <c r="F116" i="10"/>
  <c r="X142" i="14"/>
  <c r="W142" i="15"/>
  <c r="M40" i="10"/>
  <c r="N40" i="10"/>
  <c r="AY12" i="6"/>
  <c r="AV12" i="6"/>
  <c r="AZ12" i="6"/>
  <c r="AU12" i="6"/>
  <c r="F120" i="9"/>
  <c r="D120" i="10"/>
  <c r="D118" i="11"/>
  <c r="F118" i="10"/>
  <c r="V160" i="13"/>
  <c r="X160" i="13" s="1"/>
  <c r="AY12" i="9"/>
  <c r="F113" i="7"/>
  <c r="AQ15" i="7" s="1"/>
  <c r="AU15" i="7" s="1"/>
  <c r="AI110" i="5"/>
  <c r="U8" i="11"/>
  <c r="U258" i="11"/>
  <c r="AQ30" i="5"/>
  <c r="AY30" i="5" s="1"/>
  <c r="BK7" i="15"/>
  <c r="BK16" i="15" s="1"/>
  <c r="AI243" i="6"/>
  <c r="AH44" i="6"/>
  <c r="AH43" i="6" s="1"/>
  <c r="N28" i="6"/>
  <c r="AA112" i="6"/>
  <c r="AH157" i="6"/>
  <c r="AH155" i="6" s="1"/>
  <c r="K56" i="20"/>
  <c r="AB8" i="5"/>
  <c r="F115" i="8"/>
  <c r="E115" i="9"/>
  <c r="W10" i="6"/>
  <c r="W258" i="6" s="1"/>
  <c r="U8" i="6"/>
  <c r="U258" i="6"/>
  <c r="AI98" i="14"/>
  <c r="AB98" i="15"/>
  <c r="AD98" i="15" s="1"/>
  <c r="N122" i="10"/>
  <c r="W141" i="12"/>
  <c r="W143" i="13"/>
  <c r="D117" i="10"/>
  <c r="F117" i="9"/>
  <c r="M118" i="9"/>
  <c r="N118" i="9"/>
  <c r="U258" i="10"/>
  <c r="F121" i="8"/>
  <c r="N121" i="8" s="1"/>
  <c r="D121" i="9"/>
  <c r="BC22" i="5"/>
  <c r="D94" i="8"/>
  <c r="N39" i="9"/>
  <c r="F85" i="7"/>
  <c r="N111" i="8"/>
  <c r="AV15" i="6"/>
  <c r="BC20" i="7"/>
  <c r="M128" i="6"/>
  <c r="W234" i="7"/>
  <c r="W232" i="7" s="1"/>
  <c r="AU16" i="5"/>
  <c r="N124" i="9"/>
  <c r="M124" i="9"/>
  <c r="D123" i="11"/>
  <c r="F123" i="10"/>
  <c r="AZ16" i="5"/>
  <c r="D122" i="12"/>
  <c r="F122" i="11"/>
  <c r="N122" i="11" s="1"/>
  <c r="AC258" i="9"/>
  <c r="AA234" i="6"/>
  <c r="AA232" i="6" s="1"/>
  <c r="BO29" i="6" s="1"/>
  <c r="BI13" i="6" s="1"/>
  <c r="BL12" i="7"/>
  <c r="W63" i="7"/>
  <c r="E25" i="12"/>
  <c r="E26" i="13"/>
  <c r="E55" i="11"/>
  <c r="E54" i="10"/>
  <c r="AA94" i="11"/>
  <c r="N85" i="7"/>
  <c r="E77" i="12"/>
  <c r="BQ32" i="7"/>
  <c r="E73" i="16"/>
  <c r="F73" i="16" s="1"/>
  <c r="F73" i="15"/>
  <c r="AG151" i="9"/>
  <c r="AJ243" i="6"/>
  <c r="AJ234" i="6" s="1"/>
  <c r="AJ232" i="6" s="1"/>
  <c r="AI44" i="6"/>
  <c r="AI43" i="6" s="1"/>
  <c r="M94" i="6"/>
  <c r="BQ32" i="16"/>
  <c r="G30" i="10"/>
  <c r="W58" i="12"/>
  <c r="W57" i="12" s="1"/>
  <c r="W60" i="13"/>
  <c r="I73" i="9"/>
  <c r="BP29" i="6"/>
  <c r="BJ13" i="6" s="1"/>
  <c r="AR30" i="6"/>
  <c r="AW30" i="6" s="1"/>
  <c r="AW17" i="5"/>
  <c r="L95" i="7"/>
  <c r="J94" i="7"/>
  <c r="D88" i="12"/>
  <c r="F88" i="11"/>
  <c r="N88" i="11" s="1"/>
  <c r="AA84" i="8"/>
  <c r="L17" i="5"/>
  <c r="AD258" i="5" s="1"/>
  <c r="AS14" i="5"/>
  <c r="AS17" i="5" s="1"/>
  <c r="AJ201" i="14"/>
  <c r="AE201" i="15"/>
  <c r="AG201" i="15" s="1"/>
  <c r="BC16" i="8"/>
  <c r="F42" i="8"/>
  <c r="AQ10" i="8" s="1"/>
  <c r="M43" i="8"/>
  <c r="M42" i="8" s="1"/>
  <c r="N43" i="8"/>
  <c r="V129" i="10"/>
  <c r="X129" i="9"/>
  <c r="AJ163" i="8"/>
  <c r="AI163" i="8"/>
  <c r="AH163" i="8"/>
  <c r="BP27" i="6"/>
  <c r="AD207" i="6"/>
  <c r="AR29" i="6" s="1"/>
  <c r="AW29" i="6" s="1"/>
  <c r="I52" i="7"/>
  <c r="G51" i="7"/>
  <c r="I10" i="8"/>
  <c r="G12" i="9"/>
  <c r="AE180" i="16"/>
  <c r="AG180" i="16" s="1"/>
  <c r="L61" i="9"/>
  <c r="AG153" i="8"/>
  <c r="V125" i="10"/>
  <c r="X125" i="9"/>
  <c r="D46" i="11"/>
  <c r="AA80" i="7"/>
  <c r="Y69" i="7"/>
  <c r="Y65" i="7" s="1"/>
  <c r="V214" i="9"/>
  <c r="X214" i="8"/>
  <c r="V211" i="8"/>
  <c r="V210" i="8" s="1"/>
  <c r="V209" i="8" s="1"/>
  <c r="V207" i="8" s="1"/>
  <c r="D31" i="14"/>
  <c r="AE83" i="7"/>
  <c r="AG86" i="7"/>
  <c r="AJ86" i="7" s="1"/>
  <c r="D8" i="6"/>
  <c r="D126" i="6" s="1"/>
  <c r="D130" i="6" s="1"/>
  <c r="N108" i="7"/>
  <c r="N104" i="7" s="1"/>
  <c r="M108" i="7"/>
  <c r="M104" i="7" s="1"/>
  <c r="F104" i="7"/>
  <c r="BC19" i="7"/>
  <c r="X203" i="7"/>
  <c r="AH204" i="7"/>
  <c r="AH203" i="7" s="1"/>
  <c r="AJ204" i="7"/>
  <c r="AJ203" i="7" s="1"/>
  <c r="AI204" i="7"/>
  <c r="AI203" i="7" s="1"/>
  <c r="I65" i="7"/>
  <c r="I63" i="7" s="1"/>
  <c r="G128" i="7"/>
  <c r="AH92" i="7"/>
  <c r="AI92" i="7"/>
  <c r="X91" i="7"/>
  <c r="AJ92" i="7"/>
  <c r="AJ26" i="9"/>
  <c r="AE26" i="10"/>
  <c r="AG26" i="10" s="1"/>
  <c r="AD63" i="6"/>
  <c r="AD12" i="6" s="1"/>
  <c r="AR23" i="6"/>
  <c r="BP12" i="6"/>
  <c r="BP9" i="6" s="1"/>
  <c r="AD66" i="7"/>
  <c r="AB65" i="7"/>
  <c r="L53" i="7"/>
  <c r="L128" i="7" s="1"/>
  <c r="J51" i="7"/>
  <c r="W245" i="9"/>
  <c r="W243" i="8"/>
  <c r="X245" i="8"/>
  <c r="AA86" i="7"/>
  <c r="AH86" i="7" s="1"/>
  <c r="Y83" i="7"/>
  <c r="AI240" i="7"/>
  <c r="AH240" i="7"/>
  <c r="AJ240" i="7"/>
  <c r="AZ26" i="5"/>
  <c r="AV26" i="5"/>
  <c r="AU26" i="5"/>
  <c r="AA142" i="7"/>
  <c r="Y141" i="7"/>
  <c r="Y112" i="7" s="1"/>
  <c r="AB59" i="8"/>
  <c r="AD58" i="7"/>
  <c r="AD57" i="7" s="1"/>
  <c r="AI59" i="7"/>
  <c r="W97" i="11"/>
  <c r="W96" i="10"/>
  <c r="L62" i="8"/>
  <c r="J60" i="8"/>
  <c r="BN24" i="6"/>
  <c r="BN22" i="6" s="1"/>
  <c r="BH11" i="6" s="1"/>
  <c r="AQ27" i="6"/>
  <c r="AY27" i="6" s="1"/>
  <c r="J75" i="7"/>
  <c r="L76" i="7"/>
  <c r="D95" i="10"/>
  <c r="AI78" i="15"/>
  <c r="AB78" i="16"/>
  <c r="AD78" i="16" s="1"/>
  <c r="AI78" i="16" s="1"/>
  <c r="F86" i="8"/>
  <c r="F85" i="8" s="1"/>
  <c r="D85" i="8"/>
  <c r="D86" i="9"/>
  <c r="D85" i="9" s="1"/>
  <c r="AJ68" i="8"/>
  <c r="AH68" i="8"/>
  <c r="AI68" i="8"/>
  <c r="AD228" i="8"/>
  <c r="AB227" i="8"/>
  <c r="AB29" i="10"/>
  <c r="AD29" i="10" s="1"/>
  <c r="AI29" i="9"/>
  <c r="AI74" i="8"/>
  <c r="AJ74" i="8"/>
  <c r="AH74" i="8"/>
  <c r="M53" i="9"/>
  <c r="M38" i="7"/>
  <c r="N38" i="7"/>
  <c r="BC13" i="7"/>
  <c r="BN10" i="11"/>
  <c r="AQ22" i="11"/>
  <c r="AJ66" i="11"/>
  <c r="AH66" i="11"/>
  <c r="BP16" i="6"/>
  <c r="AD145" i="6"/>
  <c r="J80" i="8"/>
  <c r="N80" i="7"/>
  <c r="AB253" i="10"/>
  <c r="AD253" i="10" s="1"/>
  <c r="AI253" i="9"/>
  <c r="AJ134" i="7"/>
  <c r="AH134" i="7"/>
  <c r="AI134" i="7"/>
  <c r="X123" i="7"/>
  <c r="AH48" i="7"/>
  <c r="AI48" i="7"/>
  <c r="AJ48" i="7"/>
  <c r="W212" i="9"/>
  <c r="W211" i="8"/>
  <c r="W210" i="8" s="1"/>
  <c r="W209" i="8" s="1"/>
  <c r="W207" i="8" s="1"/>
  <c r="X212" i="8"/>
  <c r="AI102" i="11"/>
  <c r="AJ102" i="11"/>
  <c r="AH102" i="11"/>
  <c r="BK12" i="10"/>
  <c r="BQ32" i="10"/>
  <c r="W256" i="10"/>
  <c r="X256" i="9"/>
  <c r="Y204" i="8"/>
  <c r="AA203" i="7"/>
  <c r="W165" i="10"/>
  <c r="X165" i="9"/>
  <c r="W47" i="9"/>
  <c r="X47" i="8"/>
  <c r="W108" i="12"/>
  <c r="X108" i="11"/>
  <c r="F101" i="8"/>
  <c r="D101" i="9"/>
  <c r="N92" i="9"/>
  <c r="M92" i="9"/>
  <c r="W86" i="9"/>
  <c r="W83" i="8"/>
  <c r="X86" i="8"/>
  <c r="G33" i="8"/>
  <c r="I32" i="7"/>
  <c r="M33" i="7"/>
  <c r="M32" i="7" s="1"/>
  <c r="BD13" i="7"/>
  <c r="R37" i="20"/>
  <c r="R32" i="20" s="1"/>
  <c r="R31" i="20" s="1"/>
  <c r="R30" i="20" s="1"/>
  <c r="N128" i="6"/>
  <c r="BL8" i="10"/>
  <c r="BL8" i="13" s="1"/>
  <c r="BL8" i="16" s="1"/>
  <c r="W170" i="7"/>
  <c r="J128" i="7"/>
  <c r="AW17" i="6"/>
  <c r="AQ11" i="10"/>
  <c r="AZ11" i="10" s="1"/>
  <c r="M88" i="10"/>
  <c r="G90" i="9"/>
  <c r="I90" i="9" s="1"/>
  <c r="AR13" i="8"/>
  <c r="AW13" i="8"/>
  <c r="AI156" i="7"/>
  <c r="AH156" i="7"/>
  <c r="AJ156" i="7"/>
  <c r="BN18" i="7"/>
  <c r="W158" i="9"/>
  <c r="W157" i="8"/>
  <c r="W155" i="8" s="1"/>
  <c r="X158" i="8"/>
  <c r="AJ129" i="8"/>
  <c r="AI129" i="8"/>
  <c r="AH129" i="8"/>
  <c r="W33" i="10"/>
  <c r="X33" i="9"/>
  <c r="Y115" i="8"/>
  <c r="AH115" i="7"/>
  <c r="AA114" i="7"/>
  <c r="BO16" i="7" s="1"/>
  <c r="AG178" i="7"/>
  <c r="AE176" i="7"/>
  <c r="AE170" i="7" s="1"/>
  <c r="AB88" i="11"/>
  <c r="AA133" i="10"/>
  <c r="N96" i="9"/>
  <c r="M96" i="9"/>
  <c r="AJ125" i="8"/>
  <c r="AH125" i="8"/>
  <c r="W45" i="9"/>
  <c r="W44" i="8"/>
  <c r="X45" i="8"/>
  <c r="AA197" i="7"/>
  <c r="Y195" i="7"/>
  <c r="Y194" i="7" s="1"/>
  <c r="Y193" i="7" s="1"/>
  <c r="W215" i="9"/>
  <c r="X215" i="8"/>
  <c r="AD236" i="7"/>
  <c r="AB235" i="7"/>
  <c r="AB234" i="7" s="1"/>
  <c r="AB232" i="7" s="1"/>
  <c r="M121" i="7"/>
  <c r="M113" i="7" s="1"/>
  <c r="N121" i="7"/>
  <c r="AI94" i="7"/>
  <c r="AJ94" i="7"/>
  <c r="AH94" i="7"/>
  <c r="AH214" i="7"/>
  <c r="AI214" i="7"/>
  <c r="AJ214" i="7"/>
  <c r="AE255" i="14"/>
  <c r="AG255" i="14" s="1"/>
  <c r="AJ255" i="13"/>
  <c r="N58" i="7"/>
  <c r="N57" i="7" s="1"/>
  <c r="J58" i="8"/>
  <c r="L57" i="7"/>
  <c r="W237" i="9"/>
  <c r="X237" i="8"/>
  <c r="W235" i="8"/>
  <c r="Y143" i="12"/>
  <c r="AY9" i="5"/>
  <c r="AU9" i="5"/>
  <c r="AV9" i="5"/>
  <c r="AW22" i="6"/>
  <c r="AY22" i="6" s="1"/>
  <c r="AU22" i="6"/>
  <c r="W190" i="9"/>
  <c r="W187" i="8"/>
  <c r="W185" i="8" s="1"/>
  <c r="X190" i="8"/>
  <c r="G59" i="13"/>
  <c r="I59" i="13" s="1"/>
  <c r="G59" i="14" s="1"/>
  <c r="I59" i="14" s="1"/>
  <c r="G59" i="15" s="1"/>
  <c r="I59" i="15" s="1"/>
  <c r="G59" i="16" s="1"/>
  <c r="M77" i="8"/>
  <c r="G77" i="9"/>
  <c r="I77" i="9" s="1"/>
  <c r="W119" i="10"/>
  <c r="W114" i="10" s="1"/>
  <c r="X119" i="9"/>
  <c r="F60" i="9"/>
  <c r="M62" i="9"/>
  <c r="AE17" i="9"/>
  <c r="AG17" i="9" s="1"/>
  <c r="AJ17" i="8"/>
  <c r="AS22" i="8"/>
  <c r="E95" i="9"/>
  <c r="E94" i="8"/>
  <c r="V70" i="14"/>
  <c r="AE196" i="13"/>
  <c r="AG196" i="13" s="1"/>
  <c r="W54" i="9"/>
  <c r="W49" i="8"/>
  <c r="X54" i="8"/>
  <c r="I8" i="5"/>
  <c r="I126" i="5" s="1"/>
  <c r="I130" i="5" s="1"/>
  <c r="X68" i="9"/>
  <c r="W68" i="10"/>
  <c r="E119" i="13"/>
  <c r="F39" i="10"/>
  <c r="M39" i="10" s="1"/>
  <c r="D39" i="11"/>
  <c r="AW26" i="5"/>
  <c r="AY11" i="9"/>
  <c r="AU11" i="9"/>
  <c r="AV11" i="9"/>
  <c r="R52" i="20"/>
  <c r="R49" i="20" s="1"/>
  <c r="F49" i="20"/>
  <c r="F56" i="20" s="1"/>
  <c r="G76" i="8"/>
  <c r="I75" i="7"/>
  <c r="M76" i="7"/>
  <c r="M75" i="7" s="1"/>
  <c r="AZ27" i="5"/>
  <c r="AV27" i="5"/>
  <c r="AY27" i="5"/>
  <c r="AU27" i="5"/>
  <c r="AH212" i="7"/>
  <c r="AJ212" i="7"/>
  <c r="BN26" i="7"/>
  <c r="AI212" i="7"/>
  <c r="X211" i="7"/>
  <c r="X210" i="7" s="1"/>
  <c r="X209" i="7" s="1"/>
  <c r="AB50" i="10"/>
  <c r="L70" i="9"/>
  <c r="D116" i="15"/>
  <c r="W167" i="10"/>
  <c r="X167" i="9"/>
  <c r="BN19" i="9" s="1"/>
  <c r="AE202" i="13"/>
  <c r="AG202" i="13" s="1"/>
  <c r="AH256" i="8"/>
  <c r="AI256" i="8"/>
  <c r="AJ256" i="8"/>
  <c r="AE244" i="10"/>
  <c r="AG244" i="10" s="1"/>
  <c r="AJ244" i="9"/>
  <c r="AI165" i="8"/>
  <c r="AH165" i="8"/>
  <c r="AJ165" i="8"/>
  <c r="AH47" i="7"/>
  <c r="AJ47" i="7"/>
  <c r="AI47" i="7"/>
  <c r="AD190" i="7"/>
  <c r="AI190" i="7" s="1"/>
  <c r="AI187" i="7" s="1"/>
  <c r="AI185" i="7" s="1"/>
  <c r="AB187" i="7"/>
  <c r="AB185" i="7" s="1"/>
  <c r="N97" i="7"/>
  <c r="M97" i="7"/>
  <c r="AA26" i="7"/>
  <c r="Y20" i="7"/>
  <c r="Y16" i="7" s="1"/>
  <c r="AJ108" i="10"/>
  <c r="AH108" i="10"/>
  <c r="AI108" i="10"/>
  <c r="J46" i="9"/>
  <c r="AE251" i="12"/>
  <c r="AG251" i="12" s="1"/>
  <c r="M101" i="7"/>
  <c r="N101" i="7"/>
  <c r="F92" i="10"/>
  <c r="D92" i="11"/>
  <c r="AD125" i="7"/>
  <c r="AB123" i="7"/>
  <c r="G68" i="8"/>
  <c r="M68" i="7"/>
  <c r="I66" i="7"/>
  <c r="AU29" i="5"/>
  <c r="AZ29" i="5"/>
  <c r="AV29" i="5"/>
  <c r="F95" i="8"/>
  <c r="AI12" i="5"/>
  <c r="AG63" i="6"/>
  <c r="W110" i="7"/>
  <c r="AZ23" i="5"/>
  <c r="AS31" i="5"/>
  <c r="AS32" i="5" s="1"/>
  <c r="AG8" i="5"/>
  <c r="AC1" i="5" s="1"/>
  <c r="M95" i="7"/>
  <c r="BC18" i="7"/>
  <c r="F94" i="7"/>
  <c r="BN27" i="6"/>
  <c r="X207" i="6"/>
  <c r="AQ29" i="6" s="1"/>
  <c r="J67" i="8"/>
  <c r="L66" i="7"/>
  <c r="N67" i="7"/>
  <c r="N66" i="7" s="1"/>
  <c r="AY28" i="5"/>
  <c r="AU28" i="5"/>
  <c r="AV28" i="5"/>
  <c r="AZ28" i="5"/>
  <c r="D42" i="9"/>
  <c r="D43" i="10"/>
  <c r="F43" i="9"/>
  <c r="AB204" i="8"/>
  <c r="AD203" i="7"/>
  <c r="D96" i="11"/>
  <c r="F96" i="10"/>
  <c r="AA193" i="6"/>
  <c r="BO28" i="6"/>
  <c r="BO25" i="6" s="1"/>
  <c r="BI12" i="6" s="1"/>
  <c r="L119" i="7"/>
  <c r="J113" i="7"/>
  <c r="J44" i="8"/>
  <c r="N44" i="7"/>
  <c r="N42" i="7" s="1"/>
  <c r="AX10" i="7"/>
  <c r="AZ10" i="7" s="1"/>
  <c r="L42" i="7"/>
  <c r="AS10" i="7" s="1"/>
  <c r="AV10" i="7" s="1"/>
  <c r="W250" i="10"/>
  <c r="X250" i="9"/>
  <c r="W204" i="9"/>
  <c r="W203" i="8"/>
  <c r="X204" i="8"/>
  <c r="AB75" i="8"/>
  <c r="AI75" i="7"/>
  <c r="AI69" i="7" s="1"/>
  <c r="AD69" i="7"/>
  <c r="AD225" i="7"/>
  <c r="AB222" i="7"/>
  <c r="AB220" i="7" s="1"/>
  <c r="AI237" i="7"/>
  <c r="AH237" i="7"/>
  <c r="X235" i="7"/>
  <c r="AJ237" i="7"/>
  <c r="AA236" i="7"/>
  <c r="Y235" i="7"/>
  <c r="AB97" i="9"/>
  <c r="AI97" i="8"/>
  <c r="E80" i="16"/>
  <c r="E47" i="14"/>
  <c r="AQ14" i="5"/>
  <c r="AQ17" i="5" s="1"/>
  <c r="F17" i="5"/>
  <c r="AH190" i="7"/>
  <c r="AH187" i="7" s="1"/>
  <c r="AH185" i="7" s="1"/>
  <c r="AJ190" i="7"/>
  <c r="X187" i="7"/>
  <c r="X185" i="7" s="1"/>
  <c r="AH245" i="7"/>
  <c r="AI245" i="7"/>
  <c r="AJ245" i="7"/>
  <c r="X243" i="7"/>
  <c r="AB71" i="9"/>
  <c r="M102" i="8"/>
  <c r="N102" i="8"/>
  <c r="AJ119" i="8"/>
  <c r="AI119" i="8"/>
  <c r="AH119" i="8"/>
  <c r="E14" i="14"/>
  <c r="F14" i="13"/>
  <c r="G80" i="12"/>
  <c r="I80" i="12" s="1"/>
  <c r="J43" i="9"/>
  <c r="I79" i="8"/>
  <c r="G78" i="8"/>
  <c r="I78" i="8" s="1"/>
  <c r="AE189" i="9"/>
  <c r="AG189" i="9" s="1"/>
  <c r="AJ189" i="8"/>
  <c r="AI54" i="7"/>
  <c r="AH54" i="7"/>
  <c r="X49" i="7"/>
  <c r="E56" i="13"/>
  <c r="W70" i="10"/>
  <c r="X70" i="9"/>
  <c r="AI70" i="9" s="1"/>
  <c r="W69" i="9"/>
  <c r="W65" i="9" s="1"/>
  <c r="AE46" i="8"/>
  <c r="AJ46" i="7"/>
  <c r="AG44" i="7"/>
  <c r="D53" i="11"/>
  <c r="D51" i="10"/>
  <c r="F53" i="10"/>
  <c r="V150" i="15"/>
  <c r="AD152" i="7"/>
  <c r="AB149" i="7"/>
  <c r="AB147" i="7" s="1"/>
  <c r="AB145" i="7" s="1"/>
  <c r="AB136" i="16"/>
  <c r="AD136" i="16" s="1"/>
  <c r="AI136" i="16" s="1"/>
  <c r="AI136" i="15"/>
  <c r="AE25" i="9"/>
  <c r="AG25" i="9" s="1"/>
  <c r="AJ25" i="8"/>
  <c r="J30" i="8"/>
  <c r="N30" i="7"/>
  <c r="N29" i="7" s="1"/>
  <c r="L29" i="7"/>
  <c r="E33" i="15"/>
  <c r="AI167" i="8"/>
  <c r="AJ167" i="8"/>
  <c r="Y247" i="13"/>
  <c r="AA247" i="13" s="1"/>
  <c r="AH247" i="12"/>
  <c r="W249" i="9"/>
  <c r="X249" i="8"/>
  <c r="F97" i="8"/>
  <c r="N97" i="8" s="1"/>
  <c r="D97" i="9"/>
  <c r="AA14" i="6"/>
  <c r="BO12" i="6"/>
  <c r="BO9" i="6" s="1"/>
  <c r="W179" i="9"/>
  <c r="X179" i="8"/>
  <c r="W176" i="8"/>
  <c r="AE137" i="10"/>
  <c r="AG137" i="10" s="1"/>
  <c r="AJ191" i="11"/>
  <c r="AE191" i="12"/>
  <c r="AG191" i="12" s="1"/>
  <c r="X83" i="7"/>
  <c r="AI86" i="7"/>
  <c r="AD112" i="6"/>
  <c r="BP17" i="6"/>
  <c r="BL10" i="16"/>
  <c r="D17" i="7"/>
  <c r="N14" i="11"/>
  <c r="BR7" i="16"/>
  <c r="V156" i="9"/>
  <c r="X156" i="8"/>
  <c r="AH158" i="7"/>
  <c r="AI158" i="7"/>
  <c r="X157" i="7"/>
  <c r="X155" i="7" s="1"/>
  <c r="AB21" i="8"/>
  <c r="AI21" i="7"/>
  <c r="AD20" i="7"/>
  <c r="AD16" i="7" s="1"/>
  <c r="AH33" i="8"/>
  <c r="AJ33" i="8"/>
  <c r="AI33" i="8"/>
  <c r="W163" i="10"/>
  <c r="X163" i="9"/>
  <c r="AD215" i="7"/>
  <c r="AI215" i="7" s="1"/>
  <c r="AB211" i="7"/>
  <c r="AB210" i="7" s="1"/>
  <c r="AB209" i="7" s="1"/>
  <c r="AB207" i="7" s="1"/>
  <c r="F111" i="9"/>
  <c r="M111" i="9" s="1"/>
  <c r="D111" i="10"/>
  <c r="L73" i="7"/>
  <c r="J72" i="7"/>
  <c r="AD189" i="8"/>
  <c r="AI45" i="7"/>
  <c r="AH45" i="7"/>
  <c r="AJ45" i="7"/>
  <c r="X44" i="7"/>
  <c r="AG197" i="7"/>
  <c r="AE195" i="7"/>
  <c r="AE194" i="7" s="1"/>
  <c r="AE193" i="7" s="1"/>
  <c r="V94" i="9"/>
  <c r="V91" i="8"/>
  <c r="V90" i="8" s="1"/>
  <c r="X94" i="8"/>
  <c r="AG136" i="7"/>
  <c r="AE123" i="7"/>
  <c r="AE112" i="7" s="1"/>
  <c r="AH250" i="8"/>
  <c r="AI250" i="8"/>
  <c r="AJ250" i="8"/>
  <c r="AQ25" i="5"/>
  <c r="BN13" i="5"/>
  <c r="BH8" i="5" s="1"/>
  <c r="BH7" i="5" s="1"/>
  <c r="BH16" i="5" s="1"/>
  <c r="X14" i="5"/>
  <c r="X12" i="5" s="1"/>
  <c r="X10" i="5" s="1"/>
  <c r="X8" i="5" s="1"/>
  <c r="D108" i="9"/>
  <c r="D104" i="9" s="1"/>
  <c r="F108" i="8"/>
  <c r="F104" i="8" s="1"/>
  <c r="W92" i="9"/>
  <c r="X92" i="8"/>
  <c r="W91" i="8"/>
  <c r="W90" i="8" s="1"/>
  <c r="W227" i="10"/>
  <c r="W229" i="11"/>
  <c r="Y243" i="7"/>
  <c r="AA244" i="7"/>
  <c r="AE67" i="9"/>
  <c r="AG67" i="9" s="1"/>
  <c r="AJ67" i="8"/>
  <c r="D102" i="10"/>
  <c r="F102" i="9"/>
  <c r="V240" i="9"/>
  <c r="V235" i="8"/>
  <c r="X240" i="8"/>
  <c r="AB99" i="8"/>
  <c r="AI99" i="7"/>
  <c r="AD96" i="7"/>
  <c r="N14" i="12"/>
  <c r="M14" i="12"/>
  <c r="Y106" i="9"/>
  <c r="AH106" i="8"/>
  <c r="BE8" i="5"/>
  <c r="BF9" i="7"/>
  <c r="BF9" i="10" s="1"/>
  <c r="BF9" i="13" s="1"/>
  <c r="BF9" i="16" s="1"/>
  <c r="E62" i="11"/>
  <c r="E60" i="10"/>
  <c r="AA173" i="7"/>
  <c r="Y172" i="7"/>
  <c r="BK16" i="13"/>
  <c r="J31" i="12"/>
  <c r="D115" i="13"/>
  <c r="AI70" i="8"/>
  <c r="V74" i="10"/>
  <c r="X74" i="9"/>
  <c r="D28" i="8"/>
  <c r="D38" i="9"/>
  <c r="F38" i="8"/>
  <c r="X193" i="6"/>
  <c r="AQ28" i="6" s="1"/>
  <c r="BN28" i="6"/>
  <c r="W66" i="13"/>
  <c r="X66" i="12"/>
  <c r="AE181" i="15"/>
  <c r="AG181" i="15" s="1"/>
  <c r="AJ181" i="14"/>
  <c r="W134" i="9"/>
  <c r="X134" i="8"/>
  <c r="W123" i="8"/>
  <c r="W112" i="8" s="1"/>
  <c r="W48" i="9"/>
  <c r="X48" i="8"/>
  <c r="AJ48" i="8" s="1"/>
  <c r="L49" i="7"/>
  <c r="J48" i="7"/>
  <c r="AE183" i="12"/>
  <c r="AG183" i="12" s="1"/>
  <c r="J55" i="9"/>
  <c r="W102" i="13"/>
  <c r="X102" i="12"/>
  <c r="BK16" i="5"/>
  <c r="BL16" i="7" s="1"/>
  <c r="BL7" i="7"/>
  <c r="BL7" i="10" s="1"/>
  <c r="BL7" i="13" s="1"/>
  <c r="AI249" i="7"/>
  <c r="AH249" i="7"/>
  <c r="AJ249" i="7"/>
  <c r="L33" i="7"/>
  <c r="J32" i="7"/>
  <c r="I23" i="7"/>
  <c r="G22" i="7"/>
  <c r="AH179" i="7"/>
  <c r="AJ179" i="7"/>
  <c r="AI179" i="7"/>
  <c r="X176" i="7"/>
  <c r="E71" i="12"/>
  <c r="F110" i="9"/>
  <c r="N110" i="9" s="1"/>
  <c r="D110" i="10"/>
  <c r="AB142" i="8"/>
  <c r="AD141" i="7"/>
  <c r="BP20" i="7" s="1"/>
  <c r="AI142" i="7"/>
  <c r="W73" i="14"/>
  <c r="AY24" i="5"/>
  <c r="AV24" i="5"/>
  <c r="AU24" i="5"/>
  <c r="AZ24" i="5"/>
  <c r="W43" i="7"/>
  <c r="W14" i="7" s="1"/>
  <c r="AV22" i="7"/>
  <c r="J111" i="10"/>
  <c r="L111" i="10" s="1"/>
  <c r="V44" i="11"/>
  <c r="V45" i="12"/>
  <c r="AS16" i="8"/>
  <c r="AX16" i="8" s="1"/>
  <c r="N107" i="8"/>
  <c r="M107" i="8"/>
  <c r="D105" i="10"/>
  <c r="F105" i="9"/>
  <c r="AD67" i="8"/>
  <c r="AE71" i="15"/>
  <c r="AG71" i="15" s="1"/>
  <c r="AE81" i="9"/>
  <c r="AJ81" i="8"/>
  <c r="AI223" i="10"/>
  <c r="AD213" i="9"/>
  <c r="AI213" i="9" s="1"/>
  <c r="D91" i="14"/>
  <c r="D90" i="10"/>
  <c r="F90" i="9"/>
  <c r="H126" i="9"/>
  <c r="H130" i="9" s="1"/>
  <c r="AB201" i="14"/>
  <c r="AD201" i="14" s="1"/>
  <c r="AI201" i="13"/>
  <c r="V38" i="12"/>
  <c r="G55" i="10"/>
  <c r="D99" i="11"/>
  <c r="F99" i="10"/>
  <c r="G64" i="8"/>
  <c r="BD14" i="7"/>
  <c r="M64" i="7"/>
  <c r="AB181" i="15"/>
  <c r="AD181" i="15" s="1"/>
  <c r="AI181" i="14"/>
  <c r="AD134" i="9"/>
  <c r="AI244" i="12"/>
  <c r="AH252" i="16"/>
  <c r="AI252" i="16"/>
  <c r="V203" i="11"/>
  <c r="V204" i="12"/>
  <c r="AE141" i="8"/>
  <c r="AG142" i="8"/>
  <c r="J68" i="10"/>
  <c r="AB245" i="11"/>
  <c r="AE239" i="12"/>
  <c r="AG239" i="12" s="1"/>
  <c r="AE134" i="12"/>
  <c r="AG134" i="12" s="1"/>
  <c r="AD26" i="9"/>
  <c r="J122" i="12"/>
  <c r="E91" i="10"/>
  <c r="F91" i="9"/>
  <c r="AB30" i="15"/>
  <c r="AD30" i="15" s="1"/>
  <c r="AI30" i="14"/>
  <c r="I42" i="9"/>
  <c r="AR10" i="9" s="1"/>
  <c r="M44" i="9"/>
  <c r="G44" i="10"/>
  <c r="AW10" i="9"/>
  <c r="AE240" i="14"/>
  <c r="AG240" i="14" s="1"/>
  <c r="M109" i="13"/>
  <c r="N109" i="13"/>
  <c r="M89" i="11"/>
  <c r="N89" i="11"/>
  <c r="AQ12" i="11"/>
  <c r="F106" i="10"/>
  <c r="D106" i="11"/>
  <c r="AI138" i="13"/>
  <c r="AB138" i="14"/>
  <c r="AD138" i="14" s="1"/>
  <c r="AD94" i="13"/>
  <c r="AB250" i="12"/>
  <c r="AD250" i="12" s="1"/>
  <c r="AJ241" i="7"/>
  <c r="AE241" i="8"/>
  <c r="AG235" i="7"/>
  <c r="AG234" i="7" s="1"/>
  <c r="AG232" i="7" s="1"/>
  <c r="AE95" i="9"/>
  <c r="D34" i="14"/>
  <c r="M100" i="12"/>
  <c r="N100" i="12"/>
  <c r="P10" i="18"/>
  <c r="M15" i="9"/>
  <c r="AG238" i="9"/>
  <c r="AD17" i="16"/>
  <c r="J104" i="8"/>
  <c r="L105" i="8"/>
  <c r="N105" i="8" s="1"/>
  <c r="AB218" i="13"/>
  <c r="AD218" i="13" s="1"/>
  <c r="AI218" i="12"/>
  <c r="V28" i="12"/>
  <c r="AH23" i="12"/>
  <c r="AJ23" i="12"/>
  <c r="I115" i="8"/>
  <c r="G115" i="9" s="1"/>
  <c r="G113" i="8"/>
  <c r="E120" i="15"/>
  <c r="AH213" i="9"/>
  <c r="AJ213" i="9"/>
  <c r="AG177" i="8"/>
  <c r="AE48" i="9"/>
  <c r="AA214" i="13"/>
  <c r="AR11" i="14"/>
  <c r="G88" i="15"/>
  <c r="I88" i="15" s="1"/>
  <c r="AW11" i="14"/>
  <c r="E53" i="13"/>
  <c r="AD132" i="12"/>
  <c r="AG84" i="10"/>
  <c r="J52" i="9"/>
  <c r="I105" i="14"/>
  <c r="AE253" i="12"/>
  <c r="AG253" i="12" s="1"/>
  <c r="AJ253" i="11"/>
  <c r="AH160" i="12"/>
  <c r="AI160" i="12"/>
  <c r="AJ160" i="12"/>
  <c r="M25" i="7"/>
  <c r="AG51" i="10"/>
  <c r="AE53" i="11"/>
  <c r="AG53" i="11" s="1"/>
  <c r="AJ53" i="10"/>
  <c r="AG212" i="9"/>
  <c r="W106" i="12"/>
  <c r="AE102" i="16"/>
  <c r="AG102" i="16" s="1"/>
  <c r="AD166" i="10"/>
  <c r="AE99" i="11"/>
  <c r="AG99" i="11" s="1"/>
  <c r="AA126" i="12"/>
  <c r="AG33" i="16"/>
  <c r="AX23" i="6"/>
  <c r="AE249" i="12"/>
  <c r="AG249" i="12" s="1"/>
  <c r="AE29" i="13"/>
  <c r="AG29" i="13" s="1"/>
  <c r="AJ29" i="12"/>
  <c r="AB107" i="10"/>
  <c r="J39" i="11"/>
  <c r="L39" i="11" s="1"/>
  <c r="AE73" i="8"/>
  <c r="AJ73" i="7"/>
  <c r="AG69" i="7"/>
  <c r="AG65" i="7" s="1"/>
  <c r="L86" i="8"/>
  <c r="J85" i="8"/>
  <c r="N124" i="8"/>
  <c r="M124" i="8"/>
  <c r="AE250" i="11"/>
  <c r="AG250" i="11" s="1"/>
  <c r="X223" i="11"/>
  <c r="W223" i="12"/>
  <c r="AG237" i="10"/>
  <c r="L27" i="9"/>
  <c r="AG106" i="8"/>
  <c r="AE105" i="8"/>
  <c r="AE104" i="8" s="1"/>
  <c r="P126" i="9"/>
  <c r="P130" i="9" s="1"/>
  <c r="K128" i="10"/>
  <c r="Y40" i="10"/>
  <c r="AH40" i="9"/>
  <c r="W174" i="12"/>
  <c r="M99" i="9"/>
  <c r="N99" i="9"/>
  <c r="Y211" i="8"/>
  <c r="Y210" i="8" s="1"/>
  <c r="Y209" i="8" s="1"/>
  <c r="Y207" i="8" s="1"/>
  <c r="AA215" i="8"/>
  <c r="AE165" i="11"/>
  <c r="AG165" i="11" s="1"/>
  <c r="W59" i="16"/>
  <c r="X59" i="15"/>
  <c r="AG174" i="8"/>
  <c r="AE172" i="8"/>
  <c r="X244" i="13"/>
  <c r="W244" i="14"/>
  <c r="AH252" i="15"/>
  <c r="AI252" i="15"/>
  <c r="W228" i="14"/>
  <c r="X228" i="13"/>
  <c r="AD229" i="9"/>
  <c r="AE205" i="13"/>
  <c r="AG205" i="13" s="1"/>
  <c r="AJ205" i="12"/>
  <c r="AG148" i="10"/>
  <c r="D98" i="12"/>
  <c r="F98" i="11"/>
  <c r="G117" i="14"/>
  <c r="I117" i="14" s="1"/>
  <c r="AE97" i="9"/>
  <c r="N106" i="9"/>
  <c r="I122" i="8"/>
  <c r="G122" i="9" s="1"/>
  <c r="I122" i="9" s="1"/>
  <c r="AE124" i="9"/>
  <c r="AJ124" i="8"/>
  <c r="AE133" i="13"/>
  <c r="AG133" i="13" s="1"/>
  <c r="AB180" i="9"/>
  <c r="AD176" i="8"/>
  <c r="AI180" i="8"/>
  <c r="AE179" i="15"/>
  <c r="AG179" i="15" s="1"/>
  <c r="V50" i="15"/>
  <c r="J37" i="9"/>
  <c r="AJ248" i="12"/>
  <c r="AE248" i="13"/>
  <c r="AG248" i="13" s="1"/>
  <c r="AA237" i="15"/>
  <c r="Y251" i="13"/>
  <c r="AA251" i="13" s="1"/>
  <c r="AE161" i="16"/>
  <c r="AG161" i="16" s="1"/>
  <c r="D52" i="15"/>
  <c r="AA70" i="8"/>
  <c r="V225" i="13"/>
  <c r="AE182" i="13"/>
  <c r="AG182" i="13" s="1"/>
  <c r="AJ182" i="12"/>
  <c r="AB230" i="16"/>
  <c r="AD230" i="16" s="1"/>
  <c r="AI230" i="16" s="1"/>
  <c r="AI230" i="15"/>
  <c r="F100" i="13"/>
  <c r="D100" i="14"/>
  <c r="AG246" i="8"/>
  <c r="AE243" i="8"/>
  <c r="AE75" i="12"/>
  <c r="AG75" i="12" s="1"/>
  <c r="AE77" i="12"/>
  <c r="AG77" i="12" s="1"/>
  <c r="V124" i="12"/>
  <c r="X124" i="11"/>
  <c r="W99" i="16"/>
  <c r="AE80" i="12"/>
  <c r="AG80" i="12" s="1"/>
  <c r="AJ80" i="11"/>
  <c r="AG40" i="11"/>
  <c r="AE138" i="15"/>
  <c r="AG138" i="15" s="1"/>
  <c r="AE167" i="12"/>
  <c r="AG167" i="12" s="1"/>
  <c r="AG54" i="8"/>
  <c r="X93" i="16"/>
  <c r="E87" i="11"/>
  <c r="F87" i="11" s="1"/>
  <c r="E85" i="10"/>
  <c r="I106" i="8"/>
  <c r="G104" i="8"/>
  <c r="X246" i="11"/>
  <c r="V246" i="12"/>
  <c r="Y241" i="14"/>
  <c r="AA241" i="14" s="1"/>
  <c r="AH241" i="13"/>
  <c r="AE19" i="9"/>
  <c r="AJ19" i="8"/>
  <c r="V213" i="11"/>
  <c r="X213" i="10"/>
  <c r="AE224" i="14"/>
  <c r="AG224" i="14" s="1"/>
  <c r="E72" i="13"/>
  <c r="E74" i="14"/>
  <c r="AE130" i="13"/>
  <c r="AG130" i="13" s="1"/>
  <c r="AJ130" i="12"/>
  <c r="AE31" i="13"/>
  <c r="AG31" i="13" s="1"/>
  <c r="AJ31" i="12"/>
  <c r="Y47" i="15"/>
  <c r="AE18" i="10"/>
  <c r="AJ18" i="9"/>
  <c r="N87" i="8"/>
  <c r="J88" i="12"/>
  <c r="L88" i="12" s="1"/>
  <c r="AX11" i="11"/>
  <c r="AS11" i="11"/>
  <c r="AE101" i="12"/>
  <c r="AG101" i="12" s="1"/>
  <c r="AJ101" i="11"/>
  <c r="AD36" i="10"/>
  <c r="D87" i="12"/>
  <c r="AB256" i="16"/>
  <c r="AD256" i="16" s="1"/>
  <c r="AE127" i="13"/>
  <c r="AG127" i="13" s="1"/>
  <c r="AJ127" i="12"/>
  <c r="AB239" i="10"/>
  <c r="Y159" i="10"/>
  <c r="AY12" i="10"/>
  <c r="AZ12" i="10"/>
  <c r="AV12" i="10"/>
  <c r="AU12" i="10"/>
  <c r="G110" i="10"/>
  <c r="I110" i="10" s="1"/>
  <c r="G71" i="13"/>
  <c r="AB143" i="11"/>
  <c r="AB200" i="15"/>
  <c r="AD200" i="15" s="1"/>
  <c r="AI200" i="14"/>
  <c r="AH72" i="15"/>
  <c r="AI72" i="15"/>
  <c r="AD22" i="12"/>
  <c r="AG45" i="12"/>
  <c r="AB255" i="14"/>
  <c r="AD255" i="14" s="1"/>
  <c r="AI255" i="13"/>
  <c r="AJ172" i="7"/>
  <c r="AH126" i="9"/>
  <c r="AJ126" i="9"/>
  <c r="AI126" i="9"/>
  <c r="AE254" i="12"/>
  <c r="AG254" i="12" s="1"/>
  <c r="V245" i="15"/>
  <c r="B24" i="13"/>
  <c r="L115" i="8"/>
  <c r="J115" i="9" s="1"/>
  <c r="L115" i="9" s="1"/>
  <c r="J115" i="10" s="1"/>
  <c r="L115" i="10" s="1"/>
  <c r="J115" i="11" s="1"/>
  <c r="L115" i="11" s="1"/>
  <c r="J115" i="12" s="1"/>
  <c r="L115" i="12" s="1"/>
  <c r="J115" i="13" s="1"/>
  <c r="L115" i="13" s="1"/>
  <c r="J115" i="14" s="1"/>
  <c r="L115" i="14" s="1"/>
  <c r="J115" i="15" s="1"/>
  <c r="L115" i="15" s="1"/>
  <c r="J115" i="16" s="1"/>
  <c r="L115" i="16" s="1"/>
  <c r="AE59" i="9"/>
  <c r="AJ59" i="8"/>
  <c r="N98" i="10"/>
  <c r="M98" i="10"/>
  <c r="AB216" i="13"/>
  <c r="AD216" i="13" s="1"/>
  <c r="AI216" i="12"/>
  <c r="V24" i="12"/>
  <c r="AA25" i="15"/>
  <c r="E83" i="15"/>
  <c r="F83" i="14"/>
  <c r="G97" i="9"/>
  <c r="I94" i="8"/>
  <c r="BD18" i="8"/>
  <c r="AB191" i="9"/>
  <c r="AI191" i="8"/>
  <c r="AE61" i="12"/>
  <c r="AG61" i="12" s="1"/>
  <c r="AE215" i="8"/>
  <c r="AJ215" i="7"/>
  <c r="AG211" i="7"/>
  <c r="AG210" i="7" s="1"/>
  <c r="AG209" i="7" s="1"/>
  <c r="AG207" i="7" s="1"/>
  <c r="AS29" i="7" s="1"/>
  <c r="AX29" i="7" s="1"/>
  <c r="AH199" i="10"/>
  <c r="AJ199" i="10"/>
  <c r="AG92" i="12"/>
  <c r="AD61" i="12"/>
  <c r="E59" i="14"/>
  <c r="Y51" i="10"/>
  <c r="AG245" i="9"/>
  <c r="AZ12" i="8"/>
  <c r="AU12" i="8"/>
  <c r="AV12" i="8"/>
  <c r="AY12" i="8"/>
  <c r="G86" i="8"/>
  <c r="I85" i="7"/>
  <c r="M86" i="7"/>
  <c r="M85" i="7" s="1"/>
  <c r="J82" i="9"/>
  <c r="E86" i="13"/>
  <c r="I81" i="8"/>
  <c r="M83" i="8"/>
  <c r="G83" i="9"/>
  <c r="AE119" i="12"/>
  <c r="AG119" i="12" s="1"/>
  <c r="AI93" i="15"/>
  <c r="W23" i="14"/>
  <c r="X23" i="13"/>
  <c r="I67" i="12"/>
  <c r="E12" i="12"/>
  <c r="W120" i="11"/>
  <c r="W94" i="11"/>
  <c r="AB183" i="10"/>
  <c r="AD183" i="10" s="1"/>
  <c r="V92" i="12"/>
  <c r="AB248" i="8"/>
  <c r="AI248" i="7"/>
  <c r="AD243" i="7"/>
  <c r="W238" i="15"/>
  <c r="X238" i="14"/>
  <c r="AR8" i="7"/>
  <c r="W152" i="13"/>
  <c r="E85" i="9"/>
  <c r="AA196" i="9"/>
  <c r="E50" i="13"/>
  <c r="AD129" i="13"/>
  <c r="AE218" i="12"/>
  <c r="AG218" i="12" s="1"/>
  <c r="AJ218" i="11"/>
  <c r="AG227" i="7"/>
  <c r="AE228" i="8"/>
  <c r="AJ228" i="7"/>
  <c r="AJ227" i="7" s="1"/>
  <c r="AE72" i="10"/>
  <c r="AG72" i="10" s="1"/>
  <c r="AJ72" i="9"/>
  <c r="AG236" i="12"/>
  <c r="M87" i="9"/>
  <c r="N87" i="9"/>
  <c r="G95" i="10"/>
  <c r="L15" i="9"/>
  <c r="J10" i="9"/>
  <c r="AE135" i="16"/>
  <c r="AG135" i="16" s="1"/>
  <c r="AE190" i="14"/>
  <c r="AG190" i="14" s="1"/>
  <c r="AD197" i="9"/>
  <c r="AJ115" i="9"/>
  <c r="AE115" i="10"/>
  <c r="AB55" i="13"/>
  <c r="AD55" i="13" s="1"/>
  <c r="Q126" i="8"/>
  <c r="Q130" i="8" s="1"/>
  <c r="F107" i="9"/>
  <c r="D107" i="10"/>
  <c r="G111" i="13"/>
  <c r="I111" i="13" s="1"/>
  <c r="AE70" i="9"/>
  <c r="AJ70" i="8"/>
  <c r="M105" i="8"/>
  <c r="N87" i="10"/>
  <c r="M87" i="10"/>
  <c r="Y161" i="14"/>
  <c r="AA161" i="14" s="1"/>
  <c r="AB53" i="14"/>
  <c r="AD53" i="14" s="1"/>
  <c r="AI53" i="13"/>
  <c r="AA229" i="10"/>
  <c r="G41" i="10"/>
  <c r="I41" i="10" s="1"/>
  <c r="AJ230" i="14"/>
  <c r="AE230" i="15"/>
  <c r="AG230" i="15" s="1"/>
  <c r="M90" i="8"/>
  <c r="N90" i="8"/>
  <c r="AQ13" i="8"/>
  <c r="L117" i="16"/>
  <c r="AE173" i="10"/>
  <c r="BO27" i="7"/>
  <c r="AA207" i="7"/>
  <c r="AG203" i="9"/>
  <c r="AE204" i="10"/>
  <c r="AG93" i="10"/>
  <c r="X72" i="16"/>
  <c r="AG168" i="10"/>
  <c r="X126" i="10"/>
  <c r="W126" i="11"/>
  <c r="Y27" i="9"/>
  <c r="AH27" i="8"/>
  <c r="AD212" i="10"/>
  <c r="AE32" i="14"/>
  <c r="AG32" i="14" s="1"/>
  <c r="G48" i="8"/>
  <c r="I50" i="8"/>
  <c r="AB70" i="10"/>
  <c r="U8" i="9"/>
  <c r="L118" i="13"/>
  <c r="M91" i="8"/>
  <c r="N91" i="8"/>
  <c r="AE22" i="8"/>
  <c r="AG20" i="7"/>
  <c r="AG16" i="7" s="1"/>
  <c r="AJ22" i="7"/>
  <c r="AG158" i="8"/>
  <c r="AE118" i="11"/>
  <c r="AG118" i="11" s="1"/>
  <c r="AE214" i="13"/>
  <c r="AG214" i="13" s="1"/>
  <c r="AE256" i="13"/>
  <c r="AG256" i="13" s="1"/>
  <c r="V212" i="14"/>
  <c r="J13" i="15"/>
  <c r="F109" i="14"/>
  <c r="D109" i="15"/>
  <c r="D89" i="13"/>
  <c r="F89" i="12"/>
  <c r="AG37" i="13"/>
  <c r="AE166" i="16"/>
  <c r="AG166" i="16" s="1"/>
  <c r="AJ166" i="16" s="1"/>
  <c r="AJ166" i="15"/>
  <c r="AE164" i="11"/>
  <c r="AG164" i="11" s="1"/>
  <c r="AJ164" i="10"/>
  <c r="AE47" i="14"/>
  <c r="AG47" i="14" s="1"/>
  <c r="V198" i="13"/>
  <c r="L74" i="9"/>
  <c r="X199" i="11"/>
  <c r="V199" i="12"/>
  <c r="AE107" i="15"/>
  <c r="AG107" i="15" s="1"/>
  <c r="AG85" i="9"/>
  <c r="G36" i="10"/>
  <c r="AD23" i="11"/>
  <c r="AD224" i="8"/>
  <c r="D13" i="12"/>
  <c r="F15" i="10"/>
  <c r="D15" i="11"/>
  <c r="AE252" i="10"/>
  <c r="AG252" i="10" s="1"/>
  <c r="AJ252" i="9"/>
  <c r="AE100" i="13"/>
  <c r="AG100" i="13" s="1"/>
  <c r="AI124" i="10"/>
  <c r="W116" i="11"/>
  <c r="AG186" i="8"/>
  <c r="AJ188" i="7"/>
  <c r="AG187" i="7"/>
  <c r="AG185" i="7" s="1"/>
  <c r="AE188" i="8"/>
  <c r="AE76" i="16"/>
  <c r="AG76" i="16" s="1"/>
  <c r="AJ76" i="16" s="1"/>
  <c r="AJ76" i="15"/>
  <c r="AE60" i="8"/>
  <c r="AJ60" i="7"/>
  <c r="AJ58" i="7" s="1"/>
  <c r="AG58" i="7"/>
  <c r="AG57" i="7" s="1"/>
  <c r="L24" i="9"/>
  <c r="M118" i="8"/>
  <c r="N118" i="8"/>
  <c r="E105" i="11"/>
  <c r="E104" i="10"/>
  <c r="E108" i="11"/>
  <c r="AI246" i="10"/>
  <c r="AH246" i="10"/>
  <c r="J65" i="8"/>
  <c r="L63" i="7"/>
  <c r="N65" i="7"/>
  <c r="AB135" i="16"/>
  <c r="AD135" i="16" s="1"/>
  <c r="V173" i="13"/>
  <c r="AE200" i="13"/>
  <c r="AG200" i="13" s="1"/>
  <c r="AJ200" i="12"/>
  <c r="C126" i="6"/>
  <c r="C130" i="6" s="1"/>
  <c r="AE132" i="15"/>
  <c r="AG132" i="15" s="1"/>
  <c r="D81" i="11"/>
  <c r="D82" i="12"/>
  <c r="Y149" i="8"/>
  <c r="Y147" i="8" s="1"/>
  <c r="AA152" i="8"/>
  <c r="AA238" i="8"/>
  <c r="AI238" i="13"/>
  <c r="G25" i="8"/>
  <c r="I27" i="8"/>
  <c r="J25" i="20" l="1"/>
  <c r="AI145" i="6"/>
  <c r="AB10" i="6"/>
  <c r="AB258" i="6"/>
  <c r="AB8" i="6"/>
  <c r="AJ69" i="7"/>
  <c r="AJ65" i="7" s="1"/>
  <c r="V234" i="8"/>
  <c r="V232" i="8" s="1"/>
  <c r="V63" i="8"/>
  <c r="AB112" i="7"/>
  <c r="BC19" i="8"/>
  <c r="Q128" i="10"/>
  <c r="AG12" i="6"/>
  <c r="X69" i="8"/>
  <c r="X65" i="8" s="1"/>
  <c r="AQ23" i="7"/>
  <c r="AI14" i="6"/>
  <c r="W145" i="8"/>
  <c r="Y90" i="7"/>
  <c r="Y63" i="7" s="1"/>
  <c r="AI141" i="7"/>
  <c r="W194" i="8"/>
  <c r="W193" i="8" s="1"/>
  <c r="M12" i="8"/>
  <c r="AI63" i="6"/>
  <c r="AJ170" i="6"/>
  <c r="Y258" i="6"/>
  <c r="Y8" i="6"/>
  <c r="M66" i="7"/>
  <c r="AE63" i="7"/>
  <c r="BP24" i="6"/>
  <c r="BP22" i="6" s="1"/>
  <c r="BJ11" i="6" s="1"/>
  <c r="AH145" i="6"/>
  <c r="V12" i="7"/>
  <c r="V10" i="7" s="1"/>
  <c r="AI10" i="5"/>
  <c r="AI258" i="5" s="1"/>
  <c r="AH114" i="7"/>
  <c r="AH149" i="7"/>
  <c r="AH147" i="7" s="1"/>
  <c r="AJ145" i="6"/>
  <c r="AH10" i="5"/>
  <c r="AI157" i="7"/>
  <c r="AZ24" i="6"/>
  <c r="C128" i="10"/>
  <c r="C126" i="10" s="1"/>
  <c r="AH112" i="6"/>
  <c r="AH110" i="6" s="1"/>
  <c r="H128" i="10"/>
  <c r="H126" i="10" s="1"/>
  <c r="H130" i="10" s="1"/>
  <c r="Y110" i="7"/>
  <c r="AI234" i="6"/>
  <c r="AI232" i="6" s="1"/>
  <c r="N78" i="7"/>
  <c r="AJ12" i="5"/>
  <c r="AJ10" i="5" s="1"/>
  <c r="AJ8" i="5" s="1"/>
  <c r="AI243" i="7"/>
  <c r="B12" i="11"/>
  <c r="B12" i="12" s="1"/>
  <c r="N111" i="9"/>
  <c r="Y43" i="7"/>
  <c r="Y14" i="7" s="1"/>
  <c r="AJ57" i="7"/>
  <c r="AJ97" i="8"/>
  <c r="P128" i="10"/>
  <c r="J28" i="7"/>
  <c r="J21" i="7" s="1"/>
  <c r="J19" i="7" s="1"/>
  <c r="J17" i="7" s="1"/>
  <c r="J8" i="7" s="1"/>
  <c r="J126" i="7" s="1"/>
  <c r="J130" i="7" s="1"/>
  <c r="AH83" i="7"/>
  <c r="BC10" i="7"/>
  <c r="BC9" i="7" s="1"/>
  <c r="BC8" i="7" s="1"/>
  <c r="V258" i="6"/>
  <c r="AG94" i="8"/>
  <c r="AJ94" i="8" s="1"/>
  <c r="AE91" i="8"/>
  <c r="AD117" i="8"/>
  <c r="AB114" i="8"/>
  <c r="AH176" i="7"/>
  <c r="BL7" i="16"/>
  <c r="U1" i="5"/>
  <c r="AV24" i="6"/>
  <c r="AB63" i="7"/>
  <c r="AB12" i="7" s="1"/>
  <c r="X90" i="7"/>
  <c r="F21" i="6"/>
  <c r="F19" i="6" s="1"/>
  <c r="F17" i="6" s="1"/>
  <c r="AY9" i="6"/>
  <c r="AA258" i="5"/>
  <c r="BO33" i="5" s="1"/>
  <c r="AA63" i="6"/>
  <c r="AA12" i="6" s="1"/>
  <c r="E28" i="8"/>
  <c r="E21" i="8" s="1"/>
  <c r="E19" i="8" s="1"/>
  <c r="E17" i="8" s="1"/>
  <c r="E8" i="8" s="1"/>
  <c r="E126" i="8" s="1"/>
  <c r="E130" i="8" s="1"/>
  <c r="X110" i="6"/>
  <c r="AQ26" i="6" s="1"/>
  <c r="AV26" i="6" s="1"/>
  <c r="M10" i="7"/>
  <c r="AQ30" i="6"/>
  <c r="AV30" i="6" s="1"/>
  <c r="AV9" i="6"/>
  <c r="G26" i="10"/>
  <c r="I26" i="10" s="1"/>
  <c r="BD11" i="9"/>
  <c r="AI132" i="8"/>
  <c r="AH132" i="8"/>
  <c r="AJ132" i="8"/>
  <c r="AH128" i="10"/>
  <c r="AJ128" i="10"/>
  <c r="AI128" i="10"/>
  <c r="AD90" i="7"/>
  <c r="AU9" i="6"/>
  <c r="N21" i="6"/>
  <c r="N19" i="6" s="1"/>
  <c r="N17" i="6" s="1"/>
  <c r="F75" i="9"/>
  <c r="AH63" i="6"/>
  <c r="AJ157" i="7"/>
  <c r="AJ155" i="7" s="1"/>
  <c r="AJ145" i="7" s="1"/>
  <c r="V132" i="10"/>
  <c r="X132" i="9"/>
  <c r="V128" i="12"/>
  <c r="X128" i="11"/>
  <c r="V180" i="13"/>
  <c r="X180" i="12"/>
  <c r="AJ180" i="12" s="1"/>
  <c r="AB161" i="8"/>
  <c r="AD157" i="7"/>
  <c r="AD155" i="7" s="1"/>
  <c r="AG10" i="6"/>
  <c r="AG258" i="6" s="1"/>
  <c r="AS31" i="6" s="1"/>
  <c r="AS32" i="6" s="1"/>
  <c r="AI58" i="7"/>
  <c r="AI57" i="7" s="1"/>
  <c r="AJ114" i="7"/>
  <c r="X220" i="7"/>
  <c r="BN30" i="7" s="1"/>
  <c r="BH14" i="7" s="1"/>
  <c r="V174" i="10"/>
  <c r="X174" i="9"/>
  <c r="AH174" i="9" s="1"/>
  <c r="V172" i="9"/>
  <c r="Y46" i="8"/>
  <c r="AA44" i="7"/>
  <c r="AH46" i="7"/>
  <c r="AH44" i="7" s="1"/>
  <c r="AA124" i="9"/>
  <c r="Y123" i="9"/>
  <c r="AJ90" i="6"/>
  <c r="AJ63" i="6" s="1"/>
  <c r="AI83" i="7"/>
  <c r="L21" i="6"/>
  <c r="L19" i="6" s="1"/>
  <c r="AS14" i="6" s="1"/>
  <c r="AS17" i="6" s="1"/>
  <c r="AI112" i="6"/>
  <c r="AI110" i="6" s="1"/>
  <c r="BC21" i="8"/>
  <c r="M54" i="7"/>
  <c r="AJ223" i="7"/>
  <c r="AJ222" i="7" s="1"/>
  <c r="AJ220" i="7" s="1"/>
  <c r="AG222" i="7"/>
  <c r="AG220" i="7" s="1"/>
  <c r="AS30" i="7" s="1"/>
  <c r="AX30" i="7" s="1"/>
  <c r="AE223" i="8"/>
  <c r="AH234" i="6"/>
  <c r="AH232" i="6" s="1"/>
  <c r="AH105" i="7"/>
  <c r="AH104" i="7" s="1"/>
  <c r="N10" i="7"/>
  <c r="Y170" i="7"/>
  <c r="BP25" i="6"/>
  <c r="BJ12" i="6" s="1"/>
  <c r="AZ30" i="5"/>
  <c r="AI105" i="7"/>
  <c r="AI104" i="7" s="1"/>
  <c r="BN31" i="8"/>
  <c r="BH15" i="8" s="1"/>
  <c r="V123" i="9"/>
  <c r="AD43" i="7"/>
  <c r="AB168" i="14"/>
  <c r="AD168" i="14" s="1"/>
  <c r="AI168" i="13"/>
  <c r="F28" i="7"/>
  <c r="AQ9" i="7" s="1"/>
  <c r="AY9" i="7" s="1"/>
  <c r="AE14" i="7"/>
  <c r="AE12" i="7" s="1"/>
  <c r="W8" i="6"/>
  <c r="M21" i="6"/>
  <c r="M19" i="6" s="1"/>
  <c r="M17" i="6" s="1"/>
  <c r="AE258" i="6" s="1"/>
  <c r="AI155" i="7"/>
  <c r="F78" i="8"/>
  <c r="M78" i="8" s="1"/>
  <c r="BN16" i="7"/>
  <c r="AH35" i="7"/>
  <c r="AI170" i="6"/>
  <c r="AJ44" i="7"/>
  <c r="AH123" i="7"/>
  <c r="AD106" i="8"/>
  <c r="AI106" i="8" s="1"/>
  <c r="AB105" i="8"/>
  <c r="AB104" i="8" s="1"/>
  <c r="D71" i="11"/>
  <c r="D69" i="11" s="1"/>
  <c r="F71" i="10"/>
  <c r="N59" i="9"/>
  <c r="M59" i="9"/>
  <c r="BC12" i="9"/>
  <c r="V75" i="12"/>
  <c r="X75" i="11"/>
  <c r="N41" i="8"/>
  <c r="M41" i="8"/>
  <c r="BO23" i="7"/>
  <c r="Y177" i="8"/>
  <c r="AA176" i="7"/>
  <c r="D36" i="10"/>
  <c r="F36" i="9"/>
  <c r="D35" i="9"/>
  <c r="D26" i="11"/>
  <c r="F26" i="10"/>
  <c r="V106" i="10"/>
  <c r="X106" i="9"/>
  <c r="V105" i="9"/>
  <c r="V104" i="9" s="1"/>
  <c r="AI73" i="9"/>
  <c r="AH73" i="9"/>
  <c r="L26" i="8"/>
  <c r="J25" i="8"/>
  <c r="V87" i="11"/>
  <c r="X87" i="10"/>
  <c r="AI20" i="7"/>
  <c r="AI16" i="7" s="1"/>
  <c r="AI49" i="7"/>
  <c r="AB170" i="7"/>
  <c r="M121" i="8"/>
  <c r="AA110" i="6"/>
  <c r="AA10" i="6" s="1"/>
  <c r="AA258" i="6" s="1"/>
  <c r="V220" i="8"/>
  <c r="D69" i="10"/>
  <c r="D47" i="11"/>
  <c r="D45" i="11" s="1"/>
  <c r="F47" i="10"/>
  <c r="V116" i="10"/>
  <c r="X116" i="9"/>
  <c r="J23" i="8"/>
  <c r="AX7" i="7"/>
  <c r="AZ7" i="7" s="1"/>
  <c r="L22" i="7"/>
  <c r="AS7" i="7" s="1"/>
  <c r="AV7" i="7" s="1"/>
  <c r="N23" i="7"/>
  <c r="N22" i="7" s="1"/>
  <c r="Y58" i="8"/>
  <c r="Y57" i="8" s="1"/>
  <c r="AA59" i="8"/>
  <c r="D59" i="11"/>
  <c r="D57" i="10"/>
  <c r="F59" i="10"/>
  <c r="D23" i="11"/>
  <c r="F23" i="10"/>
  <c r="D22" i="10"/>
  <c r="AH85" i="8"/>
  <c r="AJ85" i="8"/>
  <c r="D12" i="10"/>
  <c r="F12" i="9"/>
  <c r="N12" i="9" s="1"/>
  <c r="D10" i="9"/>
  <c r="V97" i="10"/>
  <c r="X97" i="9"/>
  <c r="AH97" i="9" s="1"/>
  <c r="AE159" i="8"/>
  <c r="AG157" i="7"/>
  <c r="AG155" i="7" s="1"/>
  <c r="Y107" i="8"/>
  <c r="AA105" i="7"/>
  <c r="AA104" i="7" s="1"/>
  <c r="J36" i="8"/>
  <c r="L35" i="7"/>
  <c r="AD92" i="8"/>
  <c r="AI92" i="8" s="1"/>
  <c r="AB91" i="8"/>
  <c r="AI77" i="10"/>
  <c r="AH77" i="10"/>
  <c r="AJ77" i="10"/>
  <c r="AD46" i="8"/>
  <c r="AB44" i="8"/>
  <c r="AA187" i="8"/>
  <c r="AA185" i="8" s="1"/>
  <c r="Y188" i="9"/>
  <c r="X118" i="9"/>
  <c r="V118" i="10"/>
  <c r="E49" i="11"/>
  <c r="E48" i="10"/>
  <c r="AE150" i="8"/>
  <c r="AG149" i="7"/>
  <c r="AG147" i="7" s="1"/>
  <c r="D33" i="11"/>
  <c r="F33" i="10"/>
  <c r="D32" i="10"/>
  <c r="V60" i="10"/>
  <c r="V58" i="9"/>
  <c r="V57" i="9" s="1"/>
  <c r="X60" i="9"/>
  <c r="AH79" i="11"/>
  <c r="AJ79" i="11"/>
  <c r="AI79" i="11"/>
  <c r="AH223" i="7"/>
  <c r="AH222" i="7" s="1"/>
  <c r="AH220" i="7" s="1"/>
  <c r="AA222" i="7"/>
  <c r="AA220" i="7" s="1"/>
  <c r="BO30" i="7" s="1"/>
  <c r="BI14" i="7" s="1"/>
  <c r="Y223" i="8"/>
  <c r="V71" i="10"/>
  <c r="X71" i="9"/>
  <c r="X69" i="9" s="1"/>
  <c r="X65" i="9" s="1"/>
  <c r="Y61" i="10"/>
  <c r="AA61" i="10" s="1"/>
  <c r="BO31" i="9"/>
  <c r="BI15" i="9" s="1"/>
  <c r="V21" i="10"/>
  <c r="X21" i="9"/>
  <c r="V20" i="9"/>
  <c r="V16" i="9" s="1"/>
  <c r="I60" i="7"/>
  <c r="M61" i="7"/>
  <c r="M60" i="7" s="1"/>
  <c r="G61" i="8"/>
  <c r="AH99" i="9"/>
  <c r="AJ99" i="9"/>
  <c r="V55" i="12"/>
  <c r="X55" i="11"/>
  <c r="I25" i="20"/>
  <c r="AY15" i="7"/>
  <c r="AW14" i="7"/>
  <c r="AB110" i="7"/>
  <c r="AJ14" i="6"/>
  <c r="BD17" i="7"/>
  <c r="V145" i="8"/>
  <c r="X227" i="8"/>
  <c r="AH229" i="8"/>
  <c r="AI229" i="8"/>
  <c r="AJ229" i="8"/>
  <c r="J83" i="8"/>
  <c r="N83" i="7"/>
  <c r="N81" i="7" s="1"/>
  <c r="L81" i="7"/>
  <c r="M71" i="9"/>
  <c r="F65" i="13"/>
  <c r="E65" i="14"/>
  <c r="L47" i="8"/>
  <c r="J45" i="8"/>
  <c r="AA91" i="7"/>
  <c r="AH93" i="7"/>
  <c r="Y93" i="8"/>
  <c r="AB41" i="11"/>
  <c r="AD41" i="11" s="1"/>
  <c r="AI41" i="10"/>
  <c r="Y167" i="8"/>
  <c r="BO19" i="7"/>
  <c r="AA157" i="7"/>
  <c r="AA155" i="7" s="1"/>
  <c r="AH167" i="7"/>
  <c r="AH157" i="7" s="1"/>
  <c r="AH155" i="7" s="1"/>
  <c r="AH145" i="7" s="1"/>
  <c r="AB31" i="13"/>
  <c r="AD31" i="13" s="1"/>
  <c r="AI31" i="12"/>
  <c r="X85" i="9"/>
  <c r="V85" i="10"/>
  <c r="AH71" i="8"/>
  <c r="AJ71" i="8"/>
  <c r="AH75" i="10"/>
  <c r="AJ75" i="10"/>
  <c r="D30" i="10"/>
  <c r="F30" i="9"/>
  <c r="M30" i="9" s="1"/>
  <c r="D29" i="9"/>
  <c r="Y98" i="8"/>
  <c r="AA96" i="7"/>
  <c r="AH98" i="7"/>
  <c r="AH96" i="7" s="1"/>
  <c r="AH21" i="8"/>
  <c r="AJ21" i="8"/>
  <c r="D62" i="11"/>
  <c r="F62" i="11" s="1"/>
  <c r="D60" i="10"/>
  <c r="V77" i="12"/>
  <c r="X77" i="11"/>
  <c r="AD51" i="8"/>
  <c r="AI51" i="8" s="1"/>
  <c r="AB49" i="8"/>
  <c r="M36" i="8"/>
  <c r="AH55" i="10"/>
  <c r="AI55" i="10"/>
  <c r="AJ55" i="10"/>
  <c r="BC11" i="9"/>
  <c r="M26" i="9"/>
  <c r="AB130" i="11"/>
  <c r="AD130" i="11" s="1"/>
  <c r="AI130" i="10"/>
  <c r="F72" i="8"/>
  <c r="N74" i="8"/>
  <c r="Y52" i="8"/>
  <c r="AA49" i="7"/>
  <c r="AH52" i="7"/>
  <c r="AH49" i="7" s="1"/>
  <c r="AJ87" i="9"/>
  <c r="AH87" i="9"/>
  <c r="AI87" i="9"/>
  <c r="X58" i="8"/>
  <c r="X57" i="8" s="1"/>
  <c r="AI60" i="8"/>
  <c r="AH60" i="8"/>
  <c r="V79" i="13"/>
  <c r="X79" i="12"/>
  <c r="V69" i="9"/>
  <c r="V65" i="9" s="1"/>
  <c r="F113" i="8"/>
  <c r="AQ15" i="8" s="1"/>
  <c r="M35" i="7"/>
  <c r="V112" i="8"/>
  <c r="N25" i="7"/>
  <c r="M47" i="9"/>
  <c r="V229" i="10"/>
  <c r="V227" i="9"/>
  <c r="X229" i="9"/>
  <c r="AI229" i="9" s="1"/>
  <c r="AJ116" i="8"/>
  <c r="AI116" i="8"/>
  <c r="AH116" i="8"/>
  <c r="D80" i="10"/>
  <c r="D78" i="9"/>
  <c r="F80" i="9"/>
  <c r="M80" i="9" s="1"/>
  <c r="AH58" i="7"/>
  <c r="AH57" i="7" s="1"/>
  <c r="D56" i="11"/>
  <c r="F56" i="10"/>
  <c r="D50" i="11"/>
  <c r="F50" i="10"/>
  <c r="N50" i="10" s="1"/>
  <c r="N36" i="7"/>
  <c r="N35" i="7" s="1"/>
  <c r="G58" i="8"/>
  <c r="I57" i="7"/>
  <c r="M58" i="7"/>
  <c r="M57" i="7" s="1"/>
  <c r="D41" i="10"/>
  <c r="F41" i="9"/>
  <c r="J71" i="9"/>
  <c r="L69" i="8"/>
  <c r="AB116" i="10"/>
  <c r="Y67" i="10"/>
  <c r="AA67" i="10" s="1"/>
  <c r="BO11" i="9"/>
  <c r="AH67" i="9"/>
  <c r="Y17" i="10"/>
  <c r="AA17" i="10" s="1"/>
  <c r="BO10" i="9"/>
  <c r="AH17" i="9"/>
  <c r="V99" i="11"/>
  <c r="X99" i="10"/>
  <c r="AI118" i="8"/>
  <c r="AH118" i="8"/>
  <c r="AJ118" i="8"/>
  <c r="F68" i="10"/>
  <c r="D68" i="11"/>
  <c r="D66" i="10"/>
  <c r="D77" i="11"/>
  <c r="F77" i="10"/>
  <c r="N77" i="10" s="1"/>
  <c r="V73" i="11"/>
  <c r="X73" i="10"/>
  <c r="AE145" i="7"/>
  <c r="AE110" i="7" s="1"/>
  <c r="D74" i="10"/>
  <c r="F74" i="9"/>
  <c r="F72" i="9" s="1"/>
  <c r="D72" i="9"/>
  <c r="AB85" i="8"/>
  <c r="AD83" i="7"/>
  <c r="AH258" i="5"/>
  <c r="AH8" i="5"/>
  <c r="AZ26" i="6"/>
  <c r="F27" i="9"/>
  <c r="D25" i="9"/>
  <c r="D27" i="10"/>
  <c r="E29" i="9"/>
  <c r="F31" i="9"/>
  <c r="E31" i="10"/>
  <c r="AJ24" i="8"/>
  <c r="AH24" i="8"/>
  <c r="AI24" i="8"/>
  <c r="X20" i="8"/>
  <c r="X16" i="8" s="1"/>
  <c r="W36" i="10"/>
  <c r="X36" i="9"/>
  <c r="W35" i="9"/>
  <c r="V137" i="10"/>
  <c r="X137" i="9"/>
  <c r="AI254" i="10"/>
  <c r="AH254" i="10"/>
  <c r="AJ254" i="10"/>
  <c r="I74" i="8"/>
  <c r="G72" i="8"/>
  <c r="W161" i="10"/>
  <c r="X161" i="9"/>
  <c r="AY16" i="6"/>
  <c r="AV16" i="6"/>
  <c r="AU16" i="6"/>
  <c r="AZ16" i="6"/>
  <c r="E70" i="10"/>
  <c r="E69" i="9"/>
  <c r="F70" i="9"/>
  <c r="AI133" i="8"/>
  <c r="AH133" i="8"/>
  <c r="AJ133" i="8"/>
  <c r="W127" i="16"/>
  <c r="X127" i="16" s="1"/>
  <c r="X127" i="15"/>
  <c r="E67" i="10"/>
  <c r="E66" i="9"/>
  <c r="F67" i="9"/>
  <c r="AZ8" i="7"/>
  <c r="AV8" i="7"/>
  <c r="AH225" i="8"/>
  <c r="AJ225" i="8"/>
  <c r="W38" i="10"/>
  <c r="X38" i="9"/>
  <c r="AI159" i="8"/>
  <c r="AH159" i="8"/>
  <c r="N52" i="8"/>
  <c r="W12" i="7"/>
  <c r="W10" i="7" s="1"/>
  <c r="W8" i="7" s="1"/>
  <c r="AJ110" i="6"/>
  <c r="BC17" i="8"/>
  <c r="AJ83" i="7"/>
  <c r="AI95" i="8"/>
  <c r="AH95" i="8"/>
  <c r="AI198" i="8"/>
  <c r="AH198" i="8"/>
  <c r="AJ198" i="8"/>
  <c r="AI39" i="8"/>
  <c r="AJ39" i="8"/>
  <c r="AH39" i="8"/>
  <c r="I56" i="8"/>
  <c r="G54" i="8"/>
  <c r="AJ88" i="8"/>
  <c r="AH88" i="8"/>
  <c r="AI88" i="8"/>
  <c r="AJ120" i="8"/>
  <c r="AH120" i="8"/>
  <c r="AI120" i="8"/>
  <c r="AI32" i="8"/>
  <c r="AH32" i="8"/>
  <c r="AJ32" i="8"/>
  <c r="AI139" i="8"/>
  <c r="AJ139" i="8"/>
  <c r="AH139" i="8"/>
  <c r="AI114" i="7"/>
  <c r="W19" i="11"/>
  <c r="X19" i="10"/>
  <c r="AH61" i="8"/>
  <c r="AI61" i="8"/>
  <c r="AJ61" i="8"/>
  <c r="V51" i="10"/>
  <c r="X51" i="9"/>
  <c r="V49" i="9"/>
  <c r="V43" i="9" s="1"/>
  <c r="W225" i="10"/>
  <c r="X225" i="9"/>
  <c r="W222" i="9"/>
  <c r="W220" i="9" s="1"/>
  <c r="D55" i="10"/>
  <c r="D54" i="9"/>
  <c r="F55" i="9"/>
  <c r="AE52" i="8"/>
  <c r="AJ52" i="7"/>
  <c r="AJ49" i="7" s="1"/>
  <c r="AG49" i="7"/>
  <c r="AG43" i="7" s="1"/>
  <c r="AI12" i="6"/>
  <c r="G21" i="7"/>
  <c r="G19" i="7" s="1"/>
  <c r="G17" i="7" s="1"/>
  <c r="G8" i="7" s="1"/>
  <c r="D21" i="8"/>
  <c r="D19" i="8" s="1"/>
  <c r="D17" i="8" s="1"/>
  <c r="AI96" i="7"/>
  <c r="AQ25" i="6"/>
  <c r="BN13" i="6"/>
  <c r="AR14" i="6"/>
  <c r="AR17" i="6" s="1"/>
  <c r="AI35" i="7"/>
  <c r="N54" i="7"/>
  <c r="V95" i="10"/>
  <c r="X95" i="9"/>
  <c r="AI84" i="8"/>
  <c r="AJ84" i="8"/>
  <c r="E58" i="10"/>
  <c r="E57" i="9"/>
  <c r="F58" i="9"/>
  <c r="F57" i="9" s="1"/>
  <c r="D37" i="14"/>
  <c r="AH202" i="9"/>
  <c r="AJ202" i="9"/>
  <c r="AI202" i="9"/>
  <c r="W24" i="10"/>
  <c r="W20" i="9"/>
  <c r="W16" i="9" s="1"/>
  <c r="X24" i="9"/>
  <c r="AH224" i="8"/>
  <c r="AJ224" i="8"/>
  <c r="X222" i="8"/>
  <c r="E128" i="9"/>
  <c r="E24" i="10"/>
  <c r="F24" i="9"/>
  <c r="E22" i="9"/>
  <c r="W88" i="10"/>
  <c r="X88" i="9"/>
  <c r="I37" i="8"/>
  <c r="M37" i="8" s="1"/>
  <c r="G35" i="8"/>
  <c r="AY24" i="6"/>
  <c r="AH183" i="8"/>
  <c r="AJ183" i="8"/>
  <c r="AI183" i="8"/>
  <c r="V117" i="10"/>
  <c r="X117" i="9"/>
  <c r="V114" i="9"/>
  <c r="F81" i="8"/>
  <c r="M82" i="8"/>
  <c r="M81" i="8" s="1"/>
  <c r="V120" i="10"/>
  <c r="X120" i="9"/>
  <c r="AJ251" i="8"/>
  <c r="AI251" i="8"/>
  <c r="AH251" i="8"/>
  <c r="W32" i="10"/>
  <c r="X32" i="9"/>
  <c r="G31" i="8"/>
  <c r="I29" i="7"/>
  <c r="I28" i="7" s="1"/>
  <c r="AR9" i="7" s="1"/>
  <c r="E76" i="10"/>
  <c r="E75" i="9"/>
  <c r="E64" i="10"/>
  <c r="E63" i="9"/>
  <c r="F64" i="9"/>
  <c r="W139" i="10"/>
  <c r="X139" i="9"/>
  <c r="W50" i="10"/>
  <c r="X50" i="9"/>
  <c r="F69" i="8"/>
  <c r="N70" i="8"/>
  <c r="N69" i="8" s="1"/>
  <c r="AH143" i="8"/>
  <c r="AJ143" i="8"/>
  <c r="X141" i="8"/>
  <c r="BN20" i="8" s="1"/>
  <c r="AI143" i="8"/>
  <c r="V14" i="8"/>
  <c r="V12" i="8" s="1"/>
  <c r="F76" i="10"/>
  <c r="F75" i="10" s="1"/>
  <c r="D75" i="10"/>
  <c r="D76" i="11"/>
  <c r="AH135" i="9"/>
  <c r="AJ135" i="9"/>
  <c r="AI135" i="9"/>
  <c r="AI188" i="9"/>
  <c r="AQ16" i="7"/>
  <c r="BC7" i="7"/>
  <c r="V61" i="10"/>
  <c r="X61" i="9"/>
  <c r="D63" i="13"/>
  <c r="D64" i="14"/>
  <c r="AJ196" i="8"/>
  <c r="AI196" i="8"/>
  <c r="X195" i="8"/>
  <c r="M67" i="8"/>
  <c r="F66" i="8"/>
  <c r="D128" i="9"/>
  <c r="AJ121" i="9"/>
  <c r="AI121" i="9"/>
  <c r="AH121" i="9"/>
  <c r="D79" i="15"/>
  <c r="Y180" i="10"/>
  <c r="AH180" i="9"/>
  <c r="F10" i="8"/>
  <c r="M13" i="8"/>
  <c r="M10" i="8" s="1"/>
  <c r="N13" i="8"/>
  <c r="N10" i="8" s="1"/>
  <c r="V159" i="10"/>
  <c r="X159" i="9"/>
  <c r="V157" i="9"/>
  <c r="BC15" i="8"/>
  <c r="F45" i="8"/>
  <c r="AJ98" i="7"/>
  <c r="AJ96" i="7" s="1"/>
  <c r="AE98" i="8"/>
  <c r="AG96" i="7"/>
  <c r="AG90" i="7" s="1"/>
  <c r="AH117" i="8"/>
  <c r="AI117" i="8"/>
  <c r="X114" i="8"/>
  <c r="E82" i="10"/>
  <c r="E81" i="9"/>
  <c r="F82" i="9"/>
  <c r="V100" i="10"/>
  <c r="X100" i="9"/>
  <c r="V96" i="9"/>
  <c r="V251" i="10"/>
  <c r="X251" i="9"/>
  <c r="V243" i="9"/>
  <c r="V107" i="13"/>
  <c r="D70" i="12"/>
  <c r="X172" i="8"/>
  <c r="AI173" i="8"/>
  <c r="AJ173" i="8"/>
  <c r="AH239" i="8"/>
  <c r="AJ239" i="8"/>
  <c r="AI239" i="8"/>
  <c r="AI19" i="9"/>
  <c r="AH19" i="9"/>
  <c r="AB241" i="13"/>
  <c r="AD241" i="13" s="1"/>
  <c r="AI241" i="12"/>
  <c r="AJ131" i="8"/>
  <c r="AI131" i="8"/>
  <c r="AH131" i="8"/>
  <c r="W28" i="10"/>
  <c r="X28" i="9"/>
  <c r="W217" i="15"/>
  <c r="X217" i="14"/>
  <c r="AU27" i="6"/>
  <c r="AJ20" i="7"/>
  <c r="AJ16" i="7" s="1"/>
  <c r="W110" i="8"/>
  <c r="E43" i="12"/>
  <c r="E42" i="11"/>
  <c r="AB199" i="8"/>
  <c r="AD195" i="7"/>
  <c r="AD194" i="7" s="1"/>
  <c r="AI199" i="7"/>
  <c r="AI195" i="7" s="1"/>
  <c r="AI194" i="7" s="1"/>
  <c r="AI193" i="7" s="1"/>
  <c r="AE38" i="8"/>
  <c r="AG35" i="7"/>
  <c r="W150" i="10"/>
  <c r="X150" i="9"/>
  <c r="W149" i="9"/>
  <c r="W147" i="9" s="1"/>
  <c r="V152" i="10"/>
  <c r="X152" i="9"/>
  <c r="AJ152" i="9" s="1"/>
  <c r="V149" i="9"/>
  <c r="V147" i="9" s="1"/>
  <c r="E52" i="10"/>
  <c r="E51" i="9"/>
  <c r="F52" i="9"/>
  <c r="F51" i="9" s="1"/>
  <c r="V254" i="12"/>
  <c r="X254" i="11"/>
  <c r="BN23" i="8"/>
  <c r="AI177" i="8"/>
  <c r="G69" i="8"/>
  <c r="I70" i="8"/>
  <c r="M70" i="8" s="1"/>
  <c r="M69" i="8" s="1"/>
  <c r="D49" i="10"/>
  <c r="D48" i="9"/>
  <c r="F49" i="9"/>
  <c r="AH50" i="8"/>
  <c r="AJ50" i="8"/>
  <c r="AI50" i="8"/>
  <c r="E34" i="11"/>
  <c r="F34" i="10"/>
  <c r="E32" i="10"/>
  <c r="W107" i="10"/>
  <c r="X107" i="9"/>
  <c r="W105" i="9"/>
  <c r="W104" i="9" s="1"/>
  <c r="V133" i="10"/>
  <c r="X133" i="9"/>
  <c r="W173" i="10"/>
  <c r="X173" i="9"/>
  <c r="W172" i="9"/>
  <c r="AJ38" i="7"/>
  <c r="AJ35" i="7" s="1"/>
  <c r="W239" i="10"/>
  <c r="X239" i="9"/>
  <c r="W131" i="10"/>
  <c r="X131" i="9"/>
  <c r="F35" i="8"/>
  <c r="AI38" i="8"/>
  <c r="V160" i="14"/>
  <c r="V160" i="15" s="1"/>
  <c r="AI176" i="7"/>
  <c r="X145" i="7"/>
  <c r="N8" i="5"/>
  <c r="N126" i="5" s="1"/>
  <c r="N130" i="5" s="1"/>
  <c r="AH91" i="7"/>
  <c r="X194" i="7"/>
  <c r="BN28" i="7" s="1"/>
  <c r="AH14" i="6"/>
  <c r="AH12" i="6" s="1"/>
  <c r="F25" i="8"/>
  <c r="AQ8" i="8" s="1"/>
  <c r="N27" i="8"/>
  <c r="W198" i="10"/>
  <c r="W195" i="9"/>
  <c r="X198" i="9"/>
  <c r="V84" i="10"/>
  <c r="V83" i="9"/>
  <c r="X84" i="9"/>
  <c r="F29" i="8"/>
  <c r="N31" i="8"/>
  <c r="W202" i="11"/>
  <c r="X202" i="10"/>
  <c r="E45" i="9"/>
  <c r="F46" i="9"/>
  <c r="E46" i="10"/>
  <c r="V224" i="10"/>
  <c r="X224" i="9"/>
  <c r="V222" i="9"/>
  <c r="V39" i="10"/>
  <c r="X39" i="9"/>
  <c r="V35" i="9"/>
  <c r="N24" i="8"/>
  <c r="M24" i="8"/>
  <c r="F22" i="8"/>
  <c r="AQ7" i="8" s="1"/>
  <c r="F128" i="8"/>
  <c r="AH36" i="8"/>
  <c r="AJ36" i="8"/>
  <c r="AI36" i="8"/>
  <c r="X35" i="8"/>
  <c r="X149" i="8"/>
  <c r="X147" i="8" s="1"/>
  <c r="AI150" i="8"/>
  <c r="AH150" i="8"/>
  <c r="N46" i="8"/>
  <c r="W183" i="10"/>
  <c r="X183" i="9"/>
  <c r="AI137" i="8"/>
  <c r="AH137" i="8"/>
  <c r="AJ137" i="8"/>
  <c r="AH100" i="8"/>
  <c r="AJ100" i="8"/>
  <c r="AI100" i="8"/>
  <c r="X96" i="8"/>
  <c r="V177" i="10"/>
  <c r="V176" i="9"/>
  <c r="V170" i="9" s="1"/>
  <c r="X177" i="9"/>
  <c r="AB186" i="10"/>
  <c r="AD186" i="10" s="1"/>
  <c r="AI186" i="9"/>
  <c r="M49" i="8"/>
  <c r="F48" i="8"/>
  <c r="AH161" i="8"/>
  <c r="AJ161" i="8"/>
  <c r="F63" i="8"/>
  <c r="N64" i="8"/>
  <c r="BC14" i="8"/>
  <c r="M34" i="9"/>
  <c r="F32" i="9"/>
  <c r="N34" i="9"/>
  <c r="X143" i="9"/>
  <c r="V141" i="9"/>
  <c r="V143" i="10"/>
  <c r="AJ107" i="8"/>
  <c r="X105" i="8"/>
  <c r="X104" i="8" s="1"/>
  <c r="AI107" i="8"/>
  <c r="M31" i="7"/>
  <c r="M29" i="7" s="1"/>
  <c r="G46" i="8"/>
  <c r="BD15" i="7"/>
  <c r="M46" i="7"/>
  <c r="M45" i="7" s="1"/>
  <c r="I45" i="7"/>
  <c r="W135" i="11"/>
  <c r="X135" i="10"/>
  <c r="V187" i="10"/>
  <c r="V185" i="10" s="1"/>
  <c r="X188" i="10"/>
  <c r="AI188" i="10" s="1"/>
  <c r="V188" i="11"/>
  <c r="AE41" i="10"/>
  <c r="AG41" i="10" s="1"/>
  <c r="AJ41" i="9"/>
  <c r="AI127" i="14"/>
  <c r="AH127" i="14"/>
  <c r="V196" i="10"/>
  <c r="X196" i="9"/>
  <c r="AH196" i="9" s="1"/>
  <c r="V195" i="9"/>
  <c r="V194" i="9" s="1"/>
  <c r="V193" i="9" s="1"/>
  <c r="E79" i="10"/>
  <c r="E78" i="9"/>
  <c r="F79" i="9"/>
  <c r="N79" i="9" s="1"/>
  <c r="AJ51" i="8"/>
  <c r="AH51" i="8"/>
  <c r="V121" i="11"/>
  <c r="X121" i="10"/>
  <c r="E35" i="9"/>
  <c r="E37" i="10"/>
  <c r="F37" i="9"/>
  <c r="AH196" i="8"/>
  <c r="F54" i="8"/>
  <c r="M55" i="8"/>
  <c r="AB174" i="8"/>
  <c r="AD172" i="7"/>
  <c r="AI174" i="7"/>
  <c r="AI172" i="7" s="1"/>
  <c r="AI28" i="8"/>
  <c r="AJ28" i="8"/>
  <c r="AH28" i="8"/>
  <c r="E13" i="10"/>
  <c r="E10" i="9"/>
  <c r="F13" i="9"/>
  <c r="Y38" i="8"/>
  <c r="AA35" i="7"/>
  <c r="AJ217" i="13"/>
  <c r="AI217" i="13"/>
  <c r="AH217" i="13"/>
  <c r="X258" i="5"/>
  <c r="X63" i="7"/>
  <c r="AR24" i="7"/>
  <c r="AW24" i="7" s="1"/>
  <c r="BP14" i="7"/>
  <c r="BJ9" i="7" s="1"/>
  <c r="L56" i="8"/>
  <c r="J54" i="8"/>
  <c r="Y228" i="9"/>
  <c r="AA227" i="8"/>
  <c r="AH228" i="8"/>
  <c r="BC20" i="8"/>
  <c r="AG117" i="8"/>
  <c r="AE114" i="8"/>
  <c r="AD37" i="8"/>
  <c r="AB35" i="8"/>
  <c r="BR32" i="16"/>
  <c r="BH17" i="5"/>
  <c r="AV30" i="5"/>
  <c r="L17" i="6"/>
  <c r="D123" i="12"/>
  <c r="F123" i="11"/>
  <c r="D121" i="10"/>
  <c r="D113" i="10" s="1"/>
  <c r="F121" i="9"/>
  <c r="D113" i="9"/>
  <c r="M120" i="9"/>
  <c r="N120" i="9"/>
  <c r="D119" i="11"/>
  <c r="F119" i="10"/>
  <c r="M119" i="10" s="1"/>
  <c r="M124" i="10"/>
  <c r="N124" i="10"/>
  <c r="AU30" i="6"/>
  <c r="AJ211" i="7"/>
  <c r="AJ210" i="7" s="1"/>
  <c r="AJ209" i="7" s="1"/>
  <c r="AJ207" i="7" s="1"/>
  <c r="N39" i="10"/>
  <c r="BP15" i="6"/>
  <c r="BJ10" i="6" s="1"/>
  <c r="AU30" i="5"/>
  <c r="AH211" i="7"/>
  <c r="AH210" i="7" s="1"/>
  <c r="AH209" i="7" s="1"/>
  <c r="AH207" i="7" s="1"/>
  <c r="F122" i="12"/>
  <c r="D122" i="13"/>
  <c r="M117" i="9"/>
  <c r="N117" i="9"/>
  <c r="F115" i="9"/>
  <c r="E115" i="10"/>
  <c r="E113" i="9"/>
  <c r="N118" i="10"/>
  <c r="M118" i="10"/>
  <c r="N116" i="10"/>
  <c r="M116" i="10"/>
  <c r="E124" i="12"/>
  <c r="F124" i="11"/>
  <c r="D117" i="11"/>
  <c r="F117" i="10"/>
  <c r="D118" i="12"/>
  <c r="F118" i="11"/>
  <c r="E116" i="12"/>
  <c r="F116" i="11"/>
  <c r="D40" i="13"/>
  <c r="F40" i="12"/>
  <c r="M110" i="9"/>
  <c r="G122" i="10"/>
  <c r="I122" i="10" s="1"/>
  <c r="M122" i="9"/>
  <c r="I115" i="9"/>
  <c r="G113" i="9"/>
  <c r="W234" i="8"/>
  <c r="W232" i="8" s="1"/>
  <c r="M123" i="10"/>
  <c r="N123" i="10"/>
  <c r="W143" i="14"/>
  <c r="W141" i="13"/>
  <c r="AI98" i="15"/>
  <c r="AB98" i="16"/>
  <c r="AD98" i="16" s="1"/>
  <c r="AI98" i="16" s="1"/>
  <c r="D120" i="11"/>
  <c r="F120" i="10"/>
  <c r="W142" i="16"/>
  <c r="X142" i="16" s="1"/>
  <c r="X142" i="15"/>
  <c r="M40" i="11"/>
  <c r="N40" i="11"/>
  <c r="G126" i="7"/>
  <c r="G130" i="7" s="1"/>
  <c r="AZ25" i="6"/>
  <c r="AG8" i="6"/>
  <c r="X234" i="7"/>
  <c r="X232" i="7" s="1"/>
  <c r="BN29" i="7" s="1"/>
  <c r="BH13" i="7" s="1"/>
  <c r="I30" i="10"/>
  <c r="AE151" i="10"/>
  <c r="AJ151" i="9"/>
  <c r="Y94" i="12"/>
  <c r="E25" i="13"/>
  <c r="E26" i="14"/>
  <c r="AJ91" i="7"/>
  <c r="AJ235" i="7"/>
  <c r="W63" i="8"/>
  <c r="X43" i="7"/>
  <c r="X14" i="7" s="1"/>
  <c r="E77" i="13"/>
  <c r="AJ243" i="7"/>
  <c r="AQ14" i="6"/>
  <c r="E55" i="12"/>
  <c r="E54" i="11"/>
  <c r="AJ187" i="7"/>
  <c r="AJ185" i="7" s="1"/>
  <c r="M97" i="8"/>
  <c r="G73" i="10"/>
  <c r="M73" i="9"/>
  <c r="W58" i="13"/>
  <c r="W57" i="13" s="1"/>
  <c r="W60" i="14"/>
  <c r="AU17" i="5"/>
  <c r="AV17" i="5"/>
  <c r="R56" i="20"/>
  <c r="M23" i="7"/>
  <c r="M22" i="7" s="1"/>
  <c r="I22" i="7"/>
  <c r="G23" i="8"/>
  <c r="AW7" i="7"/>
  <c r="AY7" i="7" s="1"/>
  <c r="BD12" i="7"/>
  <c r="AI102" i="12"/>
  <c r="AH102" i="12"/>
  <c r="AJ102" i="12"/>
  <c r="L55" i="9"/>
  <c r="J49" i="8"/>
  <c r="L48" i="7"/>
  <c r="N49" i="7"/>
  <c r="N48" i="7" s="1"/>
  <c r="AH134" i="8"/>
  <c r="AJ134" i="8"/>
  <c r="AI134" i="8"/>
  <c r="X123" i="8"/>
  <c r="D115" i="14"/>
  <c r="AI240" i="8"/>
  <c r="AH240" i="8"/>
  <c r="AJ240" i="8"/>
  <c r="F102" i="10"/>
  <c r="D102" i="11"/>
  <c r="W92" i="10"/>
  <c r="X92" i="9"/>
  <c r="W91" i="9"/>
  <c r="W90" i="9" s="1"/>
  <c r="V94" i="10"/>
  <c r="V91" i="9"/>
  <c r="X94" i="9"/>
  <c r="V156" i="10"/>
  <c r="X156" i="9"/>
  <c r="V155" i="9"/>
  <c r="D8" i="7"/>
  <c r="D126" i="7" s="1"/>
  <c r="D130" i="7" s="1"/>
  <c r="AE137" i="11"/>
  <c r="AG137" i="11" s="1"/>
  <c r="BI8" i="6"/>
  <c r="BI7" i="6" s="1"/>
  <c r="BI16" i="6" s="1"/>
  <c r="BO8" i="6"/>
  <c r="BO7" i="6" s="1"/>
  <c r="BO32" i="6" s="1"/>
  <c r="AH249" i="8"/>
  <c r="AI249" i="8"/>
  <c r="AJ249" i="8"/>
  <c r="AE25" i="10"/>
  <c r="AG25" i="10" s="1"/>
  <c r="AJ25" i="9"/>
  <c r="AB152" i="8"/>
  <c r="AD149" i="7"/>
  <c r="AD147" i="7" s="1"/>
  <c r="AI152" i="7"/>
  <c r="AI149" i="7" s="1"/>
  <c r="AI147" i="7" s="1"/>
  <c r="M53" i="10"/>
  <c r="W70" i="11"/>
  <c r="X70" i="10"/>
  <c r="W69" i="10"/>
  <c r="W65" i="10" s="1"/>
  <c r="L43" i="9"/>
  <c r="N43" i="9" s="1"/>
  <c r="E14" i="15"/>
  <c r="F14" i="14"/>
  <c r="AD71" i="9"/>
  <c r="E47" i="15"/>
  <c r="AD97" i="9"/>
  <c r="AB225" i="8"/>
  <c r="AI225" i="7"/>
  <c r="AI222" i="7" s="1"/>
  <c r="AI220" i="7" s="1"/>
  <c r="BP31" i="7"/>
  <c r="BJ15" i="7" s="1"/>
  <c r="AD222" i="7"/>
  <c r="AD220" i="7" s="1"/>
  <c r="BP30" i="7" s="1"/>
  <c r="BJ14" i="7" s="1"/>
  <c r="AJ204" i="8"/>
  <c r="AJ203" i="8" s="1"/>
  <c r="X203" i="8"/>
  <c r="W250" i="11"/>
  <c r="X250" i="10"/>
  <c r="L44" i="8"/>
  <c r="J42" i="8"/>
  <c r="M96" i="10"/>
  <c r="N96" i="10"/>
  <c r="AI8" i="5"/>
  <c r="AB125" i="8"/>
  <c r="AD123" i="7"/>
  <c r="AI125" i="7"/>
  <c r="AI123" i="7" s="1"/>
  <c r="L46" i="9"/>
  <c r="W167" i="11"/>
  <c r="X167" i="10"/>
  <c r="J70" i="10"/>
  <c r="N70" i="9"/>
  <c r="X207" i="7"/>
  <c r="AQ29" i="7" s="1"/>
  <c r="AZ29" i="7" s="1"/>
  <c r="BN27" i="7"/>
  <c r="AI68" i="9"/>
  <c r="AJ68" i="9"/>
  <c r="AH68" i="9"/>
  <c r="AX22" i="8"/>
  <c r="AZ22" i="8" s="1"/>
  <c r="AV22" i="8"/>
  <c r="AH119" i="9"/>
  <c r="AI119" i="9"/>
  <c r="AJ119" i="9"/>
  <c r="I59" i="16"/>
  <c r="W190" i="10"/>
  <c r="W187" i="9"/>
  <c r="W185" i="9" s="1"/>
  <c r="X190" i="9"/>
  <c r="AA143" i="12"/>
  <c r="AI237" i="8"/>
  <c r="AJ237" i="8"/>
  <c r="AH237" i="8"/>
  <c r="X235" i="8"/>
  <c r="AJ255" i="14"/>
  <c r="AE255" i="15"/>
  <c r="AG255" i="15" s="1"/>
  <c r="W215" i="10"/>
  <c r="X215" i="9"/>
  <c r="Y133" i="11"/>
  <c r="AA115" i="8"/>
  <c r="Y114" i="8"/>
  <c r="G90" i="10"/>
  <c r="I90" i="10" s="1"/>
  <c r="AW13" i="9"/>
  <c r="AR13" i="9"/>
  <c r="I33" i="8"/>
  <c r="G32" i="8"/>
  <c r="AJ108" i="11"/>
  <c r="AI108" i="11"/>
  <c r="AH108" i="11"/>
  <c r="AH165" i="9"/>
  <c r="AI165" i="9"/>
  <c r="AJ165" i="9"/>
  <c r="AH256" i="9"/>
  <c r="AI256" i="9"/>
  <c r="AJ256" i="9"/>
  <c r="AB253" i="11"/>
  <c r="AD253" i="11" s="1"/>
  <c r="AI253" i="10"/>
  <c r="F21" i="7"/>
  <c r="F19" i="7" s="1"/>
  <c r="AB29" i="11"/>
  <c r="AD29" i="11" s="1"/>
  <c r="AI29" i="10"/>
  <c r="N76" i="7"/>
  <c r="N75" i="7" s="1"/>
  <c r="L75" i="7"/>
  <c r="J76" i="8"/>
  <c r="AV27" i="6"/>
  <c r="AZ27" i="6"/>
  <c r="BP13" i="7"/>
  <c r="G65" i="8"/>
  <c r="G63" i="8" s="1"/>
  <c r="M65" i="7"/>
  <c r="I128" i="7"/>
  <c r="BD21" i="7"/>
  <c r="AJ214" i="8"/>
  <c r="AH214" i="8"/>
  <c r="AI214" i="8"/>
  <c r="D46" i="12"/>
  <c r="V125" i="11"/>
  <c r="X125" i="10"/>
  <c r="J61" i="10"/>
  <c r="N61" i="9"/>
  <c r="I12" i="9"/>
  <c r="G10" i="9"/>
  <c r="L8" i="5"/>
  <c r="D88" i="13"/>
  <c r="F88" i="12"/>
  <c r="N88" i="12" s="1"/>
  <c r="W43" i="8"/>
  <c r="W14" i="8" s="1"/>
  <c r="F110" i="10"/>
  <c r="N110" i="10" s="1"/>
  <c r="D110" i="11"/>
  <c r="AJ181" i="15"/>
  <c r="AE181" i="16"/>
  <c r="AG181" i="16" s="1"/>
  <c r="AJ181" i="16" s="1"/>
  <c r="W66" i="14"/>
  <c r="X66" i="13"/>
  <c r="F38" i="9"/>
  <c r="D38" i="10"/>
  <c r="V74" i="11"/>
  <c r="X74" i="10"/>
  <c r="L31" i="12"/>
  <c r="J31" i="13" s="1"/>
  <c r="L31" i="13" s="1"/>
  <c r="J31" i="14" s="1"/>
  <c r="L31" i="14" s="1"/>
  <c r="M62" i="10"/>
  <c r="F60" i="10"/>
  <c r="BF8" i="7"/>
  <c r="BF8" i="10" s="1"/>
  <c r="BF8" i="13" s="1"/>
  <c r="BF8" i="16" s="1"/>
  <c r="BE22" i="5"/>
  <c r="BF22" i="7" s="1"/>
  <c r="AD99" i="8"/>
  <c r="AB96" i="8"/>
  <c r="M102" i="9"/>
  <c r="N102" i="9"/>
  <c r="Y244" i="8"/>
  <c r="AH244" i="7"/>
  <c r="AH243" i="7" s="1"/>
  <c r="AA243" i="7"/>
  <c r="W229" i="12"/>
  <c r="W227" i="11"/>
  <c r="AJ92" i="8"/>
  <c r="AH92" i="8"/>
  <c r="X91" i="8"/>
  <c r="W163" i="11"/>
  <c r="X163" i="10"/>
  <c r="BN18" i="8"/>
  <c r="AI156" i="8"/>
  <c r="AJ156" i="8"/>
  <c r="AH156" i="8"/>
  <c r="W179" i="10"/>
  <c r="X179" i="9"/>
  <c r="W176" i="9"/>
  <c r="Y247" i="14"/>
  <c r="AA247" i="14" s="1"/>
  <c r="AH247" i="13"/>
  <c r="V150" i="16"/>
  <c r="AE189" i="10"/>
  <c r="AG189" i="10" s="1"/>
  <c r="AJ189" i="9"/>
  <c r="G79" i="9"/>
  <c r="M79" i="8"/>
  <c r="M14" i="13"/>
  <c r="N14" i="13"/>
  <c r="AD75" i="8"/>
  <c r="AB69" i="8"/>
  <c r="AH250" i="9"/>
  <c r="AI250" i="9"/>
  <c r="AJ250" i="9"/>
  <c r="AD204" i="8"/>
  <c r="AB203" i="8"/>
  <c r="D43" i="11"/>
  <c r="D42" i="10"/>
  <c r="F43" i="10"/>
  <c r="L67" i="8"/>
  <c r="J66" i="8"/>
  <c r="AB190" i="8"/>
  <c r="AD187" i="7"/>
  <c r="AD185" i="7" s="1"/>
  <c r="AE244" i="11"/>
  <c r="AG244" i="11" s="1"/>
  <c r="AJ244" i="10"/>
  <c r="AE202" i="14"/>
  <c r="AG202" i="14" s="1"/>
  <c r="AI167" i="9"/>
  <c r="AJ167" i="9"/>
  <c r="I76" i="8"/>
  <c r="G75" i="8"/>
  <c r="X68" i="10"/>
  <c r="W68" i="11"/>
  <c r="AH54" i="8"/>
  <c r="AI54" i="8"/>
  <c r="X49" i="8"/>
  <c r="AE196" i="14"/>
  <c r="AG196" i="14" s="1"/>
  <c r="AE196" i="15" s="1"/>
  <c r="E94" i="9"/>
  <c r="E95" i="10"/>
  <c r="F95" i="10" s="1"/>
  <c r="L58" i="8"/>
  <c r="J57" i="8"/>
  <c r="AI45" i="8"/>
  <c r="AJ45" i="8"/>
  <c r="X44" i="8"/>
  <c r="X43" i="8" s="1"/>
  <c r="AH45" i="8"/>
  <c r="AD88" i="11"/>
  <c r="W33" i="11"/>
  <c r="X33" i="10"/>
  <c r="AI158" i="8"/>
  <c r="AH158" i="8"/>
  <c r="X157" i="8"/>
  <c r="X155" i="8" s="1"/>
  <c r="X86" i="9"/>
  <c r="W83" i="9"/>
  <c r="W86" i="10"/>
  <c r="M101" i="8"/>
  <c r="N101" i="8"/>
  <c r="W47" i="10"/>
  <c r="X47" i="9"/>
  <c r="Y203" i="8"/>
  <c r="AA204" i="8"/>
  <c r="W212" i="10"/>
  <c r="X212" i="9"/>
  <c r="AJ212" i="9" s="1"/>
  <c r="W211" i="9"/>
  <c r="W210" i="9" s="1"/>
  <c r="W209" i="9" s="1"/>
  <c r="W207" i="9" s="1"/>
  <c r="BN17" i="7"/>
  <c r="BN15" i="7" s="1"/>
  <c r="BH10" i="7" s="1"/>
  <c r="X112" i="7"/>
  <c r="J62" i="9"/>
  <c r="N62" i="8"/>
  <c r="N60" i="8" s="1"/>
  <c r="L60" i="8"/>
  <c r="Y142" i="8"/>
  <c r="AA141" i="7"/>
  <c r="BO20" i="7" s="1"/>
  <c r="AH142" i="7"/>
  <c r="AH141" i="7" s="1"/>
  <c r="AH112" i="7" s="1"/>
  <c r="AI245" i="8"/>
  <c r="AH245" i="8"/>
  <c r="X243" i="8"/>
  <c r="AJ245" i="8"/>
  <c r="J53" i="8"/>
  <c r="J128" i="8" s="1"/>
  <c r="N53" i="7"/>
  <c r="N51" i="7" s="1"/>
  <c r="L51" i="7"/>
  <c r="AU23" i="6"/>
  <c r="AW23" i="6"/>
  <c r="AY23" i="6" s="1"/>
  <c r="AE86" i="8"/>
  <c r="AG83" i="7"/>
  <c r="AH125" i="9"/>
  <c r="AJ125" i="9"/>
  <c r="I51" i="7"/>
  <c r="G52" i="8"/>
  <c r="M52" i="7"/>
  <c r="M51" i="7" s="1"/>
  <c r="AQ11" i="11"/>
  <c r="AZ11" i="11" s="1"/>
  <c r="M88" i="11"/>
  <c r="BN25" i="6"/>
  <c r="BH12" i="6" s="1"/>
  <c r="M94" i="7"/>
  <c r="AD110" i="6"/>
  <c r="AR26" i="6" s="1"/>
  <c r="F95" i="9"/>
  <c r="AD142" i="8"/>
  <c r="AB141" i="8"/>
  <c r="L32" i="7"/>
  <c r="J33" i="8"/>
  <c r="N33" i="7"/>
  <c r="N32" i="7" s="1"/>
  <c r="AX9" i="7"/>
  <c r="W48" i="10"/>
  <c r="X48" i="9"/>
  <c r="AQ22" i="12"/>
  <c r="AH66" i="12"/>
  <c r="AJ66" i="12"/>
  <c r="BN10" i="12"/>
  <c r="BC13" i="8"/>
  <c r="N38" i="8"/>
  <c r="M38" i="8"/>
  <c r="AI74" i="9"/>
  <c r="AJ74" i="9"/>
  <c r="AH74" i="9"/>
  <c r="Y173" i="8"/>
  <c r="AA172" i="7"/>
  <c r="AH173" i="7"/>
  <c r="AH172" i="7" s="1"/>
  <c r="AH170" i="7" s="1"/>
  <c r="AA106" i="9"/>
  <c r="V240" i="10"/>
  <c r="V235" i="9"/>
  <c r="X240" i="9"/>
  <c r="AE67" i="10"/>
  <c r="AG67" i="10" s="1"/>
  <c r="AJ67" i="9"/>
  <c r="D108" i="10"/>
  <c r="D104" i="10" s="1"/>
  <c r="F108" i="9"/>
  <c r="F104" i="9" s="1"/>
  <c r="AH94" i="8"/>
  <c r="AI94" i="8"/>
  <c r="AB189" i="9"/>
  <c r="AI189" i="8"/>
  <c r="F111" i="10"/>
  <c r="M111" i="10" s="1"/>
  <c r="D111" i="11"/>
  <c r="AI163" i="9"/>
  <c r="AH163" i="9"/>
  <c r="AJ163" i="9"/>
  <c r="AD21" i="8"/>
  <c r="AB20" i="8"/>
  <c r="AB16" i="8" s="1"/>
  <c r="AH179" i="8"/>
  <c r="AJ179" i="8"/>
  <c r="AI179" i="8"/>
  <c r="X176" i="8"/>
  <c r="D97" i="10"/>
  <c r="F97" i="9"/>
  <c r="N97" i="9" s="1"/>
  <c r="D94" i="9"/>
  <c r="L30" i="8"/>
  <c r="J29" i="8"/>
  <c r="D53" i="12"/>
  <c r="D51" i="11"/>
  <c r="F53" i="11"/>
  <c r="E56" i="14"/>
  <c r="G80" i="13"/>
  <c r="I80" i="13" s="1"/>
  <c r="AU14" i="5"/>
  <c r="AV14" i="5"/>
  <c r="AY14" i="5"/>
  <c r="AY17" i="5" s="1"/>
  <c r="AZ14" i="5"/>
  <c r="AZ17" i="5" s="1"/>
  <c r="Y236" i="8"/>
  <c r="AH236" i="7"/>
  <c r="AH235" i="7" s="1"/>
  <c r="AA235" i="7"/>
  <c r="W203" i="9"/>
  <c r="W204" i="10"/>
  <c r="X204" i="9"/>
  <c r="M43" i="9"/>
  <c r="M42" i="9" s="1"/>
  <c r="BC16" i="9"/>
  <c r="F42" i="9"/>
  <c r="AQ10" i="9" s="1"/>
  <c r="AY10" i="9" s="1"/>
  <c r="AZ29" i="6"/>
  <c r="AU29" i="6"/>
  <c r="AV29" i="6"/>
  <c r="AX17" i="5"/>
  <c r="G66" i="8"/>
  <c r="I68" i="8"/>
  <c r="N92" i="10"/>
  <c r="M92" i="10"/>
  <c r="AE251" i="13"/>
  <c r="AG251" i="13" s="1"/>
  <c r="Y26" i="8"/>
  <c r="AH26" i="7"/>
  <c r="AH20" i="7" s="1"/>
  <c r="AH16" i="7" s="1"/>
  <c r="AA20" i="7"/>
  <c r="AA16" i="7" s="1"/>
  <c r="AD50" i="10"/>
  <c r="V70" i="15"/>
  <c r="AJ17" i="9"/>
  <c r="AE17" i="10"/>
  <c r="AG17" i="10" s="1"/>
  <c r="AS22" i="9"/>
  <c r="M77" i="9"/>
  <c r="G77" i="10"/>
  <c r="I77" i="10" s="1"/>
  <c r="G77" i="11" s="1"/>
  <c r="AH190" i="8"/>
  <c r="AH187" i="8" s="1"/>
  <c r="AH185" i="8" s="1"/>
  <c r="X187" i="8"/>
  <c r="X185" i="8" s="1"/>
  <c r="AJ190" i="8"/>
  <c r="AB236" i="8"/>
  <c r="AD235" i="7"/>
  <c r="AD234" i="7" s="1"/>
  <c r="AD232" i="7" s="1"/>
  <c r="BP29" i="7" s="1"/>
  <c r="BJ13" i="7" s="1"/>
  <c r="AI236" i="7"/>
  <c r="AI235" i="7" s="1"/>
  <c r="Y197" i="8"/>
  <c r="AH197" i="7"/>
  <c r="AH195" i="7" s="1"/>
  <c r="AH194" i="7" s="1"/>
  <c r="AH193" i="7" s="1"/>
  <c r="AA195" i="7"/>
  <c r="AA194" i="7" s="1"/>
  <c r="AI33" i="9"/>
  <c r="AJ33" i="9"/>
  <c r="AH33" i="9"/>
  <c r="AV11" i="10"/>
  <c r="AU11" i="10"/>
  <c r="AY11" i="10"/>
  <c r="M8" i="5"/>
  <c r="M126" i="5" s="1"/>
  <c r="M130" i="5" s="1"/>
  <c r="D101" i="10"/>
  <c r="F101" i="9"/>
  <c r="AJ47" i="8"/>
  <c r="AH47" i="8"/>
  <c r="AI47" i="8"/>
  <c r="L80" i="8"/>
  <c r="J78" i="8"/>
  <c r="L78" i="8" s="1"/>
  <c r="D95" i="11"/>
  <c r="W97" i="12"/>
  <c r="W96" i="11"/>
  <c r="Y86" i="8"/>
  <c r="AA83" i="7"/>
  <c r="BJ8" i="6"/>
  <c r="BP8" i="6"/>
  <c r="D31" i="15"/>
  <c r="AE153" i="9"/>
  <c r="AJ153" i="8"/>
  <c r="V129" i="11"/>
  <c r="X129" i="10"/>
  <c r="Y84" i="9"/>
  <c r="AH84" i="8"/>
  <c r="J95" i="8"/>
  <c r="N95" i="7"/>
  <c r="N94" i="7" s="1"/>
  <c r="L94" i="7"/>
  <c r="BN8" i="5"/>
  <c r="BN7" i="5" s="1"/>
  <c r="BN32" i="5" s="1"/>
  <c r="AY26" i="5"/>
  <c r="W73" i="15"/>
  <c r="E71" i="13"/>
  <c r="W102" i="14"/>
  <c r="X102" i="13"/>
  <c r="AE183" i="13"/>
  <c r="AG183" i="13" s="1"/>
  <c r="AI48" i="8"/>
  <c r="AH48" i="8"/>
  <c r="W134" i="10"/>
  <c r="X134" i="9"/>
  <c r="W123" i="9"/>
  <c r="W112" i="9" s="1"/>
  <c r="AZ28" i="6"/>
  <c r="AV28" i="6"/>
  <c r="AY28" i="6"/>
  <c r="AU28" i="6"/>
  <c r="E60" i="11"/>
  <c r="E62" i="12"/>
  <c r="M108" i="8"/>
  <c r="N108" i="8"/>
  <c r="N104" i="8" s="1"/>
  <c r="AV25" i="5"/>
  <c r="AY25" i="5"/>
  <c r="AZ25" i="5"/>
  <c r="AU25" i="5"/>
  <c r="AE136" i="8"/>
  <c r="AJ136" i="7"/>
  <c r="AJ123" i="7" s="1"/>
  <c r="AJ112" i="7" s="1"/>
  <c r="AG123" i="7"/>
  <c r="AG112" i="7" s="1"/>
  <c r="AG195" i="7"/>
  <c r="AG194" i="7" s="1"/>
  <c r="AG193" i="7" s="1"/>
  <c r="AS28" i="7" s="1"/>
  <c r="AX28" i="7" s="1"/>
  <c r="AE197" i="8"/>
  <c r="AJ197" i="7"/>
  <c r="AJ195" i="7" s="1"/>
  <c r="AJ194" i="7" s="1"/>
  <c r="AJ193" i="7" s="1"/>
  <c r="J73" i="8"/>
  <c r="N73" i="7"/>
  <c r="N72" i="7" s="1"/>
  <c r="L72" i="7"/>
  <c r="AB215" i="8"/>
  <c r="AD211" i="7"/>
  <c r="AD210" i="7" s="1"/>
  <c r="AD209" i="7" s="1"/>
  <c r="BN14" i="7"/>
  <c r="AQ24" i="7"/>
  <c r="AE191" i="13"/>
  <c r="AG191" i="13" s="1"/>
  <c r="AJ191" i="12"/>
  <c r="W249" i="10"/>
  <c r="X249" i="9"/>
  <c r="E33" i="16"/>
  <c r="AG46" i="8"/>
  <c r="AE44" i="8"/>
  <c r="F8" i="5"/>
  <c r="J119" i="8"/>
  <c r="L113" i="7"/>
  <c r="AS15" i="7" s="1"/>
  <c r="N119" i="7"/>
  <c r="N113" i="7" s="1"/>
  <c r="F96" i="11"/>
  <c r="D96" i="12"/>
  <c r="M95" i="8"/>
  <c r="F94" i="8"/>
  <c r="BC18" i="8"/>
  <c r="F92" i="11"/>
  <c r="D92" i="12"/>
  <c r="D116" i="16"/>
  <c r="D39" i="12"/>
  <c r="F39" i="11"/>
  <c r="M39" i="11" s="1"/>
  <c r="E119" i="14"/>
  <c r="W54" i="10"/>
  <c r="X54" i="9"/>
  <c r="W49" i="9"/>
  <c r="W119" i="11"/>
  <c r="W114" i="11" s="1"/>
  <c r="X119" i="10"/>
  <c r="W237" i="10"/>
  <c r="W235" i="9"/>
  <c r="X237" i="9"/>
  <c r="W45" i="10"/>
  <c r="W44" i="9"/>
  <c r="X45" i="9"/>
  <c r="AE178" i="8"/>
  <c r="AJ178" i="7"/>
  <c r="AJ176" i="7" s="1"/>
  <c r="AG176" i="7"/>
  <c r="AG170" i="7" s="1"/>
  <c r="AS27" i="7" s="1"/>
  <c r="AX27" i="7" s="1"/>
  <c r="W158" i="10"/>
  <c r="W157" i="9"/>
  <c r="W155" i="9" s="1"/>
  <c r="X158" i="9"/>
  <c r="AI86" i="8"/>
  <c r="X83" i="8"/>
  <c r="W108" i="13"/>
  <c r="X108" i="12"/>
  <c r="W165" i="11"/>
  <c r="X165" i="10"/>
  <c r="W256" i="11"/>
  <c r="X256" i="10"/>
  <c r="BL12" i="10"/>
  <c r="BL12" i="13" s="1"/>
  <c r="BL12" i="16" s="1"/>
  <c r="BK16" i="10"/>
  <c r="BL16" i="10" s="1"/>
  <c r="BL16" i="13" s="1"/>
  <c r="BL16" i="16" s="1"/>
  <c r="AH212" i="8"/>
  <c r="AI212" i="8"/>
  <c r="BN26" i="8"/>
  <c r="X211" i="8"/>
  <c r="X210" i="8" s="1"/>
  <c r="X209" i="8" s="1"/>
  <c r="AJ212" i="8"/>
  <c r="AB228" i="9"/>
  <c r="AI228" i="8"/>
  <c r="AD227" i="8"/>
  <c r="F86" i="9"/>
  <c r="F85" i="9" s="1"/>
  <c r="D86" i="10"/>
  <c r="AD59" i="8"/>
  <c r="AB58" i="8"/>
  <c r="AB57" i="8" s="1"/>
  <c r="W245" i="10"/>
  <c r="X245" i="9"/>
  <c r="AJ245" i="9" s="1"/>
  <c r="W243" i="9"/>
  <c r="AB66" i="8"/>
  <c r="BP10" i="7"/>
  <c r="AR22" i="7"/>
  <c r="AI66" i="7"/>
  <c r="AI65" i="7" s="1"/>
  <c r="AD65" i="7"/>
  <c r="AE26" i="11"/>
  <c r="AG26" i="11" s="1"/>
  <c r="AJ26" i="10"/>
  <c r="V214" i="10"/>
  <c r="X214" i="9"/>
  <c r="V211" i="9"/>
  <c r="V210" i="9" s="1"/>
  <c r="V209" i="9" s="1"/>
  <c r="V207" i="9" s="1"/>
  <c r="Y80" i="8"/>
  <c r="AH80" i="7"/>
  <c r="AH69" i="7" s="1"/>
  <c r="AH65" i="7" s="1"/>
  <c r="AA69" i="7"/>
  <c r="AA65" i="7" s="1"/>
  <c r="AR16" i="8"/>
  <c r="BD7" i="8"/>
  <c r="AI129" i="9"/>
  <c r="AJ129" i="9"/>
  <c r="AH129" i="9"/>
  <c r="AU10" i="8"/>
  <c r="AY10" i="8"/>
  <c r="AJ201" i="15"/>
  <c r="AE201" i="16"/>
  <c r="AG201" i="16" s="1"/>
  <c r="AJ201" i="16" s="1"/>
  <c r="AI44" i="7"/>
  <c r="W170" i="8"/>
  <c r="X170" i="7"/>
  <c r="Y234" i="7"/>
  <c r="Y232" i="7" s="1"/>
  <c r="AI211" i="7"/>
  <c r="AI210" i="7" s="1"/>
  <c r="AI209" i="7" s="1"/>
  <c r="AI207" i="7" s="1"/>
  <c r="AI91" i="7"/>
  <c r="V173" i="14"/>
  <c r="N63" i="7"/>
  <c r="M15" i="10"/>
  <c r="AB23" i="12"/>
  <c r="AI23" i="11"/>
  <c r="AE107" i="16"/>
  <c r="AG107" i="16" s="1"/>
  <c r="V198" i="14"/>
  <c r="AE164" i="12"/>
  <c r="AG164" i="12" s="1"/>
  <c r="AJ164" i="11"/>
  <c r="AE37" i="14"/>
  <c r="AJ37" i="13"/>
  <c r="M109" i="14"/>
  <c r="N109" i="14"/>
  <c r="AE32" i="15"/>
  <c r="AG32" i="15" s="1"/>
  <c r="BP26" i="10"/>
  <c r="AB212" i="11"/>
  <c r="G41" i="11"/>
  <c r="I41" i="11" s="1"/>
  <c r="AB53" i="15"/>
  <c r="AD53" i="15" s="1"/>
  <c r="AI53" i="14"/>
  <c r="I95" i="10"/>
  <c r="AB129" i="14"/>
  <c r="Y196" i="10"/>
  <c r="BO26" i="9"/>
  <c r="AI238" i="14"/>
  <c r="AB183" i="11"/>
  <c r="AD183" i="11" s="1"/>
  <c r="E12" i="13"/>
  <c r="AE119" i="13"/>
  <c r="AG119" i="13" s="1"/>
  <c r="G81" i="9"/>
  <c r="I83" i="9"/>
  <c r="E86" i="14"/>
  <c r="I86" i="8"/>
  <c r="G85" i="8"/>
  <c r="AE245" i="10"/>
  <c r="E59" i="15"/>
  <c r="V24" i="13"/>
  <c r="AI216" i="13"/>
  <c r="AB216" i="14"/>
  <c r="AD216" i="14" s="1"/>
  <c r="B24" i="14"/>
  <c r="I71" i="13"/>
  <c r="AJ127" i="13"/>
  <c r="AE127" i="14"/>
  <c r="AG127" i="14" s="1"/>
  <c r="X213" i="11"/>
  <c r="V213" i="12"/>
  <c r="E87" i="12"/>
  <c r="F87" i="12" s="1"/>
  <c r="AJ54" i="8"/>
  <c r="AE54" i="9"/>
  <c r="AE138" i="16"/>
  <c r="AG138" i="16" s="1"/>
  <c r="AJ138" i="16" s="1"/>
  <c r="AJ138" i="15"/>
  <c r="V124" i="13"/>
  <c r="X124" i="12"/>
  <c r="AE75" i="13"/>
  <c r="AG75" i="13" s="1"/>
  <c r="N100" i="13"/>
  <c r="M100" i="13"/>
  <c r="V225" i="14"/>
  <c r="M122" i="8"/>
  <c r="G117" i="15"/>
  <c r="I117" i="15" s="1"/>
  <c r="AJ205" i="13"/>
  <c r="AE205" i="14"/>
  <c r="AG205" i="14" s="1"/>
  <c r="AB229" i="10"/>
  <c r="AE165" i="12"/>
  <c r="AG165" i="12" s="1"/>
  <c r="Q126" i="10"/>
  <c r="Q130" i="10" s="1"/>
  <c r="K126" i="10"/>
  <c r="K130" i="10" s="1"/>
  <c r="AG73" i="8"/>
  <c r="AE69" i="8"/>
  <c r="AE65" i="8" s="1"/>
  <c r="AJ29" i="13"/>
  <c r="AE29" i="14"/>
  <c r="AG29" i="14" s="1"/>
  <c r="AE249" i="13"/>
  <c r="AG249" i="13" s="1"/>
  <c r="AE99" i="12"/>
  <c r="AG99" i="12" s="1"/>
  <c r="G105" i="15"/>
  <c r="AE84" i="11"/>
  <c r="AW11" i="15"/>
  <c r="G88" i="16"/>
  <c r="I88" i="16" s="1"/>
  <c r="AR11" i="15"/>
  <c r="AE177" i="9"/>
  <c r="AJ177" i="8"/>
  <c r="M91" i="9"/>
  <c r="N91" i="9"/>
  <c r="L68" i="10"/>
  <c r="AB134" i="10"/>
  <c r="D99" i="12"/>
  <c r="F99" i="11"/>
  <c r="V38" i="13"/>
  <c r="M90" i="9"/>
  <c r="N90" i="9"/>
  <c r="AQ13" i="9"/>
  <c r="AB67" i="9"/>
  <c r="BP11" i="8"/>
  <c r="AI67" i="8"/>
  <c r="V45" i="13"/>
  <c r="V44" i="12"/>
  <c r="E105" i="12"/>
  <c r="E104" i="11"/>
  <c r="J24" i="10"/>
  <c r="D15" i="12"/>
  <c r="F15" i="11"/>
  <c r="D13" i="13"/>
  <c r="AI224" i="8"/>
  <c r="AB224" i="9"/>
  <c r="I36" i="10"/>
  <c r="AJ85" i="9"/>
  <c r="AE85" i="10"/>
  <c r="AH199" i="11"/>
  <c r="AJ199" i="11"/>
  <c r="F109" i="15"/>
  <c r="D109" i="16"/>
  <c r="F109" i="16" s="1"/>
  <c r="AE158" i="9"/>
  <c r="AJ158" i="8"/>
  <c r="AG22" i="8"/>
  <c r="AE20" i="8"/>
  <c r="AE16" i="8" s="1"/>
  <c r="J118" i="14"/>
  <c r="AD70" i="10"/>
  <c r="AA27" i="9"/>
  <c r="W126" i="12"/>
  <c r="X126" i="11"/>
  <c r="AE168" i="11"/>
  <c r="AJ168" i="10"/>
  <c r="AE93" i="11"/>
  <c r="AJ93" i="10"/>
  <c r="AE230" i="16"/>
  <c r="AG230" i="16" s="1"/>
  <c r="AJ230" i="16" s="1"/>
  <c r="AJ230" i="15"/>
  <c r="M107" i="9"/>
  <c r="N107" i="9"/>
  <c r="AE190" i="15"/>
  <c r="AG190" i="15" s="1"/>
  <c r="J15" i="10"/>
  <c r="L10" i="9"/>
  <c r="AJ236" i="12"/>
  <c r="AE236" i="13"/>
  <c r="AG228" i="8"/>
  <c r="AE227" i="8"/>
  <c r="E50" i="14"/>
  <c r="AU8" i="7"/>
  <c r="AJ23" i="13"/>
  <c r="AH23" i="13"/>
  <c r="L82" i="9"/>
  <c r="AE92" i="13"/>
  <c r="E83" i="16"/>
  <c r="F83" i="15"/>
  <c r="V245" i="16"/>
  <c r="AE45" i="13"/>
  <c r="AI200" i="15"/>
  <c r="AB200" i="16"/>
  <c r="AD200" i="16" s="1"/>
  <c r="AI200" i="16" s="1"/>
  <c r="N87" i="11"/>
  <c r="M87" i="11"/>
  <c r="AE101" i="13"/>
  <c r="AG101" i="13" s="1"/>
  <c r="AJ101" i="12"/>
  <c r="AA47" i="15"/>
  <c r="E72" i="14"/>
  <c r="E74" i="15"/>
  <c r="AH213" i="10"/>
  <c r="AJ213" i="10"/>
  <c r="AG19" i="9"/>
  <c r="AI246" i="11"/>
  <c r="AH246" i="11"/>
  <c r="D100" i="15"/>
  <c r="F100" i="14"/>
  <c r="Y237" i="16"/>
  <c r="V50" i="16"/>
  <c r="AE133" i="14"/>
  <c r="AG133" i="14" s="1"/>
  <c r="AE148" i="11"/>
  <c r="AJ148" i="10"/>
  <c r="AI244" i="13"/>
  <c r="Y215" i="9"/>
  <c r="AH215" i="8"/>
  <c r="AA211" i="8"/>
  <c r="AA210" i="8" s="1"/>
  <c r="AA209" i="8" s="1"/>
  <c r="AA40" i="10"/>
  <c r="P126" i="10"/>
  <c r="P130" i="10" s="1"/>
  <c r="J27" i="10"/>
  <c r="X223" i="12"/>
  <c r="W223" i="13"/>
  <c r="AD107" i="10"/>
  <c r="AE51" i="11"/>
  <c r="L52" i="9"/>
  <c r="E53" i="14"/>
  <c r="BD20" i="8"/>
  <c r="I113" i="8"/>
  <c r="AR15" i="8" s="1"/>
  <c r="AW15" i="8" s="1"/>
  <c r="AY15" i="8" s="1"/>
  <c r="M115" i="8"/>
  <c r="AE238" i="10"/>
  <c r="AJ238" i="9"/>
  <c r="D34" i="15"/>
  <c r="AG95" i="9"/>
  <c r="AI138" i="14"/>
  <c r="AB138" i="15"/>
  <c r="AD138" i="15" s="1"/>
  <c r="AU12" i="11"/>
  <c r="AV12" i="11"/>
  <c r="AZ12" i="11"/>
  <c r="AY12" i="11"/>
  <c r="AE240" i="15"/>
  <c r="AG240" i="15" s="1"/>
  <c r="AB30" i="16"/>
  <c r="AD30" i="16" s="1"/>
  <c r="AI30" i="16" s="1"/>
  <c r="AI30" i="15"/>
  <c r="AB26" i="10"/>
  <c r="AI26" i="9"/>
  <c r="AE239" i="13"/>
  <c r="AG239" i="13" s="1"/>
  <c r="V203" i="12"/>
  <c r="V204" i="13"/>
  <c r="M99" i="10"/>
  <c r="N99" i="10"/>
  <c r="I55" i="10"/>
  <c r="AB201" i="15"/>
  <c r="AD201" i="15" s="1"/>
  <c r="AI201" i="14"/>
  <c r="AG81" i="9"/>
  <c r="D105" i="11"/>
  <c r="F105" i="10"/>
  <c r="J111" i="11"/>
  <c r="L111" i="11" s="1"/>
  <c r="N24" i="9"/>
  <c r="AE132" i="16"/>
  <c r="AG132" i="16" s="1"/>
  <c r="Y238" i="9"/>
  <c r="AH238" i="8"/>
  <c r="AJ200" i="13"/>
  <c r="AE200" i="14"/>
  <c r="AG200" i="14" s="1"/>
  <c r="L65" i="8"/>
  <c r="J63" i="8"/>
  <c r="AG60" i="8"/>
  <c r="AE58" i="8"/>
  <c r="AE57" i="8" s="1"/>
  <c r="AG188" i="8"/>
  <c r="AE187" i="8"/>
  <c r="AE185" i="8" s="1"/>
  <c r="AE100" i="14"/>
  <c r="AG100" i="14" s="1"/>
  <c r="AJ252" i="10"/>
  <c r="AE252" i="11"/>
  <c r="AG252" i="11" s="1"/>
  <c r="V199" i="13"/>
  <c r="X199" i="12"/>
  <c r="AE47" i="15"/>
  <c r="AG47" i="15" s="1"/>
  <c r="F89" i="13"/>
  <c r="D89" i="14"/>
  <c r="L13" i="15"/>
  <c r="AE256" i="14"/>
  <c r="AG256" i="14" s="1"/>
  <c r="AE118" i="12"/>
  <c r="AG118" i="12" s="1"/>
  <c r="AS23" i="7"/>
  <c r="AG173" i="10"/>
  <c r="Y229" i="11"/>
  <c r="G111" i="14"/>
  <c r="I111" i="14" s="1"/>
  <c r="D107" i="11"/>
  <c r="F107" i="10"/>
  <c r="AB55" i="14"/>
  <c r="AD55" i="14" s="1"/>
  <c r="AG115" i="10"/>
  <c r="AB197" i="10"/>
  <c r="AI197" i="9"/>
  <c r="AJ218" i="12"/>
  <c r="AE218" i="13"/>
  <c r="AG218" i="13" s="1"/>
  <c r="AD248" i="8"/>
  <c r="AB243" i="8"/>
  <c r="V92" i="13"/>
  <c r="W94" i="12"/>
  <c r="W120" i="12"/>
  <c r="G67" i="13"/>
  <c r="AA51" i="10"/>
  <c r="AD191" i="9"/>
  <c r="I97" i="9"/>
  <c r="G94" i="9"/>
  <c r="AE254" i="13"/>
  <c r="AG254" i="13" s="1"/>
  <c r="AB255" i="15"/>
  <c r="AD255" i="15" s="1"/>
  <c r="AI255" i="14"/>
  <c r="AB22" i="13"/>
  <c r="AI22" i="12"/>
  <c r="AA159" i="10"/>
  <c r="AD239" i="10"/>
  <c r="D87" i="13"/>
  <c r="AB36" i="11"/>
  <c r="AJ31" i="13"/>
  <c r="AE31" i="14"/>
  <c r="AG31" i="14" s="1"/>
  <c r="AE130" i="14"/>
  <c r="AG130" i="14" s="1"/>
  <c r="AJ130" i="13"/>
  <c r="X246" i="12"/>
  <c r="V246" i="13"/>
  <c r="AI93" i="16"/>
  <c r="AE167" i="13"/>
  <c r="AG167" i="13" s="1"/>
  <c r="AE40" i="12"/>
  <c r="AJ40" i="11"/>
  <c r="AE80" i="13"/>
  <c r="AG80" i="13" s="1"/>
  <c r="AJ80" i="12"/>
  <c r="AI124" i="11"/>
  <c r="AE77" i="13"/>
  <c r="AG77" i="13" s="1"/>
  <c r="AE246" i="9"/>
  <c r="AJ246" i="8"/>
  <c r="AG243" i="8"/>
  <c r="AE182" i="14"/>
  <c r="AG182" i="14" s="1"/>
  <c r="AJ182" i="13"/>
  <c r="AH70" i="8"/>
  <c r="Y70" i="9"/>
  <c r="Y251" i="14"/>
  <c r="AA251" i="14" s="1"/>
  <c r="AE179" i="16"/>
  <c r="AG179" i="16" s="1"/>
  <c r="AG124" i="9"/>
  <c r="AG97" i="9"/>
  <c r="F98" i="12"/>
  <c r="D98" i="13"/>
  <c r="X59" i="16"/>
  <c r="W174" i="13"/>
  <c r="K25" i="20"/>
  <c r="BE22" i="10"/>
  <c r="BF21" i="10"/>
  <c r="AE237" i="11"/>
  <c r="J39" i="12"/>
  <c r="L39" i="12" s="1"/>
  <c r="AJ160" i="13"/>
  <c r="AI160" i="13"/>
  <c r="AH160" i="13"/>
  <c r="AZ23" i="6"/>
  <c r="Y126" i="13"/>
  <c r="AB166" i="11"/>
  <c r="AI166" i="10"/>
  <c r="W106" i="13"/>
  <c r="AE212" i="10"/>
  <c r="AB132" i="13"/>
  <c r="AG48" i="9"/>
  <c r="V28" i="13"/>
  <c r="J105" i="9"/>
  <c r="L104" i="8"/>
  <c r="AG241" i="8"/>
  <c r="AE235" i="8"/>
  <c r="AE234" i="8" s="1"/>
  <c r="AE232" i="8" s="1"/>
  <c r="N106" i="10"/>
  <c r="AD245" i="11"/>
  <c r="AB181" i="16"/>
  <c r="AD181" i="16" s="1"/>
  <c r="AI181" i="16" s="1"/>
  <c r="AI181" i="15"/>
  <c r="D91" i="15"/>
  <c r="AE71" i="16"/>
  <c r="AG71" i="16" s="1"/>
  <c r="N15" i="9"/>
  <c r="G27" i="9"/>
  <c r="AW8" i="8"/>
  <c r="I25" i="8"/>
  <c r="M27" i="8"/>
  <c r="Y152" i="9"/>
  <c r="AA149" i="8"/>
  <c r="AA147" i="8" s="1"/>
  <c r="AH152" i="8"/>
  <c r="AH149" i="8" s="1"/>
  <c r="AH147" i="8" s="1"/>
  <c r="D82" i="13"/>
  <c r="D81" i="12"/>
  <c r="E108" i="12"/>
  <c r="AE186" i="9"/>
  <c r="AJ186" i="8"/>
  <c r="W116" i="12"/>
  <c r="J74" i="10"/>
  <c r="N74" i="9"/>
  <c r="M89" i="12"/>
  <c r="N89" i="12"/>
  <c r="AQ12" i="12"/>
  <c r="V212" i="15"/>
  <c r="AE214" i="14"/>
  <c r="AG214" i="14" s="1"/>
  <c r="I48" i="8"/>
  <c r="M50" i="8"/>
  <c r="G50" i="9"/>
  <c r="AH126" i="10"/>
  <c r="AI126" i="10"/>
  <c r="AJ126" i="10"/>
  <c r="AH72" i="16"/>
  <c r="AI72" i="16"/>
  <c r="AE203" i="10"/>
  <c r="AG204" i="10"/>
  <c r="AU13" i="8"/>
  <c r="AY13" i="8"/>
  <c r="AV13" i="8"/>
  <c r="AZ13" i="8"/>
  <c r="Y161" i="15"/>
  <c r="AA161" i="15" s="1"/>
  <c r="AG70" i="9"/>
  <c r="AE72" i="11"/>
  <c r="AG72" i="11" s="1"/>
  <c r="AJ72" i="10"/>
  <c r="W152" i="14"/>
  <c r="X238" i="15"/>
  <c r="W238" i="16"/>
  <c r="X238" i="16" s="1"/>
  <c r="X23" i="14"/>
  <c r="W23" i="15"/>
  <c r="AB61" i="13"/>
  <c r="AG215" i="8"/>
  <c r="AE211" i="8"/>
  <c r="AE210" i="8" s="1"/>
  <c r="AE209" i="8" s="1"/>
  <c r="AE207" i="8" s="1"/>
  <c r="AE61" i="13"/>
  <c r="AG61" i="13" s="1"/>
  <c r="Y25" i="16"/>
  <c r="AH25" i="15"/>
  <c r="AG59" i="9"/>
  <c r="N115" i="8"/>
  <c r="AD143" i="11"/>
  <c r="G110" i="11"/>
  <c r="I110" i="11" s="1"/>
  <c r="J88" i="13"/>
  <c r="L88" i="13" s="1"/>
  <c r="AS11" i="12"/>
  <c r="AX11" i="12"/>
  <c r="AG18" i="10"/>
  <c r="AE224" i="15"/>
  <c r="AG224" i="15" s="1"/>
  <c r="Y241" i="15"/>
  <c r="AA241" i="15" s="1"/>
  <c r="AH241" i="14"/>
  <c r="G106" i="9"/>
  <c r="I104" i="8"/>
  <c r="BD19" i="8"/>
  <c r="M106" i="8"/>
  <c r="D52" i="16"/>
  <c r="AE248" i="14"/>
  <c r="AG248" i="14" s="1"/>
  <c r="AJ248" i="13"/>
  <c r="L37" i="9"/>
  <c r="AD180" i="9"/>
  <c r="AB176" i="9"/>
  <c r="N98" i="11"/>
  <c r="M98" i="11"/>
  <c r="W228" i="15"/>
  <c r="X228" i="14"/>
  <c r="X244" i="14"/>
  <c r="W244" i="15"/>
  <c r="AE174" i="9"/>
  <c r="AJ174" i="8"/>
  <c r="AG172" i="8"/>
  <c r="C128" i="11"/>
  <c r="AG105" i="8"/>
  <c r="AG104" i="8" s="1"/>
  <c r="AE106" i="9"/>
  <c r="AJ106" i="8"/>
  <c r="AI223" i="11"/>
  <c r="AE250" i="12"/>
  <c r="AG250" i="12" s="1"/>
  <c r="L85" i="8"/>
  <c r="J86" i="9"/>
  <c r="N86" i="8"/>
  <c r="N85" i="8" s="1"/>
  <c r="X160" i="14"/>
  <c r="AE53" i="12"/>
  <c r="AG53" i="12" s="1"/>
  <c r="AJ53" i="11"/>
  <c r="AE253" i="13"/>
  <c r="AG253" i="13" s="1"/>
  <c r="AJ253" i="12"/>
  <c r="Y214" i="14"/>
  <c r="E120" i="16"/>
  <c r="AB218" i="14"/>
  <c r="AD218" i="14" s="1"/>
  <c r="AI218" i="13"/>
  <c r="AI17" i="16"/>
  <c r="AB250" i="13"/>
  <c r="AD250" i="13" s="1"/>
  <c r="AB94" i="14"/>
  <c r="F106" i="11"/>
  <c r="D106" i="12"/>
  <c r="G42" i="10"/>
  <c r="I44" i="10"/>
  <c r="E91" i="11"/>
  <c r="F91" i="10"/>
  <c r="L122" i="12"/>
  <c r="AE134" i="13"/>
  <c r="AG134" i="13" s="1"/>
  <c r="AE142" i="9"/>
  <c r="AG141" i="8"/>
  <c r="AJ142" i="8"/>
  <c r="I64" i="8"/>
  <c r="D90" i="11"/>
  <c r="F90" i="10"/>
  <c r="AB213" i="10"/>
  <c r="M105" i="9"/>
  <c r="V8" i="7" l="1"/>
  <c r="V258" i="7"/>
  <c r="AI234" i="7"/>
  <c r="AI232" i="7" s="1"/>
  <c r="X220" i="8"/>
  <c r="BN30" i="8" s="1"/>
  <c r="BH14" i="8" s="1"/>
  <c r="BN12" i="8"/>
  <c r="BN9" i="8" s="1"/>
  <c r="AA43" i="7"/>
  <c r="X12" i="7"/>
  <c r="AZ30" i="6"/>
  <c r="W145" i="9"/>
  <c r="W110" i="9" s="1"/>
  <c r="BE21" i="11"/>
  <c r="BE22" i="11" s="1"/>
  <c r="AJ105" i="8"/>
  <c r="AJ104" i="8" s="1"/>
  <c r="AI10" i="6"/>
  <c r="AI258" i="6" s="1"/>
  <c r="P128" i="11"/>
  <c r="C130" i="10"/>
  <c r="H128" i="11"/>
  <c r="H126" i="11" s="1"/>
  <c r="H130" i="11" s="1"/>
  <c r="K128" i="11"/>
  <c r="K126" i="11" s="1"/>
  <c r="K130" i="11" s="1"/>
  <c r="AD170" i="7"/>
  <c r="AR27" i="7" s="1"/>
  <c r="AW27" i="7" s="1"/>
  <c r="AI145" i="7"/>
  <c r="AB43" i="8"/>
  <c r="BC22" i="7"/>
  <c r="AH10" i="6"/>
  <c r="AH258" i="6" s="1"/>
  <c r="BC17" i="9"/>
  <c r="D28" i="9"/>
  <c r="M8" i="6"/>
  <c r="M126" i="6" s="1"/>
  <c r="M130" i="6" s="1"/>
  <c r="F78" i="9"/>
  <c r="AG14" i="7"/>
  <c r="AJ258" i="5"/>
  <c r="Q128" i="11"/>
  <c r="N78" i="8"/>
  <c r="X194" i="8"/>
  <c r="AJ43" i="7"/>
  <c r="AJ14" i="7" s="1"/>
  <c r="D128" i="10"/>
  <c r="AB10" i="7"/>
  <c r="AB8" i="7" s="1"/>
  <c r="AR25" i="7"/>
  <c r="AW25" i="7" s="1"/>
  <c r="BC19" i="9"/>
  <c r="AJ170" i="7"/>
  <c r="AQ23" i="8"/>
  <c r="V234" i="9"/>
  <c r="V232" i="9" s="1"/>
  <c r="W258" i="7"/>
  <c r="V112" i="9"/>
  <c r="AH132" i="9"/>
  <c r="AJ132" i="9"/>
  <c r="AI132" i="9"/>
  <c r="G26" i="11"/>
  <c r="I26" i="11" s="1"/>
  <c r="BD11" i="10"/>
  <c r="M48" i="8"/>
  <c r="X10" i="6"/>
  <c r="X8" i="6" s="1"/>
  <c r="AD14" i="7"/>
  <c r="BD10" i="7"/>
  <c r="BD9" i="7" s="1"/>
  <c r="BD8" i="7" s="1"/>
  <c r="BD22" i="7" s="1"/>
  <c r="V220" i="9"/>
  <c r="AA46" i="8"/>
  <c r="Y44" i="8"/>
  <c r="AH128" i="11"/>
  <c r="AJ128" i="11"/>
  <c r="AI128" i="11"/>
  <c r="V174" i="11"/>
  <c r="V172" i="10"/>
  <c r="X174" i="10"/>
  <c r="AH174" i="10" s="1"/>
  <c r="V180" i="14"/>
  <c r="X180" i="13"/>
  <c r="AJ180" i="13" s="1"/>
  <c r="V132" i="11"/>
  <c r="X132" i="10"/>
  <c r="AB117" i="9"/>
  <c r="AD114" i="8"/>
  <c r="AJ110" i="7"/>
  <c r="AA170" i="7"/>
  <c r="BO24" i="7" s="1"/>
  <c r="BO22" i="7" s="1"/>
  <c r="BI11" i="7" s="1"/>
  <c r="AI112" i="7"/>
  <c r="M104" i="8"/>
  <c r="AI43" i="7"/>
  <c r="AI14" i="7" s="1"/>
  <c r="AI227" i="8"/>
  <c r="AX14" i="7"/>
  <c r="BO14" i="7"/>
  <c r="BI9" i="7" s="1"/>
  <c r="W194" i="9"/>
  <c r="W193" i="9" s="1"/>
  <c r="L28" i="7"/>
  <c r="AS9" i="7" s="1"/>
  <c r="AV9" i="7" s="1"/>
  <c r="V123" i="10"/>
  <c r="AJ90" i="7"/>
  <c r="AJ63" i="7" s="1"/>
  <c r="M28" i="7"/>
  <c r="AH43" i="7"/>
  <c r="AY30" i="6"/>
  <c r="AJ12" i="6"/>
  <c r="AJ10" i="6" s="1"/>
  <c r="AJ258" i="6" s="1"/>
  <c r="Y124" i="10"/>
  <c r="AA123" i="9"/>
  <c r="AH124" i="9"/>
  <c r="AD161" i="8"/>
  <c r="AB157" i="8"/>
  <c r="AB155" i="8" s="1"/>
  <c r="V128" i="13"/>
  <c r="X128" i="12"/>
  <c r="AE94" i="9"/>
  <c r="AG91" i="8"/>
  <c r="M77" i="10"/>
  <c r="X193" i="7"/>
  <c r="AQ28" i="7" s="1"/>
  <c r="AV28" i="7" s="1"/>
  <c r="AI170" i="7"/>
  <c r="AS24" i="7"/>
  <c r="AX24" i="7" s="1"/>
  <c r="AZ24" i="7" s="1"/>
  <c r="AE222" i="8"/>
  <c r="AG223" i="8"/>
  <c r="AE220" i="8"/>
  <c r="BC10" i="8"/>
  <c r="BC9" i="8" s="1"/>
  <c r="BC8" i="8" s="1"/>
  <c r="AQ14" i="7"/>
  <c r="V14" i="9"/>
  <c r="AA90" i="7"/>
  <c r="BO13" i="7" s="1"/>
  <c r="AI114" i="8"/>
  <c r="AB168" i="15"/>
  <c r="AD168" i="15" s="1"/>
  <c r="AI168" i="14"/>
  <c r="AQ30" i="7"/>
  <c r="AV30" i="7" s="1"/>
  <c r="AI91" i="8"/>
  <c r="AG145" i="7"/>
  <c r="AG110" i="7" s="1"/>
  <c r="AS26" i="7" s="1"/>
  <c r="AE10" i="7"/>
  <c r="AE8" i="7" s="1"/>
  <c r="V73" i="12"/>
  <c r="X73" i="11"/>
  <c r="D66" i="11"/>
  <c r="D68" i="12"/>
  <c r="F68" i="11"/>
  <c r="AH67" i="10"/>
  <c r="Y67" i="11"/>
  <c r="AA67" i="11" s="1"/>
  <c r="BO11" i="10"/>
  <c r="L71" i="9"/>
  <c r="J69" i="9"/>
  <c r="D50" i="12"/>
  <c r="F50" i="11"/>
  <c r="N50" i="11" s="1"/>
  <c r="V227" i="10"/>
  <c r="V229" i="11"/>
  <c r="X229" i="10"/>
  <c r="V79" i="14"/>
  <c r="X79" i="13"/>
  <c r="AH77" i="11"/>
  <c r="AI77" i="11"/>
  <c r="AJ77" i="11"/>
  <c r="AA98" i="8"/>
  <c r="Y96" i="8"/>
  <c r="V85" i="11"/>
  <c r="X85" i="10"/>
  <c r="V55" i="13"/>
  <c r="X55" i="12"/>
  <c r="V21" i="11"/>
  <c r="X21" i="10"/>
  <c r="V20" i="10"/>
  <c r="V16" i="10" s="1"/>
  <c r="V71" i="11"/>
  <c r="X71" i="10"/>
  <c r="X69" i="10" s="1"/>
  <c r="X65" i="10" s="1"/>
  <c r="X58" i="9"/>
  <c r="X57" i="9" s="1"/>
  <c r="AI60" i="9"/>
  <c r="AH60" i="9"/>
  <c r="AH118" i="9"/>
  <c r="AI118" i="9"/>
  <c r="AJ118" i="9"/>
  <c r="AB46" i="9"/>
  <c r="AD44" i="8"/>
  <c r="AI46" i="8"/>
  <c r="AI44" i="8" s="1"/>
  <c r="D12" i="11"/>
  <c r="F12" i="10"/>
  <c r="N12" i="10" s="1"/>
  <c r="D10" i="10"/>
  <c r="AJ116" i="9"/>
  <c r="AI116" i="9"/>
  <c r="AH116" i="9"/>
  <c r="V87" i="12"/>
  <c r="X87" i="11"/>
  <c r="BC11" i="10"/>
  <c r="M26" i="10"/>
  <c r="D36" i="11"/>
  <c r="F36" i="10"/>
  <c r="D35" i="10"/>
  <c r="M71" i="10"/>
  <c r="W170" i="9"/>
  <c r="Y12" i="7"/>
  <c r="Y10" i="7" s="1"/>
  <c r="V145" i="9"/>
  <c r="V90" i="9"/>
  <c r="V63" i="9" s="1"/>
  <c r="AI105" i="8"/>
  <c r="AI104" i="8" s="1"/>
  <c r="D72" i="10"/>
  <c r="F74" i="10"/>
  <c r="F72" i="10" s="1"/>
  <c r="D74" i="11"/>
  <c r="AH99" i="10"/>
  <c r="AJ99" i="10"/>
  <c r="Y17" i="11"/>
  <c r="AA17" i="11" s="1"/>
  <c r="BO10" i="10"/>
  <c r="AH17" i="10"/>
  <c r="N41" i="9"/>
  <c r="M41" i="9"/>
  <c r="G57" i="8"/>
  <c r="I58" i="8"/>
  <c r="AA52" i="8"/>
  <c r="Y49" i="8"/>
  <c r="AB130" i="12"/>
  <c r="AD130" i="12" s="1"/>
  <c r="AI130" i="11"/>
  <c r="V77" i="13"/>
  <c r="X77" i="12"/>
  <c r="AH85" i="9"/>
  <c r="BO17" i="7"/>
  <c r="BO15" i="7" s="1"/>
  <c r="BI10" i="7" s="1"/>
  <c r="AA145" i="7"/>
  <c r="AB41" i="12"/>
  <c r="AD41" i="12" s="1"/>
  <c r="AI41" i="11"/>
  <c r="L83" i="8"/>
  <c r="J81" i="8"/>
  <c r="AA223" i="8"/>
  <c r="Y222" i="8"/>
  <c r="Y220" i="8" s="1"/>
  <c r="D33" i="12"/>
  <c r="F33" i="11"/>
  <c r="D32" i="11"/>
  <c r="Y187" i="9"/>
  <c r="Y185" i="9" s="1"/>
  <c r="AA188" i="9"/>
  <c r="AB92" i="9"/>
  <c r="AD91" i="8"/>
  <c r="AA107" i="8"/>
  <c r="Y105" i="8"/>
  <c r="Y104" i="8" s="1"/>
  <c r="V97" i="11"/>
  <c r="X97" i="10"/>
  <c r="AH97" i="10" s="1"/>
  <c r="BC12" i="10"/>
  <c r="D59" i="12"/>
  <c r="D57" i="11"/>
  <c r="F59" i="11"/>
  <c r="V116" i="11"/>
  <c r="X116" i="10"/>
  <c r="D26" i="12"/>
  <c r="F26" i="11"/>
  <c r="D71" i="12"/>
  <c r="F71" i="11"/>
  <c r="AI90" i="7"/>
  <c r="X90" i="8"/>
  <c r="BN13" i="8" s="1"/>
  <c r="AB90" i="8"/>
  <c r="V69" i="10"/>
  <c r="V65" i="10" s="1"/>
  <c r="AH227" i="8"/>
  <c r="F28" i="8"/>
  <c r="F21" i="8" s="1"/>
  <c r="F19" i="8" s="1"/>
  <c r="BN16" i="8"/>
  <c r="AD85" i="8"/>
  <c r="AB83" i="8"/>
  <c r="D77" i="12"/>
  <c r="F77" i="11"/>
  <c r="N77" i="11" s="1"/>
  <c r="V99" i="12"/>
  <c r="X99" i="11"/>
  <c r="AD116" i="10"/>
  <c r="D41" i="11"/>
  <c r="F41" i="10"/>
  <c r="D56" i="12"/>
  <c r="F56" i="11"/>
  <c r="D80" i="11"/>
  <c r="F80" i="10"/>
  <c r="M80" i="10" s="1"/>
  <c r="D78" i="10"/>
  <c r="AH229" i="9"/>
  <c r="X227" i="9"/>
  <c r="AJ229" i="9"/>
  <c r="AA93" i="8"/>
  <c r="Y91" i="8"/>
  <c r="J47" i="9"/>
  <c r="L45" i="8"/>
  <c r="N47" i="8"/>
  <c r="N45" i="8" s="1"/>
  <c r="Y61" i="11"/>
  <c r="AA61" i="11" s="1"/>
  <c r="BO31" i="10"/>
  <c r="BI15" i="10" s="1"/>
  <c r="V58" i="10"/>
  <c r="V57" i="10" s="1"/>
  <c r="X60" i="10"/>
  <c r="V60" i="11"/>
  <c r="E49" i="12"/>
  <c r="E48" i="11"/>
  <c r="D23" i="12"/>
  <c r="F23" i="11"/>
  <c r="D22" i="11"/>
  <c r="AA58" i="8"/>
  <c r="AA57" i="8" s="1"/>
  <c r="Y59" i="9"/>
  <c r="AH59" i="8"/>
  <c r="AH58" i="8" s="1"/>
  <c r="AH57" i="8" s="1"/>
  <c r="M47" i="10"/>
  <c r="J26" i="9"/>
  <c r="AX8" i="8"/>
  <c r="AZ8" i="8" s="1"/>
  <c r="L25" i="8"/>
  <c r="AS8" i="8" s="1"/>
  <c r="AV8" i="8" s="1"/>
  <c r="N26" i="8"/>
  <c r="N25" i="8" s="1"/>
  <c r="AA177" i="8"/>
  <c r="Y176" i="8"/>
  <c r="AH75" i="11"/>
  <c r="AJ75" i="11"/>
  <c r="N111" i="10"/>
  <c r="AH14" i="7"/>
  <c r="AI176" i="8"/>
  <c r="N28" i="7"/>
  <c r="N21" i="7" s="1"/>
  <c r="N19" i="7" s="1"/>
  <c r="N17" i="7" s="1"/>
  <c r="AH123" i="8"/>
  <c r="AI8" i="6"/>
  <c r="AH90" i="7"/>
  <c r="AH63" i="7" s="1"/>
  <c r="M35" i="8"/>
  <c r="AS25" i="7"/>
  <c r="AX25" i="7" s="1"/>
  <c r="AI73" i="10"/>
  <c r="AH73" i="10"/>
  <c r="AH79" i="12"/>
  <c r="AJ79" i="12"/>
  <c r="AI79" i="12"/>
  <c r="AB51" i="9"/>
  <c r="AD49" i="8"/>
  <c r="D62" i="12"/>
  <c r="F62" i="12" s="1"/>
  <c r="D60" i="11"/>
  <c r="D30" i="11"/>
  <c r="F30" i="10"/>
  <c r="M30" i="10" s="1"/>
  <c r="D29" i="10"/>
  <c r="AB31" i="14"/>
  <c r="AD31" i="14" s="1"/>
  <c r="AI31" i="13"/>
  <c r="AA167" i="8"/>
  <c r="Y157" i="8"/>
  <c r="Y155" i="8" s="1"/>
  <c r="Y145" i="8" s="1"/>
  <c r="E65" i="15"/>
  <c r="F65" i="14"/>
  <c r="V110" i="8"/>
  <c r="V10" i="8" s="1"/>
  <c r="AH55" i="11"/>
  <c r="AJ55" i="11"/>
  <c r="AI55" i="11"/>
  <c r="G60" i="8"/>
  <c r="I61" i="8"/>
  <c r="AH21" i="9"/>
  <c r="AJ21" i="9"/>
  <c r="AJ71" i="9"/>
  <c r="AH71" i="9"/>
  <c r="AG150" i="8"/>
  <c r="AE149" i="8"/>
  <c r="AE147" i="8" s="1"/>
  <c r="V118" i="11"/>
  <c r="X118" i="10"/>
  <c r="L36" i="8"/>
  <c r="J35" i="8"/>
  <c r="AG159" i="8"/>
  <c r="AE157" i="8"/>
  <c r="AE155" i="8" s="1"/>
  <c r="M59" i="10"/>
  <c r="N59" i="10"/>
  <c r="L23" i="8"/>
  <c r="J22" i="8"/>
  <c r="D47" i="12"/>
  <c r="F47" i="11"/>
  <c r="AJ87" i="10"/>
  <c r="AH87" i="10"/>
  <c r="AI87" i="10"/>
  <c r="V106" i="11"/>
  <c r="V105" i="10"/>
  <c r="V104" i="10" s="1"/>
  <c r="X106" i="10"/>
  <c r="M36" i="9"/>
  <c r="V75" i="13"/>
  <c r="X75" i="12"/>
  <c r="AB106" i="9"/>
  <c r="AD105" i="8"/>
  <c r="AD104" i="8" s="1"/>
  <c r="BP28" i="7"/>
  <c r="AD193" i="7"/>
  <c r="AR28" i="7" s="1"/>
  <c r="AW28" i="7" s="1"/>
  <c r="F10" i="9"/>
  <c r="N13" i="9"/>
  <c r="N10" i="9" s="1"/>
  <c r="M13" i="9"/>
  <c r="AD174" i="8"/>
  <c r="AB172" i="8"/>
  <c r="F35" i="9"/>
  <c r="AJ121" i="10"/>
  <c r="AH121" i="10"/>
  <c r="AI121" i="10"/>
  <c r="X177" i="10"/>
  <c r="V176" i="10"/>
  <c r="V177" i="11"/>
  <c r="AH183" i="9"/>
  <c r="AJ183" i="9"/>
  <c r="AI183" i="9"/>
  <c r="AH39" i="9"/>
  <c r="AJ39" i="9"/>
  <c r="AI39" i="9"/>
  <c r="V224" i="11"/>
  <c r="X224" i="10"/>
  <c r="V222" i="10"/>
  <c r="AH202" i="10"/>
  <c r="AI202" i="10"/>
  <c r="AJ202" i="10"/>
  <c r="AJ198" i="9"/>
  <c r="AI198" i="9"/>
  <c r="AH198" i="9"/>
  <c r="AH131" i="9"/>
  <c r="AJ131" i="9"/>
  <c r="AI131" i="9"/>
  <c r="AI133" i="9"/>
  <c r="AJ133" i="9"/>
  <c r="AH133" i="9"/>
  <c r="W107" i="11"/>
  <c r="X107" i="10"/>
  <c r="W105" i="10"/>
  <c r="W104" i="10" s="1"/>
  <c r="V254" i="13"/>
  <c r="X254" i="12"/>
  <c r="AH150" i="9"/>
  <c r="X149" i="9"/>
  <c r="X147" i="9" s="1"/>
  <c r="AI150" i="9"/>
  <c r="E42" i="12"/>
  <c r="E43" i="13"/>
  <c r="W217" i="16"/>
  <c r="X217" i="16" s="1"/>
  <c r="X217" i="15"/>
  <c r="AB241" i="14"/>
  <c r="AD241" i="14" s="1"/>
  <c r="AI241" i="13"/>
  <c r="AI251" i="9"/>
  <c r="AJ251" i="9"/>
  <c r="AH251" i="9"/>
  <c r="V100" i="11"/>
  <c r="X100" i="10"/>
  <c r="V96" i="10"/>
  <c r="AG98" i="8"/>
  <c r="AE96" i="8"/>
  <c r="AE90" i="8" s="1"/>
  <c r="V61" i="11"/>
  <c r="X61" i="10"/>
  <c r="D76" i="12"/>
  <c r="D75" i="11"/>
  <c r="W50" i="11"/>
  <c r="X50" i="10"/>
  <c r="V120" i="11"/>
  <c r="X120" i="10"/>
  <c r="AH117" i="9"/>
  <c r="X114" i="9"/>
  <c r="AJ88" i="9"/>
  <c r="AH88" i="9"/>
  <c r="AI88" i="9"/>
  <c r="F24" i="10"/>
  <c r="E128" i="10"/>
  <c r="E24" i="11"/>
  <c r="E22" i="10"/>
  <c r="D37" i="15"/>
  <c r="AY25" i="6"/>
  <c r="AU25" i="6"/>
  <c r="AG52" i="8"/>
  <c r="AE49" i="8"/>
  <c r="AE43" i="8" s="1"/>
  <c r="AJ51" i="9"/>
  <c r="AH51" i="9"/>
  <c r="AI38" i="9"/>
  <c r="E67" i="11"/>
  <c r="E66" i="10"/>
  <c r="F67" i="10"/>
  <c r="E70" i="11"/>
  <c r="E69" i="10"/>
  <c r="F70" i="10"/>
  <c r="F69" i="10" s="1"/>
  <c r="G74" i="9"/>
  <c r="M74" i="8"/>
  <c r="M72" i="8" s="1"/>
  <c r="I72" i="8"/>
  <c r="AI137" i="9"/>
  <c r="AH137" i="9"/>
  <c r="AJ137" i="9"/>
  <c r="W36" i="11"/>
  <c r="X36" i="10"/>
  <c r="W35" i="10"/>
  <c r="E28" i="9"/>
  <c r="E21" i="9" s="1"/>
  <c r="E19" i="9" s="1"/>
  <c r="E17" i="9" s="1"/>
  <c r="E8" i="9" s="1"/>
  <c r="E126" i="9" s="1"/>
  <c r="E130" i="9" s="1"/>
  <c r="AJ141" i="8"/>
  <c r="AY8" i="8"/>
  <c r="AD10" i="6"/>
  <c r="AD258" i="6" s="1"/>
  <c r="AH110" i="7"/>
  <c r="X145" i="8"/>
  <c r="D21" i="9"/>
  <c r="D19" i="9" s="1"/>
  <c r="D17" i="9" s="1"/>
  <c r="D8" i="9" s="1"/>
  <c r="D126" i="9" s="1"/>
  <c r="D130" i="9" s="1"/>
  <c r="E37" i="11"/>
  <c r="E35" i="10"/>
  <c r="F37" i="10"/>
  <c r="V121" i="12"/>
  <c r="X121" i="11"/>
  <c r="AI196" i="9"/>
  <c r="AJ196" i="9"/>
  <c r="X195" i="9"/>
  <c r="X143" i="10"/>
  <c r="V141" i="10"/>
  <c r="V143" i="11"/>
  <c r="AB186" i="11"/>
  <c r="AD186" i="11" s="1"/>
  <c r="AI186" i="10"/>
  <c r="W183" i="11"/>
  <c r="X183" i="10"/>
  <c r="V39" i="11"/>
  <c r="X39" i="10"/>
  <c r="V35" i="10"/>
  <c r="F46" i="10"/>
  <c r="E45" i="10"/>
  <c r="E46" i="11"/>
  <c r="W202" i="12"/>
  <c r="X202" i="11"/>
  <c r="AI84" i="9"/>
  <c r="AJ84" i="9"/>
  <c r="W131" i="11"/>
  <c r="X131" i="10"/>
  <c r="V133" i="11"/>
  <c r="X133" i="10"/>
  <c r="D49" i="11"/>
  <c r="D48" i="10"/>
  <c r="F49" i="10"/>
  <c r="W150" i="11"/>
  <c r="X150" i="10"/>
  <c r="W149" i="10"/>
  <c r="W147" i="10" s="1"/>
  <c r="AH28" i="9"/>
  <c r="AI28" i="9"/>
  <c r="AJ28" i="9"/>
  <c r="V251" i="11"/>
  <c r="X251" i="10"/>
  <c r="V243" i="10"/>
  <c r="M82" i="9"/>
  <c r="F81" i="9"/>
  <c r="AA180" i="10"/>
  <c r="D63" i="14"/>
  <c r="D64" i="15"/>
  <c r="AJ139" i="9"/>
  <c r="AI139" i="9"/>
  <c r="AH139" i="9"/>
  <c r="E64" i="11"/>
  <c r="F64" i="10"/>
  <c r="E63" i="10"/>
  <c r="I31" i="8"/>
  <c r="G29" i="8"/>
  <c r="G28" i="8" s="1"/>
  <c r="V117" i="11"/>
  <c r="X117" i="10"/>
  <c r="V114" i="10"/>
  <c r="W88" i="11"/>
  <c r="X88" i="10"/>
  <c r="AJ24" i="9"/>
  <c r="AH24" i="9"/>
  <c r="X20" i="9"/>
  <c r="X16" i="9" s="1"/>
  <c r="AQ23" i="9" s="1"/>
  <c r="AI24" i="9"/>
  <c r="F54" i="9"/>
  <c r="M55" i="9"/>
  <c r="AH225" i="9"/>
  <c r="AJ225" i="9"/>
  <c r="V51" i="11"/>
  <c r="V49" i="10"/>
  <c r="V43" i="10" s="1"/>
  <c r="X51" i="10"/>
  <c r="AH51" i="10" s="1"/>
  <c r="G56" i="9"/>
  <c r="M56" i="8"/>
  <c r="M54" i="8" s="1"/>
  <c r="I54" i="8"/>
  <c r="X38" i="10"/>
  <c r="W38" i="11"/>
  <c r="AI127" i="15"/>
  <c r="AH127" i="15"/>
  <c r="AH161" i="9"/>
  <c r="AJ161" i="9"/>
  <c r="V137" i="11"/>
  <c r="X137" i="10"/>
  <c r="D27" i="11"/>
  <c r="D25" i="10"/>
  <c r="F27" i="10"/>
  <c r="F25" i="10" s="1"/>
  <c r="AQ8" i="10" s="1"/>
  <c r="E13" i="11"/>
  <c r="E10" i="10"/>
  <c r="F13" i="10"/>
  <c r="V196" i="11"/>
  <c r="X196" i="10"/>
  <c r="V195" i="10"/>
  <c r="V194" i="10" s="1"/>
  <c r="V193" i="10" s="1"/>
  <c r="AE41" i="11"/>
  <c r="AG41" i="11" s="1"/>
  <c r="AJ41" i="10"/>
  <c r="AH135" i="10"/>
  <c r="AJ135" i="10"/>
  <c r="AI135" i="10"/>
  <c r="AI177" i="9"/>
  <c r="BN23" i="9"/>
  <c r="BC15" i="9"/>
  <c r="F45" i="9"/>
  <c r="W198" i="11"/>
  <c r="W195" i="10"/>
  <c r="X198" i="10"/>
  <c r="AH239" i="9"/>
  <c r="AJ239" i="9"/>
  <c r="AI239" i="9"/>
  <c r="AI173" i="9"/>
  <c r="X172" i="9"/>
  <c r="AJ173" i="9"/>
  <c r="M34" i="10"/>
  <c r="N34" i="10"/>
  <c r="F32" i="10"/>
  <c r="I69" i="8"/>
  <c r="G70" i="9"/>
  <c r="V152" i="11"/>
  <c r="V149" i="10"/>
  <c r="V147" i="10" s="1"/>
  <c r="X152" i="10"/>
  <c r="AJ152" i="10" s="1"/>
  <c r="AD199" i="8"/>
  <c r="AB195" i="8"/>
  <c r="AB194" i="8" s="1"/>
  <c r="AB193" i="8" s="1"/>
  <c r="W28" i="11"/>
  <c r="X28" i="10"/>
  <c r="V107" i="14"/>
  <c r="AI159" i="9"/>
  <c r="AH159" i="9"/>
  <c r="BC7" i="8"/>
  <c r="AQ16" i="8"/>
  <c r="AU16" i="8" s="1"/>
  <c r="AY16" i="7"/>
  <c r="AU16" i="7"/>
  <c r="AZ16" i="7"/>
  <c r="AV16" i="7"/>
  <c r="W139" i="11"/>
  <c r="X139" i="10"/>
  <c r="AJ32" i="9"/>
  <c r="AI32" i="9"/>
  <c r="AH32" i="9"/>
  <c r="AI95" i="9"/>
  <c r="AH95" i="9"/>
  <c r="W225" i="11"/>
  <c r="X225" i="10"/>
  <c r="W222" i="10"/>
  <c r="W220" i="10" s="1"/>
  <c r="AI19" i="10"/>
  <c r="AH19" i="10"/>
  <c r="F66" i="9"/>
  <c r="M67" i="9"/>
  <c r="AI127" i="16"/>
  <c r="AH127" i="16"/>
  <c r="F69" i="9"/>
  <c r="W161" i="11"/>
  <c r="X161" i="10"/>
  <c r="E29" i="10"/>
  <c r="E31" i="11"/>
  <c r="F31" i="10"/>
  <c r="AJ172" i="8"/>
  <c r="N39" i="11"/>
  <c r="M94" i="8"/>
  <c r="AA112" i="7"/>
  <c r="AA110" i="7" s="1"/>
  <c r="BN31" i="9"/>
  <c r="BH15" i="9" s="1"/>
  <c r="X110" i="7"/>
  <c r="AQ26" i="7" s="1"/>
  <c r="AI49" i="8"/>
  <c r="M128" i="7"/>
  <c r="AV25" i="6"/>
  <c r="AA38" i="8"/>
  <c r="Y35" i="8"/>
  <c r="E79" i="11"/>
  <c r="E78" i="10"/>
  <c r="F79" i="10"/>
  <c r="N79" i="10" s="1"/>
  <c r="X188" i="11"/>
  <c r="AI188" i="11" s="1"/>
  <c r="V187" i="11"/>
  <c r="V185" i="11" s="1"/>
  <c r="V188" i="12"/>
  <c r="W135" i="12"/>
  <c r="X135" i="11"/>
  <c r="G45" i="8"/>
  <c r="I46" i="8"/>
  <c r="X141" i="9"/>
  <c r="BN20" i="9" s="1"/>
  <c r="AI143" i="9"/>
  <c r="AH143" i="9"/>
  <c r="AJ143" i="9"/>
  <c r="AH224" i="9"/>
  <c r="AJ224" i="9"/>
  <c r="X222" i="9"/>
  <c r="V84" i="11"/>
  <c r="X84" i="10"/>
  <c r="V83" i="10"/>
  <c r="W239" i="11"/>
  <c r="X239" i="10"/>
  <c r="AI239" i="10" s="1"/>
  <c r="W173" i="11"/>
  <c r="X173" i="10"/>
  <c r="AJ173" i="10" s="1"/>
  <c r="W172" i="10"/>
  <c r="AJ107" i="9"/>
  <c r="X105" i="9"/>
  <c r="X104" i="9" s="1"/>
  <c r="AI107" i="9"/>
  <c r="E34" i="12"/>
  <c r="E32" i="11"/>
  <c r="F34" i="11"/>
  <c r="M49" i="9"/>
  <c r="F48" i="9"/>
  <c r="AH254" i="11"/>
  <c r="AI254" i="11"/>
  <c r="AJ254" i="11"/>
  <c r="E52" i="11"/>
  <c r="E51" i="10"/>
  <c r="F52" i="10"/>
  <c r="F51" i="10" s="1"/>
  <c r="AG38" i="8"/>
  <c r="AE35" i="8"/>
  <c r="AI217" i="14"/>
  <c r="AH217" i="14"/>
  <c r="AJ217" i="14"/>
  <c r="D70" i="13"/>
  <c r="AI100" i="9"/>
  <c r="AH100" i="9"/>
  <c r="AJ100" i="9"/>
  <c r="X96" i="9"/>
  <c r="E82" i="11"/>
  <c r="E81" i="10"/>
  <c r="F82" i="10"/>
  <c r="V159" i="11"/>
  <c r="X159" i="10"/>
  <c r="V157" i="10"/>
  <c r="V155" i="10" s="1"/>
  <c r="D79" i="16"/>
  <c r="AH61" i="9"/>
  <c r="AI61" i="9"/>
  <c r="AJ61" i="9"/>
  <c r="AJ50" i="9"/>
  <c r="AH50" i="9"/>
  <c r="AI50" i="9"/>
  <c r="BC14" i="9"/>
  <c r="F63" i="9"/>
  <c r="N64" i="9"/>
  <c r="E76" i="11"/>
  <c r="F76" i="11" s="1"/>
  <c r="E75" i="10"/>
  <c r="W32" i="11"/>
  <c r="X32" i="10"/>
  <c r="AI120" i="9"/>
  <c r="AJ120" i="9"/>
  <c r="AH120" i="9"/>
  <c r="G37" i="9"/>
  <c r="I35" i="8"/>
  <c r="M24" i="9"/>
  <c r="F128" i="9"/>
  <c r="F22" i="9"/>
  <c r="AQ7" i="9" s="1"/>
  <c r="BC21" i="9"/>
  <c r="W24" i="11"/>
  <c r="W20" i="10"/>
  <c r="W16" i="10" s="1"/>
  <c r="X24" i="10"/>
  <c r="E58" i="11"/>
  <c r="F58" i="10"/>
  <c r="F57" i="10" s="1"/>
  <c r="E57" i="10"/>
  <c r="V95" i="11"/>
  <c r="X95" i="10"/>
  <c r="BH8" i="6"/>
  <c r="BH7" i="6" s="1"/>
  <c r="BH16" i="6" s="1"/>
  <c r="BH17" i="6" s="1"/>
  <c r="BN8" i="6"/>
  <c r="BN7" i="6" s="1"/>
  <c r="BN32" i="6" s="1"/>
  <c r="D55" i="11"/>
  <c r="D54" i="10"/>
  <c r="F55" i="10"/>
  <c r="F54" i="10" s="1"/>
  <c r="W19" i="12"/>
  <c r="X19" i="11"/>
  <c r="AJ36" i="9"/>
  <c r="AH36" i="9"/>
  <c r="AI36" i="9"/>
  <c r="X35" i="9"/>
  <c r="F29" i="9"/>
  <c r="F28" i="9" s="1"/>
  <c r="N31" i="9"/>
  <c r="F25" i="9"/>
  <c r="AQ8" i="9" s="1"/>
  <c r="N27" i="9"/>
  <c r="AB37" i="9"/>
  <c r="AI37" i="8"/>
  <c r="AI35" i="8" s="1"/>
  <c r="AD35" i="8"/>
  <c r="AE117" i="9"/>
  <c r="AG114" i="8"/>
  <c r="AJ117" i="8"/>
  <c r="AJ114" i="8" s="1"/>
  <c r="Y258" i="7"/>
  <c r="AJ234" i="7"/>
  <c r="AJ232" i="7" s="1"/>
  <c r="W12" i="8"/>
  <c r="W10" i="8" s="1"/>
  <c r="W258" i="8" s="1"/>
  <c r="AA228" i="9"/>
  <c r="Y227" i="9"/>
  <c r="J56" i="9"/>
  <c r="N56" i="8"/>
  <c r="N54" i="8" s="1"/>
  <c r="L54" i="8"/>
  <c r="G115" i="10"/>
  <c r="I113" i="9"/>
  <c r="AR15" i="9" s="1"/>
  <c r="AW15" i="9" s="1"/>
  <c r="BD20" i="9"/>
  <c r="N118" i="11"/>
  <c r="M118" i="11"/>
  <c r="F117" i="11"/>
  <c r="D117" i="12"/>
  <c r="E115" i="11"/>
  <c r="E113" i="10"/>
  <c r="F115" i="10"/>
  <c r="N123" i="11"/>
  <c r="M123" i="11"/>
  <c r="N128" i="7"/>
  <c r="F8" i="6"/>
  <c r="F118" i="12"/>
  <c r="D118" i="13"/>
  <c r="BP7" i="6"/>
  <c r="BP32" i="6" s="1"/>
  <c r="AA234" i="7"/>
  <c r="AA232" i="7" s="1"/>
  <c r="BO29" i="7" s="1"/>
  <c r="BI13" i="7" s="1"/>
  <c r="BN13" i="7"/>
  <c r="BH8" i="7" s="1"/>
  <c r="L21" i="7"/>
  <c r="L19" i="7" s="1"/>
  <c r="L17" i="7" s="1"/>
  <c r="L8" i="7" s="1"/>
  <c r="M120" i="10"/>
  <c r="N120" i="10"/>
  <c r="G122" i="11"/>
  <c r="I122" i="11" s="1"/>
  <c r="M122" i="10"/>
  <c r="M116" i="11"/>
  <c r="N116" i="11"/>
  <c r="N124" i="11"/>
  <c r="M124" i="11"/>
  <c r="N121" i="9"/>
  <c r="M121" i="9"/>
  <c r="M40" i="12"/>
  <c r="N40" i="12"/>
  <c r="F122" i="13"/>
  <c r="D122" i="14"/>
  <c r="AQ25" i="7"/>
  <c r="AU25" i="7" s="1"/>
  <c r="F40" i="13"/>
  <c r="D40" i="14"/>
  <c r="M115" i="9"/>
  <c r="N115" i="9"/>
  <c r="BC20" i="9"/>
  <c r="F113" i="9"/>
  <c r="AQ15" i="9" s="1"/>
  <c r="D119" i="12"/>
  <c r="F119" i="11"/>
  <c r="M119" i="11" s="1"/>
  <c r="D123" i="13"/>
  <c r="F123" i="12"/>
  <c r="AR30" i="7"/>
  <c r="AW30" i="7" s="1"/>
  <c r="F17" i="7"/>
  <c r="F8" i="7" s="1"/>
  <c r="BJ7" i="6"/>
  <c r="BJ16" i="6" s="1"/>
  <c r="D120" i="12"/>
  <c r="F120" i="11"/>
  <c r="W141" i="14"/>
  <c r="W143" i="15"/>
  <c r="E116" i="13"/>
  <c r="F116" i="12"/>
  <c r="N117" i="10"/>
  <c r="M117" i="10"/>
  <c r="E124" i="13"/>
  <c r="F124" i="12"/>
  <c r="D8" i="8"/>
  <c r="D126" i="8" s="1"/>
  <c r="D130" i="8" s="1"/>
  <c r="AF258" i="6"/>
  <c r="BQ33" i="6" s="1"/>
  <c r="N8" i="6"/>
  <c r="N126" i="6" s="1"/>
  <c r="N130" i="6" s="1"/>
  <c r="F121" i="10"/>
  <c r="D121" i="11"/>
  <c r="L8" i="6"/>
  <c r="BF22" i="10"/>
  <c r="M63" i="7"/>
  <c r="AI110" i="7"/>
  <c r="E77" i="14"/>
  <c r="E25" i="14"/>
  <c r="E26" i="15"/>
  <c r="AG151" i="10"/>
  <c r="AU10" i="9"/>
  <c r="X234" i="8"/>
  <c r="X232" i="8" s="1"/>
  <c r="BN29" i="8" s="1"/>
  <c r="BH13" i="8" s="1"/>
  <c r="W58" i="14"/>
  <c r="W57" i="14" s="1"/>
  <c r="W60" i="15"/>
  <c r="I73" i="10"/>
  <c r="AA8" i="6"/>
  <c r="U1" i="6" s="1"/>
  <c r="BO33" i="6"/>
  <c r="E55" i="13"/>
  <c r="E54" i="12"/>
  <c r="AA94" i="12"/>
  <c r="W43" i="9"/>
  <c r="W14" i="9" s="1"/>
  <c r="AB14" i="8"/>
  <c r="W63" i="9"/>
  <c r="AY14" i="6"/>
  <c r="AY17" i="6" s="1"/>
  <c r="AQ17" i="6"/>
  <c r="AV14" i="6"/>
  <c r="AZ14" i="6"/>
  <c r="AZ17" i="6" s="1"/>
  <c r="AU14" i="6"/>
  <c r="G30" i="11"/>
  <c r="AQ27" i="7"/>
  <c r="BN24" i="7"/>
  <c r="BN22" i="7" s="1"/>
  <c r="BH11" i="7" s="1"/>
  <c r="V214" i="11"/>
  <c r="X214" i="10"/>
  <c r="V211" i="10"/>
  <c r="V210" i="10" s="1"/>
  <c r="V209" i="10" s="1"/>
  <c r="V207" i="10" s="1"/>
  <c r="W165" i="12"/>
  <c r="X165" i="11"/>
  <c r="N101" i="9"/>
  <c r="M101" i="9"/>
  <c r="AD236" i="8"/>
  <c r="AB235" i="8"/>
  <c r="AB234" i="8" s="1"/>
  <c r="AB232" i="8" s="1"/>
  <c r="D38" i="11"/>
  <c r="F38" i="10"/>
  <c r="W66" i="15"/>
  <c r="X66" i="14"/>
  <c r="L126" i="5"/>
  <c r="L130" i="5" s="1"/>
  <c r="K1" i="5"/>
  <c r="J5" i="5"/>
  <c r="V125" i="12"/>
  <c r="X125" i="11"/>
  <c r="BN28" i="8"/>
  <c r="X193" i="8"/>
  <c r="AQ28" i="8" s="1"/>
  <c r="W234" i="9"/>
  <c r="W232" i="9" s="1"/>
  <c r="X170" i="8"/>
  <c r="AQ24" i="8"/>
  <c r="BN14" i="8"/>
  <c r="BH9" i="8" s="1"/>
  <c r="AH119" i="10"/>
  <c r="AI119" i="10"/>
  <c r="AJ119" i="10"/>
  <c r="AE46" i="9"/>
  <c r="AJ46" i="8"/>
  <c r="AJ44" i="8" s="1"/>
  <c r="AG44" i="8"/>
  <c r="AH134" i="9"/>
  <c r="AJ134" i="9"/>
  <c r="X123" i="9"/>
  <c r="N80" i="8"/>
  <c r="J80" i="9"/>
  <c r="W215" i="11"/>
  <c r="X215" i="10"/>
  <c r="AV29" i="7"/>
  <c r="AU29" i="7"/>
  <c r="AI167" i="10"/>
  <c r="AJ167" i="10"/>
  <c r="L42" i="8"/>
  <c r="AS10" i="8" s="1"/>
  <c r="AV10" i="8" s="1"/>
  <c r="J44" i="9"/>
  <c r="N44" i="8"/>
  <c r="N42" i="8" s="1"/>
  <c r="AX10" i="8"/>
  <c r="AZ10" i="8" s="1"/>
  <c r="E14" i="16"/>
  <c r="F14" i="16" s="1"/>
  <c r="F14" i="15"/>
  <c r="AE25" i="11"/>
  <c r="AG25" i="11" s="1"/>
  <c r="AJ25" i="10"/>
  <c r="V156" i="11"/>
  <c r="X156" i="10"/>
  <c r="AW16" i="8"/>
  <c r="AY16" i="8" s="1"/>
  <c r="AI214" i="9"/>
  <c r="AJ214" i="9"/>
  <c r="AH214" i="9"/>
  <c r="BP12" i="7"/>
  <c r="BP9" i="7" s="1"/>
  <c r="AR23" i="7"/>
  <c r="AD63" i="7"/>
  <c r="AD66" i="8"/>
  <c r="AB65" i="8"/>
  <c r="X207" i="8"/>
  <c r="AQ29" i="8" s="1"/>
  <c r="BN27" i="8"/>
  <c r="AI165" i="10"/>
  <c r="AH165" i="10"/>
  <c r="AJ165" i="10"/>
  <c r="AH158" i="9"/>
  <c r="AI158" i="9"/>
  <c r="X157" i="9"/>
  <c r="X155" i="9" s="1"/>
  <c r="AG178" i="8"/>
  <c r="AE176" i="8"/>
  <c r="AE170" i="8" s="1"/>
  <c r="AI237" i="9"/>
  <c r="X235" i="9"/>
  <c r="AH237" i="9"/>
  <c r="AJ237" i="9"/>
  <c r="AH54" i="9"/>
  <c r="AI54" i="9"/>
  <c r="X49" i="9"/>
  <c r="E119" i="15"/>
  <c r="M92" i="11"/>
  <c r="N92" i="11"/>
  <c r="D96" i="13"/>
  <c r="F96" i="12"/>
  <c r="L119" i="8"/>
  <c r="J119" i="9" s="1"/>
  <c r="J113" i="8"/>
  <c r="T15" i="5"/>
  <c r="A1" i="5"/>
  <c r="F126" i="5"/>
  <c r="F130" i="5" s="1"/>
  <c r="B5" i="5"/>
  <c r="AH249" i="9"/>
  <c r="AI249" i="9"/>
  <c r="AJ249" i="9"/>
  <c r="AU24" i="7"/>
  <c r="AY24" i="7"/>
  <c r="AE195" i="8"/>
  <c r="AE194" i="8" s="1"/>
  <c r="AE193" i="8" s="1"/>
  <c r="AG197" i="8"/>
  <c r="AG136" i="8"/>
  <c r="AE123" i="8"/>
  <c r="AE112" i="8" s="1"/>
  <c r="W102" i="15"/>
  <c r="X102" i="14"/>
  <c r="W73" i="16"/>
  <c r="J94" i="8"/>
  <c r="L95" i="8"/>
  <c r="AH129" i="10"/>
  <c r="AI129" i="10"/>
  <c r="AJ129" i="10"/>
  <c r="AG153" i="9"/>
  <c r="BO28" i="7"/>
  <c r="BO25" i="7" s="1"/>
  <c r="BI12" i="7" s="1"/>
  <c r="AA193" i="7"/>
  <c r="W203" i="10"/>
  <c r="W204" i="11"/>
  <c r="X204" i="10"/>
  <c r="AJ204" i="10" s="1"/>
  <c r="AJ203" i="10" s="1"/>
  <c r="AA236" i="8"/>
  <c r="Y235" i="8"/>
  <c r="E56" i="15"/>
  <c r="F97" i="10"/>
  <c r="D97" i="11"/>
  <c r="D94" i="10"/>
  <c r="V240" i="11"/>
  <c r="X240" i="10"/>
  <c r="V235" i="10"/>
  <c r="AZ9" i="7"/>
  <c r="AB142" i="9"/>
  <c r="AD141" i="8"/>
  <c r="BP20" i="8" s="1"/>
  <c r="AI142" i="8"/>
  <c r="AI141" i="8" s="1"/>
  <c r="AW26" i="6"/>
  <c r="AY26" i="6" s="1"/>
  <c r="AU26" i="6"/>
  <c r="L53" i="8"/>
  <c r="J51" i="8"/>
  <c r="Y204" i="9"/>
  <c r="AA203" i="8"/>
  <c r="X83" i="9"/>
  <c r="AI86" i="9"/>
  <c r="AB88" i="12"/>
  <c r="G76" i="9"/>
  <c r="I75" i="8"/>
  <c r="M76" i="8"/>
  <c r="M75" i="8" s="1"/>
  <c r="M43" i="10"/>
  <c r="F42" i="10"/>
  <c r="AQ10" i="10" s="1"/>
  <c r="BC16" i="10"/>
  <c r="AB204" i="9"/>
  <c r="AD203" i="8"/>
  <c r="Y247" i="15"/>
  <c r="AA247" i="15" s="1"/>
  <c r="AH247" i="14"/>
  <c r="AH163" i="10"/>
  <c r="AJ163" i="10"/>
  <c r="AI163" i="10"/>
  <c r="V74" i="12"/>
  <c r="X74" i="11"/>
  <c r="V69" i="11"/>
  <c r="V65" i="11" s="1"/>
  <c r="AH66" i="13"/>
  <c r="AQ22" i="13"/>
  <c r="BN10" i="13"/>
  <c r="AJ66" i="13"/>
  <c r="D110" i="12"/>
  <c r="F110" i="11"/>
  <c r="N110" i="11" s="1"/>
  <c r="BP33" i="5"/>
  <c r="AR31" i="5"/>
  <c r="AR32" i="5" s="1"/>
  <c r="AH125" i="10"/>
  <c r="AJ125" i="10"/>
  <c r="I65" i="8"/>
  <c r="I63" i="8" s="1"/>
  <c r="G128" i="8"/>
  <c r="J75" i="8"/>
  <c r="L76" i="8"/>
  <c r="AB29" i="12"/>
  <c r="AD29" i="12" s="1"/>
  <c r="AI29" i="11"/>
  <c r="AB253" i="12"/>
  <c r="AD253" i="12" s="1"/>
  <c r="AI253" i="11"/>
  <c r="Y115" i="9"/>
  <c r="AH115" i="8"/>
  <c r="AH114" i="8" s="1"/>
  <c r="AA114" i="8"/>
  <c r="BO16" i="8" s="1"/>
  <c r="Y143" i="13"/>
  <c r="AA143" i="13" s="1"/>
  <c r="W190" i="11"/>
  <c r="W187" i="10"/>
  <c r="W185" i="10" s="1"/>
  <c r="X190" i="10"/>
  <c r="L70" i="10"/>
  <c r="J46" i="10"/>
  <c r="N46" i="9"/>
  <c r="E47" i="16"/>
  <c r="N14" i="14"/>
  <c r="M14" i="14"/>
  <c r="AE137" i="12"/>
  <c r="AG137" i="12" s="1"/>
  <c r="AI156" i="9"/>
  <c r="AJ156" i="9"/>
  <c r="AH156" i="9"/>
  <c r="BN18" i="9"/>
  <c r="V94" i="11"/>
  <c r="V91" i="10"/>
  <c r="X94" i="10"/>
  <c r="F102" i="11"/>
  <c r="D102" i="12"/>
  <c r="BN17" i="8"/>
  <c r="X112" i="8"/>
  <c r="X110" i="8" s="1"/>
  <c r="AQ26" i="8" s="1"/>
  <c r="J55" i="10"/>
  <c r="N55" i="9"/>
  <c r="BN19" i="10"/>
  <c r="AI134" i="9"/>
  <c r="AA63" i="7"/>
  <c r="AJ91" i="8"/>
  <c r="AG63" i="7"/>
  <c r="AG12" i="7" s="1"/>
  <c r="BN25" i="7"/>
  <c r="BH12" i="7" s="1"/>
  <c r="AH204" i="8"/>
  <c r="AH203" i="8" s="1"/>
  <c r="V129" i="12"/>
  <c r="X129" i="11"/>
  <c r="W97" i="13"/>
  <c r="W96" i="12"/>
  <c r="G80" i="14"/>
  <c r="I80" i="14" s="1"/>
  <c r="M53" i="11"/>
  <c r="AJ67" i="10"/>
  <c r="AE67" i="11"/>
  <c r="AG67" i="11" s="1"/>
  <c r="AA173" i="8"/>
  <c r="Y172" i="8"/>
  <c r="AI33" i="10"/>
  <c r="AH33" i="10"/>
  <c r="AJ33" i="10"/>
  <c r="W68" i="12"/>
  <c r="X68" i="11"/>
  <c r="AE202" i="15"/>
  <c r="AG202" i="15" s="1"/>
  <c r="AD190" i="8"/>
  <c r="AB187" i="8"/>
  <c r="AB185" i="8" s="1"/>
  <c r="G78" i="9"/>
  <c r="I78" i="9" s="1"/>
  <c r="M78" i="9" s="1"/>
  <c r="I79" i="9"/>
  <c r="W163" i="12"/>
  <c r="X163" i="11"/>
  <c r="M102" i="10"/>
  <c r="N102" i="10"/>
  <c r="AJ26" i="11"/>
  <c r="AE26" i="12"/>
  <c r="AG26" i="12" s="1"/>
  <c r="W245" i="11"/>
  <c r="X245" i="10"/>
  <c r="W243" i="10"/>
  <c r="W256" i="12"/>
  <c r="X256" i="11"/>
  <c r="W108" i="14"/>
  <c r="X108" i="13"/>
  <c r="W44" i="10"/>
  <c r="W45" i="11"/>
  <c r="X45" i="10"/>
  <c r="F92" i="12"/>
  <c r="D92" i="13"/>
  <c r="AX15" i="7"/>
  <c r="AZ15" i="7" s="1"/>
  <c r="AV15" i="7"/>
  <c r="BN33" i="5"/>
  <c r="AQ31" i="5"/>
  <c r="AE191" i="14"/>
  <c r="AG191" i="14" s="1"/>
  <c r="AJ191" i="13"/>
  <c r="AD215" i="8"/>
  <c r="AB211" i="8"/>
  <c r="AB210" i="8" s="1"/>
  <c r="AB209" i="8" s="1"/>
  <c r="AB207" i="8" s="1"/>
  <c r="AI102" i="13"/>
  <c r="AH102" i="13"/>
  <c r="AJ102" i="13"/>
  <c r="E71" i="14"/>
  <c r="AA84" i="9"/>
  <c r="D95" i="12"/>
  <c r="AE17" i="11"/>
  <c r="AG17" i="11" s="1"/>
  <c r="AS22" i="11" s="1"/>
  <c r="AJ17" i="10"/>
  <c r="AS22" i="10"/>
  <c r="AI50" i="10"/>
  <c r="AB50" i="11"/>
  <c r="AA14" i="7"/>
  <c r="BO12" i="7"/>
  <c r="BO9" i="7" s="1"/>
  <c r="X203" i="9"/>
  <c r="AJ204" i="9"/>
  <c r="AJ203" i="9" s="1"/>
  <c r="D53" i="13"/>
  <c r="D51" i="12"/>
  <c r="F53" i="12"/>
  <c r="D108" i="11"/>
  <c r="D104" i="11" s="1"/>
  <c r="F108" i="10"/>
  <c r="BC19" i="10" s="1"/>
  <c r="W48" i="11"/>
  <c r="X48" i="10"/>
  <c r="F94" i="9"/>
  <c r="M95" i="9"/>
  <c r="BC18" i="9"/>
  <c r="AG86" i="8"/>
  <c r="AE83" i="8"/>
  <c r="AA142" i="8"/>
  <c r="Y141" i="8"/>
  <c r="Y112" i="8" s="1"/>
  <c r="Y110" i="8" s="1"/>
  <c r="W212" i="11"/>
  <c r="X212" i="10"/>
  <c r="W211" i="10"/>
  <c r="W210" i="10" s="1"/>
  <c r="W209" i="10" s="1"/>
  <c r="W207" i="10" s="1"/>
  <c r="W47" i="11"/>
  <c r="X47" i="10"/>
  <c r="E94" i="10"/>
  <c r="E95" i="11"/>
  <c r="AE244" i="12"/>
  <c r="AG244" i="12" s="1"/>
  <c r="AJ244" i="11"/>
  <c r="J67" i="9"/>
  <c r="N67" i="8"/>
  <c r="N66" i="8" s="1"/>
  <c r="L66" i="8"/>
  <c r="AB75" i="9"/>
  <c r="AI75" i="8"/>
  <c r="AI69" i="8" s="1"/>
  <c r="AD69" i="8"/>
  <c r="AE189" i="11"/>
  <c r="AG189" i="11" s="1"/>
  <c r="AJ189" i="10"/>
  <c r="W179" i="11"/>
  <c r="W176" i="10"/>
  <c r="X179" i="10"/>
  <c r="W229" i="13"/>
  <c r="W227" i="12"/>
  <c r="D88" i="14"/>
  <c r="F88" i="13"/>
  <c r="N88" i="13" s="1"/>
  <c r="G12" i="10"/>
  <c r="I10" i="9"/>
  <c r="M12" i="9"/>
  <c r="D45" i="12"/>
  <c r="D46" i="13"/>
  <c r="AU28" i="7"/>
  <c r="G33" i="9"/>
  <c r="I32" i="8"/>
  <c r="M33" i="8"/>
  <c r="M32" i="8" s="1"/>
  <c r="BD13" i="8"/>
  <c r="AD125" i="8"/>
  <c r="AB123" i="8"/>
  <c r="AB112" i="8" s="1"/>
  <c r="W250" i="12"/>
  <c r="X250" i="11"/>
  <c r="AD225" i="8"/>
  <c r="AB222" i="8"/>
  <c r="AB220" i="8" s="1"/>
  <c r="AB97" i="10"/>
  <c r="AI97" i="9"/>
  <c r="AI71" i="9"/>
  <c r="AB71" i="10"/>
  <c r="J43" i="10"/>
  <c r="AD152" i="8"/>
  <c r="AB149" i="8"/>
  <c r="AB147" i="8" s="1"/>
  <c r="W92" i="11"/>
  <c r="X92" i="10"/>
  <c r="W91" i="10"/>
  <c r="W90" i="10" s="1"/>
  <c r="D115" i="15"/>
  <c r="AR7" i="7"/>
  <c r="AU7" i="7" s="1"/>
  <c r="I21" i="7"/>
  <c r="I19" i="7" s="1"/>
  <c r="X10" i="7"/>
  <c r="X8" i="7" s="1"/>
  <c r="AJ243" i="8"/>
  <c r="AH234" i="7"/>
  <c r="AH232" i="7" s="1"/>
  <c r="AI204" i="8"/>
  <c r="AI203" i="8" s="1"/>
  <c r="AB59" i="9"/>
  <c r="AD58" i="8"/>
  <c r="AD57" i="8" s="1"/>
  <c r="AI59" i="8"/>
  <c r="AI58" i="8" s="1"/>
  <c r="AI57" i="8" s="1"/>
  <c r="X44" i="9"/>
  <c r="AH45" i="9"/>
  <c r="AJ45" i="9"/>
  <c r="AI45" i="9"/>
  <c r="W54" i="11"/>
  <c r="W49" i="10"/>
  <c r="X54" i="10"/>
  <c r="N96" i="11"/>
  <c r="M96" i="11"/>
  <c r="W249" i="11"/>
  <c r="X249" i="10"/>
  <c r="BH9" i="7"/>
  <c r="M62" i="11"/>
  <c r="F60" i="11"/>
  <c r="AA26" i="8"/>
  <c r="Y20" i="8"/>
  <c r="Y16" i="8" s="1"/>
  <c r="J30" i="9"/>
  <c r="L29" i="8"/>
  <c r="N30" i="8"/>
  <c r="N29" i="8" s="1"/>
  <c r="Y8" i="7"/>
  <c r="AA80" i="8"/>
  <c r="Y69" i="8"/>
  <c r="Y65" i="8" s="1"/>
  <c r="AW22" i="7"/>
  <c r="AY22" i="7" s="1"/>
  <c r="AU22" i="7"/>
  <c r="AH245" i="9"/>
  <c r="AI245" i="9"/>
  <c r="X243" i="9"/>
  <c r="F86" i="10"/>
  <c r="F85" i="10" s="1"/>
  <c r="D86" i="11"/>
  <c r="D85" i="10"/>
  <c r="AD228" i="9"/>
  <c r="AB227" i="9"/>
  <c r="AI256" i="10"/>
  <c r="AH256" i="10"/>
  <c r="AJ256" i="10"/>
  <c r="AJ108" i="12"/>
  <c r="AH108" i="12"/>
  <c r="AI108" i="12"/>
  <c r="W158" i="11"/>
  <c r="X158" i="10"/>
  <c r="W157" i="10"/>
  <c r="W155" i="10" s="1"/>
  <c r="W145" i="10" s="1"/>
  <c r="X237" i="10"/>
  <c r="W237" i="11"/>
  <c r="W235" i="10"/>
  <c r="W119" i="12"/>
  <c r="W114" i="12" s="1"/>
  <c r="X119" i="11"/>
  <c r="D39" i="13"/>
  <c r="F39" i="12"/>
  <c r="M39" i="12" s="1"/>
  <c r="BP27" i="7"/>
  <c r="AD207" i="7"/>
  <c r="AR29" i="7" s="1"/>
  <c r="AW29" i="7" s="1"/>
  <c r="AY29" i="7" s="1"/>
  <c r="L73" i="8"/>
  <c r="J72" i="8"/>
  <c r="E60" i="12"/>
  <c r="E62" i="13"/>
  <c r="W134" i="11"/>
  <c r="X134" i="10"/>
  <c r="W123" i="10"/>
  <c r="W112" i="10" s="1"/>
  <c r="AE183" i="14"/>
  <c r="AG183" i="14" s="1"/>
  <c r="D31" i="16"/>
  <c r="AA86" i="8"/>
  <c r="Y83" i="8"/>
  <c r="D101" i="11"/>
  <c r="F101" i="10"/>
  <c r="AA197" i="8"/>
  <c r="Y195" i="8"/>
  <c r="Y194" i="8" s="1"/>
  <c r="Y193" i="8" s="1"/>
  <c r="AV22" i="9"/>
  <c r="AX22" i="9"/>
  <c r="AZ22" i="9" s="1"/>
  <c r="V70" i="16"/>
  <c r="AE251" i="14"/>
  <c r="AG251" i="14" s="1"/>
  <c r="I66" i="8"/>
  <c r="M68" i="8"/>
  <c r="M66" i="8" s="1"/>
  <c r="G68" i="9"/>
  <c r="AB21" i="9"/>
  <c r="AI21" i="8"/>
  <c r="AI20" i="8" s="1"/>
  <c r="AI16" i="8" s="1"/>
  <c r="AD20" i="8"/>
  <c r="AD16" i="8" s="1"/>
  <c r="F111" i="11"/>
  <c r="M111" i="11" s="1"/>
  <c r="D111" i="12"/>
  <c r="AD189" i="9"/>
  <c r="N108" i="9"/>
  <c r="M108" i="9"/>
  <c r="AI240" i="9"/>
  <c r="AJ240" i="9"/>
  <c r="AH240" i="9"/>
  <c r="Y106" i="10"/>
  <c r="AH106" i="9"/>
  <c r="AI48" i="9"/>
  <c r="AH48" i="9"/>
  <c r="J32" i="8"/>
  <c r="L33" i="8"/>
  <c r="AX9" i="8" s="1"/>
  <c r="AV11" i="11"/>
  <c r="AU11" i="11"/>
  <c r="AY11" i="11"/>
  <c r="G51" i="8"/>
  <c r="I52" i="8"/>
  <c r="L62" i="9"/>
  <c r="J60" i="9"/>
  <c r="AH212" i="9"/>
  <c r="BN26" i="9"/>
  <c r="AI212" i="9"/>
  <c r="X211" i="9"/>
  <c r="X210" i="9" s="1"/>
  <c r="X209" i="9" s="1"/>
  <c r="AI47" i="9"/>
  <c r="AH47" i="9"/>
  <c r="AJ47" i="9"/>
  <c r="W83" i="10"/>
  <c r="X86" i="10"/>
  <c r="W86" i="11"/>
  <c r="W33" i="12"/>
  <c r="X33" i="11"/>
  <c r="X14" i="8"/>
  <c r="J58" i="9"/>
  <c r="N58" i="8"/>
  <c r="N57" i="8" s="1"/>
  <c r="L57" i="8"/>
  <c r="AI68" i="10"/>
  <c r="AJ68" i="10"/>
  <c r="AH68" i="10"/>
  <c r="F43" i="11"/>
  <c r="D43" i="12"/>
  <c r="D42" i="11"/>
  <c r="AH179" i="9"/>
  <c r="AI179" i="9"/>
  <c r="AJ179" i="9"/>
  <c r="X176" i="9"/>
  <c r="Y243" i="8"/>
  <c r="AA244" i="8"/>
  <c r="AB99" i="9"/>
  <c r="AI99" i="8"/>
  <c r="AI96" i="8" s="1"/>
  <c r="AD96" i="8"/>
  <c r="AI74" i="10"/>
  <c r="AH74" i="10"/>
  <c r="AJ74" i="10"/>
  <c r="BC13" i="9"/>
  <c r="N38" i="9"/>
  <c r="M38" i="9"/>
  <c r="AQ11" i="12"/>
  <c r="M88" i="12"/>
  <c r="L61" i="10"/>
  <c r="AU9" i="7"/>
  <c r="G90" i="11"/>
  <c r="I90" i="11" s="1"/>
  <c r="AW13" i="10"/>
  <c r="AR13" i="10"/>
  <c r="AA133" i="11"/>
  <c r="AE255" i="16"/>
  <c r="AG255" i="16" s="1"/>
  <c r="AJ255" i="16" s="1"/>
  <c r="AJ255" i="15"/>
  <c r="AH190" i="9"/>
  <c r="X187" i="9"/>
  <c r="X185" i="9" s="1"/>
  <c r="AJ190" i="9"/>
  <c r="W167" i="12"/>
  <c r="X167" i="11"/>
  <c r="BN19" i="11" s="1"/>
  <c r="AD112" i="7"/>
  <c r="BP17" i="7"/>
  <c r="AH250" i="10"/>
  <c r="AI250" i="10"/>
  <c r="AJ250" i="10"/>
  <c r="W70" i="12"/>
  <c r="W69" i="11"/>
  <c r="W65" i="11" s="1"/>
  <c r="X70" i="11"/>
  <c r="BP16" i="7"/>
  <c r="AD145" i="7"/>
  <c r="AI94" i="9"/>
  <c r="AH94" i="9"/>
  <c r="X91" i="9"/>
  <c r="X90" i="9" s="1"/>
  <c r="AJ92" i="9"/>
  <c r="AH92" i="9"/>
  <c r="L49" i="8"/>
  <c r="J48" i="8"/>
  <c r="I23" i="8"/>
  <c r="G22" i="8"/>
  <c r="AI63" i="7"/>
  <c r="M110" i="10"/>
  <c r="M113" i="8"/>
  <c r="AH211" i="8"/>
  <c r="AH210" i="8" s="1"/>
  <c r="AH209" i="8" s="1"/>
  <c r="AH207" i="8" s="1"/>
  <c r="F90" i="11"/>
  <c r="D90" i="12"/>
  <c r="G64" i="9"/>
  <c r="BD14" i="8"/>
  <c r="M64" i="8"/>
  <c r="AG142" i="9"/>
  <c r="AE141" i="9"/>
  <c r="J122" i="13"/>
  <c r="N122" i="12"/>
  <c r="N106" i="11"/>
  <c r="AB250" i="14"/>
  <c r="AD250" i="14" s="1"/>
  <c r="AA214" i="14"/>
  <c r="V160" i="16"/>
  <c r="X160" i="15"/>
  <c r="L86" i="9"/>
  <c r="J85" i="9"/>
  <c r="B12" i="13"/>
  <c r="BE21" i="12"/>
  <c r="C128" i="12"/>
  <c r="Q128" i="12"/>
  <c r="H128" i="12"/>
  <c r="P128" i="12"/>
  <c r="K128" i="12"/>
  <c r="AE248" i="15"/>
  <c r="AG248" i="15" s="1"/>
  <c r="AJ248" i="14"/>
  <c r="AE18" i="11"/>
  <c r="AJ18" i="10"/>
  <c r="G110" i="12"/>
  <c r="I110" i="12" s="1"/>
  <c r="AB143" i="12"/>
  <c r="AE59" i="10"/>
  <c r="AJ59" i="9"/>
  <c r="X23" i="15"/>
  <c r="W23" i="16"/>
  <c r="AI238" i="16"/>
  <c r="W152" i="15"/>
  <c r="G48" i="9"/>
  <c r="I50" i="9"/>
  <c r="AE214" i="15"/>
  <c r="AG214" i="15" s="1"/>
  <c r="W116" i="13"/>
  <c r="Y149" i="9"/>
  <c r="Y147" i="9" s="1"/>
  <c r="AA152" i="9"/>
  <c r="G25" i="9"/>
  <c r="I27" i="9"/>
  <c r="AD132" i="13"/>
  <c r="W106" i="14"/>
  <c r="AA126" i="13"/>
  <c r="J39" i="13"/>
  <c r="L39" i="13" s="1"/>
  <c r="M98" i="12"/>
  <c r="N98" i="12"/>
  <c r="AE124" i="10"/>
  <c r="AJ124" i="9"/>
  <c r="Y251" i="15"/>
  <c r="AA251" i="15" s="1"/>
  <c r="AG246" i="9"/>
  <c r="AE243" i="9"/>
  <c r="AE80" i="14"/>
  <c r="AG80" i="14" s="1"/>
  <c r="AJ80" i="13"/>
  <c r="AH246" i="12"/>
  <c r="AI246" i="12"/>
  <c r="AJ31" i="14"/>
  <c r="AE31" i="15"/>
  <c r="AG31" i="15" s="1"/>
  <c r="M87" i="12"/>
  <c r="N87" i="12"/>
  <c r="AB239" i="11"/>
  <c r="AD22" i="13"/>
  <c r="AD197" i="10"/>
  <c r="AA229" i="11"/>
  <c r="AE118" i="13"/>
  <c r="AG118" i="13" s="1"/>
  <c r="J13" i="16"/>
  <c r="AE100" i="15"/>
  <c r="AG100" i="15" s="1"/>
  <c r="AE60" i="9"/>
  <c r="AJ60" i="8"/>
  <c r="AJ58" i="8" s="1"/>
  <c r="AJ57" i="8" s="1"/>
  <c r="AG58" i="8"/>
  <c r="AG57" i="8" s="1"/>
  <c r="AE200" i="15"/>
  <c r="AG200" i="15" s="1"/>
  <c r="AJ200" i="14"/>
  <c r="AZ14" i="7"/>
  <c r="AZ17" i="7" s="1"/>
  <c r="AQ17" i="7"/>
  <c r="M105" i="10"/>
  <c r="AD26" i="10"/>
  <c r="D34" i="16"/>
  <c r="E53" i="15"/>
  <c r="W223" i="14"/>
  <c r="X223" i="13"/>
  <c r="L27" i="10"/>
  <c r="AE133" i="15"/>
  <c r="AG133" i="15" s="1"/>
  <c r="Y47" i="16"/>
  <c r="AG45" i="13"/>
  <c r="AG236" i="13"/>
  <c r="N109" i="15"/>
  <c r="M109" i="15"/>
  <c r="V45" i="14"/>
  <c r="V44" i="13"/>
  <c r="D99" i="13"/>
  <c r="F99" i="12"/>
  <c r="AE99" i="13"/>
  <c r="AG99" i="13" s="1"/>
  <c r="AD229" i="10"/>
  <c r="V225" i="15"/>
  <c r="X124" i="13"/>
  <c r="V124" i="14"/>
  <c r="AG54" i="9"/>
  <c r="AI216" i="14"/>
  <c r="AB216" i="15"/>
  <c r="AD216" i="15" s="1"/>
  <c r="G83" i="10"/>
  <c r="M83" i="9"/>
  <c r="I81" i="9"/>
  <c r="E12" i="14"/>
  <c r="AD129" i="14"/>
  <c r="AB53" i="16"/>
  <c r="AD53" i="16" s="1"/>
  <c r="AI53" i="16" s="1"/>
  <c r="AI53" i="15"/>
  <c r="G41" i="12"/>
  <c r="I41" i="12" s="1"/>
  <c r="AD212" i="11"/>
  <c r="AG37" i="14"/>
  <c r="V198" i="15"/>
  <c r="N90" i="10"/>
  <c r="M90" i="10"/>
  <c r="AQ13" i="10"/>
  <c r="D106" i="13"/>
  <c r="F106" i="12"/>
  <c r="AE250" i="13"/>
  <c r="AG250" i="13" s="1"/>
  <c r="L25" i="20"/>
  <c r="AG174" i="9"/>
  <c r="AE172" i="9"/>
  <c r="AB180" i="10"/>
  <c r="AD176" i="9"/>
  <c r="AI180" i="9"/>
  <c r="I106" i="9"/>
  <c r="G104" i="9"/>
  <c r="AE224" i="16"/>
  <c r="AG224" i="16" s="1"/>
  <c r="AA25" i="16"/>
  <c r="AJ215" i="8"/>
  <c r="AJ211" i="8" s="1"/>
  <c r="AJ210" i="8" s="1"/>
  <c r="AJ209" i="8" s="1"/>
  <c r="AJ207" i="8" s="1"/>
  <c r="AE215" i="9"/>
  <c r="AG211" i="8"/>
  <c r="AG210" i="8" s="1"/>
  <c r="AG209" i="8" s="1"/>
  <c r="AG207" i="8" s="1"/>
  <c r="AS29" i="8" s="1"/>
  <c r="AX29" i="8" s="1"/>
  <c r="AZ29" i="8" s="1"/>
  <c r="AG186" i="9"/>
  <c r="D91" i="16"/>
  <c r="V28" i="14"/>
  <c r="AG212" i="10"/>
  <c r="AG237" i="11"/>
  <c r="W174" i="14"/>
  <c r="D98" i="14"/>
  <c r="F98" i="13"/>
  <c r="AG40" i="12"/>
  <c r="X246" i="13"/>
  <c r="V246" i="14"/>
  <c r="AE130" i="15"/>
  <c r="AG130" i="15" s="1"/>
  <c r="AJ130" i="14"/>
  <c r="AJ17" i="11"/>
  <c r="I67" i="13"/>
  <c r="W94" i="13"/>
  <c r="V92" i="14"/>
  <c r="AE218" i="14"/>
  <c r="AG218" i="14" s="1"/>
  <c r="AJ218" i="13"/>
  <c r="D107" i="12"/>
  <c r="F107" i="11"/>
  <c r="AE47" i="16"/>
  <c r="AG47" i="16" s="1"/>
  <c r="L63" i="8"/>
  <c r="J65" i="9"/>
  <c r="N65" i="8"/>
  <c r="AA238" i="9"/>
  <c r="V203" i="13"/>
  <c r="V204" i="14"/>
  <c r="AB138" i="16"/>
  <c r="AD138" i="16" s="1"/>
  <c r="AI138" i="16" s="1"/>
  <c r="AI138" i="15"/>
  <c r="AG238" i="10"/>
  <c r="J52" i="10"/>
  <c r="N52" i="9"/>
  <c r="BO27" i="8"/>
  <c r="AA207" i="8"/>
  <c r="F100" i="15"/>
  <c r="D100" i="16"/>
  <c r="F100" i="16" s="1"/>
  <c r="I77" i="11"/>
  <c r="E72" i="15"/>
  <c r="E74" i="16"/>
  <c r="AJ101" i="13"/>
  <c r="AE101" i="14"/>
  <c r="AG101" i="14" s="1"/>
  <c r="AG92" i="13"/>
  <c r="E50" i="15"/>
  <c r="L15" i="10"/>
  <c r="J10" i="10"/>
  <c r="AG93" i="11"/>
  <c r="AJ126" i="11"/>
  <c r="AH126" i="11"/>
  <c r="AI126" i="11"/>
  <c r="AB70" i="11"/>
  <c r="AI70" i="10"/>
  <c r="AE22" i="9"/>
  <c r="AJ22" i="8"/>
  <c r="AJ20" i="8" s="1"/>
  <c r="AJ16" i="8" s="1"/>
  <c r="AG20" i="8"/>
  <c r="AG16" i="8" s="1"/>
  <c r="N109" i="16"/>
  <c r="M109" i="16"/>
  <c r="M36" i="10"/>
  <c r="G36" i="11"/>
  <c r="AD224" i="9"/>
  <c r="AD67" i="9"/>
  <c r="M99" i="11"/>
  <c r="N99" i="11"/>
  <c r="N68" i="10"/>
  <c r="J68" i="11"/>
  <c r="AG177" i="9"/>
  <c r="AG84" i="11"/>
  <c r="AJ29" i="14"/>
  <c r="AE29" i="15"/>
  <c r="AG29" i="15" s="1"/>
  <c r="AE165" i="13"/>
  <c r="AG165" i="13" s="1"/>
  <c r="AI124" i="12"/>
  <c r="E87" i="13"/>
  <c r="F87" i="13" s="1"/>
  <c r="G86" i="9"/>
  <c r="I85" i="8"/>
  <c r="M86" i="8"/>
  <c r="M85" i="8" s="1"/>
  <c r="E86" i="15"/>
  <c r="AE32" i="16"/>
  <c r="AG32" i="16" s="1"/>
  <c r="AU15" i="8"/>
  <c r="AD213" i="10"/>
  <c r="AE134" i="14"/>
  <c r="AG134" i="14" s="1"/>
  <c r="E91" i="12"/>
  <c r="F91" i="11"/>
  <c r="AD94" i="14"/>
  <c r="AB218" i="15"/>
  <c r="AD218" i="15" s="1"/>
  <c r="AI218" i="14"/>
  <c r="AJ253" i="13"/>
  <c r="AE253" i="14"/>
  <c r="AG253" i="14" s="1"/>
  <c r="AJ160" i="14"/>
  <c r="AH160" i="14"/>
  <c r="AI160" i="14"/>
  <c r="Q126" i="11"/>
  <c r="Q130" i="11" s="1"/>
  <c r="C126" i="11"/>
  <c r="C130" i="11" s="1"/>
  <c r="AI244" i="14"/>
  <c r="J37" i="10"/>
  <c r="N37" i="9"/>
  <c r="J88" i="14"/>
  <c r="L88" i="14" s="1"/>
  <c r="AX11" i="13"/>
  <c r="AS11" i="13"/>
  <c r="AD61" i="13"/>
  <c r="AE72" i="12"/>
  <c r="AG72" i="12" s="1"/>
  <c r="AJ72" i="11"/>
  <c r="Y161" i="16"/>
  <c r="AA161" i="16" s="1"/>
  <c r="V212" i="16"/>
  <c r="L74" i="10"/>
  <c r="AR8" i="8"/>
  <c r="AE77" i="14"/>
  <c r="AG77" i="14" s="1"/>
  <c r="AB255" i="16"/>
  <c r="AD255" i="16" s="1"/>
  <c r="AI255" i="16" s="1"/>
  <c r="AI255" i="15"/>
  <c r="AE254" i="14"/>
  <c r="AG254" i="14" s="1"/>
  <c r="W120" i="13"/>
  <c r="M107" i="10"/>
  <c r="N107" i="10"/>
  <c r="AE173" i="11"/>
  <c r="AX23" i="7"/>
  <c r="AV23" i="7"/>
  <c r="AE256" i="15"/>
  <c r="AG256" i="15" s="1"/>
  <c r="M89" i="13"/>
  <c r="N89" i="13"/>
  <c r="AQ12" i="13"/>
  <c r="X199" i="13"/>
  <c r="V199" i="14"/>
  <c r="AE188" i="9"/>
  <c r="AG187" i="8"/>
  <c r="AG185" i="8" s="1"/>
  <c r="AJ188" i="8"/>
  <c r="AJ187" i="8" s="1"/>
  <c r="AJ185" i="8" s="1"/>
  <c r="AB201" i="16"/>
  <c r="AD201" i="16" s="1"/>
  <c r="AI201" i="16" s="1"/>
  <c r="AI201" i="15"/>
  <c r="G55" i="11"/>
  <c r="AE240" i="16"/>
  <c r="AG240" i="16" s="1"/>
  <c r="AE95" i="10"/>
  <c r="AJ95" i="9"/>
  <c r="AB107" i="11"/>
  <c r="AI107" i="10"/>
  <c r="AH40" i="10"/>
  <c r="Y40" i="11"/>
  <c r="AG148" i="11"/>
  <c r="N100" i="14"/>
  <c r="M100" i="14"/>
  <c r="AE19" i="10"/>
  <c r="AJ19" i="9"/>
  <c r="F83" i="16"/>
  <c r="J82" i="10"/>
  <c r="N82" i="9"/>
  <c r="AE228" i="9"/>
  <c r="AG227" i="8"/>
  <c r="AJ228" i="8"/>
  <c r="AJ227" i="8" s="1"/>
  <c r="AS16" i="9"/>
  <c r="AG168" i="11"/>
  <c r="AG158" i="9"/>
  <c r="D13" i="14"/>
  <c r="F15" i="12"/>
  <c r="D15" i="13"/>
  <c r="AD134" i="10"/>
  <c r="I105" i="15"/>
  <c r="AE73" i="9"/>
  <c r="AJ73" i="8"/>
  <c r="AJ69" i="8" s="1"/>
  <c r="AJ65" i="8" s="1"/>
  <c r="AG69" i="8"/>
  <c r="AG65" i="8" s="1"/>
  <c r="G117" i="16"/>
  <c r="I117" i="16" s="1"/>
  <c r="AE75" i="14"/>
  <c r="AG75" i="14" s="1"/>
  <c r="AH213" i="11"/>
  <c r="AJ213" i="11"/>
  <c r="AE127" i="15"/>
  <c r="AG127" i="15" s="1"/>
  <c r="AJ127" i="14"/>
  <c r="V24" i="14"/>
  <c r="AE119" i="14"/>
  <c r="AG119" i="14" s="1"/>
  <c r="AJ164" i="12"/>
  <c r="AE164" i="13"/>
  <c r="AG164" i="13" s="1"/>
  <c r="AD23" i="12"/>
  <c r="E85" i="11"/>
  <c r="AY14" i="7"/>
  <c r="N91" i="10"/>
  <c r="M91" i="10"/>
  <c r="M44" i="10"/>
  <c r="I42" i="10"/>
  <c r="AR10" i="10" s="1"/>
  <c r="G44" i="11"/>
  <c r="AW10" i="10"/>
  <c r="AE53" i="13"/>
  <c r="AG53" i="13" s="1"/>
  <c r="AJ53" i="12"/>
  <c r="AG106" i="9"/>
  <c r="AE105" i="9"/>
  <c r="AE104" i="9" s="1"/>
  <c r="P126" i="11"/>
  <c r="P130" i="11" s="1"/>
  <c r="X244" i="15"/>
  <c r="W244" i="16"/>
  <c r="X228" i="15"/>
  <c r="W228" i="16"/>
  <c r="Y241" i="16"/>
  <c r="AA241" i="16" s="1"/>
  <c r="AH241" i="16" s="1"/>
  <c r="AH241" i="15"/>
  <c r="AE61" i="14"/>
  <c r="AG61" i="14" s="1"/>
  <c r="AJ23" i="14"/>
  <c r="AH23" i="14"/>
  <c r="AI238" i="15"/>
  <c r="AE70" i="10"/>
  <c r="AJ70" i="9"/>
  <c r="AE204" i="11"/>
  <c r="AG203" i="10"/>
  <c r="AY12" i="12"/>
  <c r="AV12" i="12"/>
  <c r="AU12" i="12"/>
  <c r="AZ12" i="12"/>
  <c r="E108" i="13"/>
  <c r="D81" i="13"/>
  <c r="D82" i="14"/>
  <c r="M25" i="8"/>
  <c r="AB245" i="12"/>
  <c r="AE241" i="9"/>
  <c r="AJ241" i="8"/>
  <c r="AG235" i="8"/>
  <c r="AG234" i="8" s="1"/>
  <c r="AG232" i="8" s="1"/>
  <c r="J104" i="9"/>
  <c r="L105" i="9"/>
  <c r="AG196" i="15"/>
  <c r="AE48" i="10"/>
  <c r="AJ48" i="9"/>
  <c r="AD166" i="11"/>
  <c r="AE97" i="10"/>
  <c r="AJ97" i="9"/>
  <c r="AA70" i="9"/>
  <c r="AJ182" i="14"/>
  <c r="AE182" i="15"/>
  <c r="AG182" i="15" s="1"/>
  <c r="AE167" i="14"/>
  <c r="AG167" i="14" s="1"/>
  <c r="AD36" i="11"/>
  <c r="D87" i="14"/>
  <c r="Y159" i="11"/>
  <c r="AH159" i="10"/>
  <c r="G97" i="10"/>
  <c r="M97" i="9"/>
  <c r="I94" i="9"/>
  <c r="BD18" i="9"/>
  <c r="AB191" i="10"/>
  <c r="AI191" i="9"/>
  <c r="Y51" i="11"/>
  <c r="AB248" i="9"/>
  <c r="AI248" i="8"/>
  <c r="AI243" i="8" s="1"/>
  <c r="AD243" i="8"/>
  <c r="AJ115" i="10"/>
  <c r="AE115" i="11"/>
  <c r="AB55" i="15"/>
  <c r="AD55" i="15" s="1"/>
  <c r="G111" i="15"/>
  <c r="I111" i="15" s="1"/>
  <c r="F89" i="14"/>
  <c r="D89" i="15"/>
  <c r="AH199" i="12"/>
  <c r="AJ199" i="12"/>
  <c r="AJ252" i="11"/>
  <c r="AE252" i="12"/>
  <c r="AG252" i="12" s="1"/>
  <c r="J111" i="12"/>
  <c r="L111" i="12" s="1"/>
  <c r="N111" i="11"/>
  <c r="F105" i="11"/>
  <c r="D105" i="12"/>
  <c r="AE81" i="10"/>
  <c r="AJ81" i="9"/>
  <c r="AE239" i="14"/>
  <c r="AG239" i="14" s="1"/>
  <c r="AG51" i="11"/>
  <c r="AI223" i="12"/>
  <c r="Y211" i="9"/>
  <c r="Y210" i="9" s="1"/>
  <c r="Y209" i="9" s="1"/>
  <c r="Y207" i="9" s="1"/>
  <c r="AA215" i="9"/>
  <c r="AA237" i="16"/>
  <c r="J31" i="15"/>
  <c r="AE190" i="16"/>
  <c r="AG190" i="16" s="1"/>
  <c r="W126" i="13"/>
  <c r="X126" i="12"/>
  <c r="Y27" i="10"/>
  <c r="AH27" i="9"/>
  <c r="L118" i="14"/>
  <c r="AG85" i="10"/>
  <c r="M15" i="11"/>
  <c r="L24" i="10"/>
  <c r="E105" i="13"/>
  <c r="E104" i="12"/>
  <c r="AU13" i="9"/>
  <c r="AV13" i="9"/>
  <c r="AZ13" i="9"/>
  <c r="AY13" i="9"/>
  <c r="V38" i="14"/>
  <c r="AR11" i="16"/>
  <c r="AW11" i="16"/>
  <c r="AE249" i="14"/>
  <c r="AG249" i="14" s="1"/>
  <c r="AJ205" i="14"/>
  <c r="AE205" i="15"/>
  <c r="AG205" i="15" s="1"/>
  <c r="X213" i="12"/>
  <c r="V213" i="13"/>
  <c r="G71" i="14"/>
  <c r="B24" i="15"/>
  <c r="E59" i="16"/>
  <c r="AG245" i="10"/>
  <c r="AB183" i="12"/>
  <c r="AD183" i="12" s="1"/>
  <c r="AA196" i="10"/>
  <c r="G95" i="11"/>
  <c r="M95" i="10"/>
  <c r="V173" i="15"/>
  <c r="F104" i="10" l="1"/>
  <c r="AD8" i="6"/>
  <c r="V234" i="10"/>
  <c r="V232" i="10" s="1"/>
  <c r="BP24" i="7"/>
  <c r="BP22" i="7" s="1"/>
  <c r="BJ11" i="7" s="1"/>
  <c r="M21" i="7"/>
  <c r="M19" i="7" s="1"/>
  <c r="M17" i="7" s="1"/>
  <c r="AH8" i="6"/>
  <c r="F75" i="11"/>
  <c r="V170" i="10"/>
  <c r="Y90" i="8"/>
  <c r="AQ9" i="8"/>
  <c r="AD90" i="8"/>
  <c r="AZ30" i="7"/>
  <c r="D28" i="10"/>
  <c r="AQ25" i="8"/>
  <c r="AQ30" i="8"/>
  <c r="X63" i="8"/>
  <c r="AY30" i="7"/>
  <c r="V110" i="9"/>
  <c r="AB63" i="8"/>
  <c r="BN15" i="8"/>
  <c r="BH10" i="8" s="1"/>
  <c r="BN12" i="9"/>
  <c r="BN9" i="9" s="1"/>
  <c r="AJ8" i="6"/>
  <c r="AJ12" i="7"/>
  <c r="AJ10" i="7" s="1"/>
  <c r="BD17" i="8"/>
  <c r="AB145" i="8"/>
  <c r="AV25" i="7"/>
  <c r="F78" i="10"/>
  <c r="AD43" i="8"/>
  <c r="V123" i="11"/>
  <c r="M42" i="10"/>
  <c r="M110" i="11"/>
  <c r="AI12" i="7"/>
  <c r="AI90" i="8"/>
  <c r="J28" i="8"/>
  <c r="J21" i="8" s="1"/>
  <c r="J19" i="8" s="1"/>
  <c r="J17" i="8" s="1"/>
  <c r="J8" i="8" s="1"/>
  <c r="J126" i="8" s="1"/>
  <c r="J130" i="8" s="1"/>
  <c r="AB170" i="8"/>
  <c r="AY27" i="7"/>
  <c r="AV24" i="7"/>
  <c r="AB258" i="7"/>
  <c r="X258" i="6"/>
  <c r="AH128" i="12"/>
  <c r="AJ128" i="12"/>
  <c r="AI128" i="12"/>
  <c r="V174" i="12"/>
  <c r="V172" i="11"/>
  <c r="X174" i="11"/>
  <c r="AH174" i="11" s="1"/>
  <c r="G26" i="12"/>
  <c r="I26" i="12" s="1"/>
  <c r="BD11" i="11"/>
  <c r="M55" i="10"/>
  <c r="X63" i="9"/>
  <c r="AZ28" i="7"/>
  <c r="X194" i="9"/>
  <c r="X193" i="9" s="1"/>
  <c r="AQ28" i="9" s="1"/>
  <c r="D21" i="10"/>
  <c r="V12" i="9"/>
  <c r="V128" i="14"/>
  <c r="X128" i="13"/>
  <c r="AD117" i="9"/>
  <c r="AB114" i="9"/>
  <c r="V180" i="15"/>
  <c r="X180" i="14"/>
  <c r="AJ180" i="14" s="1"/>
  <c r="Y46" i="9"/>
  <c r="AA44" i="8"/>
  <c r="AH46" i="8"/>
  <c r="AH44" i="8" s="1"/>
  <c r="AY28" i="7"/>
  <c r="AD12" i="7"/>
  <c r="Y43" i="8"/>
  <c r="Y14" i="8" s="1"/>
  <c r="AA124" i="10"/>
  <c r="Y123" i="10"/>
  <c r="AJ132" i="10"/>
  <c r="AH132" i="10"/>
  <c r="AI132" i="10"/>
  <c r="AE63" i="8"/>
  <c r="L128" i="8"/>
  <c r="V112" i="10"/>
  <c r="AG94" i="9"/>
  <c r="AE91" i="9"/>
  <c r="AB161" i="9"/>
  <c r="AD157" i="8"/>
  <c r="AD155" i="8" s="1"/>
  <c r="AI161" i="8"/>
  <c r="AI157" i="8" s="1"/>
  <c r="AI155" i="8" s="1"/>
  <c r="V132" i="12"/>
  <c r="X132" i="11"/>
  <c r="AJ223" i="8"/>
  <c r="AJ222" i="8" s="1"/>
  <c r="AJ220" i="8" s="1"/>
  <c r="AG222" i="8"/>
  <c r="AG220" i="8" s="1"/>
  <c r="AS30" i="8" s="1"/>
  <c r="AX30" i="8" s="1"/>
  <c r="AE223" i="9"/>
  <c r="BN16" i="9"/>
  <c r="V220" i="10"/>
  <c r="AX26" i="7"/>
  <c r="AZ26" i="7" s="1"/>
  <c r="AV26" i="7"/>
  <c r="BO8" i="7"/>
  <c r="BO7" i="7" s="1"/>
  <c r="BO32" i="7" s="1"/>
  <c r="AG10" i="7"/>
  <c r="AG258" i="7" s="1"/>
  <c r="AS31" i="7" s="1"/>
  <c r="AS32" i="7" s="1"/>
  <c r="BN25" i="8"/>
  <c r="BH12" i="8" s="1"/>
  <c r="AJ258" i="7"/>
  <c r="AE145" i="8"/>
  <c r="AE110" i="8" s="1"/>
  <c r="AS14" i="7"/>
  <c r="AS17" i="7" s="1"/>
  <c r="BC21" i="10"/>
  <c r="AH12" i="7"/>
  <c r="AH10" i="7" s="1"/>
  <c r="AI43" i="8"/>
  <c r="X43" i="9"/>
  <c r="X14" i="9" s="1"/>
  <c r="AB168" i="16"/>
  <c r="AD168" i="16" s="1"/>
  <c r="AI168" i="16" s="1"/>
  <c r="AI168" i="15"/>
  <c r="V8" i="8"/>
  <c r="V258" i="8"/>
  <c r="AE14" i="8"/>
  <c r="V75" i="14"/>
  <c r="X75" i="13"/>
  <c r="J23" i="9"/>
  <c r="AX7" i="8"/>
  <c r="AZ7" i="8" s="1"/>
  <c r="L22" i="8"/>
  <c r="AS7" i="8" s="1"/>
  <c r="AV7" i="8" s="1"/>
  <c r="N23" i="8"/>
  <c r="N22" i="8" s="1"/>
  <c r="AE159" i="9"/>
  <c r="AJ159" i="8"/>
  <c r="AJ157" i="8" s="1"/>
  <c r="AJ155" i="8" s="1"/>
  <c r="AG157" i="8"/>
  <c r="AG155" i="8" s="1"/>
  <c r="V118" i="12"/>
  <c r="X118" i="11"/>
  <c r="Y167" i="9"/>
  <c r="BO19" i="8"/>
  <c r="AA157" i="8"/>
  <c r="AA155" i="8" s="1"/>
  <c r="AH167" i="8"/>
  <c r="AH157" i="8" s="1"/>
  <c r="AH155" i="8" s="1"/>
  <c r="AH145" i="8" s="1"/>
  <c r="E49" i="13"/>
  <c r="E48" i="12"/>
  <c r="L47" i="9"/>
  <c r="J45" i="9"/>
  <c r="D80" i="12"/>
  <c r="F80" i="11"/>
  <c r="M80" i="11" s="1"/>
  <c r="D78" i="11"/>
  <c r="D41" i="12"/>
  <c r="F41" i="11"/>
  <c r="V99" i="13"/>
  <c r="X99" i="12"/>
  <c r="AB85" i="9"/>
  <c r="AD83" i="8"/>
  <c r="AR24" i="8" s="1"/>
  <c r="AI85" i="8"/>
  <c r="AI83" i="8" s="1"/>
  <c r="D71" i="13"/>
  <c r="D69" i="13" s="1"/>
  <c r="F71" i="12"/>
  <c r="V116" i="12"/>
  <c r="X116" i="11"/>
  <c r="AA187" i="9"/>
  <c r="AA185" i="9" s="1"/>
  <c r="Y188" i="10"/>
  <c r="AH188" i="9"/>
  <c r="AH187" i="9" s="1"/>
  <c r="AH185" i="9" s="1"/>
  <c r="D33" i="13"/>
  <c r="F33" i="12"/>
  <c r="D32" i="12"/>
  <c r="J83" i="9"/>
  <c r="N83" i="8"/>
  <c r="N81" i="8" s="1"/>
  <c r="L81" i="8"/>
  <c r="V77" i="14"/>
  <c r="X77" i="13"/>
  <c r="Y52" i="9"/>
  <c r="AA49" i="8"/>
  <c r="AH52" i="8"/>
  <c r="AH49" i="8" s="1"/>
  <c r="Y17" i="12"/>
  <c r="AA17" i="12" s="1"/>
  <c r="BO10" i="11"/>
  <c r="AH17" i="11"/>
  <c r="V87" i="13"/>
  <c r="X87" i="12"/>
  <c r="AJ21" i="10"/>
  <c r="AH21" i="10"/>
  <c r="AH85" i="10"/>
  <c r="V79" i="15"/>
  <c r="X79" i="14"/>
  <c r="F68" i="12"/>
  <c r="D66" i="12"/>
  <c r="D68" i="13"/>
  <c r="N39" i="12"/>
  <c r="X12" i="8"/>
  <c r="BP25" i="7"/>
  <c r="BJ12" i="7" s="1"/>
  <c r="AU15" i="9"/>
  <c r="V145" i="10"/>
  <c r="V110" i="10" s="1"/>
  <c r="X220" i="9"/>
  <c r="BN30" i="9" s="1"/>
  <c r="BH14" i="9" s="1"/>
  <c r="E28" i="10"/>
  <c r="E21" i="10" s="1"/>
  <c r="E19" i="10" s="1"/>
  <c r="E17" i="10" s="1"/>
  <c r="E8" i="10" s="1"/>
  <c r="E126" i="10" s="1"/>
  <c r="E130" i="10" s="1"/>
  <c r="V106" i="12"/>
  <c r="V105" i="11"/>
  <c r="V104" i="11" s="1"/>
  <c r="X106" i="11"/>
  <c r="M47" i="11"/>
  <c r="D30" i="12"/>
  <c r="F30" i="11"/>
  <c r="D29" i="11"/>
  <c r="AD51" i="9"/>
  <c r="AB49" i="9"/>
  <c r="BO23" i="8"/>
  <c r="Y177" i="9"/>
  <c r="AA176" i="8"/>
  <c r="AH177" i="8"/>
  <c r="AH176" i="8" s="1"/>
  <c r="BC12" i="11"/>
  <c r="V60" i="12"/>
  <c r="V58" i="11"/>
  <c r="V57" i="11" s="1"/>
  <c r="X60" i="11"/>
  <c r="Y61" i="12"/>
  <c r="AA61" i="12" s="1"/>
  <c r="BO31" i="11"/>
  <c r="BI15" i="11" s="1"/>
  <c r="M26" i="11"/>
  <c r="BC11" i="11"/>
  <c r="N59" i="11"/>
  <c r="M59" i="11"/>
  <c r="Y107" i="9"/>
  <c r="AA105" i="8"/>
  <c r="AA104" i="8" s="1"/>
  <c r="AH107" i="8"/>
  <c r="AH105" i="8" s="1"/>
  <c r="AH104" i="8" s="1"/>
  <c r="AJ71" i="10"/>
  <c r="AH71" i="10"/>
  <c r="V21" i="12"/>
  <c r="X21" i="11"/>
  <c r="V20" i="11"/>
  <c r="V16" i="11" s="1"/>
  <c r="X85" i="11"/>
  <c r="V85" i="12"/>
  <c r="X227" i="10"/>
  <c r="AH229" i="10"/>
  <c r="AJ229" i="10"/>
  <c r="D50" i="13"/>
  <c r="F50" i="12"/>
  <c r="N50" i="12" s="1"/>
  <c r="AH67" i="11"/>
  <c r="Y67" i="12"/>
  <c r="AA67" i="12" s="1"/>
  <c r="BO11" i="11"/>
  <c r="AI176" i="9"/>
  <c r="AU30" i="7"/>
  <c r="BC10" i="9"/>
  <c r="M10" i="9"/>
  <c r="BC22" i="8"/>
  <c r="X145" i="9"/>
  <c r="AD106" i="9"/>
  <c r="AB105" i="9"/>
  <c r="AB104" i="9" s="1"/>
  <c r="D47" i="13"/>
  <c r="D45" i="13" s="1"/>
  <c r="F47" i="12"/>
  <c r="J36" i="9"/>
  <c r="L35" i="8"/>
  <c r="N36" i="8"/>
  <c r="N35" i="8" s="1"/>
  <c r="AE150" i="9"/>
  <c r="AG149" i="8"/>
  <c r="AG147" i="8" s="1"/>
  <c r="AJ150" i="8"/>
  <c r="AJ149" i="8" s="1"/>
  <c r="AJ147" i="8" s="1"/>
  <c r="F65" i="15"/>
  <c r="E65" i="16"/>
  <c r="F65" i="16" s="1"/>
  <c r="AB31" i="15"/>
  <c r="AD31" i="15" s="1"/>
  <c r="AI31" i="14"/>
  <c r="L26" i="9"/>
  <c r="J25" i="9"/>
  <c r="Y58" i="9"/>
  <c r="Y57" i="9" s="1"/>
  <c r="AA59" i="9"/>
  <c r="D23" i="13"/>
  <c r="F23" i="12"/>
  <c r="D22" i="12"/>
  <c r="AH60" i="10"/>
  <c r="AI60" i="10"/>
  <c r="X58" i="10"/>
  <c r="X57" i="10" s="1"/>
  <c r="Y93" i="9"/>
  <c r="AH93" i="8"/>
  <c r="AH91" i="8" s="1"/>
  <c r="AA91" i="8"/>
  <c r="D56" i="13"/>
  <c r="F56" i="12"/>
  <c r="AB116" i="11"/>
  <c r="D77" i="13"/>
  <c r="F77" i="12"/>
  <c r="N77" i="12" s="1"/>
  <c r="D26" i="13"/>
  <c r="F26" i="12"/>
  <c r="AH223" i="8"/>
  <c r="AH222" i="8" s="1"/>
  <c r="AH220" i="8" s="1"/>
  <c r="Y223" i="9"/>
  <c r="AA222" i="8"/>
  <c r="AA220" i="8" s="1"/>
  <c r="BO30" i="8" s="1"/>
  <c r="BI14" i="8" s="1"/>
  <c r="AB41" i="13"/>
  <c r="AD41" i="13" s="1"/>
  <c r="AI41" i="12"/>
  <c r="AB130" i="13"/>
  <c r="AD130" i="13" s="1"/>
  <c r="AI130" i="12"/>
  <c r="M58" i="8"/>
  <c r="M57" i="8" s="1"/>
  <c r="G58" i="9"/>
  <c r="I57" i="8"/>
  <c r="D12" i="12"/>
  <c r="F12" i="11"/>
  <c r="N12" i="11" s="1"/>
  <c r="D10" i="11"/>
  <c r="AD46" i="9"/>
  <c r="AB44" i="9"/>
  <c r="V71" i="12"/>
  <c r="X71" i="11"/>
  <c r="X69" i="11" s="1"/>
  <c r="X65" i="11" s="1"/>
  <c r="AH55" i="12"/>
  <c r="AJ55" i="12"/>
  <c r="AI55" i="12"/>
  <c r="V227" i="11"/>
  <c r="V229" i="12"/>
  <c r="X229" i="11"/>
  <c r="AH229" i="11" s="1"/>
  <c r="AH73" i="11"/>
  <c r="AI73" i="11"/>
  <c r="BC17" i="10"/>
  <c r="BN8" i="7"/>
  <c r="AY25" i="7"/>
  <c r="Y170" i="8"/>
  <c r="D69" i="12"/>
  <c r="AH75" i="12"/>
  <c r="AJ75" i="12"/>
  <c r="AH118" i="10"/>
  <c r="AI118" i="10"/>
  <c r="AJ118" i="10"/>
  <c r="M61" i="8"/>
  <c r="M60" i="8" s="1"/>
  <c r="I60" i="8"/>
  <c r="G61" i="9"/>
  <c r="D60" i="12"/>
  <c r="D62" i="13"/>
  <c r="N41" i="10"/>
  <c r="M41" i="10"/>
  <c r="AH99" i="11"/>
  <c r="AJ99" i="11"/>
  <c r="M71" i="11"/>
  <c r="AH116" i="10"/>
  <c r="AJ116" i="10"/>
  <c r="AI116" i="10"/>
  <c r="D59" i="13"/>
  <c r="D57" i="12"/>
  <c r="F59" i="12"/>
  <c r="V97" i="12"/>
  <c r="X97" i="11"/>
  <c r="AH97" i="11" s="1"/>
  <c r="AD92" i="9"/>
  <c r="AB91" i="9"/>
  <c r="AH77" i="12"/>
  <c r="AI77" i="12"/>
  <c r="AJ77" i="12"/>
  <c r="D74" i="12"/>
  <c r="D72" i="11"/>
  <c r="F74" i="11"/>
  <c r="F72" i="11" s="1"/>
  <c r="D36" i="12"/>
  <c r="F36" i="11"/>
  <c r="D35" i="11"/>
  <c r="AH87" i="11"/>
  <c r="AJ87" i="11"/>
  <c r="AI87" i="11"/>
  <c r="V55" i="14"/>
  <c r="X55" i="13"/>
  <c r="Y98" i="9"/>
  <c r="AA96" i="8"/>
  <c r="AH98" i="8"/>
  <c r="AH96" i="8" s="1"/>
  <c r="AH79" i="13"/>
  <c r="AJ79" i="13"/>
  <c r="AI79" i="13"/>
  <c r="J71" i="10"/>
  <c r="N71" i="9"/>
  <c r="N69" i="9" s="1"/>
  <c r="L69" i="9"/>
  <c r="V73" i="13"/>
  <c r="X73" i="12"/>
  <c r="W32" i="12"/>
  <c r="X32" i="11"/>
  <c r="E51" i="11"/>
  <c r="E52" i="12"/>
  <c r="F52" i="11"/>
  <c r="F51" i="11" s="1"/>
  <c r="V187" i="12"/>
  <c r="V185" i="12" s="1"/>
  <c r="X188" i="12"/>
  <c r="AI188" i="12" s="1"/>
  <c r="V188" i="13"/>
  <c r="V107" i="15"/>
  <c r="I70" i="9"/>
  <c r="G69" i="9"/>
  <c r="I56" i="9"/>
  <c r="G54" i="9"/>
  <c r="D49" i="12"/>
  <c r="F49" i="11"/>
  <c r="D48" i="11"/>
  <c r="W131" i="12"/>
  <c r="X131" i="11"/>
  <c r="X143" i="11"/>
  <c r="V141" i="11"/>
  <c r="V143" i="12"/>
  <c r="F35" i="10"/>
  <c r="V120" i="12"/>
  <c r="X120" i="11"/>
  <c r="W107" i="12"/>
  <c r="X107" i="11"/>
  <c r="W105" i="11"/>
  <c r="W104" i="11" s="1"/>
  <c r="BC7" i="9"/>
  <c r="AQ16" i="9"/>
  <c r="AV16" i="9" s="1"/>
  <c r="BI8" i="7"/>
  <c r="BI7" i="7" s="1"/>
  <c r="W24" i="12"/>
  <c r="W20" i="11"/>
  <c r="W16" i="11" s="1"/>
  <c r="X24" i="11"/>
  <c r="AI159" i="10"/>
  <c r="E82" i="12"/>
  <c r="E81" i="11"/>
  <c r="F82" i="11"/>
  <c r="AE38" i="9"/>
  <c r="AG35" i="8"/>
  <c r="AJ38" i="8"/>
  <c r="AJ35" i="8" s="1"/>
  <c r="W239" i="12"/>
  <c r="X239" i="11"/>
  <c r="E79" i="12"/>
  <c r="E78" i="11"/>
  <c r="F78" i="11" s="1"/>
  <c r="F79" i="11"/>
  <c r="N79" i="11" s="1"/>
  <c r="E31" i="12"/>
  <c r="F31" i="11"/>
  <c r="E29" i="11"/>
  <c r="AV16" i="8"/>
  <c r="AZ16" i="8"/>
  <c r="AJ28" i="10"/>
  <c r="AI28" i="10"/>
  <c r="AH28" i="10"/>
  <c r="W198" i="12"/>
  <c r="W195" i="11"/>
  <c r="X198" i="11"/>
  <c r="AI196" i="10"/>
  <c r="AJ196" i="10"/>
  <c r="X195" i="10"/>
  <c r="E13" i="12"/>
  <c r="E10" i="11"/>
  <c r="F13" i="11"/>
  <c r="AI137" i="10"/>
  <c r="AH137" i="10"/>
  <c r="AJ137" i="10"/>
  <c r="AI38" i="10"/>
  <c r="V51" i="12"/>
  <c r="V49" i="11"/>
  <c r="V43" i="11" s="1"/>
  <c r="X51" i="11"/>
  <c r="AJ51" i="11" s="1"/>
  <c r="AH117" i="10"/>
  <c r="X114" i="10"/>
  <c r="W150" i="12"/>
  <c r="X150" i="11"/>
  <c r="W149" i="11"/>
  <c r="W147" i="11" s="1"/>
  <c r="AI133" i="10"/>
  <c r="AJ133" i="10"/>
  <c r="AH133" i="10"/>
  <c r="F46" i="11"/>
  <c r="E46" i="12"/>
  <c r="E45" i="11"/>
  <c r="AH39" i="10"/>
  <c r="AI39" i="10"/>
  <c r="AJ39" i="10"/>
  <c r="W183" i="12"/>
  <c r="X183" i="11"/>
  <c r="E70" i="12"/>
  <c r="E69" i="11"/>
  <c r="F70" i="11"/>
  <c r="F69" i="11" s="1"/>
  <c r="AH50" i="10"/>
  <c r="AJ50" i="10"/>
  <c r="AH100" i="10"/>
  <c r="AI100" i="10"/>
  <c r="AJ100" i="10"/>
  <c r="X96" i="10"/>
  <c r="AH217" i="16"/>
  <c r="AI217" i="16"/>
  <c r="AJ217" i="16"/>
  <c r="V254" i="14"/>
  <c r="X254" i="13"/>
  <c r="V224" i="12"/>
  <c r="X224" i="11"/>
  <c r="V222" i="11"/>
  <c r="AD172" i="8"/>
  <c r="AB174" i="9"/>
  <c r="AI174" i="8"/>
  <c r="AI172" i="8" s="1"/>
  <c r="W19" i="13"/>
  <c r="X19" i="12"/>
  <c r="D70" i="14"/>
  <c r="V84" i="12"/>
  <c r="X84" i="11"/>
  <c r="AI84" i="11" s="1"/>
  <c r="V83" i="11"/>
  <c r="N31" i="10"/>
  <c r="F29" i="10"/>
  <c r="D25" i="11"/>
  <c r="D27" i="12"/>
  <c r="D128" i="12" s="1"/>
  <c r="F27" i="11"/>
  <c r="F25" i="11" s="1"/>
  <c r="AQ8" i="11" s="1"/>
  <c r="G31" i="9"/>
  <c r="I29" i="8"/>
  <c r="I28" i="8" s="1"/>
  <c r="AR9" i="8" s="1"/>
  <c r="AU9" i="8" s="1"/>
  <c r="M31" i="8"/>
  <c r="M29" i="8" s="1"/>
  <c r="M28" i="8" s="1"/>
  <c r="AH150" i="10"/>
  <c r="AI150" i="10"/>
  <c r="X149" i="10"/>
  <c r="X147" i="10" s="1"/>
  <c r="W202" i="13"/>
  <c r="X202" i="12"/>
  <c r="W36" i="12"/>
  <c r="X36" i="11"/>
  <c r="W35" i="11"/>
  <c r="AE52" i="9"/>
  <c r="AJ52" i="8"/>
  <c r="AJ49" i="8" s="1"/>
  <c r="AJ43" i="8" s="1"/>
  <c r="AG49" i="8"/>
  <c r="AG43" i="8" s="1"/>
  <c r="M24" i="10"/>
  <c r="F22" i="10"/>
  <c r="AQ7" i="10" s="1"/>
  <c r="D75" i="12"/>
  <c r="D76" i="13"/>
  <c r="AH254" i="12"/>
  <c r="AI254" i="12"/>
  <c r="AJ254" i="12"/>
  <c r="AH224" i="10"/>
  <c r="AJ224" i="10"/>
  <c r="X222" i="10"/>
  <c r="V176" i="11"/>
  <c r="V170" i="11" s="1"/>
  <c r="V177" i="12"/>
  <c r="X177" i="11"/>
  <c r="M81" i="9"/>
  <c r="AW9" i="8"/>
  <c r="F128" i="10"/>
  <c r="V90" i="10"/>
  <c r="V63" i="10" s="1"/>
  <c r="W194" i="10"/>
  <c r="W193" i="10" s="1"/>
  <c r="AB12" i="8"/>
  <c r="AH123" i="9"/>
  <c r="M113" i="9"/>
  <c r="AI95" i="10"/>
  <c r="AH95" i="10"/>
  <c r="E58" i="12"/>
  <c r="F58" i="11"/>
  <c r="F57" i="11" s="1"/>
  <c r="E57" i="11"/>
  <c r="E76" i="12"/>
  <c r="E75" i="11"/>
  <c r="V159" i="12"/>
  <c r="X159" i="11"/>
  <c r="V157" i="11"/>
  <c r="V155" i="11" s="1"/>
  <c r="N34" i="11"/>
  <c r="F32" i="11"/>
  <c r="M34" i="11"/>
  <c r="AI173" i="10"/>
  <c r="X172" i="10"/>
  <c r="AJ135" i="11"/>
  <c r="AH135" i="11"/>
  <c r="AI135" i="11"/>
  <c r="W28" i="12"/>
  <c r="X28" i="11"/>
  <c r="V196" i="12"/>
  <c r="X196" i="11"/>
  <c r="V195" i="11"/>
  <c r="V194" i="11" s="1"/>
  <c r="V193" i="11" s="1"/>
  <c r="V137" i="12"/>
  <c r="X137" i="11"/>
  <c r="AH88" i="10"/>
  <c r="AJ88" i="10"/>
  <c r="AI88" i="10"/>
  <c r="V117" i="12"/>
  <c r="X117" i="11"/>
  <c r="V114" i="11"/>
  <c r="N64" i="10"/>
  <c r="BC14" i="10"/>
  <c r="F63" i="10"/>
  <c r="Y180" i="11"/>
  <c r="AH180" i="10"/>
  <c r="AI251" i="10"/>
  <c r="AH251" i="10"/>
  <c r="AJ251" i="10"/>
  <c r="M49" i="10"/>
  <c r="F48" i="10"/>
  <c r="V133" i="12"/>
  <c r="X133" i="11"/>
  <c r="AH133" i="11" s="1"/>
  <c r="V39" i="12"/>
  <c r="X39" i="11"/>
  <c r="V35" i="11"/>
  <c r="AI143" i="10"/>
  <c r="AH143" i="10"/>
  <c r="AJ143" i="10"/>
  <c r="X141" i="10"/>
  <c r="BN20" i="10" s="1"/>
  <c r="AH121" i="11"/>
  <c r="AJ121" i="11"/>
  <c r="AI121" i="11"/>
  <c r="F37" i="11"/>
  <c r="E35" i="11"/>
  <c r="E37" i="12"/>
  <c r="I74" i="9"/>
  <c r="G72" i="9"/>
  <c r="M67" i="10"/>
  <c r="F66" i="10"/>
  <c r="F24" i="11"/>
  <c r="E128" i="11"/>
  <c r="E24" i="12"/>
  <c r="E22" i="11"/>
  <c r="W50" i="12"/>
  <c r="X50" i="11"/>
  <c r="AI61" i="10"/>
  <c r="AH61" i="10"/>
  <c r="AJ61" i="10"/>
  <c r="V100" i="12"/>
  <c r="X100" i="11"/>
  <c r="V96" i="11"/>
  <c r="E43" i="14"/>
  <c r="E42" i="13"/>
  <c r="AI177" i="10"/>
  <c r="BN23" i="10"/>
  <c r="E34" i="13"/>
  <c r="E32" i="12"/>
  <c r="F34" i="12"/>
  <c r="AH239" i="10"/>
  <c r="AJ239" i="10"/>
  <c r="M46" i="8"/>
  <c r="M45" i="8" s="1"/>
  <c r="G46" i="9"/>
  <c r="BD15" i="8"/>
  <c r="I45" i="8"/>
  <c r="W161" i="12"/>
  <c r="X161" i="11"/>
  <c r="W225" i="12"/>
  <c r="X225" i="11"/>
  <c r="W222" i="11"/>
  <c r="W220" i="11" s="1"/>
  <c r="W139" i="12"/>
  <c r="X139" i="11"/>
  <c r="AB199" i="9"/>
  <c r="AI199" i="8"/>
  <c r="AI195" i="8" s="1"/>
  <c r="AI194" i="8" s="1"/>
  <c r="AI193" i="8" s="1"/>
  <c r="AD195" i="8"/>
  <c r="X38" i="11"/>
  <c r="W38" i="12"/>
  <c r="V14" i="10"/>
  <c r="AH183" i="10"/>
  <c r="AJ183" i="10"/>
  <c r="AI183" i="10"/>
  <c r="E67" i="12"/>
  <c r="E66" i="11"/>
  <c r="F67" i="11"/>
  <c r="AI217" i="15"/>
  <c r="AH217" i="15"/>
  <c r="AJ217" i="15"/>
  <c r="AW14" i="8"/>
  <c r="AY17" i="7"/>
  <c r="BN31" i="10"/>
  <c r="BH15" i="10" s="1"/>
  <c r="AD194" i="8"/>
  <c r="AD193" i="8" s="1"/>
  <c r="AR28" i="8" s="1"/>
  <c r="AW28" i="8" s="1"/>
  <c r="AY28" i="8" s="1"/>
  <c r="W8" i="8"/>
  <c r="AH19" i="11"/>
  <c r="AI19" i="11"/>
  <c r="D55" i="12"/>
  <c r="D54" i="11"/>
  <c r="F55" i="11"/>
  <c r="F54" i="11" s="1"/>
  <c r="V95" i="12"/>
  <c r="X95" i="11"/>
  <c r="AH24" i="10"/>
  <c r="AI24" i="10"/>
  <c r="X20" i="10"/>
  <c r="X16" i="10" s="1"/>
  <c r="AJ24" i="10"/>
  <c r="I37" i="9"/>
  <c r="G35" i="9"/>
  <c r="AJ32" i="10"/>
  <c r="AH32" i="10"/>
  <c r="AI32" i="10"/>
  <c r="M82" i="10"/>
  <c r="F81" i="10"/>
  <c r="W173" i="12"/>
  <c r="X173" i="11"/>
  <c r="W172" i="11"/>
  <c r="AI84" i="10"/>
  <c r="AJ84" i="10"/>
  <c r="W135" i="13"/>
  <c r="X135" i="12"/>
  <c r="Y38" i="9"/>
  <c r="AA35" i="8"/>
  <c r="AH38" i="8"/>
  <c r="AH35" i="8" s="1"/>
  <c r="AJ161" i="10"/>
  <c r="AH161" i="10"/>
  <c r="AJ225" i="10"/>
  <c r="AH225" i="10"/>
  <c r="AI139" i="10"/>
  <c r="AH139" i="10"/>
  <c r="AJ139" i="10"/>
  <c r="V152" i="12"/>
  <c r="V149" i="11"/>
  <c r="V147" i="11" s="1"/>
  <c r="X152" i="11"/>
  <c r="AJ152" i="11" s="1"/>
  <c r="AI198" i="10"/>
  <c r="AJ198" i="10"/>
  <c r="AH198" i="10"/>
  <c r="AE41" i="12"/>
  <c r="AG41" i="12" s="1"/>
  <c r="AJ41" i="11"/>
  <c r="F10" i="10"/>
  <c r="N13" i="10"/>
  <c r="M13" i="10"/>
  <c r="D128" i="11"/>
  <c r="AJ51" i="10"/>
  <c r="W88" i="12"/>
  <c r="X88" i="11"/>
  <c r="E64" i="12"/>
  <c r="E63" i="11"/>
  <c r="F64" i="11"/>
  <c r="D63" i="15"/>
  <c r="D64" i="16"/>
  <c r="D63" i="16" s="1"/>
  <c r="V251" i="12"/>
  <c r="X251" i="11"/>
  <c r="V243" i="11"/>
  <c r="AJ131" i="10"/>
  <c r="AH131" i="10"/>
  <c r="AI131" i="10"/>
  <c r="AH202" i="11"/>
  <c r="AI202" i="11"/>
  <c r="AJ202" i="11"/>
  <c r="F45" i="10"/>
  <c r="BC15" i="10"/>
  <c r="AB186" i="12"/>
  <c r="AD186" i="12" s="1"/>
  <c r="AI186" i="11"/>
  <c r="V121" i="13"/>
  <c r="X121" i="12"/>
  <c r="AJ36" i="10"/>
  <c r="AH36" i="10"/>
  <c r="X35" i="10"/>
  <c r="AI36" i="10"/>
  <c r="D37" i="16"/>
  <c r="AH120" i="10"/>
  <c r="AI120" i="10"/>
  <c r="AJ120" i="10"/>
  <c r="V61" i="12"/>
  <c r="X61" i="11"/>
  <c r="AJ98" i="8"/>
  <c r="AJ96" i="8" s="1"/>
  <c r="AJ90" i="8" s="1"/>
  <c r="AE98" i="9"/>
  <c r="AG96" i="8"/>
  <c r="AG90" i="8" s="1"/>
  <c r="AB241" i="15"/>
  <c r="AD241" i="15" s="1"/>
  <c r="AI241" i="14"/>
  <c r="AJ107" i="10"/>
  <c r="X105" i="10"/>
  <c r="X104" i="10" s="1"/>
  <c r="BC9" i="9"/>
  <c r="BC8" i="9" s="1"/>
  <c r="AG117" i="9"/>
  <c r="AE114" i="9"/>
  <c r="AD110" i="7"/>
  <c r="AR26" i="7" s="1"/>
  <c r="AW26" i="7" s="1"/>
  <c r="AY26" i="7" s="1"/>
  <c r="AZ25" i="7"/>
  <c r="B5" i="6"/>
  <c r="L56" i="9"/>
  <c r="J54" i="9"/>
  <c r="Y228" i="10"/>
  <c r="AH228" i="9"/>
  <c r="AH227" i="9" s="1"/>
  <c r="AA227" i="9"/>
  <c r="AD37" i="9"/>
  <c r="AB35" i="9"/>
  <c r="AE258" i="7"/>
  <c r="M8" i="7"/>
  <c r="M126" i="7" s="1"/>
  <c r="M130" i="7" s="1"/>
  <c r="N8" i="7"/>
  <c r="N126" i="7" s="1"/>
  <c r="N130" i="7" s="1"/>
  <c r="AF258" i="7"/>
  <c r="BQ33" i="7" s="1"/>
  <c r="N121" i="10"/>
  <c r="M121" i="10"/>
  <c r="N120" i="11"/>
  <c r="M120" i="11"/>
  <c r="M123" i="12"/>
  <c r="N123" i="12"/>
  <c r="D40" i="15"/>
  <c r="F40" i="14"/>
  <c r="D118" i="14"/>
  <c r="F118" i="13"/>
  <c r="F117" i="12"/>
  <c r="D117" i="13"/>
  <c r="G21" i="8"/>
  <c r="G19" i="8" s="1"/>
  <c r="G17" i="8" s="1"/>
  <c r="G8" i="8" s="1"/>
  <c r="G126" i="8" s="1"/>
  <c r="G130" i="8" s="1"/>
  <c r="W170" i="10"/>
  <c r="AY15" i="9"/>
  <c r="M94" i="9"/>
  <c r="BI16" i="7"/>
  <c r="AJ8" i="7"/>
  <c r="F126" i="6"/>
  <c r="F130" i="6" s="1"/>
  <c r="E124" i="14"/>
  <c r="F124" i="13"/>
  <c r="E116" i="14"/>
  <c r="F116" i="13"/>
  <c r="W143" i="16"/>
  <c r="W141" i="16" s="1"/>
  <c r="W141" i="15"/>
  <c r="X258" i="7"/>
  <c r="AQ31" i="7" s="1"/>
  <c r="G122" i="12"/>
  <c r="I122" i="12" s="1"/>
  <c r="M122" i="11"/>
  <c r="E115" i="12"/>
  <c r="F115" i="11"/>
  <c r="E113" i="11"/>
  <c r="G113" i="10"/>
  <c r="I115" i="10"/>
  <c r="M115" i="10" s="1"/>
  <c r="N115" i="10"/>
  <c r="F113" i="10"/>
  <c r="AQ15" i="10" s="1"/>
  <c r="BC20" i="10"/>
  <c r="X10" i="8"/>
  <c r="X8" i="8" s="1"/>
  <c r="A1" i="6"/>
  <c r="K1" i="6"/>
  <c r="L126" i="6"/>
  <c r="L130" i="6" s="1"/>
  <c r="J5" i="6"/>
  <c r="M124" i="12"/>
  <c r="N124" i="12"/>
  <c r="N116" i="12"/>
  <c r="M116" i="12"/>
  <c r="D120" i="13"/>
  <c r="F120" i="12"/>
  <c r="F123" i="13"/>
  <c r="D123" i="14"/>
  <c r="M40" i="13"/>
  <c r="N40" i="13"/>
  <c r="M118" i="12"/>
  <c r="N118" i="12"/>
  <c r="N117" i="11"/>
  <c r="M117" i="11"/>
  <c r="F121" i="11"/>
  <c r="D121" i="12"/>
  <c r="D113" i="12" s="1"/>
  <c r="D119" i="13"/>
  <c r="F119" i="12"/>
  <c r="M119" i="12" s="1"/>
  <c r="F122" i="14"/>
  <c r="D122" i="15"/>
  <c r="D113" i="11"/>
  <c r="L119" i="9"/>
  <c r="J113" i="9"/>
  <c r="AI14" i="8"/>
  <c r="AJ151" i="10"/>
  <c r="AE151" i="11"/>
  <c r="AE17" i="12"/>
  <c r="AG17" i="12" s="1"/>
  <c r="W110" i="10"/>
  <c r="W234" i="10"/>
  <c r="W232" i="10" s="1"/>
  <c r="AB110" i="8"/>
  <c r="AU17" i="6"/>
  <c r="AV17" i="6"/>
  <c r="Y94" i="13"/>
  <c r="E55" i="14"/>
  <c r="E54" i="13"/>
  <c r="M73" i="10"/>
  <c r="G73" i="11"/>
  <c r="E26" i="16"/>
  <c r="E25" i="15"/>
  <c r="I30" i="11"/>
  <c r="AU10" i="10"/>
  <c r="AI10" i="7"/>
  <c r="X234" i="9"/>
  <c r="X232" i="9" s="1"/>
  <c r="BN29" i="9" s="1"/>
  <c r="BH13" i="9" s="1"/>
  <c r="BN7" i="7"/>
  <c r="BN32" i="7" s="1"/>
  <c r="AA12" i="7"/>
  <c r="AA10" i="7" s="1"/>
  <c r="W12" i="9"/>
  <c r="W10" i="9" s="1"/>
  <c r="W258" i="9" s="1"/>
  <c r="W58" i="15"/>
  <c r="W57" i="15" s="1"/>
  <c r="W60" i="16"/>
  <c r="AY10" i="10"/>
  <c r="BH7" i="7"/>
  <c r="BH16" i="7" s="1"/>
  <c r="BH17" i="7" s="1"/>
  <c r="E77" i="15"/>
  <c r="AZ9" i="8"/>
  <c r="W70" i="13"/>
  <c r="W69" i="12"/>
  <c r="W65" i="12" s="1"/>
  <c r="X70" i="12"/>
  <c r="AU11" i="12"/>
  <c r="AY11" i="12"/>
  <c r="AV11" i="12"/>
  <c r="AQ9" i="9"/>
  <c r="F21" i="9"/>
  <c r="F19" i="9" s="1"/>
  <c r="F42" i="11"/>
  <c r="AQ10" i="11" s="1"/>
  <c r="BC16" i="11"/>
  <c r="M43" i="11"/>
  <c r="W86" i="12"/>
  <c r="X86" i="11"/>
  <c r="W83" i="11"/>
  <c r="Y197" i="9"/>
  <c r="AH197" i="8"/>
  <c r="AH195" i="8" s="1"/>
  <c r="AH194" i="8" s="1"/>
  <c r="AH193" i="8" s="1"/>
  <c r="AA195" i="8"/>
  <c r="AA194" i="8" s="1"/>
  <c r="Y86" i="9"/>
  <c r="AH86" i="8"/>
  <c r="AH83" i="8" s="1"/>
  <c r="AA83" i="8"/>
  <c r="AE183" i="15"/>
  <c r="AG183" i="15" s="1"/>
  <c r="W119" i="13"/>
  <c r="W114" i="13" s="1"/>
  <c r="X119" i="12"/>
  <c r="F86" i="11"/>
  <c r="F85" i="11" s="1"/>
  <c r="D86" i="12"/>
  <c r="D85" i="11"/>
  <c r="Y80" i="9"/>
  <c r="AH80" i="8"/>
  <c r="AH69" i="8" s="1"/>
  <c r="AH65" i="8" s="1"/>
  <c r="AA69" i="8"/>
  <c r="AA65" i="8" s="1"/>
  <c r="BP8" i="7"/>
  <c r="BJ8" i="7"/>
  <c r="AJ92" i="10"/>
  <c r="X91" i="10"/>
  <c r="AH92" i="10"/>
  <c r="AD71" i="10"/>
  <c r="AD97" i="10"/>
  <c r="W250" i="13"/>
  <c r="X250" i="12"/>
  <c r="D46" i="14"/>
  <c r="G10" i="10"/>
  <c r="I12" i="10"/>
  <c r="W179" i="12"/>
  <c r="W176" i="11"/>
  <c r="X179" i="11"/>
  <c r="L67" i="9"/>
  <c r="J66" i="9"/>
  <c r="W47" i="12"/>
  <c r="X47" i="11"/>
  <c r="AH48" i="10"/>
  <c r="AI48" i="10"/>
  <c r="D53" i="14"/>
  <c r="D51" i="13"/>
  <c r="F53" i="13"/>
  <c r="D95" i="13"/>
  <c r="AX31" i="5"/>
  <c r="AX32" i="5" s="1"/>
  <c r="AV31" i="5"/>
  <c r="AW31" i="5"/>
  <c r="AW32" i="5" s="1"/>
  <c r="AU31" i="5"/>
  <c r="AQ32" i="5"/>
  <c r="F92" i="13"/>
  <c r="D92" i="14"/>
  <c r="AI45" i="10"/>
  <c r="X44" i="10"/>
  <c r="AH45" i="10"/>
  <c r="AJ45" i="10"/>
  <c r="W108" i="15"/>
  <c r="X108" i="14"/>
  <c r="AH245" i="10"/>
  <c r="AI245" i="10"/>
  <c r="X243" i="10"/>
  <c r="BP33" i="6"/>
  <c r="AR31" i="6"/>
  <c r="AR32" i="6" s="1"/>
  <c r="AE202" i="16"/>
  <c r="AG202" i="16" s="1"/>
  <c r="Y173" i="9"/>
  <c r="AA172" i="8"/>
  <c r="AH173" i="8"/>
  <c r="AH172" i="8" s="1"/>
  <c r="AH170" i="8" s="1"/>
  <c r="AI94" i="10"/>
  <c r="AH94" i="10"/>
  <c r="AB253" i="13"/>
  <c r="AD253" i="13" s="1"/>
  <c r="AI253" i="12"/>
  <c r="AI74" i="11"/>
  <c r="AJ74" i="11"/>
  <c r="AH74" i="11"/>
  <c r="J53" i="9"/>
  <c r="J128" i="9" s="1"/>
  <c r="N53" i="8"/>
  <c r="N51" i="8" s="1"/>
  <c r="L51" i="8"/>
  <c r="N97" i="10"/>
  <c r="BC18" i="10"/>
  <c r="Y236" i="9"/>
  <c r="AH236" i="8"/>
  <c r="AH235" i="8" s="1"/>
  <c r="AA235" i="8"/>
  <c r="N119" i="8"/>
  <c r="N113" i="8" s="1"/>
  <c r="L113" i="8"/>
  <c r="AS15" i="8" s="1"/>
  <c r="AE178" i="9"/>
  <c r="AJ178" i="8"/>
  <c r="AJ176" i="8" s="1"/>
  <c r="AJ170" i="8" s="1"/>
  <c r="AG176" i="8"/>
  <c r="AG170" i="8" s="1"/>
  <c r="AS27" i="8" s="1"/>
  <c r="AX27" i="8" s="1"/>
  <c r="AU29" i="8"/>
  <c r="AV29" i="8"/>
  <c r="AW23" i="7"/>
  <c r="AY23" i="7" s="1"/>
  <c r="AU23" i="7"/>
  <c r="V156" i="12"/>
  <c r="X156" i="11"/>
  <c r="M14" i="16"/>
  <c r="N14" i="16"/>
  <c r="AQ22" i="14"/>
  <c r="AH66" i="14"/>
  <c r="BN10" i="14"/>
  <c r="AJ66" i="14"/>
  <c r="AI165" i="11"/>
  <c r="AH165" i="11"/>
  <c r="AJ165" i="11"/>
  <c r="V214" i="12"/>
  <c r="X214" i="11"/>
  <c r="V211" i="11"/>
  <c r="V210" i="11" s="1"/>
  <c r="V209" i="11" s="1"/>
  <c r="V207" i="11" s="1"/>
  <c r="BP15" i="7"/>
  <c r="BJ10" i="7" s="1"/>
  <c r="AD14" i="8"/>
  <c r="AZ11" i="12"/>
  <c r="D19" i="10"/>
  <c r="D17" i="10" s="1"/>
  <c r="I22" i="8"/>
  <c r="BD12" i="8"/>
  <c r="AW7" i="8"/>
  <c r="AY7" i="8" s="1"/>
  <c r="G23" i="9"/>
  <c r="M23" i="8"/>
  <c r="M22" i="8" s="1"/>
  <c r="W167" i="13"/>
  <c r="X167" i="12"/>
  <c r="BN19" i="12" s="1"/>
  <c r="Y133" i="12"/>
  <c r="Y244" i="9"/>
  <c r="AA243" i="8"/>
  <c r="AH244" i="8"/>
  <c r="AH243" i="8" s="1"/>
  <c r="D42" i="12"/>
  <c r="D43" i="13"/>
  <c r="F43" i="12"/>
  <c r="W33" i="13"/>
  <c r="X33" i="12"/>
  <c r="J62" i="10"/>
  <c r="N62" i="9"/>
  <c r="N60" i="9" s="1"/>
  <c r="L60" i="9"/>
  <c r="I68" i="9"/>
  <c r="G66" i="9"/>
  <c r="AE251" i="15"/>
  <c r="AG251" i="15" s="1"/>
  <c r="W134" i="12"/>
  <c r="X134" i="11"/>
  <c r="W123" i="11"/>
  <c r="W112" i="11" s="1"/>
  <c r="E62" i="14"/>
  <c r="E60" i="13"/>
  <c r="F62" i="13"/>
  <c r="AH119" i="11"/>
  <c r="AI119" i="11"/>
  <c r="AJ119" i="11"/>
  <c r="AI237" i="10"/>
  <c r="X235" i="10"/>
  <c r="AH237" i="10"/>
  <c r="AJ237" i="10"/>
  <c r="Y26" i="9"/>
  <c r="AH26" i="8"/>
  <c r="AH20" i="8" s="1"/>
  <c r="AH16" i="8" s="1"/>
  <c r="AA20" i="8"/>
  <c r="AA16" i="8" s="1"/>
  <c r="W54" i="12"/>
  <c r="X54" i="11"/>
  <c r="W49" i="11"/>
  <c r="I17" i="7"/>
  <c r="AR14" i="7"/>
  <c r="AB152" i="9"/>
  <c r="AD149" i="8"/>
  <c r="AD147" i="8" s="1"/>
  <c r="AI152" i="8"/>
  <c r="AI149" i="8" s="1"/>
  <c r="AI147" i="8" s="1"/>
  <c r="AI145" i="8" s="1"/>
  <c r="AH250" i="11"/>
  <c r="AI250" i="11"/>
  <c r="AJ250" i="11"/>
  <c r="I33" i="9"/>
  <c r="G32" i="9"/>
  <c r="AR16" i="9"/>
  <c r="BD7" i="9"/>
  <c r="E94" i="11"/>
  <c r="E95" i="12"/>
  <c r="AH47" i="10"/>
  <c r="AI47" i="10"/>
  <c r="AJ47" i="10"/>
  <c r="W212" i="12"/>
  <c r="X212" i="11"/>
  <c r="AI212" i="11" s="1"/>
  <c r="AE86" i="9"/>
  <c r="AG83" i="8"/>
  <c r="AJ86" i="8"/>
  <c r="AJ83" i="8" s="1"/>
  <c r="D108" i="12"/>
  <c r="D104" i="12" s="1"/>
  <c r="F108" i="11"/>
  <c r="AD50" i="11"/>
  <c r="E71" i="15"/>
  <c r="AB215" i="9"/>
  <c r="AD211" i="8"/>
  <c r="AD210" i="8" s="1"/>
  <c r="AD209" i="8" s="1"/>
  <c r="AI215" i="8"/>
  <c r="AI211" i="8" s="1"/>
  <c r="AI210" i="8" s="1"/>
  <c r="AI209" i="8" s="1"/>
  <c r="AI207" i="8" s="1"/>
  <c r="AJ108" i="13"/>
  <c r="AI108" i="13"/>
  <c r="AH108" i="13"/>
  <c r="W163" i="13"/>
  <c r="X163" i="12"/>
  <c r="G79" i="10"/>
  <c r="M79" i="9"/>
  <c r="W68" i="13"/>
  <c r="X68" i="12"/>
  <c r="V129" i="13"/>
  <c r="X129" i="12"/>
  <c r="L55" i="10"/>
  <c r="N102" i="11"/>
  <c r="M102" i="11"/>
  <c r="L46" i="10"/>
  <c r="AH190" i="10"/>
  <c r="AJ190" i="10"/>
  <c r="X187" i="10"/>
  <c r="X185" i="10" s="1"/>
  <c r="Y143" i="14"/>
  <c r="AA143" i="14" s="1"/>
  <c r="L75" i="8"/>
  <c r="N76" i="8"/>
  <c r="N75" i="8" s="1"/>
  <c r="J76" i="9"/>
  <c r="I76" i="9"/>
  <c r="G75" i="9"/>
  <c r="AQ24" i="9"/>
  <c r="BN14" i="9"/>
  <c r="BH9" i="9" s="1"/>
  <c r="V240" i="12"/>
  <c r="X240" i="11"/>
  <c r="V235" i="11"/>
  <c r="D97" i="12"/>
  <c r="F97" i="11"/>
  <c r="N97" i="11" s="1"/>
  <c r="D94" i="11"/>
  <c r="W102" i="16"/>
  <c r="X102" i="16" s="1"/>
  <c r="X102" i="15"/>
  <c r="E119" i="16"/>
  <c r="AH156" i="10"/>
  <c r="AJ156" i="10"/>
  <c r="BN18" i="10"/>
  <c r="AI156" i="10"/>
  <c r="N14" i="15"/>
  <c r="M14" i="15"/>
  <c r="J78" i="9"/>
  <c r="L78" i="9" s="1"/>
  <c r="N78" i="9" s="1"/>
  <c r="L80" i="9"/>
  <c r="D38" i="12"/>
  <c r="F38" i="11"/>
  <c r="AI214" i="10"/>
  <c r="AH214" i="10"/>
  <c r="AJ214" i="10"/>
  <c r="X170" i="9"/>
  <c r="Y63" i="8"/>
  <c r="W63" i="10"/>
  <c r="F95" i="11"/>
  <c r="AX17" i="7"/>
  <c r="Y234" i="8"/>
  <c r="Y232" i="8" s="1"/>
  <c r="AI167" i="11"/>
  <c r="AJ167" i="11"/>
  <c r="G90" i="12"/>
  <c r="I90" i="12" s="1"/>
  <c r="AR13" i="11"/>
  <c r="AW13" i="11"/>
  <c r="J61" i="11"/>
  <c r="N61" i="10"/>
  <c r="AD99" i="9"/>
  <c r="AB96" i="9"/>
  <c r="BN8" i="8"/>
  <c r="BH8" i="8"/>
  <c r="AJ33" i="11"/>
  <c r="AH33" i="11"/>
  <c r="AI33" i="11"/>
  <c r="BN27" i="9"/>
  <c r="X207" i="9"/>
  <c r="AQ29" i="9" s="1"/>
  <c r="I51" i="8"/>
  <c r="G52" i="9"/>
  <c r="M52" i="8"/>
  <c r="M51" i="8" s="1"/>
  <c r="AA106" i="10"/>
  <c r="D111" i="13"/>
  <c r="F111" i="12"/>
  <c r="M111" i="12" s="1"/>
  <c r="AD21" i="9"/>
  <c r="AB20" i="9"/>
  <c r="AB16" i="9" s="1"/>
  <c r="F101" i="11"/>
  <c r="D101" i="12"/>
  <c r="AH134" i="10"/>
  <c r="AJ134" i="10"/>
  <c r="X123" i="10"/>
  <c r="M62" i="12"/>
  <c r="F60" i="12"/>
  <c r="J73" i="9"/>
  <c r="N73" i="8"/>
  <c r="N72" i="8" s="1"/>
  <c r="L72" i="8"/>
  <c r="D39" i="14"/>
  <c r="F39" i="13"/>
  <c r="M39" i="13" s="1"/>
  <c r="X237" i="11"/>
  <c r="W235" i="11"/>
  <c r="W237" i="12"/>
  <c r="W158" i="12"/>
  <c r="W157" i="11"/>
  <c r="W155" i="11" s="1"/>
  <c r="X158" i="11"/>
  <c r="AB228" i="10"/>
  <c r="AI228" i="9"/>
  <c r="AI227" i="9" s="1"/>
  <c r="AD227" i="9"/>
  <c r="AQ30" i="9"/>
  <c r="W249" i="12"/>
  <c r="X249" i="11"/>
  <c r="AD59" i="9"/>
  <c r="AB58" i="9"/>
  <c r="AB57" i="9" s="1"/>
  <c r="D115" i="16"/>
  <c r="L43" i="10"/>
  <c r="AB225" i="9"/>
  <c r="AI225" i="8"/>
  <c r="AI222" i="8" s="1"/>
  <c r="AI220" i="8" s="1"/>
  <c r="BP31" i="8"/>
  <c r="BJ15" i="8" s="1"/>
  <c r="AD222" i="8"/>
  <c r="AD220" i="8" s="1"/>
  <c r="BP30" i="8" s="1"/>
  <c r="BJ14" i="8" s="1"/>
  <c r="AB125" i="9"/>
  <c r="AD123" i="8"/>
  <c r="AI125" i="8"/>
  <c r="AI123" i="8" s="1"/>
  <c r="AI112" i="8" s="1"/>
  <c r="F88" i="14"/>
  <c r="N88" i="14" s="1"/>
  <c r="D88" i="15"/>
  <c r="AJ179" i="10"/>
  <c r="X176" i="10"/>
  <c r="AH179" i="10"/>
  <c r="AI179" i="10"/>
  <c r="AE189" i="12"/>
  <c r="AG189" i="12" s="1"/>
  <c r="AJ189" i="11"/>
  <c r="AE244" i="13"/>
  <c r="AG244" i="13" s="1"/>
  <c r="AJ244" i="12"/>
  <c r="BN26" i="10"/>
  <c r="AH212" i="10"/>
  <c r="X211" i="10"/>
  <c r="X210" i="10" s="1"/>
  <c r="X209" i="10" s="1"/>
  <c r="AI212" i="10"/>
  <c r="N108" i="10"/>
  <c r="M108" i="10"/>
  <c r="M53" i="12"/>
  <c r="AX22" i="10"/>
  <c r="AZ22" i="10" s="1"/>
  <c r="AV22" i="10"/>
  <c r="W256" i="13"/>
  <c r="X256" i="12"/>
  <c r="AE26" i="13"/>
  <c r="AG26" i="13" s="1"/>
  <c r="AJ26" i="12"/>
  <c r="AH163" i="11"/>
  <c r="AI163" i="11"/>
  <c r="AJ163" i="11"/>
  <c r="AB190" i="9"/>
  <c r="AD187" i="8"/>
  <c r="AD185" i="8" s="1"/>
  <c r="AI190" i="8"/>
  <c r="AI187" i="8" s="1"/>
  <c r="AI185" i="8" s="1"/>
  <c r="AH129" i="11"/>
  <c r="AI129" i="11"/>
  <c r="AJ129" i="11"/>
  <c r="D102" i="13"/>
  <c r="F102" i="12"/>
  <c r="V94" i="12"/>
  <c r="V91" i="11"/>
  <c r="X94" i="11"/>
  <c r="J70" i="11"/>
  <c r="N70" i="10"/>
  <c r="AA115" i="9"/>
  <c r="Y114" i="9"/>
  <c r="AB29" i="13"/>
  <c r="AD29" i="13" s="1"/>
  <c r="AI29" i="12"/>
  <c r="M65" i="8"/>
  <c r="G65" i="9"/>
  <c r="G63" i="9" s="1"/>
  <c r="I128" i="8"/>
  <c r="BD21" i="8"/>
  <c r="AU35" i="5"/>
  <c r="AV35" i="5"/>
  <c r="Y247" i="16"/>
  <c r="AA247" i="16" s="1"/>
  <c r="AH247" i="16" s="1"/>
  <c r="AH247" i="15"/>
  <c r="AD204" i="9"/>
  <c r="AB203" i="9"/>
  <c r="Y203" i="9"/>
  <c r="AA204" i="9"/>
  <c r="AI240" i="10"/>
  <c r="AH240" i="10"/>
  <c r="AJ240" i="10"/>
  <c r="E56" i="16"/>
  <c r="W203" i="11"/>
  <c r="W204" i="12"/>
  <c r="X204" i="11"/>
  <c r="AE153" i="10"/>
  <c r="AJ153" i="9"/>
  <c r="N95" i="8"/>
  <c r="N94" i="8" s="1"/>
  <c r="L94" i="8"/>
  <c r="AX14" i="8" s="1"/>
  <c r="J95" i="9"/>
  <c r="AI102" i="14"/>
  <c r="AH102" i="14"/>
  <c r="AJ102" i="14"/>
  <c r="AG195" i="8"/>
  <c r="AG194" i="8" s="1"/>
  <c r="AG193" i="8" s="1"/>
  <c r="AS28" i="8" s="1"/>
  <c r="AX28" i="8" s="1"/>
  <c r="AZ28" i="8" s="1"/>
  <c r="AE197" i="9"/>
  <c r="AJ197" i="8"/>
  <c r="AJ195" i="8" s="1"/>
  <c r="AJ194" i="8" s="1"/>
  <c r="AJ193" i="8" s="1"/>
  <c r="AB259" i="5"/>
  <c r="Y259" i="5"/>
  <c r="AE259" i="5"/>
  <c r="AD259" i="5"/>
  <c r="T15" i="6"/>
  <c r="AG259" i="5"/>
  <c r="W259" i="5"/>
  <c r="AC259" i="5"/>
  <c r="AA259" i="5"/>
  <c r="AI259" i="5"/>
  <c r="AF259" i="5"/>
  <c r="U259" i="5"/>
  <c r="AH259" i="5"/>
  <c r="Z259" i="5"/>
  <c r="V259" i="5"/>
  <c r="X259" i="5"/>
  <c r="AJ259" i="5"/>
  <c r="D96" i="14"/>
  <c r="F96" i="13"/>
  <c r="AB66" i="9"/>
  <c r="BP10" i="8"/>
  <c r="AR22" i="8"/>
  <c r="AI66" i="8"/>
  <c r="AI65" i="8" s="1"/>
  <c r="AD65" i="8"/>
  <c r="AE25" i="12"/>
  <c r="AG25" i="12" s="1"/>
  <c r="AJ25" i="11"/>
  <c r="W211" i="11"/>
  <c r="W210" i="11" s="1"/>
  <c r="W209" i="11" s="1"/>
  <c r="W207" i="11" s="1"/>
  <c r="W215" i="12"/>
  <c r="X215" i="11"/>
  <c r="AG46" i="9"/>
  <c r="AE44" i="9"/>
  <c r="V125" i="13"/>
  <c r="X125" i="12"/>
  <c r="N38" i="10"/>
  <c r="M38" i="10"/>
  <c r="BC13" i="10"/>
  <c r="AB236" i="9"/>
  <c r="AI236" i="8"/>
  <c r="AI235" i="8" s="1"/>
  <c r="AI234" i="8" s="1"/>
  <c r="AI232" i="8" s="1"/>
  <c r="AD235" i="8"/>
  <c r="AD234" i="8" s="1"/>
  <c r="AD232" i="8" s="1"/>
  <c r="AU27" i="7"/>
  <c r="AV27" i="7"/>
  <c r="W43" i="10"/>
  <c r="W14" i="10" s="1"/>
  <c r="AW17" i="7"/>
  <c r="L48" i="8"/>
  <c r="N49" i="8"/>
  <c r="N48" i="8" s="1"/>
  <c r="J49" i="9"/>
  <c r="L58" i="9"/>
  <c r="J57" i="9"/>
  <c r="AI86" i="10"/>
  <c r="X83" i="10"/>
  <c r="N33" i="8"/>
  <c r="N32" i="8" s="1"/>
  <c r="J33" i="9"/>
  <c r="L32" i="8"/>
  <c r="L28" i="8" s="1"/>
  <c r="AB189" i="10"/>
  <c r="AI189" i="9"/>
  <c r="N101" i="10"/>
  <c r="M101" i="10"/>
  <c r="AI158" i="10"/>
  <c r="X157" i="10"/>
  <c r="X155" i="10" s="1"/>
  <c r="X145" i="10" s="1"/>
  <c r="AH158" i="10"/>
  <c r="L30" i="9"/>
  <c r="J29" i="9"/>
  <c r="AH249" i="10"/>
  <c r="AI249" i="10"/>
  <c r="AJ249" i="10"/>
  <c r="AH54" i="10"/>
  <c r="AI54" i="10"/>
  <c r="X49" i="10"/>
  <c r="BP13" i="8"/>
  <c r="W92" i="12"/>
  <c r="X92" i="11"/>
  <c r="W91" i="11"/>
  <c r="W90" i="11" s="1"/>
  <c r="M88" i="13"/>
  <c r="AQ11" i="13"/>
  <c r="W229" i="14"/>
  <c r="W227" i="13"/>
  <c r="AD75" i="9"/>
  <c r="AB69" i="9"/>
  <c r="Y142" i="9"/>
  <c r="AH142" i="8"/>
  <c r="AH141" i="8" s="1"/>
  <c r="AH112" i="8" s="1"/>
  <c r="AH110" i="8" s="1"/>
  <c r="AA141" i="8"/>
  <c r="BO20" i="8" s="1"/>
  <c r="W48" i="12"/>
  <c r="X48" i="11"/>
  <c r="Y84" i="10"/>
  <c r="AH84" i="9"/>
  <c r="AE191" i="15"/>
  <c r="AG191" i="15" s="1"/>
  <c r="AJ191" i="14"/>
  <c r="M92" i="12"/>
  <c r="N92" i="12"/>
  <c r="W45" i="12"/>
  <c r="W44" i="11"/>
  <c r="X45" i="11"/>
  <c r="AI256" i="11"/>
  <c r="AH256" i="11"/>
  <c r="AJ256" i="11"/>
  <c r="W245" i="12"/>
  <c r="X245" i="11"/>
  <c r="W243" i="11"/>
  <c r="Y1" i="6"/>
  <c r="AC1" i="6"/>
  <c r="AH68" i="11"/>
  <c r="AI68" i="11"/>
  <c r="AJ68" i="11"/>
  <c r="AQ14" i="8"/>
  <c r="AQ17" i="8" s="1"/>
  <c r="F17" i="8"/>
  <c r="AJ67" i="11"/>
  <c r="AE67" i="12"/>
  <c r="AG67" i="12" s="1"/>
  <c r="G80" i="15"/>
  <c r="I80" i="15" s="1"/>
  <c r="W97" i="14"/>
  <c r="W96" i="13"/>
  <c r="AE137" i="13"/>
  <c r="AG137" i="13" s="1"/>
  <c r="W190" i="12"/>
  <c r="W187" i="11"/>
  <c r="W185" i="11" s="1"/>
  <c r="X190" i="11"/>
  <c r="F110" i="12"/>
  <c r="N110" i="12" s="1"/>
  <c r="D110" i="13"/>
  <c r="V74" i="13"/>
  <c r="X74" i="12"/>
  <c r="V69" i="12"/>
  <c r="V65" i="12" s="1"/>
  <c r="BP28" i="8"/>
  <c r="AD88" i="12"/>
  <c r="AD142" i="9"/>
  <c r="AB141" i="9"/>
  <c r="X203" i="10"/>
  <c r="X194" i="10" s="1"/>
  <c r="AE136" i="9"/>
  <c r="AJ136" i="8"/>
  <c r="AJ123" i="8" s="1"/>
  <c r="AJ112" i="8" s="1"/>
  <c r="AG123" i="8"/>
  <c r="AG112" i="8" s="1"/>
  <c r="N96" i="12"/>
  <c r="M96" i="12"/>
  <c r="L44" i="9"/>
  <c r="J42" i="9"/>
  <c r="BN17" i="9"/>
  <c r="X112" i="9"/>
  <c r="X110" i="9" s="1"/>
  <c r="AQ26" i="9" s="1"/>
  <c r="BN24" i="8"/>
  <c r="BN22" i="8" s="1"/>
  <c r="BH11" i="8" s="1"/>
  <c r="AQ27" i="8"/>
  <c r="AH125" i="11"/>
  <c r="AJ125" i="11"/>
  <c r="W66" i="16"/>
  <c r="X66" i="16" s="1"/>
  <c r="X66" i="15"/>
  <c r="W165" i="13"/>
  <c r="X165" i="12"/>
  <c r="AZ27" i="7"/>
  <c r="F94" i="10"/>
  <c r="AE85" i="11"/>
  <c r="AJ85" i="10"/>
  <c r="W126" i="14"/>
  <c r="X126" i="13"/>
  <c r="AA211" i="9"/>
  <c r="AA210" i="9" s="1"/>
  <c r="AA209" i="9" s="1"/>
  <c r="Y215" i="10"/>
  <c r="AH215" i="9"/>
  <c r="AH211" i="9" s="1"/>
  <c r="AH210" i="9" s="1"/>
  <c r="AH209" i="9" s="1"/>
  <c r="AH207" i="9" s="1"/>
  <c r="I95" i="11"/>
  <c r="AB183" i="13"/>
  <c r="AD183" i="13" s="1"/>
  <c r="J24" i="11"/>
  <c r="N24" i="10"/>
  <c r="AA27" i="10"/>
  <c r="F105" i="12"/>
  <c r="D105" i="13"/>
  <c r="AE252" i="13"/>
  <c r="AG252" i="13" s="1"/>
  <c r="AJ252" i="12"/>
  <c r="AA159" i="11"/>
  <c r="AI36" i="11"/>
  <c r="AB36" i="12"/>
  <c r="AE182" i="16"/>
  <c r="AG182" i="16" s="1"/>
  <c r="AJ182" i="16" s="1"/>
  <c r="AJ182" i="15"/>
  <c r="AI166" i="11"/>
  <c r="AB166" i="12"/>
  <c r="AE196" i="16"/>
  <c r="AD245" i="12"/>
  <c r="X228" i="16"/>
  <c r="AX16" i="9"/>
  <c r="L82" i="10"/>
  <c r="AD107" i="11"/>
  <c r="AH199" i="13"/>
  <c r="AJ199" i="13"/>
  <c r="AU8" i="8"/>
  <c r="J74" i="11"/>
  <c r="N74" i="10"/>
  <c r="AE72" i="13"/>
  <c r="AG72" i="13" s="1"/>
  <c r="AJ72" i="12"/>
  <c r="J88" i="15"/>
  <c r="L88" i="15" s="1"/>
  <c r="AX11" i="14"/>
  <c r="AS11" i="14"/>
  <c r="AJ253" i="14"/>
  <c r="AE253" i="15"/>
  <c r="AG253" i="15" s="1"/>
  <c r="N91" i="11"/>
  <c r="M91" i="11"/>
  <c r="AE177" i="10"/>
  <c r="AJ177" i="9"/>
  <c r="AB67" i="10"/>
  <c r="BP11" i="9"/>
  <c r="AI67" i="9"/>
  <c r="AD70" i="11"/>
  <c r="J15" i="11"/>
  <c r="L10" i="10"/>
  <c r="N15" i="10"/>
  <c r="N10" i="10" s="1"/>
  <c r="AE92" i="14"/>
  <c r="AE101" i="15"/>
  <c r="AG101" i="15" s="1"/>
  <c r="AJ101" i="14"/>
  <c r="G77" i="12"/>
  <c r="M77" i="11"/>
  <c r="W94" i="14"/>
  <c r="G67" i="14"/>
  <c r="AV22" i="11"/>
  <c r="AX22" i="11"/>
  <c r="AH246" i="13"/>
  <c r="AI246" i="13"/>
  <c r="D98" i="15"/>
  <c r="F98" i="14"/>
  <c r="AE237" i="12"/>
  <c r="AJ237" i="11"/>
  <c r="AE212" i="11"/>
  <c r="AJ212" i="10"/>
  <c r="AH25" i="16"/>
  <c r="G106" i="10"/>
  <c r="I104" i="9"/>
  <c r="BD19" i="9"/>
  <c r="M106" i="9"/>
  <c r="M104" i="9" s="1"/>
  <c r="AE250" i="14"/>
  <c r="AG250" i="14" s="1"/>
  <c r="N106" i="12"/>
  <c r="BP26" i="11"/>
  <c r="AB212" i="12"/>
  <c r="G81" i="10"/>
  <c r="I83" i="10"/>
  <c r="AB216" i="16"/>
  <c r="AD216" i="16" s="1"/>
  <c r="AI216" i="16" s="1"/>
  <c r="AI216" i="15"/>
  <c r="AE99" i="14"/>
  <c r="AG99" i="14" s="1"/>
  <c r="D99" i="14"/>
  <c r="F99" i="13"/>
  <c r="V44" i="14"/>
  <c r="V45" i="15"/>
  <c r="AE45" i="14"/>
  <c r="AI223" i="13"/>
  <c r="L13" i="16"/>
  <c r="AE80" i="15"/>
  <c r="AG80" i="15" s="1"/>
  <c r="AJ80" i="14"/>
  <c r="AB132" i="14"/>
  <c r="AW8" i="9"/>
  <c r="AY8" i="9" s="1"/>
  <c r="G27" i="10"/>
  <c r="I25" i="9"/>
  <c r="M27" i="9"/>
  <c r="W116" i="14"/>
  <c r="W152" i="16"/>
  <c r="AJ23" i="15"/>
  <c r="AH23" i="15"/>
  <c r="AG18" i="11"/>
  <c r="AE248" i="16"/>
  <c r="AG248" i="16" s="1"/>
  <c r="AJ248" i="16" s="1"/>
  <c r="AJ248" i="15"/>
  <c r="P126" i="12"/>
  <c r="P130" i="12" s="1"/>
  <c r="C126" i="12"/>
  <c r="C130" i="12" s="1"/>
  <c r="J86" i="10"/>
  <c r="L85" i="9"/>
  <c r="N86" i="9"/>
  <c r="N85" i="9" s="1"/>
  <c r="Y214" i="15"/>
  <c r="L122" i="13"/>
  <c r="D90" i="13"/>
  <c r="F90" i="12"/>
  <c r="J111" i="13"/>
  <c r="L111" i="13" s="1"/>
  <c r="AG115" i="11"/>
  <c r="M87" i="13"/>
  <c r="N87" i="13"/>
  <c r="AE167" i="15"/>
  <c r="AG167" i="15" s="1"/>
  <c r="AE203" i="11"/>
  <c r="AG204" i="11"/>
  <c r="AE61" i="15"/>
  <c r="AG61" i="15" s="1"/>
  <c r="X244" i="16"/>
  <c r="AE53" i="14"/>
  <c r="AG53" i="14" s="1"/>
  <c r="AJ53" i="13"/>
  <c r="I44" i="11"/>
  <c r="G42" i="11"/>
  <c r="AE119" i="15"/>
  <c r="AG119" i="15" s="1"/>
  <c r="AE256" i="16"/>
  <c r="AG256" i="16" s="1"/>
  <c r="AB218" i="16"/>
  <c r="AD218" i="16" s="1"/>
  <c r="AI218" i="16" s="1"/>
  <c r="AI218" i="15"/>
  <c r="AB94" i="15"/>
  <c r="AE134" i="15"/>
  <c r="AG134" i="15" s="1"/>
  <c r="AJ29" i="15"/>
  <c r="AE29" i="16"/>
  <c r="AG29" i="16" s="1"/>
  <c r="AJ29" i="16" s="1"/>
  <c r="L68" i="11"/>
  <c r="AS23" i="8"/>
  <c r="N100" i="15"/>
  <c r="M100" i="15"/>
  <c r="L52" i="10"/>
  <c r="AJ238" i="10"/>
  <c r="AE238" i="11"/>
  <c r="J63" i="9"/>
  <c r="L65" i="9"/>
  <c r="V246" i="15"/>
  <c r="X246" i="14"/>
  <c r="M98" i="13"/>
  <c r="N98" i="13"/>
  <c r="AD180" i="10"/>
  <c r="AB176" i="10"/>
  <c r="AJ54" i="9"/>
  <c r="AE54" i="10"/>
  <c r="AI124" i="13"/>
  <c r="M99" i="12"/>
  <c r="N99" i="12"/>
  <c r="AJ236" i="13"/>
  <c r="AE236" i="14"/>
  <c r="AE133" i="16"/>
  <c r="AG133" i="16" s="1"/>
  <c r="AG60" i="9"/>
  <c r="AE58" i="9"/>
  <c r="AE57" i="9" s="1"/>
  <c r="AE118" i="14"/>
  <c r="AG118" i="14" s="1"/>
  <c r="AB197" i="11"/>
  <c r="AI197" i="10"/>
  <c r="AI22" i="13"/>
  <c r="AB22" i="14"/>
  <c r="AD239" i="11"/>
  <c r="Y251" i="16"/>
  <c r="AA251" i="16" s="1"/>
  <c r="AG124" i="10"/>
  <c r="Y126" i="14"/>
  <c r="AG59" i="10"/>
  <c r="AD143" i="12"/>
  <c r="K126" i="12"/>
  <c r="K130" i="12" s="1"/>
  <c r="Q126" i="12"/>
  <c r="Q130" i="12" s="1"/>
  <c r="M25" i="20"/>
  <c r="BE22" i="12"/>
  <c r="X160" i="16"/>
  <c r="I64" i="9"/>
  <c r="AE245" i="11"/>
  <c r="AJ245" i="10"/>
  <c r="AH213" i="12"/>
  <c r="AJ213" i="12"/>
  <c r="V38" i="15"/>
  <c r="AG48" i="10"/>
  <c r="AE75" i="15"/>
  <c r="AG75" i="15" s="1"/>
  <c r="D13" i="15"/>
  <c r="AG228" i="9"/>
  <c r="AE227" i="9"/>
  <c r="AG19" i="10"/>
  <c r="I55" i="11"/>
  <c r="V199" i="15"/>
  <c r="X199" i="14"/>
  <c r="AV12" i="13"/>
  <c r="AU12" i="13"/>
  <c r="AZ12" i="13"/>
  <c r="AY12" i="13"/>
  <c r="V173" i="16"/>
  <c r="Y196" i="11"/>
  <c r="AH196" i="10"/>
  <c r="BO26" i="10"/>
  <c r="X213" i="13"/>
  <c r="V213" i="14"/>
  <c r="AE205" i="16"/>
  <c r="AG205" i="16" s="1"/>
  <c r="AJ205" i="16" s="1"/>
  <c r="AJ205" i="15"/>
  <c r="E105" i="14"/>
  <c r="E104" i="13"/>
  <c r="AJ126" i="12"/>
  <c r="AH126" i="12"/>
  <c r="AI126" i="12"/>
  <c r="L31" i="15"/>
  <c r="AE51" i="12"/>
  <c r="AE239" i="15"/>
  <c r="AG239" i="15" s="1"/>
  <c r="AG81" i="10"/>
  <c r="M89" i="14"/>
  <c r="N89" i="14"/>
  <c r="AQ12" i="14"/>
  <c r="G111" i="16"/>
  <c r="I111" i="16" s="1"/>
  <c r="AD191" i="10"/>
  <c r="I97" i="10"/>
  <c r="G94" i="10"/>
  <c r="D87" i="15"/>
  <c r="AH70" i="9"/>
  <c r="Y70" i="10"/>
  <c r="AG97" i="10"/>
  <c r="AG241" i="9"/>
  <c r="AE235" i="9"/>
  <c r="AE234" i="9" s="1"/>
  <c r="AE232" i="9" s="1"/>
  <c r="AG70" i="10"/>
  <c r="AE164" i="14"/>
  <c r="AG164" i="14" s="1"/>
  <c r="AJ164" i="13"/>
  <c r="V24" i="15"/>
  <c r="G105" i="16"/>
  <c r="AB134" i="11"/>
  <c r="AI134" i="10"/>
  <c r="M15" i="12"/>
  <c r="AJ158" i="9"/>
  <c r="AE158" i="10"/>
  <c r="AA40" i="11"/>
  <c r="AE187" i="9"/>
  <c r="AE185" i="9" s="1"/>
  <c r="AG188" i="9"/>
  <c r="AZ23" i="7"/>
  <c r="AE77" i="15"/>
  <c r="AG77" i="15" s="1"/>
  <c r="AB61" i="14"/>
  <c r="L37" i="10"/>
  <c r="E86" i="16"/>
  <c r="I86" i="9"/>
  <c r="G85" i="9"/>
  <c r="E87" i="14"/>
  <c r="F87" i="14" s="1"/>
  <c r="AE84" i="12"/>
  <c r="AJ84" i="11"/>
  <c r="AB224" i="10"/>
  <c r="AI224" i="9"/>
  <c r="AE93" i="12"/>
  <c r="AJ93" i="11"/>
  <c r="E50" i="16"/>
  <c r="E72" i="16"/>
  <c r="N100" i="16"/>
  <c r="M100" i="16"/>
  <c r="C22" i="20"/>
  <c r="V204" i="15"/>
  <c r="V203" i="14"/>
  <c r="A1" i="7"/>
  <c r="F126" i="7"/>
  <c r="F130" i="7" s="1"/>
  <c r="N63" i="8"/>
  <c r="F107" i="12"/>
  <c r="D107" i="13"/>
  <c r="AE218" i="15"/>
  <c r="AG218" i="15" s="1"/>
  <c r="AJ218" i="14"/>
  <c r="V92" i="15"/>
  <c r="AJ40" i="12"/>
  <c r="AE40" i="13"/>
  <c r="W174" i="15"/>
  <c r="V28" i="15"/>
  <c r="AE186" i="10"/>
  <c r="AJ186" i="9"/>
  <c r="AE174" i="10"/>
  <c r="AJ174" i="9"/>
  <c r="AJ172" i="9" s="1"/>
  <c r="AG172" i="9"/>
  <c r="V198" i="16"/>
  <c r="AE37" i="15"/>
  <c r="AJ37" i="14"/>
  <c r="G41" i="13"/>
  <c r="I41" i="13" s="1"/>
  <c r="AB129" i="15"/>
  <c r="X124" i="14"/>
  <c r="V124" i="15"/>
  <c r="V225" i="16"/>
  <c r="AB229" i="11"/>
  <c r="AI229" i="10"/>
  <c r="AV17" i="7"/>
  <c r="AJ200" i="15"/>
  <c r="AE200" i="16"/>
  <c r="AG200" i="16" s="1"/>
  <c r="AJ200" i="16" s="1"/>
  <c r="AE246" i="10"/>
  <c r="AJ246" i="9"/>
  <c r="AJ243" i="9" s="1"/>
  <c r="AG243" i="9"/>
  <c r="Y152" i="10"/>
  <c r="AA149" i="9"/>
  <c r="AA147" i="9" s="1"/>
  <c r="AH152" i="9"/>
  <c r="AH149" i="9" s="1"/>
  <c r="AH147" i="9" s="1"/>
  <c r="AE214" i="16"/>
  <c r="AG214" i="16" s="1"/>
  <c r="X23" i="16"/>
  <c r="H126" i="12"/>
  <c r="H130" i="12" s="1"/>
  <c r="B12" i="14"/>
  <c r="P128" i="13"/>
  <c r="Q128" i="13"/>
  <c r="C128" i="13"/>
  <c r="H128" i="13"/>
  <c r="K128" i="13"/>
  <c r="BE21" i="13"/>
  <c r="AJ160" i="15"/>
  <c r="AH160" i="15"/>
  <c r="AI160" i="15"/>
  <c r="AJ142" i="9"/>
  <c r="AJ141" i="9" s="1"/>
  <c r="AG141" i="9"/>
  <c r="AE142" i="10"/>
  <c r="AE249" i="15"/>
  <c r="AG249" i="15" s="1"/>
  <c r="B24" i="16"/>
  <c r="I71" i="14"/>
  <c r="J118" i="15"/>
  <c r="F104" i="11"/>
  <c r="BC19" i="11"/>
  <c r="M105" i="11"/>
  <c r="F89" i="15"/>
  <c r="D89" i="16"/>
  <c r="F89" i="16" s="1"/>
  <c r="AB55" i="16"/>
  <c r="AD55" i="16" s="1"/>
  <c r="AD248" i="9"/>
  <c r="AB243" i="9"/>
  <c r="AA51" i="11"/>
  <c r="L104" i="9"/>
  <c r="J105" i="10"/>
  <c r="N105" i="9"/>
  <c r="N104" i="9" s="1"/>
  <c r="AJ235" i="8"/>
  <c r="AJ234" i="8" s="1"/>
  <c r="AJ232" i="8" s="1"/>
  <c r="D81" i="14"/>
  <c r="D82" i="15"/>
  <c r="E108" i="14"/>
  <c r="AI244" i="15"/>
  <c r="AE106" i="10"/>
  <c r="AG105" i="9"/>
  <c r="AG104" i="9" s="1"/>
  <c r="AJ106" i="9"/>
  <c r="AJ105" i="9" s="1"/>
  <c r="AJ104" i="9" s="1"/>
  <c r="AB23" i="13"/>
  <c r="AI23" i="12"/>
  <c r="AE127" i="16"/>
  <c r="AG127" i="16" s="1"/>
  <c r="AJ127" i="16" s="1"/>
  <c r="AJ127" i="15"/>
  <c r="AG73" i="9"/>
  <c r="AE69" i="9"/>
  <c r="AE65" i="9" s="1"/>
  <c r="D15" i="14"/>
  <c r="F15" i="13"/>
  <c r="AE168" i="12"/>
  <c r="AJ168" i="11"/>
  <c r="AE148" i="12"/>
  <c r="AJ148" i="11"/>
  <c r="AG95" i="10"/>
  <c r="AG173" i="11"/>
  <c r="W120" i="14"/>
  <c r="AE254" i="15"/>
  <c r="AG254" i="15" s="1"/>
  <c r="L126" i="7"/>
  <c r="L130" i="7" s="1"/>
  <c r="E91" i="13"/>
  <c r="F91" i="12"/>
  <c r="AB213" i="11"/>
  <c r="AI213" i="10"/>
  <c r="AE165" i="14"/>
  <c r="AG165" i="14" s="1"/>
  <c r="I36" i="11"/>
  <c r="AG22" i="9"/>
  <c r="AE20" i="9"/>
  <c r="AE16" i="9" s="1"/>
  <c r="Y238" i="10"/>
  <c r="AH238" i="9"/>
  <c r="M107" i="11"/>
  <c r="N107" i="11"/>
  <c r="AE130" i="16"/>
  <c r="AG130" i="16" s="1"/>
  <c r="AJ130" i="16" s="1"/>
  <c r="AJ130" i="15"/>
  <c r="AG215" i="9"/>
  <c r="AE211" i="9"/>
  <c r="AE210" i="9" s="1"/>
  <c r="AE209" i="9" s="1"/>
  <c r="AE207" i="9" s="1"/>
  <c r="F106" i="13"/>
  <c r="D106" i="14"/>
  <c r="AY13" i="10"/>
  <c r="AU13" i="10"/>
  <c r="AZ13" i="10"/>
  <c r="AV13" i="10"/>
  <c r="E12" i="15"/>
  <c r="AA47" i="16"/>
  <c r="J27" i="11"/>
  <c r="N27" i="10"/>
  <c r="X223" i="14"/>
  <c r="W223" i="15"/>
  <c r="E53" i="16"/>
  <c r="AB26" i="11"/>
  <c r="AI26" i="10"/>
  <c r="AE100" i="16"/>
  <c r="AG100" i="16" s="1"/>
  <c r="Y229" i="12"/>
  <c r="AJ31" i="15"/>
  <c r="AE31" i="16"/>
  <c r="AG31" i="16" s="1"/>
  <c r="AJ31" i="16" s="1"/>
  <c r="J39" i="14"/>
  <c r="L39" i="14" s="1"/>
  <c r="W106" i="15"/>
  <c r="G50" i="10"/>
  <c r="I48" i="9"/>
  <c r="M50" i="9"/>
  <c r="M48" i="9" s="1"/>
  <c r="G110" i="13"/>
  <c r="I110" i="13" s="1"/>
  <c r="AB250" i="15"/>
  <c r="AD250" i="15" s="1"/>
  <c r="N90" i="11"/>
  <c r="M90" i="11"/>
  <c r="AQ13" i="11"/>
  <c r="E85" i="12"/>
  <c r="AR25" i="8" l="1"/>
  <c r="AW25" i="8" s="1"/>
  <c r="F28" i="10"/>
  <c r="AE12" i="8"/>
  <c r="AY25" i="8"/>
  <c r="N28" i="8"/>
  <c r="N21" i="8" s="1"/>
  <c r="N19" i="8" s="1"/>
  <c r="N17" i="8" s="1"/>
  <c r="AF258" i="8" s="1"/>
  <c r="BQ33" i="8" s="1"/>
  <c r="AI170" i="8"/>
  <c r="BN28" i="9"/>
  <c r="AZ30" i="8"/>
  <c r="AY9" i="8"/>
  <c r="BN13" i="9"/>
  <c r="BC21" i="11"/>
  <c r="V14" i="11"/>
  <c r="AS24" i="8"/>
  <c r="AX24" i="8" s="1"/>
  <c r="AZ24" i="8" s="1"/>
  <c r="V10" i="9"/>
  <c r="V8" i="9" s="1"/>
  <c r="V123" i="12"/>
  <c r="AB10" i="8"/>
  <c r="AB8" i="8" s="1"/>
  <c r="BD10" i="8"/>
  <c r="BD9" i="8" s="1"/>
  <c r="BD8" i="8" s="1"/>
  <c r="BD22" i="8" s="1"/>
  <c r="X12" i="9"/>
  <c r="AQ31" i="6"/>
  <c r="BN33" i="6"/>
  <c r="AI63" i="8"/>
  <c r="AI12" i="8" s="1"/>
  <c r="W194" i="11"/>
  <c r="W193" i="11" s="1"/>
  <c r="AD170" i="8"/>
  <c r="AB90" i="9"/>
  <c r="AQ25" i="9"/>
  <c r="AV14" i="7"/>
  <c r="AA43" i="8"/>
  <c r="V234" i="11"/>
  <c r="V232" i="11" s="1"/>
  <c r="AA170" i="8"/>
  <c r="BO24" i="8" s="1"/>
  <c r="BO22" i="8" s="1"/>
  <c r="BI11" i="8" s="1"/>
  <c r="AG8" i="7"/>
  <c r="AH258" i="7"/>
  <c r="AH8" i="7"/>
  <c r="V180" i="16"/>
  <c r="X180" i="16" s="1"/>
  <c r="AJ180" i="16" s="1"/>
  <c r="X180" i="15"/>
  <c r="AJ180" i="15" s="1"/>
  <c r="V128" i="15"/>
  <c r="X128" i="14"/>
  <c r="V174" i="13"/>
  <c r="V172" i="12"/>
  <c r="X174" i="12"/>
  <c r="AH174" i="12" s="1"/>
  <c r="BN15" i="9"/>
  <c r="BH10" i="9" s="1"/>
  <c r="X90" i="10"/>
  <c r="X63" i="10" s="1"/>
  <c r="AH132" i="11"/>
  <c r="AJ132" i="11"/>
  <c r="AI132" i="11"/>
  <c r="AD161" i="9"/>
  <c r="AB157" i="9"/>
  <c r="AB155" i="9" s="1"/>
  <c r="G26" i="13"/>
  <c r="I26" i="13" s="1"/>
  <c r="BD11" i="12"/>
  <c r="M110" i="12"/>
  <c r="AG63" i="8"/>
  <c r="Y12" i="8"/>
  <c r="Y10" i="8" s="1"/>
  <c r="X220" i="10"/>
  <c r="BN30" i="10" s="1"/>
  <c r="BH14" i="10" s="1"/>
  <c r="AG145" i="8"/>
  <c r="AG110" i="8" s="1"/>
  <c r="AS26" i="8" s="1"/>
  <c r="AH43" i="8"/>
  <c r="V132" i="13"/>
  <c r="X132" i="12"/>
  <c r="AA46" i="9"/>
  <c r="Y44" i="9"/>
  <c r="AB117" i="10"/>
  <c r="AD114" i="9"/>
  <c r="AI117" i="9"/>
  <c r="AI114" i="9" s="1"/>
  <c r="AE94" i="10"/>
  <c r="AJ94" i="9"/>
  <c r="AJ91" i="9" s="1"/>
  <c r="AG91" i="9"/>
  <c r="Y124" i="11"/>
  <c r="AH124" i="10"/>
  <c r="AA123" i="10"/>
  <c r="AH128" i="13"/>
  <c r="AJ128" i="13"/>
  <c r="AI128" i="13"/>
  <c r="AG223" i="9"/>
  <c r="AE222" i="9"/>
  <c r="AE220" i="9" s="1"/>
  <c r="V145" i="11"/>
  <c r="AE10" i="8"/>
  <c r="AE8" i="8" s="1"/>
  <c r="AS25" i="8"/>
  <c r="AX25" i="8" s="1"/>
  <c r="AZ25" i="8" s="1"/>
  <c r="AG14" i="8"/>
  <c r="AH90" i="8"/>
  <c r="AH63" i="8" s="1"/>
  <c r="AD10" i="7"/>
  <c r="AD258" i="7" s="1"/>
  <c r="AJ63" i="8"/>
  <c r="D28" i="11"/>
  <c r="D21" i="11" s="1"/>
  <c r="D19" i="11" s="1"/>
  <c r="D17" i="11" s="1"/>
  <c r="AW24" i="8"/>
  <c r="AY24" i="8" s="1"/>
  <c r="AU24" i="8"/>
  <c r="AA98" i="9"/>
  <c r="Y96" i="9"/>
  <c r="D36" i="13"/>
  <c r="F36" i="12"/>
  <c r="D35" i="12"/>
  <c r="AB92" i="10"/>
  <c r="AD91" i="9"/>
  <c r="AI92" i="9"/>
  <c r="AI91" i="9" s="1"/>
  <c r="AH71" i="11"/>
  <c r="AJ71" i="11"/>
  <c r="AB46" i="10"/>
  <c r="AD44" i="9"/>
  <c r="AI46" i="9"/>
  <c r="AI44" i="9" s="1"/>
  <c r="D26" i="14"/>
  <c r="F26" i="13"/>
  <c r="AD116" i="11"/>
  <c r="AI116" i="11" s="1"/>
  <c r="AH59" i="9"/>
  <c r="AH58" i="9" s="1"/>
  <c r="AH57" i="9" s="1"/>
  <c r="AA58" i="9"/>
  <c r="AA57" i="9" s="1"/>
  <c r="Y59" i="10"/>
  <c r="D50" i="14"/>
  <c r="F50" i="13"/>
  <c r="N50" i="13" s="1"/>
  <c r="X85" i="12"/>
  <c r="V85" i="13"/>
  <c r="V21" i="13"/>
  <c r="X21" i="12"/>
  <c r="V20" i="12"/>
  <c r="V16" i="12" s="1"/>
  <c r="Y61" i="13"/>
  <c r="AA61" i="13" s="1"/>
  <c r="BO31" i="12"/>
  <c r="BI15" i="12" s="1"/>
  <c r="AA177" i="9"/>
  <c r="Y176" i="9"/>
  <c r="V87" i="14"/>
  <c r="X87" i="13"/>
  <c r="V77" i="15"/>
  <c r="X77" i="14"/>
  <c r="AA188" i="10"/>
  <c r="Y187" i="10"/>
  <c r="Y185" i="10" s="1"/>
  <c r="V116" i="13"/>
  <c r="X116" i="12"/>
  <c r="N41" i="11"/>
  <c r="M41" i="11"/>
  <c r="D80" i="13"/>
  <c r="F80" i="12"/>
  <c r="M80" i="12" s="1"/>
  <c r="D78" i="12"/>
  <c r="E49" i="14"/>
  <c r="E48" i="13"/>
  <c r="AA167" i="9"/>
  <c r="Y157" i="9"/>
  <c r="Y155" i="9" s="1"/>
  <c r="Y145" i="9" s="1"/>
  <c r="AJ145" i="8"/>
  <c r="AJ110" i="8" s="1"/>
  <c r="N111" i="12"/>
  <c r="BC10" i="10"/>
  <c r="BC9" i="10" s="1"/>
  <c r="BC8" i="10" s="1"/>
  <c r="M128" i="8"/>
  <c r="AU26" i="7"/>
  <c r="AH14" i="8"/>
  <c r="AJ14" i="8"/>
  <c r="AH55" i="13"/>
  <c r="AJ55" i="13"/>
  <c r="AI55" i="13"/>
  <c r="D59" i="14"/>
  <c r="D57" i="13"/>
  <c r="F59" i="13"/>
  <c r="G60" i="9"/>
  <c r="I61" i="9"/>
  <c r="V71" i="13"/>
  <c r="X71" i="12"/>
  <c r="X69" i="12" s="1"/>
  <c r="X65" i="12" s="1"/>
  <c r="AB130" i="14"/>
  <c r="AD130" i="14" s="1"/>
  <c r="AI130" i="13"/>
  <c r="Y222" i="9"/>
  <c r="Y220" i="9" s="1"/>
  <c r="AA223" i="9"/>
  <c r="AA93" i="9"/>
  <c r="Y91" i="9"/>
  <c r="AB31" i="16"/>
  <c r="AD31" i="16" s="1"/>
  <c r="AI31" i="16" s="1"/>
  <c r="AI31" i="15"/>
  <c r="L36" i="9"/>
  <c r="J35" i="9"/>
  <c r="AB106" i="10"/>
  <c r="AD105" i="9"/>
  <c r="AD104" i="9" s="1"/>
  <c r="AI106" i="9"/>
  <c r="AI105" i="9" s="1"/>
  <c r="AI104" i="9" s="1"/>
  <c r="Y67" i="13"/>
  <c r="AA67" i="13" s="1"/>
  <c r="BO11" i="12"/>
  <c r="AH67" i="12"/>
  <c r="AH85" i="11"/>
  <c r="AA107" i="9"/>
  <c r="Y105" i="9"/>
  <c r="Y104" i="9" s="1"/>
  <c r="X58" i="11"/>
  <c r="X57" i="11" s="1"/>
  <c r="AI60" i="11"/>
  <c r="AH60" i="11"/>
  <c r="AH79" i="14"/>
  <c r="AI79" i="14"/>
  <c r="AJ79" i="14"/>
  <c r="M71" i="12"/>
  <c r="AD85" i="9"/>
  <c r="AB83" i="9"/>
  <c r="F41" i="12"/>
  <c r="D41" i="13"/>
  <c r="AI118" i="11"/>
  <c r="AH118" i="11"/>
  <c r="AJ118" i="11"/>
  <c r="AG159" i="9"/>
  <c r="AE157" i="9"/>
  <c r="AE155" i="9" s="1"/>
  <c r="L23" i="9"/>
  <c r="J22" i="9"/>
  <c r="V90" i="11"/>
  <c r="V63" i="11" s="1"/>
  <c r="BP14" i="8"/>
  <c r="BJ9" i="8" s="1"/>
  <c r="V112" i="11"/>
  <c r="V220" i="11"/>
  <c r="AH73" i="12"/>
  <c r="AI73" i="12"/>
  <c r="L71" i="10"/>
  <c r="J69" i="10"/>
  <c r="V55" i="15"/>
  <c r="X55" i="14"/>
  <c r="V97" i="13"/>
  <c r="X97" i="12"/>
  <c r="AH97" i="12" s="1"/>
  <c r="AJ229" i="11"/>
  <c r="X227" i="11"/>
  <c r="I58" i="9"/>
  <c r="G57" i="9"/>
  <c r="D77" i="14"/>
  <c r="F77" i="13"/>
  <c r="N77" i="13" s="1"/>
  <c r="F56" i="13"/>
  <c r="D56" i="14"/>
  <c r="BC12" i="12"/>
  <c r="AG150" i="9"/>
  <c r="AE149" i="9"/>
  <c r="AE147" i="9" s="1"/>
  <c r="M47" i="12"/>
  <c r="AB43" i="9"/>
  <c r="AB14" i="9" s="1"/>
  <c r="D30" i="13"/>
  <c r="F30" i="12"/>
  <c r="D29" i="12"/>
  <c r="D66" i="13"/>
  <c r="F68" i="13"/>
  <c r="D68" i="14"/>
  <c r="V79" i="16"/>
  <c r="X79" i="16" s="1"/>
  <c r="X79" i="15"/>
  <c r="AA52" i="9"/>
  <c r="Y49" i="9"/>
  <c r="Y43" i="9" s="1"/>
  <c r="D33" i="14"/>
  <c r="F33" i="13"/>
  <c r="D32" i="13"/>
  <c r="D71" i="14"/>
  <c r="D69" i="14" s="1"/>
  <c r="F71" i="13"/>
  <c r="AH99" i="12"/>
  <c r="AJ99" i="12"/>
  <c r="J47" i="10"/>
  <c r="N47" i="9"/>
  <c r="N45" i="9" s="1"/>
  <c r="L45" i="9"/>
  <c r="BO17" i="8"/>
  <c r="BO15" i="8" s="1"/>
  <c r="BI10" i="8" s="1"/>
  <c r="AA145" i="8"/>
  <c r="X118" i="12"/>
  <c r="V118" i="13"/>
  <c r="AH75" i="13"/>
  <c r="AJ75" i="13"/>
  <c r="W234" i="11"/>
  <c r="W232" i="11" s="1"/>
  <c r="BC22" i="9"/>
  <c r="V73" i="14"/>
  <c r="X73" i="13"/>
  <c r="D72" i="12"/>
  <c r="F74" i="12"/>
  <c r="F72" i="12" s="1"/>
  <c r="D74" i="13"/>
  <c r="N59" i="12"/>
  <c r="M59" i="12"/>
  <c r="D60" i="13"/>
  <c r="D62" i="14"/>
  <c r="F62" i="14" s="1"/>
  <c r="V229" i="13"/>
  <c r="V227" i="12"/>
  <c r="X229" i="12"/>
  <c r="D12" i="13"/>
  <c r="F12" i="12"/>
  <c r="N12" i="12" s="1"/>
  <c r="D10" i="12"/>
  <c r="AB41" i="14"/>
  <c r="AD41" i="14" s="1"/>
  <c r="AI41" i="13"/>
  <c r="BC11" i="12"/>
  <c r="M26" i="12"/>
  <c r="AA90" i="8"/>
  <c r="D23" i="14"/>
  <c r="F23" i="13"/>
  <c r="D22" i="13"/>
  <c r="J26" i="10"/>
  <c r="N26" i="9"/>
  <c r="N25" i="9" s="1"/>
  <c r="L25" i="9"/>
  <c r="AS8" i="9" s="1"/>
  <c r="AV8" i="9" s="1"/>
  <c r="AX8" i="9"/>
  <c r="AZ8" i="9" s="1"/>
  <c r="D47" i="14"/>
  <c r="D45" i="14" s="1"/>
  <c r="F47" i="13"/>
  <c r="AJ21" i="11"/>
  <c r="AH21" i="11"/>
  <c r="V58" i="12"/>
  <c r="V57" i="12" s="1"/>
  <c r="X60" i="12"/>
  <c r="V60" i="13"/>
  <c r="AB51" i="10"/>
  <c r="AD49" i="9"/>
  <c r="AI51" i="9"/>
  <c r="AI49" i="9" s="1"/>
  <c r="V106" i="13"/>
  <c r="V105" i="12"/>
  <c r="V104" i="12" s="1"/>
  <c r="X106" i="12"/>
  <c r="AI87" i="12"/>
  <c r="AJ87" i="12"/>
  <c r="AH87" i="12"/>
  <c r="Y17" i="13"/>
  <c r="AA17" i="13" s="1"/>
  <c r="BO10" i="12"/>
  <c r="AH17" i="12"/>
  <c r="AH77" i="13"/>
  <c r="AI77" i="13"/>
  <c r="AJ77" i="13"/>
  <c r="L83" i="9"/>
  <c r="J81" i="9"/>
  <c r="AJ116" i="11"/>
  <c r="AH116" i="11"/>
  <c r="V99" i="14"/>
  <c r="X99" i="13"/>
  <c r="X75" i="14"/>
  <c r="V75" i="15"/>
  <c r="AI251" i="11"/>
  <c r="AH251" i="11"/>
  <c r="AJ251" i="11"/>
  <c r="AE41" i="13"/>
  <c r="AG41" i="13" s="1"/>
  <c r="AJ41" i="12"/>
  <c r="AH95" i="11"/>
  <c r="AI95" i="11"/>
  <c r="AD199" i="9"/>
  <c r="AB195" i="9"/>
  <c r="AB194" i="9" s="1"/>
  <c r="AB193" i="9" s="1"/>
  <c r="E34" i="14"/>
  <c r="E32" i="13"/>
  <c r="F34" i="13"/>
  <c r="V137" i="13"/>
  <c r="X137" i="12"/>
  <c r="V224" i="13"/>
  <c r="X224" i="12"/>
  <c r="V222" i="12"/>
  <c r="W107" i="13"/>
  <c r="X107" i="12"/>
  <c r="W105" i="12"/>
  <c r="W104" i="12" s="1"/>
  <c r="AI131" i="11"/>
  <c r="AH131" i="11"/>
  <c r="AJ131" i="11"/>
  <c r="D49" i="13"/>
  <c r="F49" i="12"/>
  <c r="D48" i="12"/>
  <c r="G70" i="10"/>
  <c r="I69" i="9"/>
  <c r="M70" i="9"/>
  <c r="M69" i="9" s="1"/>
  <c r="E51" i="12"/>
  <c r="F52" i="12"/>
  <c r="F51" i="12" s="1"/>
  <c r="E52" i="13"/>
  <c r="AZ16" i="9"/>
  <c r="V12" i="11"/>
  <c r="AI110" i="8"/>
  <c r="AH123" i="10"/>
  <c r="V61" i="13"/>
  <c r="X61" i="12"/>
  <c r="V251" i="13"/>
  <c r="X251" i="12"/>
  <c r="V243" i="12"/>
  <c r="AA38" i="9"/>
  <c r="Y35" i="9"/>
  <c r="AQ23" i="10"/>
  <c r="BN12" i="10"/>
  <c r="BN9" i="10" s="1"/>
  <c r="V95" i="13"/>
  <c r="X95" i="12"/>
  <c r="M67" i="11"/>
  <c r="F66" i="11"/>
  <c r="AI38" i="11"/>
  <c r="AJ139" i="11"/>
  <c r="AI139" i="11"/>
  <c r="AH139" i="11"/>
  <c r="W225" i="13"/>
  <c r="X225" i="12"/>
  <c r="W222" i="12"/>
  <c r="W220" i="12" s="1"/>
  <c r="V100" i="13"/>
  <c r="X100" i="12"/>
  <c r="V96" i="12"/>
  <c r="AH50" i="11"/>
  <c r="AJ50" i="11"/>
  <c r="F35" i="11"/>
  <c r="V133" i="13"/>
  <c r="X133" i="12"/>
  <c r="AA180" i="11"/>
  <c r="W28" i="13"/>
  <c r="X28" i="12"/>
  <c r="E58" i="13"/>
  <c r="F58" i="12"/>
  <c r="F57" i="12" s="1"/>
  <c r="E57" i="12"/>
  <c r="V12" i="10"/>
  <c r="V10" i="10" s="1"/>
  <c r="V8" i="10" s="1"/>
  <c r="BN23" i="11"/>
  <c r="AI177" i="11"/>
  <c r="AG52" i="9"/>
  <c r="AE49" i="9"/>
  <c r="AE43" i="9" s="1"/>
  <c r="AH202" i="12"/>
  <c r="AI202" i="12"/>
  <c r="AJ202" i="12"/>
  <c r="I31" i="9"/>
  <c r="G29" i="9"/>
  <c r="G28" i="9" s="1"/>
  <c r="AI254" i="13"/>
  <c r="AH254" i="13"/>
  <c r="AJ254" i="13"/>
  <c r="AH183" i="11"/>
  <c r="AJ183" i="11"/>
  <c r="AI183" i="11"/>
  <c r="AI150" i="11"/>
  <c r="AH150" i="11"/>
  <c r="X149" i="11"/>
  <c r="X147" i="11" s="1"/>
  <c r="E13" i="13"/>
  <c r="E10" i="12"/>
  <c r="F13" i="12"/>
  <c r="AH198" i="11"/>
  <c r="AJ198" i="11"/>
  <c r="AI198" i="11"/>
  <c r="E28" i="11"/>
  <c r="E21" i="11" s="1"/>
  <c r="E19" i="11" s="1"/>
  <c r="E17" i="11" s="1"/>
  <c r="E8" i="11" s="1"/>
  <c r="E126" i="11" s="1"/>
  <c r="E130" i="11" s="1"/>
  <c r="W24" i="13"/>
  <c r="W20" i="12"/>
  <c r="W16" i="12" s="1"/>
  <c r="X24" i="12"/>
  <c r="AJ120" i="11"/>
  <c r="AH120" i="11"/>
  <c r="AI120" i="11"/>
  <c r="X143" i="12"/>
  <c r="AI143" i="12" s="1"/>
  <c r="V141" i="12"/>
  <c r="V143" i="13"/>
  <c r="W131" i="13"/>
  <c r="X131" i="12"/>
  <c r="V107" i="16"/>
  <c r="AI241" i="15"/>
  <c r="AB241" i="16"/>
  <c r="AD241" i="16" s="1"/>
  <c r="AI241" i="16" s="1"/>
  <c r="W173" i="13"/>
  <c r="X173" i="12"/>
  <c r="W172" i="12"/>
  <c r="D55" i="13"/>
  <c r="D54" i="12"/>
  <c r="F55" i="12"/>
  <c r="F54" i="12" s="1"/>
  <c r="X38" i="12"/>
  <c r="W38" i="13"/>
  <c r="W36" i="13"/>
  <c r="X36" i="12"/>
  <c r="W35" i="12"/>
  <c r="BN33" i="7"/>
  <c r="X123" i="11"/>
  <c r="BO14" i="8"/>
  <c r="BI9" i="8" s="1"/>
  <c r="AG98" i="9"/>
  <c r="AE96" i="9"/>
  <c r="AE90" i="9" s="1"/>
  <c r="AB186" i="13"/>
  <c r="AD186" i="13" s="1"/>
  <c r="AI186" i="12"/>
  <c r="E64" i="13"/>
  <c r="E63" i="12"/>
  <c r="F64" i="12"/>
  <c r="BC7" i="10"/>
  <c r="BC22" i="10" s="1"/>
  <c r="AQ16" i="10"/>
  <c r="V152" i="13"/>
  <c r="V149" i="12"/>
  <c r="V147" i="12" s="1"/>
  <c r="X152" i="12"/>
  <c r="AJ152" i="12" s="1"/>
  <c r="AH135" i="12"/>
  <c r="AJ135" i="12"/>
  <c r="AI135" i="12"/>
  <c r="W139" i="13"/>
  <c r="X139" i="12"/>
  <c r="AJ161" i="11"/>
  <c r="AH161" i="11"/>
  <c r="I46" i="9"/>
  <c r="G45" i="9"/>
  <c r="F32" i="12"/>
  <c r="M34" i="12"/>
  <c r="N34" i="12"/>
  <c r="E43" i="15"/>
  <c r="E42" i="14"/>
  <c r="X50" i="12"/>
  <c r="W50" i="13"/>
  <c r="F22" i="11"/>
  <c r="AQ7" i="11" s="1"/>
  <c r="F128" i="11"/>
  <c r="M24" i="11"/>
  <c r="G74" i="10"/>
  <c r="M74" i="9"/>
  <c r="M72" i="9" s="1"/>
  <c r="I72" i="9"/>
  <c r="AI39" i="11"/>
  <c r="AH39" i="11"/>
  <c r="AJ39" i="11"/>
  <c r="AH117" i="11"/>
  <c r="X114" i="11"/>
  <c r="AI196" i="11"/>
  <c r="AJ196" i="11"/>
  <c r="X195" i="11"/>
  <c r="E76" i="13"/>
  <c r="F76" i="13" s="1"/>
  <c r="E75" i="12"/>
  <c r="V177" i="13"/>
  <c r="V176" i="12"/>
  <c r="X177" i="12"/>
  <c r="F76" i="12"/>
  <c r="F75" i="12" s="1"/>
  <c r="W202" i="14"/>
  <c r="X202" i="13"/>
  <c r="D70" i="15"/>
  <c r="V254" i="15"/>
  <c r="X254" i="14"/>
  <c r="W183" i="13"/>
  <c r="X183" i="12"/>
  <c r="W150" i="13"/>
  <c r="X150" i="12"/>
  <c r="W149" i="12"/>
  <c r="W147" i="12" s="1"/>
  <c r="N31" i="11"/>
  <c r="F29" i="11"/>
  <c r="E79" i="13"/>
  <c r="E78" i="12"/>
  <c r="F79" i="12"/>
  <c r="N79" i="12" s="1"/>
  <c r="E82" i="13"/>
  <c r="E81" i="12"/>
  <c r="F82" i="12"/>
  <c r="V120" i="13"/>
  <c r="X120" i="12"/>
  <c r="G56" i="10"/>
  <c r="M56" i="9"/>
  <c r="M54" i="9" s="1"/>
  <c r="I54" i="9"/>
  <c r="AI32" i="11"/>
  <c r="AH32" i="11"/>
  <c r="AJ32" i="11"/>
  <c r="V258" i="10"/>
  <c r="AH61" i="11"/>
  <c r="AI61" i="11"/>
  <c r="AJ61" i="11"/>
  <c r="V121" i="14"/>
  <c r="X121" i="13"/>
  <c r="BC14" i="11"/>
  <c r="F63" i="11"/>
  <c r="N64" i="11"/>
  <c r="W88" i="13"/>
  <c r="X88" i="12"/>
  <c r="AI88" i="12" s="1"/>
  <c r="AJ225" i="11"/>
  <c r="AH225" i="11"/>
  <c r="AI100" i="11"/>
  <c r="AH100" i="11"/>
  <c r="AJ100" i="11"/>
  <c r="X96" i="11"/>
  <c r="F24" i="12"/>
  <c r="E24" i="13"/>
  <c r="E128" i="12"/>
  <c r="E22" i="12"/>
  <c r="AI133" i="11"/>
  <c r="AJ133" i="11"/>
  <c r="AJ28" i="11"/>
  <c r="AI28" i="11"/>
  <c r="AH28" i="11"/>
  <c r="V159" i="13"/>
  <c r="X159" i="12"/>
  <c r="V157" i="12"/>
  <c r="V155" i="12" s="1"/>
  <c r="F27" i="12"/>
  <c r="F25" i="12" s="1"/>
  <c r="AQ8" i="12" s="1"/>
  <c r="D25" i="12"/>
  <c r="D27" i="13"/>
  <c r="W19" i="14"/>
  <c r="X19" i="13"/>
  <c r="AD174" i="9"/>
  <c r="AB172" i="9"/>
  <c r="E70" i="13"/>
  <c r="E69" i="12"/>
  <c r="F70" i="12"/>
  <c r="F69" i="12" s="1"/>
  <c r="BC15" i="11"/>
  <c r="F45" i="11"/>
  <c r="V51" i="13"/>
  <c r="X51" i="12"/>
  <c r="V49" i="12"/>
  <c r="V43" i="12" s="1"/>
  <c r="W239" i="13"/>
  <c r="X239" i="12"/>
  <c r="F81" i="11"/>
  <c r="M82" i="11"/>
  <c r="V188" i="14"/>
  <c r="X188" i="13"/>
  <c r="AI188" i="13" s="1"/>
  <c r="V187" i="13"/>
  <c r="V185" i="13" s="1"/>
  <c r="W63" i="11"/>
  <c r="W145" i="11"/>
  <c r="W110" i="11" s="1"/>
  <c r="BN31" i="11"/>
  <c r="BH15" i="11" s="1"/>
  <c r="AI121" i="12"/>
  <c r="AJ121" i="12"/>
  <c r="AH121" i="12"/>
  <c r="AH88" i="11"/>
  <c r="AJ88" i="11"/>
  <c r="AI88" i="11"/>
  <c r="W135" i="14"/>
  <c r="X135" i="13"/>
  <c r="AI173" i="11"/>
  <c r="X172" i="11"/>
  <c r="G37" i="10"/>
  <c r="I35" i="9"/>
  <c r="M37" i="9"/>
  <c r="M35" i="9" s="1"/>
  <c r="E67" i="13"/>
  <c r="E66" i="12"/>
  <c r="F67" i="12"/>
  <c r="W161" i="13"/>
  <c r="X161" i="12"/>
  <c r="E35" i="12"/>
  <c r="E37" i="13"/>
  <c r="F37" i="12"/>
  <c r="V39" i="13"/>
  <c r="X39" i="12"/>
  <c r="V35" i="12"/>
  <c r="V117" i="13"/>
  <c r="X117" i="12"/>
  <c r="V114" i="12"/>
  <c r="AH137" i="11"/>
  <c r="AI137" i="11"/>
  <c r="AJ137" i="11"/>
  <c r="V196" i="13"/>
  <c r="X196" i="12"/>
  <c r="V195" i="12"/>
  <c r="V194" i="12" s="1"/>
  <c r="V193" i="12" s="1"/>
  <c r="AI159" i="11"/>
  <c r="D75" i="13"/>
  <c r="D76" i="14"/>
  <c r="AH36" i="11"/>
  <c r="AJ36" i="11"/>
  <c r="X35" i="11"/>
  <c r="V84" i="13"/>
  <c r="X84" i="12"/>
  <c r="AI84" i="12" s="1"/>
  <c r="V83" i="12"/>
  <c r="AI19" i="12"/>
  <c r="AH19" i="12"/>
  <c r="AH224" i="11"/>
  <c r="AJ224" i="11"/>
  <c r="X222" i="11"/>
  <c r="E45" i="12"/>
  <c r="F46" i="12"/>
  <c r="E46" i="13"/>
  <c r="BN16" i="10"/>
  <c r="M13" i="11"/>
  <c r="N13" i="11"/>
  <c r="F10" i="11"/>
  <c r="W198" i="13"/>
  <c r="W195" i="12"/>
  <c r="X198" i="12"/>
  <c r="E31" i="13"/>
  <c r="F31" i="12"/>
  <c r="E29" i="12"/>
  <c r="AH239" i="11"/>
  <c r="AJ239" i="11"/>
  <c r="AG38" i="9"/>
  <c r="AE35" i="9"/>
  <c r="AJ24" i="11"/>
  <c r="X20" i="11"/>
  <c r="X16" i="11" s="1"/>
  <c r="AQ23" i="11" s="1"/>
  <c r="AI24" i="11"/>
  <c r="AH24" i="11"/>
  <c r="AJ107" i="11"/>
  <c r="X105" i="11"/>
  <c r="X104" i="11" s="1"/>
  <c r="AH143" i="11"/>
  <c r="X141" i="11"/>
  <c r="BN20" i="11" s="1"/>
  <c r="AJ143" i="11"/>
  <c r="AI143" i="11"/>
  <c r="M49" i="11"/>
  <c r="F48" i="11"/>
  <c r="W32" i="13"/>
  <c r="X32" i="12"/>
  <c r="BN8" i="9"/>
  <c r="AZ27" i="8"/>
  <c r="AB37" i="10"/>
  <c r="AI37" i="9"/>
  <c r="AI35" i="9" s="1"/>
  <c r="AD35" i="9"/>
  <c r="AE117" i="10"/>
  <c r="AJ117" i="9"/>
  <c r="AJ114" i="9" s="1"/>
  <c r="AG114" i="9"/>
  <c r="AA228" i="10"/>
  <c r="Y227" i="10"/>
  <c r="J56" i="10"/>
  <c r="N56" i="9"/>
  <c r="N54" i="9" s="1"/>
  <c r="L54" i="9"/>
  <c r="M120" i="12"/>
  <c r="N120" i="12"/>
  <c r="G122" i="13"/>
  <c r="I122" i="13" s="1"/>
  <c r="M122" i="12"/>
  <c r="N116" i="13"/>
  <c r="M116" i="13"/>
  <c r="D119" i="14"/>
  <c r="F119" i="13"/>
  <c r="M119" i="13" s="1"/>
  <c r="E116" i="15"/>
  <c r="F116" i="14"/>
  <c r="D117" i="14"/>
  <c r="F117" i="13"/>
  <c r="AV30" i="8"/>
  <c r="X170" i="10"/>
  <c r="AQ27" i="10" s="1"/>
  <c r="F122" i="15"/>
  <c r="D122" i="16"/>
  <c r="F122" i="16" s="1"/>
  <c r="F121" i="12"/>
  <c r="D121" i="13"/>
  <c r="D123" i="15"/>
  <c r="F123" i="14"/>
  <c r="M113" i="10"/>
  <c r="G115" i="11"/>
  <c r="I113" i="10"/>
  <c r="AR15" i="10" s="1"/>
  <c r="AW15" i="10" s="1"/>
  <c r="AY15" i="10" s="1"/>
  <c r="BD20" i="10"/>
  <c r="E115" i="13"/>
  <c r="E113" i="12"/>
  <c r="F115" i="12"/>
  <c r="M124" i="13"/>
  <c r="N124" i="13"/>
  <c r="N117" i="12"/>
  <c r="M117" i="12"/>
  <c r="D118" i="15"/>
  <c r="F118" i="14"/>
  <c r="F40" i="15"/>
  <c r="D40" i="16"/>
  <c r="F40" i="16" s="1"/>
  <c r="X258" i="8"/>
  <c r="AI8" i="7"/>
  <c r="AI258" i="7"/>
  <c r="F120" i="13"/>
  <c r="D120" i="14"/>
  <c r="F113" i="11"/>
  <c r="AQ15" i="11" s="1"/>
  <c r="BC20" i="11"/>
  <c r="N115" i="11"/>
  <c r="BC17" i="11"/>
  <c r="M63" i="8"/>
  <c r="M21" i="8" s="1"/>
  <c r="M19" i="8" s="1"/>
  <c r="M17" i="8" s="1"/>
  <c r="M121" i="11"/>
  <c r="N121" i="11"/>
  <c r="M123" i="13"/>
  <c r="N123" i="13"/>
  <c r="E124" i="15"/>
  <c r="F124" i="14"/>
  <c r="M118" i="13"/>
  <c r="N118" i="13"/>
  <c r="N40" i="14"/>
  <c r="M40" i="14"/>
  <c r="AB258" i="8"/>
  <c r="N119" i="9"/>
  <c r="N113" i="9" s="1"/>
  <c r="J119" i="10"/>
  <c r="L113" i="9"/>
  <c r="AS15" i="9" s="1"/>
  <c r="BH8" i="9"/>
  <c r="AV27" i="8"/>
  <c r="AG12" i="8"/>
  <c r="AA8" i="7"/>
  <c r="U1" i="7" s="1"/>
  <c r="AA258" i="7"/>
  <c r="BO33" i="7" s="1"/>
  <c r="Y8" i="8"/>
  <c r="Y258" i="8"/>
  <c r="AY31" i="5"/>
  <c r="AY32" i="5" s="1"/>
  <c r="AZ35" i="5" s="1"/>
  <c r="W8" i="9"/>
  <c r="I73" i="11"/>
  <c r="N39" i="13"/>
  <c r="AU31" i="6"/>
  <c r="W43" i="11"/>
  <c r="W14" i="11" s="1"/>
  <c r="AZ31" i="5"/>
  <c r="AZ32" i="5" s="1"/>
  <c r="E55" i="15"/>
  <c r="E54" i="14"/>
  <c r="BN25" i="9"/>
  <c r="BH12" i="9" s="1"/>
  <c r="E77" i="16"/>
  <c r="M30" i="11"/>
  <c r="G30" i="12"/>
  <c r="E25" i="16"/>
  <c r="AG151" i="11"/>
  <c r="N128" i="8"/>
  <c r="L21" i="8"/>
  <c r="L19" i="8" s="1"/>
  <c r="L17" i="8" s="1"/>
  <c r="L8" i="8" s="1"/>
  <c r="AV28" i="8"/>
  <c r="W58" i="16"/>
  <c r="W57" i="16" s="1"/>
  <c r="AA94" i="13"/>
  <c r="BP29" i="8"/>
  <c r="BJ13" i="8" s="1"/>
  <c r="AR30" i="8"/>
  <c r="AW30" i="8" s="1"/>
  <c r="AY30" i="8" s="1"/>
  <c r="AZ14" i="8"/>
  <c r="AH165" i="12"/>
  <c r="AI165" i="12"/>
  <c r="AJ165" i="12"/>
  <c r="AG136" i="9"/>
  <c r="AE123" i="9"/>
  <c r="AE112" i="9" s="1"/>
  <c r="BN28" i="10"/>
  <c r="X193" i="10"/>
  <c r="AQ28" i="10" s="1"/>
  <c r="V74" i="14"/>
  <c r="X74" i="13"/>
  <c r="AE137" i="14"/>
  <c r="AG137" i="14" s="1"/>
  <c r="W97" i="15"/>
  <c r="W96" i="14"/>
  <c r="AA84" i="10"/>
  <c r="L57" i="9"/>
  <c r="J58" i="10"/>
  <c r="N58" i="9"/>
  <c r="N57" i="9" s="1"/>
  <c r="AQ9" i="10"/>
  <c r="F21" i="10"/>
  <c r="F19" i="10" s="1"/>
  <c r="AJ125" i="12"/>
  <c r="AH125" i="12"/>
  <c r="AE25" i="13"/>
  <c r="AG25" i="13" s="1"/>
  <c r="AJ25" i="12"/>
  <c r="M96" i="13"/>
  <c r="N96" i="13"/>
  <c r="AG197" i="9"/>
  <c r="AE195" i="9"/>
  <c r="AE194" i="9" s="1"/>
  <c r="AE193" i="9" s="1"/>
  <c r="W203" i="12"/>
  <c r="W204" i="13"/>
  <c r="X204" i="12"/>
  <c r="AB29" i="14"/>
  <c r="AD29" i="14" s="1"/>
  <c r="AI29" i="13"/>
  <c r="L70" i="11"/>
  <c r="V94" i="13"/>
  <c r="V91" i="12"/>
  <c r="X94" i="12"/>
  <c r="AD190" i="9"/>
  <c r="AB187" i="9"/>
  <c r="AB185" i="9" s="1"/>
  <c r="BN27" i="10"/>
  <c r="BN25" i="10" s="1"/>
  <c r="BH12" i="10" s="1"/>
  <c r="X207" i="10"/>
  <c r="AQ29" i="10" s="1"/>
  <c r="AJ244" i="13"/>
  <c r="AE244" i="14"/>
  <c r="AG244" i="14" s="1"/>
  <c r="M88" i="14"/>
  <c r="AQ11" i="14"/>
  <c r="AD228" i="10"/>
  <c r="AB227" i="10"/>
  <c r="X237" i="12"/>
  <c r="W235" i="12"/>
  <c r="W237" i="13"/>
  <c r="D39" i="15"/>
  <c r="F39" i="14"/>
  <c r="M39" i="14" s="1"/>
  <c r="Y106" i="11"/>
  <c r="AH106" i="10"/>
  <c r="AB99" i="10"/>
  <c r="AI99" i="9"/>
  <c r="AI96" i="9" s="1"/>
  <c r="AD96" i="9"/>
  <c r="AI102" i="15"/>
  <c r="AH102" i="15"/>
  <c r="AJ102" i="15"/>
  <c r="D97" i="13"/>
  <c r="F97" i="12"/>
  <c r="N97" i="12" s="1"/>
  <c r="J46" i="11"/>
  <c r="N46" i="10"/>
  <c r="J55" i="11"/>
  <c r="N55" i="10"/>
  <c r="V129" i="14"/>
  <c r="X129" i="13"/>
  <c r="AH68" i="12"/>
  <c r="AI68" i="12"/>
  <c r="AJ68" i="12"/>
  <c r="G78" i="10"/>
  <c r="I78" i="10" s="1"/>
  <c r="M78" i="10" s="1"/>
  <c r="I79" i="10"/>
  <c r="AI50" i="11"/>
  <c r="AB50" i="12"/>
  <c r="G33" i="10"/>
  <c r="I32" i="9"/>
  <c r="M33" i="9"/>
  <c r="M32" i="9" s="1"/>
  <c r="BD13" i="9"/>
  <c r="I8" i="7"/>
  <c r="AH54" i="11"/>
  <c r="AI54" i="11"/>
  <c r="X49" i="11"/>
  <c r="AA26" i="9"/>
  <c r="Y20" i="9"/>
  <c r="Y16" i="9" s="1"/>
  <c r="F60" i="13"/>
  <c r="M62" i="13"/>
  <c r="AH134" i="11"/>
  <c r="AJ134" i="11"/>
  <c r="L62" i="10"/>
  <c r="J60" i="10"/>
  <c r="W167" i="14"/>
  <c r="X167" i="13"/>
  <c r="BN19" i="13" s="1"/>
  <c r="AX15" i="8"/>
  <c r="AZ15" i="8" s="1"/>
  <c r="AV15" i="8"/>
  <c r="AI108" i="14"/>
  <c r="AH108" i="14"/>
  <c r="AJ108" i="14"/>
  <c r="AV32" i="5"/>
  <c r="AQ33" i="5"/>
  <c r="AU32" i="5"/>
  <c r="D53" i="15"/>
  <c r="D51" i="14"/>
  <c r="F53" i="14"/>
  <c r="W47" i="13"/>
  <c r="X47" i="12"/>
  <c r="M12" i="10"/>
  <c r="M10" i="10" s="1"/>
  <c r="I10" i="10"/>
  <c r="G12" i="11"/>
  <c r="AH250" i="12"/>
  <c r="AI250" i="12"/>
  <c r="AJ250" i="12"/>
  <c r="D86" i="13"/>
  <c r="D85" i="12"/>
  <c r="F86" i="12"/>
  <c r="F85" i="12" s="1"/>
  <c r="AE183" i="16"/>
  <c r="AG183" i="16" s="1"/>
  <c r="AA86" i="9"/>
  <c r="Y83" i="9"/>
  <c r="X86" i="12"/>
  <c r="W83" i="12"/>
  <c r="W86" i="13"/>
  <c r="W70" i="14"/>
  <c r="X70" i="13"/>
  <c r="W69" i="13"/>
  <c r="AZ11" i="14"/>
  <c r="BN7" i="8"/>
  <c r="BN32" i="8" s="1"/>
  <c r="AS9" i="8"/>
  <c r="AV9" i="8" s="1"/>
  <c r="AA112" i="8"/>
  <c r="AH234" i="8"/>
  <c r="AH232" i="8" s="1"/>
  <c r="X43" i="10"/>
  <c r="D94" i="12"/>
  <c r="W170" i="11"/>
  <c r="AQ22" i="16"/>
  <c r="AH66" i="16"/>
  <c r="BN10" i="16"/>
  <c r="C34" i="20" s="1"/>
  <c r="AJ66" i="16"/>
  <c r="AB88" i="13"/>
  <c r="AI74" i="12"/>
  <c r="AH74" i="12"/>
  <c r="AJ74" i="12"/>
  <c r="AH190" i="11"/>
  <c r="AJ190" i="11"/>
  <c r="X187" i="11"/>
  <c r="X185" i="11" s="1"/>
  <c r="AE67" i="13"/>
  <c r="AG67" i="13" s="1"/>
  <c r="AJ67" i="12"/>
  <c r="W245" i="13"/>
  <c r="X245" i="12"/>
  <c r="AI245" i="12" s="1"/>
  <c r="W243" i="12"/>
  <c r="X44" i="11"/>
  <c r="AH45" i="11"/>
  <c r="AI45" i="11"/>
  <c r="AJ45" i="11"/>
  <c r="AB75" i="10"/>
  <c r="AI75" i="9"/>
  <c r="AI69" i="9" s="1"/>
  <c r="AD69" i="9"/>
  <c r="AY11" i="13"/>
  <c r="AV11" i="13"/>
  <c r="AU11" i="13"/>
  <c r="W92" i="13"/>
  <c r="X92" i="12"/>
  <c r="W91" i="12"/>
  <c r="W90" i="12" s="1"/>
  <c r="J30" i="10"/>
  <c r="L29" i="9"/>
  <c r="N30" i="9"/>
  <c r="N29" i="9" s="1"/>
  <c r="AQ24" i="10"/>
  <c r="BN14" i="10"/>
  <c r="AE46" i="10"/>
  <c r="AJ46" i="9"/>
  <c r="AJ44" i="9" s="1"/>
  <c r="AG44" i="9"/>
  <c r="AW22" i="8"/>
  <c r="AY22" i="8" s="1"/>
  <c r="AU22" i="8"/>
  <c r="X203" i="11"/>
  <c r="AA203" i="9"/>
  <c r="Y204" i="10"/>
  <c r="AH204" i="9"/>
  <c r="AH203" i="9" s="1"/>
  <c r="BP24" i="8"/>
  <c r="BP22" i="8" s="1"/>
  <c r="BJ11" i="8" s="1"/>
  <c r="AR27" i="8"/>
  <c r="W256" i="14"/>
  <c r="X256" i="13"/>
  <c r="F88" i="15"/>
  <c r="N88" i="15" s="1"/>
  <c r="D88" i="16"/>
  <c r="F88" i="16" s="1"/>
  <c r="AD125" i="9"/>
  <c r="AB123" i="9"/>
  <c r="AB112" i="9" s="1"/>
  <c r="AD225" i="9"/>
  <c r="AB222" i="9"/>
  <c r="AB220" i="9" s="1"/>
  <c r="W249" i="13"/>
  <c r="X249" i="12"/>
  <c r="W158" i="13"/>
  <c r="X158" i="12"/>
  <c r="W157" i="12"/>
  <c r="W155" i="12" s="1"/>
  <c r="L73" i="9"/>
  <c r="J72" i="9"/>
  <c r="BN17" i="10"/>
  <c r="X112" i="10"/>
  <c r="X110" i="10" s="1"/>
  <c r="AQ26" i="10" s="1"/>
  <c r="M101" i="11"/>
  <c r="N101" i="11"/>
  <c r="F111" i="13"/>
  <c r="M111" i="13" s="1"/>
  <c r="D111" i="14"/>
  <c r="G51" i="9"/>
  <c r="I52" i="9"/>
  <c r="L61" i="11"/>
  <c r="AD8" i="7"/>
  <c r="F94" i="11"/>
  <c r="BC18" i="11"/>
  <c r="BN24" i="9"/>
  <c r="BN22" i="9" s="1"/>
  <c r="BH11" i="9" s="1"/>
  <c r="AQ27" i="9"/>
  <c r="D28" i="12"/>
  <c r="F38" i="12"/>
  <c r="D38" i="13"/>
  <c r="AH129" i="12"/>
  <c r="AJ129" i="12"/>
  <c r="AI129" i="12"/>
  <c r="AD215" i="9"/>
  <c r="AB211" i="9"/>
  <c r="AB210" i="9" s="1"/>
  <c r="AB209" i="9" s="1"/>
  <c r="AB207" i="9" s="1"/>
  <c r="W212" i="13"/>
  <c r="W211" i="12"/>
  <c r="W210" i="12" s="1"/>
  <c r="W209" i="12" s="1"/>
  <c r="W207" i="12" s="1"/>
  <c r="X212" i="12"/>
  <c r="E94" i="12"/>
  <c r="E95" i="13"/>
  <c r="F95" i="13" s="1"/>
  <c r="AR17" i="7"/>
  <c r="AU17" i="7" s="1"/>
  <c r="AU14" i="7"/>
  <c r="W33" i="14"/>
  <c r="X33" i="13"/>
  <c r="D42" i="13"/>
  <c r="F43" i="13"/>
  <c r="D43" i="14"/>
  <c r="AA244" i="9"/>
  <c r="Y243" i="9"/>
  <c r="AI167" i="12"/>
  <c r="AJ167" i="12"/>
  <c r="V156" i="13"/>
  <c r="X156" i="12"/>
  <c r="AG178" i="9"/>
  <c r="AE176" i="9"/>
  <c r="AE170" i="9" s="1"/>
  <c r="AB253" i="14"/>
  <c r="AD253" i="14" s="1"/>
  <c r="AI253" i="13"/>
  <c r="AV35" i="6"/>
  <c r="AU35" i="6"/>
  <c r="N92" i="13"/>
  <c r="M92" i="13"/>
  <c r="AI47" i="11"/>
  <c r="AH47" i="11"/>
  <c r="AJ47" i="11"/>
  <c r="AH179" i="11"/>
  <c r="AI179" i="11"/>
  <c r="X176" i="11"/>
  <c r="AJ179" i="11"/>
  <c r="AB97" i="11"/>
  <c r="AI97" i="10"/>
  <c r="W119" i="14"/>
  <c r="W114" i="14" s="1"/>
  <c r="X119" i="13"/>
  <c r="AA197" i="9"/>
  <c r="Y195" i="9"/>
  <c r="Y194" i="9" s="1"/>
  <c r="Y193" i="9" s="1"/>
  <c r="AI86" i="11"/>
  <c r="X83" i="11"/>
  <c r="AZ11" i="13"/>
  <c r="AU28" i="8"/>
  <c r="BH7" i="8"/>
  <c r="BH16" i="8" s="1"/>
  <c r="BH17" i="8" s="1"/>
  <c r="AA234" i="8"/>
  <c r="AA232" i="8" s="1"/>
  <c r="BO29" i="8" s="1"/>
  <c r="BI13" i="8" s="1"/>
  <c r="F95" i="12"/>
  <c r="BP7" i="7"/>
  <c r="BP32" i="7" s="1"/>
  <c r="AH66" i="15"/>
  <c r="AQ22" i="15"/>
  <c r="BN10" i="15"/>
  <c r="AJ66" i="15"/>
  <c r="AH245" i="11"/>
  <c r="X243" i="11"/>
  <c r="AI245" i="11"/>
  <c r="W48" i="13"/>
  <c r="X48" i="12"/>
  <c r="W229" i="15"/>
  <c r="W227" i="14"/>
  <c r="AH92" i="11"/>
  <c r="AJ92" i="11"/>
  <c r="X91" i="11"/>
  <c r="AD189" i="10"/>
  <c r="L49" i="9"/>
  <c r="J48" i="9"/>
  <c r="AD236" i="9"/>
  <c r="AB235" i="9"/>
  <c r="AB234" i="9" s="1"/>
  <c r="AB232" i="9" s="1"/>
  <c r="AF259" i="6"/>
  <c r="AB259" i="6"/>
  <c r="Z259" i="6"/>
  <c r="AD259" i="6"/>
  <c r="Y259" i="6"/>
  <c r="AE259" i="6"/>
  <c r="U259" i="6"/>
  <c r="X259" i="6"/>
  <c r="AC259" i="6"/>
  <c r="AA259" i="6"/>
  <c r="W259" i="6"/>
  <c r="T15" i="7"/>
  <c r="V259" i="6"/>
  <c r="AH259" i="6"/>
  <c r="AG259" i="6"/>
  <c r="AI259" i="6"/>
  <c r="AJ259" i="6"/>
  <c r="AG153" i="10"/>
  <c r="AB204" i="10"/>
  <c r="AD203" i="9"/>
  <c r="AI204" i="9"/>
  <c r="AI203" i="9" s="1"/>
  <c r="Y115" i="10"/>
  <c r="AA114" i="9"/>
  <c r="BO16" i="9" s="1"/>
  <c r="AH115" i="9"/>
  <c r="AH114" i="9" s="1"/>
  <c r="AI94" i="11"/>
  <c r="AH94" i="11"/>
  <c r="D102" i="14"/>
  <c r="F102" i="13"/>
  <c r="AH256" i="12"/>
  <c r="AI256" i="12"/>
  <c r="AJ256" i="12"/>
  <c r="AJ189" i="12"/>
  <c r="AE189" i="13"/>
  <c r="AG189" i="13" s="1"/>
  <c r="AD112" i="8"/>
  <c r="BP17" i="8"/>
  <c r="AH249" i="11"/>
  <c r="AI249" i="11"/>
  <c r="AJ249" i="11"/>
  <c r="AI237" i="11"/>
  <c r="X235" i="11"/>
  <c r="AH237" i="11"/>
  <c r="D101" i="13"/>
  <c r="F101" i="12"/>
  <c r="G90" i="13"/>
  <c r="I90" i="13" s="1"/>
  <c r="AW13" i="12"/>
  <c r="AR13" i="12"/>
  <c r="N38" i="11"/>
  <c r="BC13" i="11"/>
  <c r="M38" i="11"/>
  <c r="V240" i="13"/>
  <c r="X240" i="12"/>
  <c r="V235" i="12"/>
  <c r="V234" i="12" s="1"/>
  <c r="V232" i="12" s="1"/>
  <c r="G76" i="10"/>
  <c r="M76" i="9"/>
  <c r="M75" i="9" s="1"/>
  <c r="I75" i="9"/>
  <c r="J75" i="9"/>
  <c r="L76" i="9"/>
  <c r="Y143" i="15"/>
  <c r="AA143" i="15" s="1"/>
  <c r="W163" i="14"/>
  <c r="X163" i="13"/>
  <c r="BP27" i="8"/>
  <c r="BP25" i="8" s="1"/>
  <c r="BJ12" i="8" s="1"/>
  <c r="AD207" i="8"/>
  <c r="AR29" i="8" s="1"/>
  <c r="AW29" i="8" s="1"/>
  <c r="AY29" i="8" s="1"/>
  <c r="E71" i="16"/>
  <c r="D108" i="13"/>
  <c r="D104" i="13" s="1"/>
  <c r="F108" i="12"/>
  <c r="BC19" i="12" s="1"/>
  <c r="BN26" i="11"/>
  <c r="AH212" i="11"/>
  <c r="X211" i="11"/>
  <c r="X210" i="11" s="1"/>
  <c r="X209" i="11" s="1"/>
  <c r="AW16" i="9"/>
  <c r="AY16" i="9" s="1"/>
  <c r="AU16" i="9"/>
  <c r="AD152" i="9"/>
  <c r="AB149" i="9"/>
  <c r="AB147" i="9" s="1"/>
  <c r="AA14" i="8"/>
  <c r="BO12" i="8"/>
  <c r="BO9" i="8" s="1"/>
  <c r="E60" i="14"/>
  <c r="E62" i="15"/>
  <c r="AE251" i="16"/>
  <c r="AG251" i="16" s="1"/>
  <c r="AI33" i="12"/>
  <c r="AH33" i="12"/>
  <c r="AJ33" i="12"/>
  <c r="BC16" i="12"/>
  <c r="F42" i="12"/>
  <c r="AQ10" i="12" s="1"/>
  <c r="M43" i="12"/>
  <c r="G22" i="9"/>
  <c r="I23" i="9"/>
  <c r="D8" i="10"/>
  <c r="D126" i="10" s="1"/>
  <c r="D130" i="10" s="1"/>
  <c r="V214" i="13"/>
  <c r="X214" i="12"/>
  <c r="V211" i="12"/>
  <c r="V210" i="12" s="1"/>
  <c r="V209" i="12" s="1"/>
  <c r="V207" i="12" s="1"/>
  <c r="BN18" i="11"/>
  <c r="AH156" i="11"/>
  <c r="AJ156" i="11"/>
  <c r="AI156" i="11"/>
  <c r="L53" i="9"/>
  <c r="L128" i="9" s="1"/>
  <c r="J51" i="9"/>
  <c r="D92" i="15"/>
  <c r="F92" i="14"/>
  <c r="M53" i="13"/>
  <c r="J67" i="10"/>
  <c r="N67" i="9"/>
  <c r="N66" i="9" s="1"/>
  <c r="L66" i="9"/>
  <c r="D46" i="15"/>
  <c r="AA80" i="9"/>
  <c r="Y69" i="9"/>
  <c r="Y65" i="9" s="1"/>
  <c r="AI119" i="12"/>
  <c r="AH119" i="12"/>
  <c r="AJ119" i="12"/>
  <c r="AY14" i="8"/>
  <c r="AY17" i="8" s="1"/>
  <c r="BJ7" i="7"/>
  <c r="BJ16" i="7" s="1"/>
  <c r="W165" i="14"/>
  <c r="X165" i="13"/>
  <c r="J44" i="10"/>
  <c r="N44" i="9"/>
  <c r="N42" i="9" s="1"/>
  <c r="AX10" i="9"/>
  <c r="AZ10" i="9" s="1"/>
  <c r="L42" i="9"/>
  <c r="AS10" i="9" s="1"/>
  <c r="AV10" i="9" s="1"/>
  <c r="AB142" i="10"/>
  <c r="AI142" i="9"/>
  <c r="AI141" i="9" s="1"/>
  <c r="AD141" i="9"/>
  <c r="BP20" i="9" s="1"/>
  <c r="D110" i="14"/>
  <c r="F110" i="13"/>
  <c r="N110" i="13" s="1"/>
  <c r="W190" i="13"/>
  <c r="W187" i="12"/>
  <c r="W185" i="12" s="1"/>
  <c r="X190" i="12"/>
  <c r="G80" i="16"/>
  <c r="I80" i="16" s="1"/>
  <c r="F8" i="8"/>
  <c r="W44" i="12"/>
  <c r="W45" i="13"/>
  <c r="X45" i="12"/>
  <c r="AE191" i="16"/>
  <c r="AG191" i="16" s="1"/>
  <c r="AJ191" i="16" s="1"/>
  <c r="AJ191" i="15"/>
  <c r="AI48" i="11"/>
  <c r="AH48" i="11"/>
  <c r="AA142" i="9"/>
  <c r="Y141" i="9"/>
  <c r="Y112" i="9" s="1"/>
  <c r="Y110" i="9" s="1"/>
  <c r="L33" i="9"/>
  <c r="J32" i="9"/>
  <c r="J28" i="9" s="1"/>
  <c r="V125" i="14"/>
  <c r="X125" i="13"/>
  <c r="W215" i="13"/>
  <c r="X215" i="12"/>
  <c r="BP12" i="8"/>
  <c r="BP9" i="8" s="1"/>
  <c r="AR23" i="8"/>
  <c r="AD63" i="8"/>
  <c r="AD12" i="8" s="1"/>
  <c r="AD66" i="9"/>
  <c r="AB65" i="9"/>
  <c r="D96" i="15"/>
  <c r="F96" i="14"/>
  <c r="L95" i="9"/>
  <c r="J94" i="9"/>
  <c r="I65" i="9"/>
  <c r="I63" i="9" s="1"/>
  <c r="G128" i="9"/>
  <c r="N102" i="12"/>
  <c r="M102" i="12"/>
  <c r="AJ26" i="13"/>
  <c r="AE26" i="14"/>
  <c r="AG26" i="14" s="1"/>
  <c r="J43" i="11"/>
  <c r="N43" i="10"/>
  <c r="AB59" i="10"/>
  <c r="AD58" i="9"/>
  <c r="AD57" i="9" s="1"/>
  <c r="AI59" i="9"/>
  <c r="AI58" i="9" s="1"/>
  <c r="AI57" i="9" s="1"/>
  <c r="AI158" i="11"/>
  <c r="AH158" i="11"/>
  <c r="X157" i="11"/>
  <c r="X155" i="11" s="1"/>
  <c r="X145" i="11" s="1"/>
  <c r="AB21" i="10"/>
  <c r="AI21" i="9"/>
  <c r="AI20" i="9" s="1"/>
  <c r="AI16" i="9" s="1"/>
  <c r="AD20" i="9"/>
  <c r="AD16" i="9" s="1"/>
  <c r="AV29" i="9"/>
  <c r="AU29" i="9"/>
  <c r="N80" i="9"/>
  <c r="J80" i="10"/>
  <c r="AI102" i="16"/>
  <c r="AH102" i="16"/>
  <c r="AJ102" i="16"/>
  <c r="AI240" i="11"/>
  <c r="AH240" i="11"/>
  <c r="AJ240" i="11"/>
  <c r="X68" i="13"/>
  <c r="W65" i="13"/>
  <c r="W68" i="14"/>
  <c r="AI163" i="12"/>
  <c r="AH163" i="12"/>
  <c r="AJ163" i="12"/>
  <c r="M108" i="11"/>
  <c r="N108" i="11"/>
  <c r="AG86" i="9"/>
  <c r="AE83" i="9"/>
  <c r="BP16" i="8"/>
  <c r="AD145" i="8"/>
  <c r="W54" i="13"/>
  <c r="X54" i="12"/>
  <c r="W49" i="12"/>
  <c r="W134" i="13"/>
  <c r="X134" i="12"/>
  <c r="W123" i="12"/>
  <c r="W112" i="12" s="1"/>
  <c r="M68" i="9"/>
  <c r="M66" i="9" s="1"/>
  <c r="I66" i="9"/>
  <c r="G68" i="10"/>
  <c r="AA133" i="12"/>
  <c r="AR7" i="8"/>
  <c r="AU7" i="8" s="1"/>
  <c r="I21" i="8"/>
  <c r="I19" i="8" s="1"/>
  <c r="AI214" i="11"/>
  <c r="AH214" i="11"/>
  <c r="AJ214" i="11"/>
  <c r="AA236" i="9"/>
  <c r="Y235" i="9"/>
  <c r="AA173" i="9"/>
  <c r="Y172" i="9"/>
  <c r="W108" i="16"/>
  <c r="X108" i="16" s="1"/>
  <c r="X108" i="15"/>
  <c r="D95" i="14"/>
  <c r="W179" i="13"/>
  <c r="X179" i="12"/>
  <c r="W176" i="12"/>
  <c r="W250" i="14"/>
  <c r="X250" i="13"/>
  <c r="AB71" i="11"/>
  <c r="AI71" i="10"/>
  <c r="AA193" i="8"/>
  <c r="BO28" i="8"/>
  <c r="BO25" i="8" s="1"/>
  <c r="BI12" i="8" s="1"/>
  <c r="AQ14" i="9"/>
  <c r="AQ17" i="9" s="1"/>
  <c r="F17" i="9"/>
  <c r="W12" i="10"/>
  <c r="W10" i="10" s="1"/>
  <c r="W258" i="10" s="1"/>
  <c r="AU25" i="8"/>
  <c r="X234" i="10"/>
  <c r="X232" i="10" s="1"/>
  <c r="X10" i="9"/>
  <c r="X8" i="9" s="1"/>
  <c r="W106" i="16"/>
  <c r="L27" i="11"/>
  <c r="F106" i="14"/>
  <c r="D106" i="15"/>
  <c r="AD23" i="13"/>
  <c r="D82" i="16"/>
  <c r="D81" i="15"/>
  <c r="C126" i="13"/>
  <c r="C130" i="13" s="1"/>
  <c r="P126" i="13"/>
  <c r="P130" i="13" s="1"/>
  <c r="AJ23" i="16"/>
  <c r="AH23" i="16"/>
  <c r="AG246" i="10"/>
  <c r="AE243" i="10"/>
  <c r="AD229" i="11"/>
  <c r="AE17" i="13"/>
  <c r="AS22" i="12"/>
  <c r="AJ17" i="12"/>
  <c r="V92" i="16"/>
  <c r="F107" i="13"/>
  <c r="D107" i="14"/>
  <c r="AG187" i="9"/>
  <c r="AG185" i="9" s="1"/>
  <c r="AJ188" i="9"/>
  <c r="AJ187" i="9" s="1"/>
  <c r="AJ185" i="9" s="1"/>
  <c r="AE188" i="10"/>
  <c r="AD134" i="11"/>
  <c r="AE70" i="11"/>
  <c r="AJ70" i="10"/>
  <c r="AJ241" i="9"/>
  <c r="AJ235" i="9" s="1"/>
  <c r="AJ234" i="9" s="1"/>
  <c r="AJ232" i="9" s="1"/>
  <c r="AE241" i="10"/>
  <c r="AG235" i="9"/>
  <c r="AG234" i="9" s="1"/>
  <c r="AG232" i="9" s="1"/>
  <c r="AE239" i="16"/>
  <c r="AG239" i="16" s="1"/>
  <c r="J31" i="16"/>
  <c r="AH199" i="14"/>
  <c r="AJ199" i="14"/>
  <c r="AE228" i="10"/>
  <c r="AG227" i="9"/>
  <c r="AJ228" i="9"/>
  <c r="AJ227" i="9" s="1"/>
  <c r="AH160" i="16"/>
  <c r="AJ160" i="16"/>
  <c r="AI160" i="16"/>
  <c r="AB143" i="13"/>
  <c r="AE124" i="11"/>
  <c r="AJ124" i="10"/>
  <c r="AE118" i="15"/>
  <c r="AG118" i="15" s="1"/>
  <c r="AE60" i="10"/>
  <c r="AJ60" i="9"/>
  <c r="AJ58" i="9" s="1"/>
  <c r="AJ57" i="9" s="1"/>
  <c r="AG58" i="9"/>
  <c r="AG57" i="9" s="1"/>
  <c r="AG236" i="14"/>
  <c r="AB180" i="11"/>
  <c r="AI180" i="10"/>
  <c r="AI176" i="10" s="1"/>
  <c r="AD176" i="10"/>
  <c r="L63" i="9"/>
  <c r="N65" i="9"/>
  <c r="J65" i="10"/>
  <c r="AE134" i="16"/>
  <c r="AG134" i="16" s="1"/>
  <c r="AE167" i="16"/>
  <c r="AG167" i="16" s="1"/>
  <c r="J122" i="14"/>
  <c r="N122" i="13"/>
  <c r="M25" i="9"/>
  <c r="I27" i="10"/>
  <c r="G25" i="10"/>
  <c r="AD132" i="14"/>
  <c r="V45" i="16"/>
  <c r="V44" i="15"/>
  <c r="D99" i="15"/>
  <c r="F99" i="14"/>
  <c r="AG212" i="11"/>
  <c r="M98" i="14"/>
  <c r="N98" i="14"/>
  <c r="W94" i="15"/>
  <c r="AB70" i="12"/>
  <c r="AI70" i="11"/>
  <c r="AD67" i="10"/>
  <c r="AE72" i="14"/>
  <c r="AG72" i="14" s="1"/>
  <c r="AJ72" i="13"/>
  <c r="AB245" i="13"/>
  <c r="AE252" i="14"/>
  <c r="AG252" i="14" s="1"/>
  <c r="AJ252" i="13"/>
  <c r="Y27" i="11"/>
  <c r="AH27" i="10"/>
  <c r="Y211" i="10"/>
  <c r="Y210" i="10" s="1"/>
  <c r="Y209" i="10" s="1"/>
  <c r="Y207" i="10" s="1"/>
  <c r="AA215" i="10"/>
  <c r="X126" i="14"/>
  <c r="W126" i="15"/>
  <c r="E91" i="14"/>
  <c r="E85" i="14" s="1"/>
  <c r="F91" i="13"/>
  <c r="W120" i="15"/>
  <c r="AE95" i="11"/>
  <c r="AJ95" i="10"/>
  <c r="AG168" i="12"/>
  <c r="AE73" i="10"/>
  <c r="AJ73" i="9"/>
  <c r="AJ69" i="9" s="1"/>
  <c r="AJ65" i="9" s="1"/>
  <c r="AG69" i="9"/>
  <c r="AG65" i="9" s="1"/>
  <c r="Y51" i="12"/>
  <c r="AH51" i="11"/>
  <c r="M89" i="15"/>
  <c r="N89" i="15"/>
  <c r="AQ12" i="15"/>
  <c r="AA238" i="10"/>
  <c r="N91" i="12"/>
  <c r="M91" i="12"/>
  <c r="E108" i="15"/>
  <c r="H126" i="13"/>
  <c r="H130" i="13" s="1"/>
  <c r="AI124" i="14"/>
  <c r="AJ218" i="15"/>
  <c r="AE218" i="16"/>
  <c r="AG218" i="16" s="1"/>
  <c r="AJ218" i="16" s="1"/>
  <c r="AD224" i="10"/>
  <c r="E87" i="15"/>
  <c r="F87" i="15" s="1"/>
  <c r="J37" i="11"/>
  <c r="N37" i="10"/>
  <c r="AD61" i="14"/>
  <c r="AE77" i="16"/>
  <c r="AG77" i="16" s="1"/>
  <c r="I105" i="16"/>
  <c r="V24" i="16"/>
  <c r="AA70" i="10"/>
  <c r="D87" i="16"/>
  <c r="AB191" i="11"/>
  <c r="AI191" i="10"/>
  <c r="AG51" i="12"/>
  <c r="V38" i="16"/>
  <c r="AG245" i="11"/>
  <c r="AE59" i="11"/>
  <c r="AJ59" i="10"/>
  <c r="AA126" i="14"/>
  <c r="AI239" i="11"/>
  <c r="AB239" i="12"/>
  <c r="AX31" i="7"/>
  <c r="AX32" i="7" s="1"/>
  <c r="AW31" i="7"/>
  <c r="AW32" i="7" s="1"/>
  <c r="AV31" i="7"/>
  <c r="AQ32" i="7"/>
  <c r="J52" i="11"/>
  <c r="N52" i="10"/>
  <c r="AI244" i="16"/>
  <c r="AG203" i="11"/>
  <c r="AE204" i="12"/>
  <c r="AJ204" i="11"/>
  <c r="AJ203" i="11" s="1"/>
  <c r="AJ115" i="11"/>
  <c r="AE115" i="12"/>
  <c r="L86" i="10"/>
  <c r="J85" i="10"/>
  <c r="AE18" i="12"/>
  <c r="AJ18" i="11"/>
  <c r="W116" i="15"/>
  <c r="AR8" i="9"/>
  <c r="M99" i="13"/>
  <c r="N99" i="13"/>
  <c r="I81" i="10"/>
  <c r="G83" i="11"/>
  <c r="M83" i="10"/>
  <c r="M81" i="10" s="1"/>
  <c r="AE250" i="15"/>
  <c r="AG250" i="15" s="1"/>
  <c r="I106" i="10"/>
  <c r="G104" i="10"/>
  <c r="AG237" i="12"/>
  <c r="AZ22" i="11"/>
  <c r="I77" i="12"/>
  <c r="AG177" i="10"/>
  <c r="AJ253" i="15"/>
  <c r="AE253" i="16"/>
  <c r="AG253" i="16" s="1"/>
  <c r="AJ253" i="16" s="1"/>
  <c r="L74" i="11"/>
  <c r="AG196" i="16"/>
  <c r="AD36" i="12"/>
  <c r="M105" i="12"/>
  <c r="AG85" i="11"/>
  <c r="G110" i="14"/>
  <c r="I110" i="14" s="1"/>
  <c r="W223" i="16"/>
  <c r="X223" i="15"/>
  <c r="AE254" i="16"/>
  <c r="AG254" i="16" s="1"/>
  <c r="AE173" i="12"/>
  <c r="AJ173" i="11"/>
  <c r="AG148" i="12"/>
  <c r="AG106" i="10"/>
  <c r="AE105" i="10"/>
  <c r="AE104" i="10" s="1"/>
  <c r="AB248" i="10"/>
  <c r="AI248" i="9"/>
  <c r="AI243" i="9" s="1"/>
  <c r="AD243" i="9"/>
  <c r="G71" i="15"/>
  <c r="AE141" i="10"/>
  <c r="AG142" i="10"/>
  <c r="AY13" i="11"/>
  <c r="AU13" i="11"/>
  <c r="AV13" i="11"/>
  <c r="AZ13" i="11"/>
  <c r="BE22" i="13"/>
  <c r="BF22" i="13" s="1"/>
  <c r="N25" i="20"/>
  <c r="BF21" i="13"/>
  <c r="K126" i="13"/>
  <c r="K130" i="13" s="1"/>
  <c r="AD129" i="15"/>
  <c r="G41" i="14"/>
  <c r="I41" i="14" s="1"/>
  <c r="AE97" i="11"/>
  <c r="AJ97" i="10"/>
  <c r="N87" i="14"/>
  <c r="M87" i="14"/>
  <c r="AE81" i="11"/>
  <c r="AJ81" i="10"/>
  <c r="AJ213" i="13"/>
  <c r="AH213" i="13"/>
  <c r="AA196" i="11"/>
  <c r="AE19" i="11"/>
  <c r="AJ19" i="10"/>
  <c r="G64" i="10"/>
  <c r="BD14" i="9"/>
  <c r="M64" i="9"/>
  <c r="AD22" i="14"/>
  <c r="AD197" i="11"/>
  <c r="AG54" i="10"/>
  <c r="V246" i="16"/>
  <c r="X246" i="15"/>
  <c r="AX23" i="8"/>
  <c r="AV23" i="8"/>
  <c r="N68" i="11"/>
  <c r="J68" i="12"/>
  <c r="AD94" i="15"/>
  <c r="AE119" i="16"/>
  <c r="AG119" i="16" s="1"/>
  <c r="G44" i="12"/>
  <c r="AW10" i="11"/>
  <c r="AY10" i="11" s="1"/>
  <c r="M44" i="11"/>
  <c r="M42" i="11" s="1"/>
  <c r="I42" i="11"/>
  <c r="AR10" i="11" s="1"/>
  <c r="AU10" i="11" s="1"/>
  <c r="AJ53" i="14"/>
  <c r="AE53" i="15"/>
  <c r="AG53" i="15" s="1"/>
  <c r="AE61" i="16"/>
  <c r="AG61" i="16" s="1"/>
  <c r="J111" i="14"/>
  <c r="L111" i="14" s="1"/>
  <c r="F90" i="13"/>
  <c r="D90" i="14"/>
  <c r="AA214" i="15"/>
  <c r="AE80" i="16"/>
  <c r="AG80" i="16" s="1"/>
  <c r="AJ80" i="16" s="1"/>
  <c r="AJ80" i="15"/>
  <c r="AG45" i="14"/>
  <c r="AE99" i="15"/>
  <c r="AG99" i="15" s="1"/>
  <c r="AD212" i="12"/>
  <c r="AJ101" i="15"/>
  <c r="AE101" i="16"/>
  <c r="AG101" i="16" s="1"/>
  <c r="AJ101" i="16" s="1"/>
  <c r="AG92" i="14"/>
  <c r="L15" i="11"/>
  <c r="J10" i="11"/>
  <c r="J88" i="16"/>
  <c r="L88" i="16" s="1"/>
  <c r="AX11" i="15"/>
  <c r="AS11" i="15"/>
  <c r="AB107" i="12"/>
  <c r="AI107" i="11"/>
  <c r="J82" i="11"/>
  <c r="N82" i="10"/>
  <c r="F105" i="13"/>
  <c r="D105" i="14"/>
  <c r="L24" i="11"/>
  <c r="AB183" i="14"/>
  <c r="AD183" i="14" s="1"/>
  <c r="AH126" i="13"/>
  <c r="AJ126" i="13"/>
  <c r="AI126" i="13"/>
  <c r="E85" i="13"/>
  <c r="M89" i="16"/>
  <c r="N89" i="16"/>
  <c r="AQ12" i="16"/>
  <c r="AE249" i="16"/>
  <c r="AG249" i="16" s="1"/>
  <c r="AB250" i="16"/>
  <c r="AD250" i="16" s="1"/>
  <c r="I50" i="10"/>
  <c r="G48" i="10"/>
  <c r="J39" i="15"/>
  <c r="L39" i="15" s="1"/>
  <c r="AD26" i="11"/>
  <c r="E12" i="16"/>
  <c r="AE215" i="10"/>
  <c r="AJ215" i="9"/>
  <c r="AJ211" i="9" s="1"/>
  <c r="AJ210" i="9" s="1"/>
  <c r="AJ209" i="9" s="1"/>
  <c r="AJ207" i="9" s="1"/>
  <c r="AG211" i="9"/>
  <c r="AG210" i="9" s="1"/>
  <c r="AG209" i="9" s="1"/>
  <c r="AG207" i="9" s="1"/>
  <c r="AS29" i="9" s="1"/>
  <c r="AX29" i="9" s="1"/>
  <c r="AZ29" i="9" s="1"/>
  <c r="M36" i="11"/>
  <c r="G36" i="12"/>
  <c r="AD213" i="11"/>
  <c r="D15" i="15"/>
  <c r="F15" i="14"/>
  <c r="L105" i="10"/>
  <c r="J104" i="10"/>
  <c r="V124" i="16"/>
  <c r="X124" i="15"/>
  <c r="AG174" i="10"/>
  <c r="AE172" i="10"/>
  <c r="AG186" i="10"/>
  <c r="W174" i="16"/>
  <c r="AA229" i="12"/>
  <c r="AI223" i="14"/>
  <c r="N106" i="13"/>
  <c r="AJ22" i="9"/>
  <c r="AJ20" i="9" s="1"/>
  <c r="AJ16" i="9" s="1"/>
  <c r="AG20" i="9"/>
  <c r="AG16" i="9" s="1"/>
  <c r="AE22" i="10"/>
  <c r="AE165" i="15"/>
  <c r="AG165" i="15" s="1"/>
  <c r="M15" i="13"/>
  <c r="L118" i="15"/>
  <c r="Q126" i="13"/>
  <c r="Q130" i="13" s="1"/>
  <c r="B12" i="15"/>
  <c r="Q128" i="14"/>
  <c r="K128" i="14"/>
  <c r="C128" i="14"/>
  <c r="BE21" i="14"/>
  <c r="P128" i="14"/>
  <c r="H128" i="14"/>
  <c r="Y149" i="10"/>
  <c r="Y147" i="10" s="1"/>
  <c r="AA152" i="10"/>
  <c r="AG37" i="15"/>
  <c r="V28" i="16"/>
  <c r="AG40" i="13"/>
  <c r="N107" i="12"/>
  <c r="M107" i="12"/>
  <c r="V204" i="16"/>
  <c r="V203" i="15"/>
  <c r="AG93" i="12"/>
  <c r="AG84" i="12"/>
  <c r="G86" i="10"/>
  <c r="I85" i="9"/>
  <c r="M86" i="9"/>
  <c r="M85" i="9" s="1"/>
  <c r="Y40" i="12"/>
  <c r="AH40" i="11"/>
  <c r="AG158" i="10"/>
  <c r="AJ164" i="14"/>
  <c r="AE164" i="15"/>
  <c r="AG164" i="15" s="1"/>
  <c r="G97" i="11"/>
  <c r="M97" i="10"/>
  <c r="M94" i="10" s="1"/>
  <c r="I94" i="10"/>
  <c r="BD18" i="10"/>
  <c r="AY12" i="14"/>
  <c r="AV12" i="14"/>
  <c r="AZ12" i="14"/>
  <c r="AU12" i="14"/>
  <c r="E105" i="15"/>
  <c r="E104" i="14"/>
  <c r="X213" i="14"/>
  <c r="V213" i="15"/>
  <c r="X199" i="15"/>
  <c r="V199" i="16"/>
  <c r="X199" i="16" s="1"/>
  <c r="G55" i="12"/>
  <c r="M55" i="11"/>
  <c r="D13" i="16"/>
  <c r="AE75" i="16"/>
  <c r="AG75" i="16" s="1"/>
  <c r="AE48" i="11"/>
  <c r="AJ48" i="10"/>
  <c r="AI246" i="14"/>
  <c r="AH246" i="14"/>
  <c r="AG238" i="11"/>
  <c r="M90" i="12"/>
  <c r="N90" i="12"/>
  <c r="AQ13" i="12"/>
  <c r="D98" i="16"/>
  <c r="F98" i="16" s="1"/>
  <c r="F98" i="15"/>
  <c r="I67" i="14"/>
  <c r="AS16" i="10"/>
  <c r="AD166" i="12"/>
  <c r="Y159" i="12"/>
  <c r="AH159" i="11"/>
  <c r="G95" i="12"/>
  <c r="M95" i="11"/>
  <c r="AA207" i="9"/>
  <c r="BO27" i="9"/>
  <c r="V220" i="12" l="1"/>
  <c r="V110" i="11"/>
  <c r="AV24" i="8"/>
  <c r="F78" i="12"/>
  <c r="F75" i="13"/>
  <c r="BO13" i="8"/>
  <c r="AW14" i="9"/>
  <c r="V258" i="9"/>
  <c r="AA63" i="8"/>
  <c r="X220" i="11"/>
  <c r="BN30" i="11" s="1"/>
  <c r="BH14" i="11" s="1"/>
  <c r="AI10" i="8"/>
  <c r="AI258" i="8" s="1"/>
  <c r="AJ12" i="8"/>
  <c r="AJ10" i="8" s="1"/>
  <c r="AJ258" i="8" s="1"/>
  <c r="BN24" i="10"/>
  <c r="BN22" i="10" s="1"/>
  <c r="BH11" i="10" s="1"/>
  <c r="AB63" i="9"/>
  <c r="BN15" i="10"/>
  <c r="BH10" i="10" s="1"/>
  <c r="AH12" i="8"/>
  <c r="AH10" i="8" s="1"/>
  <c r="AH258" i="8" s="1"/>
  <c r="AQ32" i="6"/>
  <c r="AV31" i="6"/>
  <c r="AW31" i="6"/>
  <c r="AX31" i="6"/>
  <c r="AV25" i="8"/>
  <c r="AE63" i="9"/>
  <c r="X194" i="11"/>
  <c r="AI90" i="9"/>
  <c r="V90" i="12"/>
  <c r="V63" i="12" s="1"/>
  <c r="AX26" i="8"/>
  <c r="AZ26" i="8" s="1"/>
  <c r="AV26" i="8"/>
  <c r="AG10" i="8"/>
  <c r="AG258" i="8" s="1"/>
  <c r="AS31" i="8" s="1"/>
  <c r="AS32" i="8" s="1"/>
  <c r="AD117" i="10"/>
  <c r="AB114" i="10"/>
  <c r="V132" i="14"/>
  <c r="X132" i="13"/>
  <c r="AB145" i="9"/>
  <c r="BH7" i="9"/>
  <c r="BH16" i="9" s="1"/>
  <c r="BH17" i="9" s="1"/>
  <c r="F28" i="11"/>
  <c r="F21" i="11" s="1"/>
  <c r="F19" i="11" s="1"/>
  <c r="AG94" i="10"/>
  <c r="AE91" i="10"/>
  <c r="AB161" i="10"/>
  <c r="AD157" i="9"/>
  <c r="AD155" i="9" s="1"/>
  <c r="AI161" i="9"/>
  <c r="AI157" i="9" s="1"/>
  <c r="AI155" i="9" s="1"/>
  <c r="V174" i="14"/>
  <c r="V172" i="13"/>
  <c r="X174" i="13"/>
  <c r="AH174" i="13" s="1"/>
  <c r="Y14" i="9"/>
  <c r="AD90" i="9"/>
  <c r="AA124" i="11"/>
  <c r="Y123" i="11"/>
  <c r="Y46" i="10"/>
  <c r="AA44" i="9"/>
  <c r="AH46" i="9"/>
  <c r="AH44" i="9" s="1"/>
  <c r="AI128" i="14"/>
  <c r="AJ128" i="14"/>
  <c r="AH128" i="14"/>
  <c r="Y170" i="9"/>
  <c r="AA110" i="8"/>
  <c r="V170" i="12"/>
  <c r="AH132" i="12"/>
  <c r="AJ132" i="12"/>
  <c r="AI132" i="12"/>
  <c r="G26" i="14"/>
  <c r="I26" i="14" s="1"/>
  <c r="BD11" i="13"/>
  <c r="V128" i="16"/>
  <c r="X128" i="16" s="1"/>
  <c r="X128" i="15"/>
  <c r="AB170" i="9"/>
  <c r="BC21" i="12"/>
  <c r="AJ223" i="9"/>
  <c r="AJ222" i="9" s="1"/>
  <c r="AJ220" i="9" s="1"/>
  <c r="AE223" i="10"/>
  <c r="AG222" i="9"/>
  <c r="AG220" i="9" s="1"/>
  <c r="AS30" i="9" s="1"/>
  <c r="AX30" i="9" s="1"/>
  <c r="AZ30" i="9" s="1"/>
  <c r="AU15" i="10"/>
  <c r="V14" i="12"/>
  <c r="V145" i="12"/>
  <c r="BC17" i="12"/>
  <c r="V10" i="11"/>
  <c r="V8" i="11" s="1"/>
  <c r="AD43" i="9"/>
  <c r="Y234" i="9"/>
  <c r="Y232" i="9" s="1"/>
  <c r="X114" i="12"/>
  <c r="V99" i="15"/>
  <c r="X99" i="14"/>
  <c r="AD51" i="10"/>
  <c r="AB49" i="10"/>
  <c r="AB41" i="15"/>
  <c r="AD41" i="15" s="1"/>
  <c r="AI41" i="14"/>
  <c r="AJ229" i="12"/>
  <c r="X227" i="12"/>
  <c r="V73" i="15"/>
  <c r="X73" i="14"/>
  <c r="V118" i="14"/>
  <c r="X118" i="13"/>
  <c r="AI79" i="15"/>
  <c r="AH79" i="15"/>
  <c r="AJ79" i="15"/>
  <c r="AE150" i="10"/>
  <c r="AG149" i="9"/>
  <c r="AG147" i="9" s="1"/>
  <c r="AJ150" i="9"/>
  <c r="AJ149" i="9" s="1"/>
  <c r="AJ147" i="9" s="1"/>
  <c r="G58" i="10"/>
  <c r="I57" i="9"/>
  <c r="M58" i="9"/>
  <c r="M57" i="9" s="1"/>
  <c r="V97" i="14"/>
  <c r="X97" i="13"/>
  <c r="AH97" i="13" s="1"/>
  <c r="J71" i="11"/>
  <c r="N71" i="10"/>
  <c r="N69" i="10" s="1"/>
  <c r="L69" i="10"/>
  <c r="AB85" i="10"/>
  <c r="AD83" i="9"/>
  <c r="AR24" i="9" s="1"/>
  <c r="AI85" i="9"/>
  <c r="AI83" i="9" s="1"/>
  <c r="Y107" i="10"/>
  <c r="AA105" i="9"/>
  <c r="AA104" i="9" s="1"/>
  <c r="AH107" i="9"/>
  <c r="AH105" i="9" s="1"/>
  <c r="AH104" i="9" s="1"/>
  <c r="AD106" i="10"/>
  <c r="AB105" i="10"/>
  <c r="AB104" i="10" s="1"/>
  <c r="V71" i="14"/>
  <c r="X71" i="13"/>
  <c r="X69" i="13" s="1"/>
  <c r="X65" i="13" s="1"/>
  <c r="D80" i="14"/>
  <c r="F80" i="13"/>
  <c r="M80" i="13" s="1"/>
  <c r="D78" i="13"/>
  <c r="V116" i="14"/>
  <c r="X116" i="13"/>
  <c r="V77" i="16"/>
  <c r="X77" i="16" s="1"/>
  <c r="AJ77" i="16" s="1"/>
  <c r="X77" i="15"/>
  <c r="Y177" i="10"/>
  <c r="BO23" i="9"/>
  <c r="AA176" i="9"/>
  <c r="AH177" i="9"/>
  <c r="AH176" i="9" s="1"/>
  <c r="AJ21" i="12"/>
  <c r="AH21" i="12"/>
  <c r="D26" i="15"/>
  <c r="F26" i="14"/>
  <c r="AD92" i="10"/>
  <c r="AB91" i="10"/>
  <c r="F128" i="12"/>
  <c r="BD17" i="9"/>
  <c r="V69" i="13"/>
  <c r="V65" i="13" s="1"/>
  <c r="V75" i="16"/>
  <c r="X75" i="16" s="1"/>
  <c r="AH75" i="16" s="1"/>
  <c r="X75" i="15"/>
  <c r="J83" i="10"/>
  <c r="N83" i="9"/>
  <c r="N81" i="9" s="1"/>
  <c r="L81" i="9"/>
  <c r="V106" i="14"/>
  <c r="X106" i="13"/>
  <c r="V105" i="13"/>
  <c r="V104" i="13" s="1"/>
  <c r="V60" i="14"/>
  <c r="V58" i="13"/>
  <c r="V57" i="13" s="1"/>
  <c r="X60" i="13"/>
  <c r="BC12" i="13"/>
  <c r="AI118" i="12"/>
  <c r="AH118" i="12"/>
  <c r="AJ118" i="12"/>
  <c r="M71" i="13"/>
  <c r="D33" i="15"/>
  <c r="F33" i="14"/>
  <c r="D32" i="14"/>
  <c r="AI79" i="16"/>
  <c r="AH79" i="16"/>
  <c r="AJ79" i="16"/>
  <c r="AJ55" i="14"/>
  <c r="AH55" i="14"/>
  <c r="AI55" i="14"/>
  <c r="AE159" i="10"/>
  <c r="AJ159" i="9"/>
  <c r="AJ157" i="9" s="1"/>
  <c r="AJ155" i="9" s="1"/>
  <c r="AG157" i="9"/>
  <c r="AG155" i="9" s="1"/>
  <c r="D41" i="14"/>
  <c r="F41" i="13"/>
  <c r="BO11" i="13"/>
  <c r="AH67" i="13"/>
  <c r="Y67" i="14"/>
  <c r="AA67" i="14" s="1"/>
  <c r="Y67" i="15" s="1"/>
  <c r="Y90" i="9"/>
  <c r="Y63" i="9" s="1"/>
  <c r="Y12" i="9" s="1"/>
  <c r="M61" i="9"/>
  <c r="M60" i="9" s="1"/>
  <c r="I60" i="9"/>
  <c r="G61" i="10"/>
  <c r="D57" i="14"/>
  <c r="D59" i="15"/>
  <c r="F59" i="14"/>
  <c r="E49" i="15"/>
  <c r="E48" i="14"/>
  <c r="AJ87" i="13"/>
  <c r="AI87" i="13"/>
  <c r="AH87" i="13"/>
  <c r="V21" i="14"/>
  <c r="X21" i="13"/>
  <c r="V20" i="13"/>
  <c r="V16" i="13" s="1"/>
  <c r="D50" i="15"/>
  <c r="F50" i="14"/>
  <c r="N50" i="14" s="1"/>
  <c r="AI43" i="9"/>
  <c r="AI14" i="9" s="1"/>
  <c r="Y98" i="10"/>
  <c r="AA96" i="9"/>
  <c r="AH98" i="9"/>
  <c r="AH96" i="9" s="1"/>
  <c r="D21" i="12"/>
  <c r="D19" i="12" s="1"/>
  <c r="D17" i="12" s="1"/>
  <c r="W194" i="12"/>
  <c r="W193" i="12" s="1"/>
  <c r="AE14" i="9"/>
  <c r="AE12" i="9" s="1"/>
  <c r="AH75" i="14"/>
  <c r="AJ75" i="14"/>
  <c r="AH60" i="12"/>
  <c r="AI60" i="12"/>
  <c r="X58" i="12"/>
  <c r="X57" i="12" s="1"/>
  <c r="M47" i="13"/>
  <c r="D23" i="15"/>
  <c r="F23" i="14"/>
  <c r="D22" i="14"/>
  <c r="V227" i="13"/>
  <c r="V229" i="14"/>
  <c r="X229" i="13"/>
  <c r="L47" i="10"/>
  <c r="J45" i="10"/>
  <c r="D71" i="15"/>
  <c r="D69" i="15" s="1"/>
  <c r="F71" i="14"/>
  <c r="D68" i="15"/>
  <c r="F68" i="14"/>
  <c r="D66" i="14"/>
  <c r="D77" i="15"/>
  <c r="F77" i="14"/>
  <c r="N77" i="14" s="1"/>
  <c r="V55" i="16"/>
  <c r="X55" i="16" s="1"/>
  <c r="X55" i="15"/>
  <c r="N41" i="12"/>
  <c r="M41" i="12"/>
  <c r="J36" i="10"/>
  <c r="L35" i="9"/>
  <c r="N36" i="9"/>
  <c r="N35" i="9" s="1"/>
  <c r="Y93" i="10"/>
  <c r="AH93" i="9"/>
  <c r="AH91" i="9" s="1"/>
  <c r="AA91" i="9"/>
  <c r="AB130" i="15"/>
  <c r="AD130" i="15" s="1"/>
  <c r="AI130" i="14"/>
  <c r="Y188" i="11"/>
  <c r="AH188" i="10"/>
  <c r="AH187" i="10" s="1"/>
  <c r="AH185" i="10" s="1"/>
  <c r="AA187" i="10"/>
  <c r="AA185" i="10" s="1"/>
  <c r="V87" i="15"/>
  <c r="X87" i="14"/>
  <c r="Y61" i="14"/>
  <c r="AA61" i="14" s="1"/>
  <c r="BO31" i="13"/>
  <c r="BI15" i="13" s="1"/>
  <c r="X85" i="13"/>
  <c r="V85" i="14"/>
  <c r="Y58" i="10"/>
  <c r="Y57" i="10" s="1"/>
  <c r="AA59" i="10"/>
  <c r="AB116" i="12"/>
  <c r="W145" i="12"/>
  <c r="W110" i="12" s="1"/>
  <c r="W12" i="11"/>
  <c r="W10" i="11" s="1"/>
  <c r="W8" i="11" s="1"/>
  <c r="AH99" i="13"/>
  <c r="AJ99" i="13"/>
  <c r="BO10" i="13"/>
  <c r="Y17" i="14"/>
  <c r="AA17" i="14" s="1"/>
  <c r="AH17" i="13"/>
  <c r="D47" i="15"/>
  <c r="D45" i="15" s="1"/>
  <c r="F47" i="14"/>
  <c r="L26" i="10"/>
  <c r="J25" i="10"/>
  <c r="D12" i="14"/>
  <c r="F12" i="13"/>
  <c r="N12" i="13" s="1"/>
  <c r="D10" i="13"/>
  <c r="D62" i="15"/>
  <c r="F62" i="15" s="1"/>
  <c r="D60" i="14"/>
  <c r="F74" i="13"/>
  <c r="F72" i="13" s="1"/>
  <c r="D74" i="14"/>
  <c r="D72" i="13"/>
  <c r="AI73" i="13"/>
  <c r="AH73" i="13"/>
  <c r="Y52" i="10"/>
  <c r="AH52" i="9"/>
  <c r="AH49" i="9" s="1"/>
  <c r="AA49" i="9"/>
  <c r="D30" i="14"/>
  <c r="F30" i="13"/>
  <c r="D29" i="13"/>
  <c r="AE145" i="9"/>
  <c r="AE110" i="9" s="1"/>
  <c r="F56" i="14"/>
  <c r="D56" i="15"/>
  <c r="J23" i="10"/>
  <c r="AX7" i="9"/>
  <c r="AZ7" i="9" s="1"/>
  <c r="L22" i="9"/>
  <c r="AS7" i="9" s="1"/>
  <c r="AV7" i="9" s="1"/>
  <c r="N23" i="9"/>
  <c r="N22" i="9" s="1"/>
  <c r="AH223" i="9"/>
  <c r="AH222" i="9" s="1"/>
  <c r="AH220" i="9" s="1"/>
  <c r="Y223" i="10"/>
  <c r="AA222" i="9"/>
  <c r="AA220" i="9" s="1"/>
  <c r="BO30" i="9" s="1"/>
  <c r="BI14" i="9" s="1"/>
  <c r="AH71" i="12"/>
  <c r="AJ71" i="12"/>
  <c r="N59" i="13"/>
  <c r="M59" i="13"/>
  <c r="Y167" i="10"/>
  <c r="BO19" i="9"/>
  <c r="AA157" i="9"/>
  <c r="AA155" i="9" s="1"/>
  <c r="AH167" i="9"/>
  <c r="AH157" i="9" s="1"/>
  <c r="AH155" i="9" s="1"/>
  <c r="AH145" i="9" s="1"/>
  <c r="AJ116" i="12"/>
  <c r="AH116" i="12"/>
  <c r="AI77" i="14"/>
  <c r="AH77" i="14"/>
  <c r="AJ77" i="14"/>
  <c r="AH85" i="12"/>
  <c r="M26" i="13"/>
  <c r="BC11" i="13"/>
  <c r="AD46" i="10"/>
  <c r="AB44" i="10"/>
  <c r="D36" i="14"/>
  <c r="F36" i="13"/>
  <c r="D35" i="13"/>
  <c r="V112" i="12"/>
  <c r="V110" i="12" s="1"/>
  <c r="E31" i="14"/>
  <c r="F31" i="13"/>
  <c r="E29" i="13"/>
  <c r="AQ16" i="11"/>
  <c r="BC7" i="11"/>
  <c r="E46" i="14"/>
  <c r="F46" i="13"/>
  <c r="E45" i="13"/>
  <c r="AI196" i="12"/>
  <c r="AJ196" i="12"/>
  <c r="X195" i="12"/>
  <c r="E35" i="13"/>
  <c r="E37" i="14"/>
  <c r="F37" i="13"/>
  <c r="W161" i="14"/>
  <c r="X161" i="13"/>
  <c r="V187" i="14"/>
  <c r="V185" i="14" s="1"/>
  <c r="X188" i="14"/>
  <c r="AI188" i="14" s="1"/>
  <c r="V188" i="15"/>
  <c r="W239" i="14"/>
  <c r="X239" i="13"/>
  <c r="E70" i="14"/>
  <c r="E69" i="13"/>
  <c r="F70" i="13"/>
  <c r="F69" i="13" s="1"/>
  <c r="W19" i="15"/>
  <c r="X19" i="14"/>
  <c r="V121" i="15"/>
  <c r="X121" i="14"/>
  <c r="AH120" i="12"/>
  <c r="AJ120" i="12"/>
  <c r="AI120" i="12"/>
  <c r="E82" i="14"/>
  <c r="E81" i="13"/>
  <c r="F82" i="13"/>
  <c r="AH183" i="12"/>
  <c r="AJ183" i="12"/>
  <c r="AI183" i="12"/>
  <c r="W202" i="15"/>
  <c r="X202" i="14"/>
  <c r="X177" i="13"/>
  <c r="V176" i="13"/>
  <c r="V170" i="13" s="1"/>
  <c r="V177" i="14"/>
  <c r="F63" i="12"/>
  <c r="N64" i="12"/>
  <c r="BC14" i="12"/>
  <c r="AB186" i="14"/>
  <c r="AD186" i="14" s="1"/>
  <c r="AI186" i="13"/>
  <c r="X38" i="13"/>
  <c r="W38" i="14"/>
  <c r="D55" i="14"/>
  <c r="D54" i="13"/>
  <c r="F55" i="13"/>
  <c r="F54" i="13" s="1"/>
  <c r="X143" i="13"/>
  <c r="V143" i="14"/>
  <c r="V141" i="13"/>
  <c r="W24" i="14"/>
  <c r="W20" i="13"/>
  <c r="W16" i="13" s="1"/>
  <c r="X24" i="13"/>
  <c r="E13" i="14"/>
  <c r="E10" i="13"/>
  <c r="F13" i="13"/>
  <c r="G31" i="10"/>
  <c r="I29" i="9"/>
  <c r="I28" i="9" s="1"/>
  <c r="AR9" i="9" s="1"/>
  <c r="AU9" i="9" s="1"/>
  <c r="M31" i="9"/>
  <c r="M29" i="9" s="1"/>
  <c r="M28" i="9" s="1"/>
  <c r="AI28" i="12"/>
  <c r="AH28" i="12"/>
  <c r="AJ28" i="12"/>
  <c r="AI133" i="12"/>
  <c r="AJ133" i="12"/>
  <c r="V100" i="14"/>
  <c r="X100" i="13"/>
  <c r="V96" i="13"/>
  <c r="AI95" i="12"/>
  <c r="AH95" i="12"/>
  <c r="V251" i="14"/>
  <c r="X251" i="13"/>
  <c r="V243" i="13"/>
  <c r="M49" i="12"/>
  <c r="F48" i="12"/>
  <c r="V137" i="14"/>
  <c r="X137" i="13"/>
  <c r="AY35" i="5"/>
  <c r="AJ198" i="12"/>
  <c r="AI198" i="12"/>
  <c r="AH198" i="12"/>
  <c r="BC15" i="12"/>
  <c r="F45" i="12"/>
  <c r="V196" i="14"/>
  <c r="X196" i="13"/>
  <c r="V195" i="13"/>
  <c r="V194" i="13" s="1"/>
  <c r="V193" i="13" s="1"/>
  <c r="AH39" i="12"/>
  <c r="AJ39" i="12"/>
  <c r="AI39" i="12"/>
  <c r="F66" i="12"/>
  <c r="M67" i="12"/>
  <c r="D128" i="13"/>
  <c r="D27" i="14"/>
  <c r="F27" i="13"/>
  <c r="F25" i="13" s="1"/>
  <c r="AQ8" i="13" s="1"/>
  <c r="D25" i="13"/>
  <c r="AI159" i="12"/>
  <c r="V120" i="14"/>
  <c r="X120" i="13"/>
  <c r="W183" i="14"/>
  <c r="X183" i="13"/>
  <c r="E43" i="16"/>
  <c r="E42" i="16" s="1"/>
  <c r="E42" i="15"/>
  <c r="V152" i="14"/>
  <c r="V149" i="13"/>
  <c r="V147" i="13" s="1"/>
  <c r="X152" i="13"/>
  <c r="AJ152" i="13" s="1"/>
  <c r="AI38" i="12"/>
  <c r="AE52" i="10"/>
  <c r="AJ52" i="9"/>
  <c r="AJ49" i="9" s="1"/>
  <c r="AJ43" i="9" s="1"/>
  <c r="AG49" i="9"/>
  <c r="AG43" i="9" s="1"/>
  <c r="W28" i="14"/>
  <c r="X28" i="13"/>
  <c r="V133" i="14"/>
  <c r="X133" i="13"/>
  <c r="V95" i="14"/>
  <c r="X95" i="13"/>
  <c r="Y38" i="10"/>
  <c r="AA35" i="9"/>
  <c r="AH38" i="9"/>
  <c r="AH35" i="9" s="1"/>
  <c r="AH61" i="12"/>
  <c r="AJ61" i="12"/>
  <c r="AI61" i="12"/>
  <c r="F52" i="13"/>
  <c r="F51" i="13" s="1"/>
  <c r="E51" i="13"/>
  <c r="E52" i="14"/>
  <c r="F49" i="13"/>
  <c r="D49" i="14"/>
  <c r="D48" i="13"/>
  <c r="AH224" i="12"/>
  <c r="AJ224" i="12"/>
  <c r="X222" i="12"/>
  <c r="X220" i="12" s="1"/>
  <c r="BN30" i="12" s="1"/>
  <c r="BH14" i="12" s="1"/>
  <c r="M34" i="13"/>
  <c r="F32" i="13"/>
  <c r="N34" i="13"/>
  <c r="AB199" i="10"/>
  <c r="AI199" i="9"/>
  <c r="AI195" i="9" s="1"/>
  <c r="AI194" i="9" s="1"/>
  <c r="AI193" i="9" s="1"/>
  <c r="AD195" i="9"/>
  <c r="AD194" i="9" s="1"/>
  <c r="V123" i="13"/>
  <c r="BN31" i="12"/>
  <c r="BH15" i="12" s="1"/>
  <c r="AW9" i="9"/>
  <c r="AY9" i="9" s="1"/>
  <c r="AH32" i="12"/>
  <c r="AI32" i="12"/>
  <c r="AJ32" i="12"/>
  <c r="E28" i="12"/>
  <c r="E21" i="12" s="1"/>
  <c r="E19" i="12" s="1"/>
  <c r="E17" i="12" s="1"/>
  <c r="E8" i="12" s="1"/>
  <c r="E126" i="12" s="1"/>
  <c r="E130" i="12" s="1"/>
  <c r="V84" i="14"/>
  <c r="X84" i="13"/>
  <c r="AI84" i="13" s="1"/>
  <c r="V83" i="13"/>
  <c r="D76" i="15"/>
  <c r="D75" i="14"/>
  <c r="AH117" i="12"/>
  <c r="V39" i="14"/>
  <c r="X39" i="13"/>
  <c r="V35" i="13"/>
  <c r="AH135" i="13"/>
  <c r="AI135" i="13"/>
  <c r="AJ135" i="13"/>
  <c r="AB174" i="10"/>
  <c r="AD172" i="9"/>
  <c r="AI174" i="9"/>
  <c r="AI172" i="9" s="1"/>
  <c r="V159" i="14"/>
  <c r="X159" i="13"/>
  <c r="V157" i="13"/>
  <c r="V155" i="13" s="1"/>
  <c r="E22" i="13"/>
  <c r="E24" i="14"/>
  <c r="F24" i="13"/>
  <c r="E128" i="13"/>
  <c r="AJ88" i="12"/>
  <c r="AH88" i="12"/>
  <c r="M82" i="12"/>
  <c r="F81" i="12"/>
  <c r="AH150" i="12"/>
  <c r="AI150" i="12"/>
  <c r="X149" i="12"/>
  <c r="X147" i="12" s="1"/>
  <c r="BN16" i="12" s="1"/>
  <c r="AI254" i="14"/>
  <c r="AH254" i="14"/>
  <c r="AJ254" i="14"/>
  <c r="D70" i="16"/>
  <c r="AI177" i="12"/>
  <c r="BN23" i="12"/>
  <c r="E76" i="14"/>
  <c r="F76" i="14" s="1"/>
  <c r="E75" i="13"/>
  <c r="X112" i="11"/>
  <c r="X110" i="11" s="1"/>
  <c r="AQ26" i="11" s="1"/>
  <c r="BN16" i="11"/>
  <c r="I74" i="10"/>
  <c r="G72" i="10"/>
  <c r="W50" i="14"/>
  <c r="X50" i="13"/>
  <c r="BD15" i="9"/>
  <c r="G46" i="10"/>
  <c r="I45" i="9"/>
  <c r="M46" i="9"/>
  <c r="M45" i="9" s="1"/>
  <c r="AI139" i="12"/>
  <c r="AJ139" i="12"/>
  <c r="AH139" i="12"/>
  <c r="E64" i="14"/>
  <c r="E63" i="13"/>
  <c r="F64" i="13"/>
  <c r="AJ98" i="9"/>
  <c r="AJ96" i="9" s="1"/>
  <c r="AJ90" i="9" s="1"/>
  <c r="AE98" i="10"/>
  <c r="AG96" i="9"/>
  <c r="AG90" i="9" s="1"/>
  <c r="AJ36" i="12"/>
  <c r="AH36" i="12"/>
  <c r="X35" i="12"/>
  <c r="AI173" i="12"/>
  <c r="X172" i="12"/>
  <c r="AH131" i="12"/>
  <c r="AI131" i="12"/>
  <c r="AJ131" i="12"/>
  <c r="X141" i="12"/>
  <c r="BN20" i="12" s="1"/>
  <c r="AH143" i="12"/>
  <c r="AJ143" i="12"/>
  <c r="X20" i="12"/>
  <c r="X16" i="12" s="1"/>
  <c r="BN12" i="12" s="1"/>
  <c r="BN9" i="12" s="1"/>
  <c r="AI24" i="12"/>
  <c r="AH24" i="12"/>
  <c r="AJ24" i="12"/>
  <c r="N13" i="12"/>
  <c r="M13" i="12"/>
  <c r="F10" i="12"/>
  <c r="AJ225" i="12"/>
  <c r="AH225" i="12"/>
  <c r="V61" i="14"/>
  <c r="X61" i="13"/>
  <c r="I70" i="10"/>
  <c r="G69" i="10"/>
  <c r="AJ107" i="12"/>
  <c r="X105" i="12"/>
  <c r="X104" i="12" s="1"/>
  <c r="V224" i="14"/>
  <c r="X224" i="13"/>
  <c r="V222" i="13"/>
  <c r="V220" i="13" s="1"/>
  <c r="N8" i="8"/>
  <c r="N126" i="8" s="1"/>
  <c r="N130" i="8" s="1"/>
  <c r="X90" i="11"/>
  <c r="X63" i="11" s="1"/>
  <c r="BN12" i="11"/>
  <c r="BN9" i="11" s="1"/>
  <c r="X170" i="11"/>
  <c r="BN24" i="11" s="1"/>
  <c r="BN22" i="11" s="1"/>
  <c r="BH11" i="11" s="1"/>
  <c r="Y1" i="7"/>
  <c r="W63" i="12"/>
  <c r="W32" i="14"/>
  <c r="X32" i="13"/>
  <c r="AE38" i="10"/>
  <c r="AG35" i="9"/>
  <c r="AJ38" i="9"/>
  <c r="AJ35" i="9" s="1"/>
  <c r="F29" i="12"/>
  <c r="N31" i="12"/>
  <c r="W198" i="14"/>
  <c r="W195" i="13"/>
  <c r="X198" i="13"/>
  <c r="V117" i="14"/>
  <c r="X117" i="13"/>
  <c r="V114" i="13"/>
  <c r="F35" i="12"/>
  <c r="AJ161" i="12"/>
  <c r="AH161" i="12"/>
  <c r="E67" i="14"/>
  <c r="F67" i="13"/>
  <c r="E66" i="13"/>
  <c r="I37" i="10"/>
  <c r="G35" i="10"/>
  <c r="W135" i="15"/>
  <c r="X135" i="14"/>
  <c r="AH239" i="12"/>
  <c r="AJ239" i="12"/>
  <c r="V51" i="14"/>
  <c r="X51" i="13"/>
  <c r="V49" i="13"/>
  <c r="V43" i="13" s="1"/>
  <c r="AI19" i="13"/>
  <c r="AH19" i="13"/>
  <c r="M24" i="12"/>
  <c r="F22" i="12"/>
  <c r="AQ7" i="12" s="1"/>
  <c r="W88" i="14"/>
  <c r="X88" i="13"/>
  <c r="AJ121" i="13"/>
  <c r="AI121" i="13"/>
  <c r="AH121" i="13"/>
  <c r="I56" i="10"/>
  <c r="G54" i="10"/>
  <c r="E79" i="14"/>
  <c r="E78" i="13"/>
  <c r="F78" i="13" s="1"/>
  <c r="F79" i="13"/>
  <c r="N79" i="13" s="1"/>
  <c r="W150" i="14"/>
  <c r="X150" i="13"/>
  <c r="W149" i="13"/>
  <c r="W147" i="13" s="1"/>
  <c r="V254" i="16"/>
  <c r="X254" i="16" s="1"/>
  <c r="AJ254" i="16" s="1"/>
  <c r="X254" i="15"/>
  <c r="AI202" i="13"/>
  <c r="AH202" i="13"/>
  <c r="AJ202" i="13"/>
  <c r="AJ50" i="12"/>
  <c r="AH50" i="12"/>
  <c r="W139" i="14"/>
  <c r="X139" i="13"/>
  <c r="W36" i="14"/>
  <c r="X36" i="13"/>
  <c r="W35" i="13"/>
  <c r="W173" i="14"/>
  <c r="X173" i="13"/>
  <c r="W172" i="13"/>
  <c r="W131" i="14"/>
  <c r="X131" i="13"/>
  <c r="E58" i="14"/>
  <c r="F58" i="13"/>
  <c r="F57" i="13" s="1"/>
  <c r="E57" i="13"/>
  <c r="Y180" i="12"/>
  <c r="AH180" i="11"/>
  <c r="AH100" i="12"/>
  <c r="AI100" i="12"/>
  <c r="AJ100" i="12"/>
  <c r="X96" i="12"/>
  <c r="W225" i="14"/>
  <c r="X225" i="13"/>
  <c r="W222" i="13"/>
  <c r="W220" i="13" s="1"/>
  <c r="AI251" i="12"/>
  <c r="AH251" i="12"/>
  <c r="AJ251" i="12"/>
  <c r="W107" i="14"/>
  <c r="X107" i="13"/>
  <c r="W105" i="13"/>
  <c r="W104" i="13" s="1"/>
  <c r="AH137" i="12"/>
  <c r="AI137" i="12"/>
  <c r="AJ137" i="12"/>
  <c r="E34" i="15"/>
  <c r="E32" i="14"/>
  <c r="F34" i="14"/>
  <c r="AE41" i="14"/>
  <c r="AG41" i="14" s="1"/>
  <c r="AJ41" i="13"/>
  <c r="AZ17" i="8"/>
  <c r="AG117" i="10"/>
  <c r="AE114" i="10"/>
  <c r="L56" i="10"/>
  <c r="J54" i="10"/>
  <c r="Y228" i="11"/>
  <c r="AH228" i="10"/>
  <c r="AH227" i="10" s="1"/>
  <c r="AA227" i="10"/>
  <c r="BP14" i="9"/>
  <c r="BJ9" i="9" s="1"/>
  <c r="AD37" i="10"/>
  <c r="AB35" i="10"/>
  <c r="E124" i="16"/>
  <c r="F124" i="16" s="1"/>
  <c r="F124" i="15"/>
  <c r="E115" i="14"/>
  <c r="F115" i="13"/>
  <c r="E113" i="13"/>
  <c r="M121" i="12"/>
  <c r="N121" i="12"/>
  <c r="N117" i="13"/>
  <c r="M117" i="13"/>
  <c r="AA12" i="8"/>
  <c r="AA10" i="8" s="1"/>
  <c r="D117" i="15"/>
  <c r="F117" i="14"/>
  <c r="G122" i="14"/>
  <c r="I122" i="14" s="1"/>
  <c r="M122" i="13"/>
  <c r="N39" i="14"/>
  <c r="N111" i="13"/>
  <c r="F104" i="12"/>
  <c r="W170" i="12"/>
  <c r="BC10" i="11"/>
  <c r="BC9" i="11" s="1"/>
  <c r="BC8" i="11" s="1"/>
  <c r="BC22" i="11" s="1"/>
  <c r="M120" i="13"/>
  <c r="N120" i="13"/>
  <c r="N40" i="16"/>
  <c r="M40" i="16"/>
  <c r="N115" i="12"/>
  <c r="F113" i="12"/>
  <c r="AQ15" i="12" s="1"/>
  <c r="BC20" i="12"/>
  <c r="D123" i="16"/>
  <c r="F123" i="16" s="1"/>
  <c r="F123" i="15"/>
  <c r="M116" i="14"/>
  <c r="N116" i="14"/>
  <c r="M118" i="14"/>
  <c r="N118" i="14"/>
  <c r="F120" i="14"/>
  <c r="D120" i="15"/>
  <c r="F118" i="15"/>
  <c r="M118" i="15" s="1"/>
  <c r="D118" i="16"/>
  <c r="F118" i="16" s="1"/>
  <c r="M118" i="16" s="1"/>
  <c r="N123" i="14"/>
  <c r="M123" i="14"/>
  <c r="D119" i="15"/>
  <c r="F119" i="14"/>
  <c r="M119" i="14" s="1"/>
  <c r="D8" i="11"/>
  <c r="D126" i="11" s="1"/>
  <c r="D130" i="11" s="1"/>
  <c r="J21" i="9"/>
  <c r="J19" i="9" s="1"/>
  <c r="J17" i="9" s="1"/>
  <c r="BN7" i="9"/>
  <c r="BN32" i="9" s="1"/>
  <c r="M124" i="14"/>
  <c r="N124" i="14"/>
  <c r="N40" i="15"/>
  <c r="M40" i="15"/>
  <c r="G113" i="11"/>
  <c r="I115" i="11"/>
  <c r="F121" i="13"/>
  <c r="D121" i="14"/>
  <c r="D113" i="13"/>
  <c r="E116" i="16"/>
  <c r="F116" i="16" s="1"/>
  <c r="F116" i="15"/>
  <c r="AX15" i="9"/>
  <c r="AZ15" i="9" s="1"/>
  <c r="AV15" i="9"/>
  <c r="L119" i="10"/>
  <c r="J113" i="10"/>
  <c r="M8" i="8"/>
  <c r="M126" i="8" s="1"/>
  <c r="M130" i="8" s="1"/>
  <c r="AE258" i="8"/>
  <c r="F8" i="9"/>
  <c r="X258" i="9"/>
  <c r="AG8" i="8"/>
  <c r="AJ8" i="8"/>
  <c r="AU30" i="8"/>
  <c r="BP15" i="8"/>
  <c r="BJ10" i="8" s="1"/>
  <c r="AB12" i="9"/>
  <c r="E55" i="16"/>
  <c r="E54" i="15"/>
  <c r="AY14" i="9"/>
  <c r="X43" i="11"/>
  <c r="X14" i="11" s="1"/>
  <c r="I30" i="12"/>
  <c r="Y94" i="14"/>
  <c r="AE151" i="12"/>
  <c r="AJ151" i="11"/>
  <c r="G73" i="12"/>
  <c r="M73" i="11"/>
  <c r="AZ31" i="7"/>
  <c r="AZ32" i="7" s="1"/>
  <c r="W43" i="12"/>
  <c r="W14" i="12" s="1"/>
  <c r="G21" i="9"/>
  <c r="G19" i="9" s="1"/>
  <c r="G17" i="9" s="1"/>
  <c r="BJ8" i="8"/>
  <c r="BP8" i="8"/>
  <c r="W8" i="10"/>
  <c r="Y173" i="10"/>
  <c r="AA172" i="9"/>
  <c r="AH173" i="9"/>
  <c r="AH172" i="9" s="1"/>
  <c r="AH170" i="9" s="1"/>
  <c r="AR14" i="8"/>
  <c r="I17" i="8"/>
  <c r="G66" i="10"/>
  <c r="I68" i="10"/>
  <c r="AH134" i="12"/>
  <c r="AJ134" i="12"/>
  <c r="W54" i="14"/>
  <c r="X54" i="13"/>
  <c r="W49" i="13"/>
  <c r="X68" i="14"/>
  <c r="W68" i="15"/>
  <c r="J78" i="10"/>
  <c r="L78" i="10" s="1"/>
  <c r="N78" i="10" s="1"/>
  <c r="L80" i="10"/>
  <c r="AE26" i="15"/>
  <c r="AG26" i="15" s="1"/>
  <c r="AJ26" i="14"/>
  <c r="N96" i="14"/>
  <c r="M96" i="14"/>
  <c r="W215" i="14"/>
  <c r="X215" i="13"/>
  <c r="L32" i="9"/>
  <c r="L28" i="9" s="1"/>
  <c r="N33" i="9"/>
  <c r="N32" i="9" s="1"/>
  <c r="J33" i="10"/>
  <c r="AX9" i="9"/>
  <c r="Y142" i="10"/>
  <c r="AH142" i="9"/>
  <c r="AH141" i="9" s="1"/>
  <c r="AH112" i="9" s="1"/>
  <c r="AA141" i="9"/>
  <c r="BO20" i="9" s="1"/>
  <c r="BN33" i="8"/>
  <c r="BH19" i="8" s="1"/>
  <c r="BH20" i="8" s="1"/>
  <c r="AQ31" i="8"/>
  <c r="AV31" i="8" s="1"/>
  <c r="AH190" i="12"/>
  <c r="AJ190" i="12"/>
  <c r="X187" i="12"/>
  <c r="X185" i="12" s="1"/>
  <c r="D110" i="15"/>
  <c r="F110" i="14"/>
  <c r="N110" i="14" s="1"/>
  <c r="AI165" i="13"/>
  <c r="AH165" i="13"/>
  <c r="AJ165" i="13"/>
  <c r="Y80" i="10"/>
  <c r="AH80" i="9"/>
  <c r="AH69" i="9" s="1"/>
  <c r="AH65" i="9" s="1"/>
  <c r="AA69" i="9"/>
  <c r="AA65" i="9" s="1"/>
  <c r="N92" i="14"/>
  <c r="M92" i="14"/>
  <c r="AI214" i="12"/>
  <c r="AH214" i="12"/>
  <c r="AJ214" i="12"/>
  <c r="I22" i="9"/>
  <c r="G23" i="10"/>
  <c r="M23" i="9"/>
  <c r="M22" i="9" s="1"/>
  <c r="BD12" i="9"/>
  <c r="AW7" i="9"/>
  <c r="AY7" i="9" s="1"/>
  <c r="M62" i="14"/>
  <c r="F60" i="14"/>
  <c r="M108" i="12"/>
  <c r="N108" i="12"/>
  <c r="W163" i="15"/>
  <c r="X163" i="14"/>
  <c r="AQ9" i="11"/>
  <c r="BC18" i="12"/>
  <c r="N101" i="12"/>
  <c r="M101" i="12"/>
  <c r="M102" i="13"/>
  <c r="N102" i="13"/>
  <c r="AE153" i="11"/>
  <c r="AJ153" i="10"/>
  <c r="AQ24" i="11"/>
  <c r="BN14" i="11"/>
  <c r="BH9" i="11" s="1"/>
  <c r="F43" i="14"/>
  <c r="D43" i="15"/>
  <c r="D42" i="14"/>
  <c r="AH33" i="13"/>
  <c r="AJ33" i="13"/>
  <c r="AI33" i="13"/>
  <c r="E94" i="13"/>
  <c r="E95" i="14"/>
  <c r="W212" i="14"/>
  <c r="W211" i="13"/>
  <c r="W210" i="13" s="1"/>
  <c r="W209" i="13" s="1"/>
  <c r="W207" i="13" s="1"/>
  <c r="X212" i="13"/>
  <c r="BC13" i="12"/>
  <c r="M38" i="12"/>
  <c r="N38" i="12"/>
  <c r="F111" i="14"/>
  <c r="M111" i="14" s="1"/>
  <c r="D111" i="15"/>
  <c r="W249" i="14"/>
  <c r="X249" i="13"/>
  <c r="AB225" i="10"/>
  <c r="AI225" i="9"/>
  <c r="AI222" i="9" s="1"/>
  <c r="AI220" i="9" s="1"/>
  <c r="BP31" i="9"/>
  <c r="BJ15" i="9" s="1"/>
  <c r="AD222" i="9"/>
  <c r="AD220" i="9" s="1"/>
  <c r="BP30" i="9" s="1"/>
  <c r="BJ14" i="9" s="1"/>
  <c r="AQ11" i="15"/>
  <c r="AZ11" i="15" s="1"/>
  <c r="M88" i="15"/>
  <c r="X91" i="12"/>
  <c r="AH92" i="12"/>
  <c r="AJ92" i="12"/>
  <c r="AE67" i="14"/>
  <c r="AG67" i="14" s="1"/>
  <c r="AJ67" i="13"/>
  <c r="W83" i="13"/>
  <c r="X86" i="13"/>
  <c r="W86" i="14"/>
  <c r="Y86" i="10"/>
  <c r="AH86" i="9"/>
  <c r="AH83" i="9" s="1"/>
  <c r="AA83" i="9"/>
  <c r="AH47" i="12"/>
  <c r="AI47" i="12"/>
  <c r="AJ47" i="12"/>
  <c r="D53" i="16"/>
  <c r="D51" i="15"/>
  <c r="F53" i="15"/>
  <c r="AI167" i="13"/>
  <c r="AJ167" i="13"/>
  <c r="I33" i="10"/>
  <c r="G32" i="10"/>
  <c r="M79" i="10"/>
  <c r="G79" i="11"/>
  <c r="L46" i="11"/>
  <c r="AA106" i="11"/>
  <c r="AU11" i="14"/>
  <c r="AV11" i="14"/>
  <c r="AY11" i="14"/>
  <c r="AU29" i="10"/>
  <c r="AV29" i="10"/>
  <c r="AH94" i="12"/>
  <c r="AI94" i="12"/>
  <c r="N70" i="11"/>
  <c r="J70" i="12"/>
  <c r="W203" i="13"/>
  <c r="W204" i="14"/>
  <c r="X204" i="13"/>
  <c r="W97" i="16"/>
  <c r="W96" i="15"/>
  <c r="AH74" i="13"/>
  <c r="AJ74" i="13"/>
  <c r="AI74" i="13"/>
  <c r="AD110" i="8"/>
  <c r="AR26" i="8" s="1"/>
  <c r="X234" i="11"/>
  <c r="X232" i="11" s="1"/>
  <c r="W234" i="12"/>
  <c r="W232" i="12" s="1"/>
  <c r="J49" i="10"/>
  <c r="L48" i="9"/>
  <c r="N49" i="9"/>
  <c r="N48" i="9" s="1"/>
  <c r="AB189" i="11"/>
  <c r="AI189" i="10"/>
  <c r="W119" i="15"/>
  <c r="W114" i="15" s="1"/>
  <c r="X119" i="14"/>
  <c r="AJ178" i="9"/>
  <c r="AJ176" i="9" s="1"/>
  <c r="AJ170" i="9" s="1"/>
  <c r="AE178" i="10"/>
  <c r="AG176" i="9"/>
  <c r="AG170" i="9" s="1"/>
  <c r="AS27" i="9" s="1"/>
  <c r="AV27" i="9" s="1"/>
  <c r="AA243" i="9"/>
  <c r="AH244" i="9"/>
  <c r="AH243" i="9" s="1"/>
  <c r="Y244" i="10"/>
  <c r="F38" i="13"/>
  <c r="D38" i="14"/>
  <c r="J73" i="10"/>
  <c r="N73" i="9"/>
  <c r="N72" i="9" s="1"/>
  <c r="L72" i="9"/>
  <c r="AH249" i="12"/>
  <c r="AI249" i="12"/>
  <c r="AJ249" i="12"/>
  <c r="AQ11" i="16"/>
  <c r="M88" i="16"/>
  <c r="AU27" i="8"/>
  <c r="AW27" i="8"/>
  <c r="AY27" i="8" s="1"/>
  <c r="AD75" i="10"/>
  <c r="AB69" i="10"/>
  <c r="W70" i="15"/>
  <c r="W69" i="14"/>
  <c r="W65" i="14" s="1"/>
  <c r="X70" i="14"/>
  <c r="J62" i="11"/>
  <c r="N62" i="10"/>
  <c r="N60" i="10" s="1"/>
  <c r="L60" i="10"/>
  <c r="V129" i="15"/>
  <c r="X129" i="14"/>
  <c r="D97" i="14"/>
  <c r="F97" i="13"/>
  <c r="D94" i="13"/>
  <c r="X237" i="13"/>
  <c r="W235" i="13"/>
  <c r="W237" i="14"/>
  <c r="AB228" i="11"/>
  <c r="AI228" i="10"/>
  <c r="AI227" i="10" s="1"/>
  <c r="AD227" i="10"/>
  <c r="AB190" i="10"/>
  <c r="AI190" i="9"/>
  <c r="AI187" i="9" s="1"/>
  <c r="AI185" i="9" s="1"/>
  <c r="AD187" i="9"/>
  <c r="AD185" i="9" s="1"/>
  <c r="X203" i="12"/>
  <c r="AG195" i="9"/>
  <c r="AG194" i="9" s="1"/>
  <c r="AG193" i="9" s="1"/>
  <c r="AS28" i="9" s="1"/>
  <c r="AJ197" i="9"/>
  <c r="AJ195" i="9" s="1"/>
  <c r="AJ194" i="9" s="1"/>
  <c r="AJ193" i="9" s="1"/>
  <c r="AE197" i="10"/>
  <c r="AE25" i="14"/>
  <c r="AG25" i="14" s="1"/>
  <c r="AJ25" i="13"/>
  <c r="F17" i="10"/>
  <c r="AQ14" i="10"/>
  <c r="AQ17" i="10" s="1"/>
  <c r="AC1" i="7"/>
  <c r="BN17" i="11"/>
  <c r="AW17" i="8"/>
  <c r="BO8" i="8"/>
  <c r="BO7" i="8" s="1"/>
  <c r="BO32" i="8" s="1"/>
  <c r="BI8" i="8"/>
  <c r="BI7" i="8" s="1"/>
  <c r="BI16" i="8" s="1"/>
  <c r="AJ163" i="13"/>
  <c r="AI163" i="13"/>
  <c r="AH163" i="13"/>
  <c r="J76" i="10"/>
  <c r="N76" i="9"/>
  <c r="N75" i="9" s="1"/>
  <c r="L75" i="9"/>
  <c r="I76" i="10"/>
  <c r="G75" i="10"/>
  <c r="G90" i="14"/>
  <c r="I90" i="14" s="1"/>
  <c r="AW13" i="13"/>
  <c r="AR13" i="13"/>
  <c r="AA115" i="10"/>
  <c r="Y114" i="10"/>
  <c r="AH250" i="13"/>
  <c r="AI250" i="13"/>
  <c r="AJ250" i="13"/>
  <c r="W179" i="14"/>
  <c r="X179" i="13"/>
  <c r="W176" i="13"/>
  <c r="AH108" i="16"/>
  <c r="AI108" i="16"/>
  <c r="AJ108" i="16"/>
  <c r="Y236" i="10"/>
  <c r="AH236" i="9"/>
  <c r="AH235" i="9" s="1"/>
  <c r="AA235" i="9"/>
  <c r="AE86" i="10"/>
  <c r="AG83" i="9"/>
  <c r="AJ86" i="9"/>
  <c r="AJ83" i="9" s="1"/>
  <c r="AH68" i="13"/>
  <c r="AI68" i="13"/>
  <c r="AJ68" i="13"/>
  <c r="AH125" i="13"/>
  <c r="AJ125" i="13"/>
  <c r="W45" i="14"/>
  <c r="W44" i="13"/>
  <c r="X45" i="13"/>
  <c r="W190" i="14"/>
  <c r="X190" i="13"/>
  <c r="W187" i="13"/>
  <c r="W185" i="13" s="1"/>
  <c r="D46" i="16"/>
  <c r="J53" i="10"/>
  <c r="N53" i="9"/>
  <c r="N51" i="9" s="1"/>
  <c r="L51" i="9"/>
  <c r="AB152" i="10"/>
  <c r="AD149" i="9"/>
  <c r="AD147" i="9" s="1"/>
  <c r="AI152" i="9"/>
  <c r="AI149" i="9" s="1"/>
  <c r="AI147" i="9" s="1"/>
  <c r="AI145" i="9" s="1"/>
  <c r="Y143" i="16"/>
  <c r="AA143" i="16" s="1"/>
  <c r="V240" i="14"/>
  <c r="X240" i="13"/>
  <c r="V235" i="13"/>
  <c r="AB203" i="10"/>
  <c r="AD204" i="10"/>
  <c r="Z259" i="7"/>
  <c r="AA259" i="7"/>
  <c r="T15" i="8"/>
  <c r="U259" i="7"/>
  <c r="AF259" i="7"/>
  <c r="AB259" i="7"/>
  <c r="AH259" i="7"/>
  <c r="V259" i="7"/>
  <c r="X259" i="7"/>
  <c r="W259" i="7"/>
  <c r="Y259" i="7"/>
  <c r="AC259" i="7"/>
  <c r="AE259" i="7"/>
  <c r="AD259" i="7"/>
  <c r="AG259" i="7"/>
  <c r="AI259" i="7"/>
  <c r="AJ259" i="7"/>
  <c r="W229" i="16"/>
  <c r="W227" i="15"/>
  <c r="W48" i="14"/>
  <c r="X48" i="13"/>
  <c r="AH8" i="8"/>
  <c r="AH119" i="13"/>
  <c r="AI119" i="13"/>
  <c r="AJ119" i="13"/>
  <c r="AD97" i="11"/>
  <c r="V156" i="14"/>
  <c r="X156" i="13"/>
  <c r="AH212" i="12"/>
  <c r="BN26" i="12"/>
  <c r="X211" i="12"/>
  <c r="X210" i="12" s="1"/>
  <c r="X209" i="12" s="1"/>
  <c r="AB215" i="10"/>
  <c r="AD211" i="9"/>
  <c r="AD210" i="9" s="1"/>
  <c r="AD209" i="9" s="1"/>
  <c r="AI215" i="9"/>
  <c r="AI211" i="9" s="1"/>
  <c r="AI210" i="9" s="1"/>
  <c r="AI209" i="9" s="1"/>
  <c r="AI207" i="9" s="1"/>
  <c r="BP33" i="7"/>
  <c r="AR31" i="7"/>
  <c r="G52" i="10"/>
  <c r="I51" i="9"/>
  <c r="M52" i="9"/>
  <c r="M51" i="9" s="1"/>
  <c r="W158" i="14"/>
  <c r="W157" i="13"/>
  <c r="W155" i="13" s="1"/>
  <c r="W145" i="13" s="1"/>
  <c r="X158" i="13"/>
  <c r="AB125" i="10"/>
  <c r="AD123" i="9"/>
  <c r="AI125" i="9"/>
  <c r="AI123" i="9" s="1"/>
  <c r="AI112" i="9" s="1"/>
  <c r="W256" i="15"/>
  <c r="X256" i="14"/>
  <c r="AA204" i="10"/>
  <c r="Y203" i="10"/>
  <c r="AG46" i="10"/>
  <c r="AE44" i="10"/>
  <c r="BH9" i="10"/>
  <c r="L30" i="10"/>
  <c r="J29" i="10"/>
  <c r="W245" i="14"/>
  <c r="X245" i="13"/>
  <c r="W243" i="13"/>
  <c r="AQ25" i="10"/>
  <c r="BN13" i="10"/>
  <c r="BH8" i="10" s="1"/>
  <c r="X14" i="10"/>
  <c r="X12" i="10" s="1"/>
  <c r="X10" i="10" s="1"/>
  <c r="X8" i="10" s="1"/>
  <c r="AI86" i="12"/>
  <c r="X83" i="12"/>
  <c r="BD7" i="10"/>
  <c r="AR16" i="10"/>
  <c r="M53" i="14"/>
  <c r="Y26" i="10"/>
  <c r="AH26" i="9"/>
  <c r="AH20" i="9" s="1"/>
  <c r="AH16" i="9" s="1"/>
  <c r="AA20" i="9"/>
  <c r="AA16" i="9" s="1"/>
  <c r="I126" i="7"/>
  <c r="I130" i="7" s="1"/>
  <c r="K1" i="7"/>
  <c r="B5" i="7"/>
  <c r="J5" i="7"/>
  <c r="AD50" i="12"/>
  <c r="AJ129" i="13"/>
  <c r="AH129" i="13"/>
  <c r="AI129" i="13"/>
  <c r="L55" i="11"/>
  <c r="F39" i="15"/>
  <c r="M39" i="15" s="1"/>
  <c r="D39" i="16"/>
  <c r="F39" i="16" s="1"/>
  <c r="M39" i="16" s="1"/>
  <c r="AJ244" i="14"/>
  <c r="AE244" i="15"/>
  <c r="AG244" i="15" s="1"/>
  <c r="AE244" i="16" s="1"/>
  <c r="V94" i="14"/>
  <c r="V91" i="13"/>
  <c r="X94" i="13"/>
  <c r="AB29" i="15"/>
  <c r="AD29" i="15" s="1"/>
  <c r="AI29" i="14"/>
  <c r="J57" i="10"/>
  <c r="L58" i="10"/>
  <c r="M110" i="13"/>
  <c r="AA112" i="9"/>
  <c r="AX17" i="8"/>
  <c r="BN29" i="10"/>
  <c r="BH13" i="10" s="1"/>
  <c r="AQ30" i="10"/>
  <c r="W250" i="15"/>
  <c r="X250" i="14"/>
  <c r="F95" i="14"/>
  <c r="D95" i="15"/>
  <c r="Y133" i="13"/>
  <c r="AH133" i="12"/>
  <c r="AH54" i="12"/>
  <c r="AI54" i="12"/>
  <c r="X49" i="12"/>
  <c r="AD21" i="10"/>
  <c r="AB20" i="10"/>
  <c r="AB16" i="10" s="1"/>
  <c r="J95" i="10"/>
  <c r="N95" i="9"/>
  <c r="N94" i="9" s="1"/>
  <c r="L94" i="9"/>
  <c r="AB66" i="10"/>
  <c r="BP10" i="9"/>
  <c r="AR22" i="9"/>
  <c r="AI66" i="9"/>
  <c r="AI65" i="9" s="1"/>
  <c r="AD65" i="9"/>
  <c r="V125" i="15"/>
  <c r="X125" i="14"/>
  <c r="AD142" i="10"/>
  <c r="AB141" i="10"/>
  <c r="L44" i="10"/>
  <c r="J42" i="10"/>
  <c r="AI8" i="8"/>
  <c r="AD71" i="11"/>
  <c r="AH179" i="12"/>
  <c r="AI179" i="12"/>
  <c r="AJ179" i="12"/>
  <c r="X176" i="12"/>
  <c r="X170" i="12" s="1"/>
  <c r="AI108" i="15"/>
  <c r="AH108" i="15"/>
  <c r="AJ108" i="15"/>
  <c r="W134" i="14"/>
  <c r="X134" i="13"/>
  <c r="W123" i="13"/>
  <c r="W112" i="13" s="1"/>
  <c r="AD59" i="10"/>
  <c r="AB58" i="10"/>
  <c r="AB57" i="10" s="1"/>
  <c r="L43" i="11"/>
  <c r="M65" i="9"/>
  <c r="G65" i="10"/>
  <c r="G63" i="10" s="1"/>
  <c r="I128" i="9"/>
  <c r="BD21" i="9"/>
  <c r="F96" i="15"/>
  <c r="D96" i="16"/>
  <c r="F96" i="16" s="1"/>
  <c r="AU23" i="8"/>
  <c r="AW23" i="8"/>
  <c r="AY23" i="8" s="1"/>
  <c r="AI45" i="12"/>
  <c r="X44" i="12"/>
  <c r="AH45" i="12"/>
  <c r="AJ45" i="12"/>
  <c r="F126" i="8"/>
  <c r="F130" i="8" s="1"/>
  <c r="A1" i="8"/>
  <c r="W165" i="15"/>
  <c r="X165" i="14"/>
  <c r="L67" i="10"/>
  <c r="J66" i="10"/>
  <c r="F92" i="15"/>
  <c r="D92" i="16"/>
  <c r="F92" i="16" s="1"/>
  <c r="V214" i="14"/>
  <c r="X214" i="13"/>
  <c r="V211" i="13"/>
  <c r="V210" i="13" s="1"/>
  <c r="V209" i="13" s="1"/>
  <c r="V207" i="13" s="1"/>
  <c r="E62" i="16"/>
  <c r="E60" i="15"/>
  <c r="X207" i="11"/>
  <c r="AQ29" i="11" s="1"/>
  <c r="BN27" i="11"/>
  <c r="D108" i="14"/>
  <c r="D104" i="14" s="1"/>
  <c r="F108" i="13"/>
  <c r="F104" i="13" s="1"/>
  <c r="AH240" i="12"/>
  <c r="AI240" i="12"/>
  <c r="AJ240" i="12"/>
  <c r="D101" i="14"/>
  <c r="F101" i="13"/>
  <c r="AE189" i="14"/>
  <c r="AG189" i="14" s="1"/>
  <c r="AJ189" i="13"/>
  <c r="F102" i="14"/>
  <c r="D102" i="15"/>
  <c r="AB236" i="10"/>
  <c r="AI236" i="9"/>
  <c r="AI235" i="9" s="1"/>
  <c r="AI234" i="9" s="1"/>
  <c r="AI232" i="9" s="1"/>
  <c r="AD235" i="9"/>
  <c r="AD234" i="9" s="1"/>
  <c r="AD232" i="9" s="1"/>
  <c r="BP29" i="9" s="1"/>
  <c r="BJ13" i="9" s="1"/>
  <c r="AI48" i="12"/>
  <c r="AH48" i="12"/>
  <c r="Y197" i="10"/>
  <c r="AH197" i="9"/>
  <c r="AH195" i="9" s="1"/>
  <c r="AH194" i="9" s="1"/>
  <c r="AH193" i="9" s="1"/>
  <c r="AA195" i="9"/>
  <c r="AA194" i="9" s="1"/>
  <c r="AB253" i="15"/>
  <c r="AD253" i="15" s="1"/>
  <c r="AI253" i="14"/>
  <c r="AH156" i="12"/>
  <c r="AJ156" i="12"/>
  <c r="BN18" i="12"/>
  <c r="AI156" i="12"/>
  <c r="BC16" i="13"/>
  <c r="F42" i="13"/>
  <c r="AQ10" i="13" s="1"/>
  <c r="M43" i="13"/>
  <c r="W33" i="15"/>
  <c r="X33" i="14"/>
  <c r="N61" i="11"/>
  <c r="J61" i="12"/>
  <c r="AI158" i="12"/>
  <c r="AH158" i="12"/>
  <c r="X157" i="12"/>
  <c r="X155" i="12" s="1"/>
  <c r="AH256" i="13"/>
  <c r="AI256" i="13"/>
  <c r="AJ256" i="13"/>
  <c r="BN28" i="11"/>
  <c r="X193" i="11"/>
  <c r="AQ28" i="11" s="1"/>
  <c r="W92" i="14"/>
  <c r="X92" i="13"/>
  <c r="W91" i="13"/>
  <c r="W90" i="13" s="1"/>
  <c r="AH245" i="12"/>
  <c r="X243" i="12"/>
  <c r="AD88" i="13"/>
  <c r="F86" i="13"/>
  <c r="F85" i="13" s="1"/>
  <c r="D85" i="13"/>
  <c r="D86" i="14"/>
  <c r="I12" i="11"/>
  <c r="G10" i="11"/>
  <c r="W47" i="14"/>
  <c r="X47" i="13"/>
  <c r="W167" i="15"/>
  <c r="X167" i="14"/>
  <c r="BN19" i="14" s="1"/>
  <c r="AD99" i="10"/>
  <c r="AB96" i="10"/>
  <c r="X235" i="12"/>
  <c r="AI237" i="12"/>
  <c r="AH237" i="12"/>
  <c r="Y84" i="11"/>
  <c r="AH84" i="10"/>
  <c r="AE137" i="15"/>
  <c r="AG137" i="15" s="1"/>
  <c r="V74" i="15"/>
  <c r="X74" i="14"/>
  <c r="V69" i="14"/>
  <c r="V65" i="14" s="1"/>
  <c r="AJ136" i="9"/>
  <c r="AJ123" i="9" s="1"/>
  <c r="AJ112" i="9" s="1"/>
  <c r="AE136" i="10"/>
  <c r="AG123" i="9"/>
  <c r="AG112" i="9" s="1"/>
  <c r="X123" i="12"/>
  <c r="F94" i="12"/>
  <c r="AB110" i="9"/>
  <c r="AB10" i="9" s="1"/>
  <c r="AS14" i="8"/>
  <c r="AA159" i="12"/>
  <c r="M98" i="16"/>
  <c r="N98" i="16"/>
  <c r="AU13" i="12"/>
  <c r="AV13" i="12"/>
  <c r="AY13" i="12"/>
  <c r="AZ13" i="12"/>
  <c r="P126" i="14"/>
  <c r="P130" i="14" s="1"/>
  <c r="AX16" i="10"/>
  <c r="AZ16" i="10" s="1"/>
  <c r="AV16" i="10"/>
  <c r="G67" i="15"/>
  <c r="AE238" i="12"/>
  <c r="AJ238" i="11"/>
  <c r="AG48" i="11"/>
  <c r="AH199" i="15"/>
  <c r="AJ199" i="15"/>
  <c r="V213" i="16"/>
  <c r="X213" i="15"/>
  <c r="I97" i="11"/>
  <c r="G94" i="11"/>
  <c r="AA40" i="12"/>
  <c r="I86" i="10"/>
  <c r="G85" i="10"/>
  <c r="AE93" i="13"/>
  <c r="AJ93" i="12"/>
  <c r="H126" i="14"/>
  <c r="H130" i="14" s="1"/>
  <c r="D15" i="16"/>
  <c r="F15" i="16" s="1"/>
  <c r="F15" i="15"/>
  <c r="AI26" i="11"/>
  <c r="AB26" i="12"/>
  <c r="I48" i="10"/>
  <c r="G50" i="11"/>
  <c r="M50" i="10"/>
  <c r="M48" i="10" s="1"/>
  <c r="AB183" i="15"/>
  <c r="AD183" i="15" s="1"/>
  <c r="D105" i="15"/>
  <c r="F105" i="14"/>
  <c r="AD107" i="12"/>
  <c r="AX11" i="16"/>
  <c r="AS11" i="16"/>
  <c r="N88" i="16"/>
  <c r="J15" i="12"/>
  <c r="L10" i="11"/>
  <c r="N15" i="11"/>
  <c r="N10" i="11" s="1"/>
  <c r="M90" i="13"/>
  <c r="N90" i="13"/>
  <c r="AQ13" i="13"/>
  <c r="J111" i="15"/>
  <c r="L111" i="15" s="1"/>
  <c r="G42" i="12"/>
  <c r="I44" i="12"/>
  <c r="AZ23" i="8"/>
  <c r="AI246" i="15"/>
  <c r="AH246" i="15"/>
  <c r="AG81" i="11"/>
  <c r="AE106" i="11"/>
  <c r="AG105" i="10"/>
  <c r="AG104" i="10" s="1"/>
  <c r="AJ106" i="10"/>
  <c r="AJ105" i="10" s="1"/>
  <c r="AJ104" i="10" s="1"/>
  <c r="AE148" i="13"/>
  <c r="AJ148" i="12"/>
  <c r="G110" i="15"/>
  <c r="I110" i="15" s="1"/>
  <c r="AE85" i="12"/>
  <c r="AJ85" i="11"/>
  <c r="J74" i="12"/>
  <c r="N74" i="11"/>
  <c r="AE177" i="11"/>
  <c r="AJ177" i="10"/>
  <c r="AE237" i="13"/>
  <c r="AJ237" i="12"/>
  <c r="AE250" i="16"/>
  <c r="AG250" i="16" s="1"/>
  <c r="AG115" i="12"/>
  <c r="AG204" i="12"/>
  <c r="AE203" i="12"/>
  <c r="AV32" i="7"/>
  <c r="AQ33" i="7"/>
  <c r="AD239" i="12"/>
  <c r="AE245" i="12"/>
  <c r="AJ245" i="11"/>
  <c r="L37" i="11"/>
  <c r="E108" i="16"/>
  <c r="X126" i="15"/>
  <c r="W126" i="16"/>
  <c r="AA27" i="11"/>
  <c r="AB67" i="11"/>
  <c r="BP11" i="10"/>
  <c r="AI67" i="10"/>
  <c r="I25" i="10"/>
  <c r="AW8" i="10"/>
  <c r="AY8" i="10" s="1"/>
  <c r="G27" i="11"/>
  <c r="M27" i="10"/>
  <c r="AE118" i="16"/>
  <c r="AG118" i="16" s="1"/>
  <c r="L31" i="16"/>
  <c r="AX22" i="12"/>
  <c r="AV22" i="12"/>
  <c r="AE246" i="11"/>
  <c r="AJ246" i="10"/>
  <c r="AJ243" i="10" s="1"/>
  <c r="AG243" i="10"/>
  <c r="E105" i="16"/>
  <c r="E104" i="15"/>
  <c r="AE164" i="16"/>
  <c r="AG164" i="16" s="1"/>
  <c r="AJ164" i="16" s="1"/>
  <c r="AJ164" i="15"/>
  <c r="AJ40" i="13"/>
  <c r="AE40" i="14"/>
  <c r="J118" i="16"/>
  <c r="AE186" i="11"/>
  <c r="AJ186" i="10"/>
  <c r="AI124" i="15"/>
  <c r="L104" i="10"/>
  <c r="J105" i="11"/>
  <c r="N105" i="10"/>
  <c r="N104" i="10" s="1"/>
  <c r="M15" i="14"/>
  <c r="AB213" i="12"/>
  <c r="AI213" i="11"/>
  <c r="I36" i="12"/>
  <c r="AG215" i="10"/>
  <c r="AE211" i="10"/>
  <c r="AE210" i="10" s="1"/>
  <c r="AE209" i="10" s="1"/>
  <c r="AE207" i="10" s="1"/>
  <c r="J24" i="12"/>
  <c r="N24" i="11"/>
  <c r="AE45" i="15"/>
  <c r="F90" i="14"/>
  <c r="D90" i="15"/>
  <c r="AE53" i="16"/>
  <c r="AG53" i="16" s="1"/>
  <c r="AJ53" i="16" s="1"/>
  <c r="AJ53" i="15"/>
  <c r="L68" i="12"/>
  <c r="AB197" i="12"/>
  <c r="AI197" i="11"/>
  <c r="BO26" i="11"/>
  <c r="Y196" i="12"/>
  <c r="AH196" i="11"/>
  <c r="AG97" i="11"/>
  <c r="G41" i="15"/>
  <c r="I41" i="15" s="1"/>
  <c r="L126" i="8"/>
  <c r="L130" i="8" s="1"/>
  <c r="AU8" i="9"/>
  <c r="AG18" i="12"/>
  <c r="L52" i="11"/>
  <c r="Y126" i="15"/>
  <c r="AE51" i="13"/>
  <c r="AJ51" i="12"/>
  <c r="N87" i="15"/>
  <c r="M87" i="15"/>
  <c r="AB224" i="11"/>
  <c r="AI224" i="10"/>
  <c r="Y238" i="11"/>
  <c r="AH238" i="10"/>
  <c r="AJ168" i="12"/>
  <c r="AE168" i="13"/>
  <c r="W120" i="16"/>
  <c r="Y215" i="11"/>
  <c r="AA211" i="10"/>
  <c r="AA210" i="10" s="1"/>
  <c r="AA209" i="10" s="1"/>
  <c r="AH215" i="10"/>
  <c r="AH211" i="10" s="1"/>
  <c r="AH210" i="10" s="1"/>
  <c r="AH209" i="10" s="1"/>
  <c r="AH207" i="10" s="1"/>
  <c r="AE252" i="15"/>
  <c r="AG252" i="15" s="1"/>
  <c r="AJ252" i="14"/>
  <c r="AD70" i="12"/>
  <c r="W94" i="16"/>
  <c r="AE212" i="12"/>
  <c r="AJ212" i="11"/>
  <c r="F99" i="15"/>
  <c r="D99" i="16"/>
  <c r="F99" i="16" s="1"/>
  <c r="N63" i="9"/>
  <c r="AD180" i="11"/>
  <c r="AB176" i="11"/>
  <c r="AJ236" i="14"/>
  <c r="AE236" i="15"/>
  <c r="AG228" i="10"/>
  <c r="AE227" i="10"/>
  <c r="AE187" i="10"/>
  <c r="AE185" i="10" s="1"/>
  <c r="AG188" i="10"/>
  <c r="AB23" i="14"/>
  <c r="AI23" i="13"/>
  <c r="N106" i="14"/>
  <c r="AH199" i="16"/>
  <c r="AJ199" i="16"/>
  <c r="V203" i="16"/>
  <c r="AE37" i="16"/>
  <c r="AJ37" i="15"/>
  <c r="Y152" i="11"/>
  <c r="AA149" i="10"/>
  <c r="AA147" i="10" s="1"/>
  <c r="AH152" i="10"/>
  <c r="AH149" i="10" s="1"/>
  <c r="AH147" i="10" s="1"/>
  <c r="BE22" i="14"/>
  <c r="O25" i="20"/>
  <c r="K126" i="14"/>
  <c r="K130" i="14" s="1"/>
  <c r="AI166" i="12"/>
  <c r="AB166" i="13"/>
  <c r="N98" i="15"/>
  <c r="M98" i="15"/>
  <c r="I55" i="12"/>
  <c r="AE84" i="13"/>
  <c r="AJ84" i="12"/>
  <c r="C126" i="14"/>
  <c r="C130" i="14" s="1"/>
  <c r="B12" i="16"/>
  <c r="BE21" i="15"/>
  <c r="H128" i="15"/>
  <c r="P128" i="15"/>
  <c r="C128" i="15"/>
  <c r="K128" i="15"/>
  <c r="Q128" i="15"/>
  <c r="AS23" i="9"/>
  <c r="Y229" i="13"/>
  <c r="AH229" i="12"/>
  <c r="AE174" i="11"/>
  <c r="AJ174" i="10"/>
  <c r="AJ172" i="10" s="1"/>
  <c r="AG172" i="10"/>
  <c r="J39" i="16"/>
  <c r="L39" i="16" s="1"/>
  <c r="AE92" i="15"/>
  <c r="Y214" i="16"/>
  <c r="AB94" i="16"/>
  <c r="I64" i="10"/>
  <c r="AG19" i="11"/>
  <c r="AD248" i="10"/>
  <c r="AB243" i="10"/>
  <c r="AG173" i="12"/>
  <c r="X223" i="16"/>
  <c r="AI36" i="12"/>
  <c r="AB36" i="13"/>
  <c r="G106" i="11"/>
  <c r="BD19" i="10"/>
  <c r="I104" i="10"/>
  <c r="M106" i="10"/>
  <c r="M104" i="10" s="1"/>
  <c r="AG59" i="11"/>
  <c r="AD191" i="11"/>
  <c r="E87" i="16"/>
  <c r="F87" i="16" s="1"/>
  <c r="AA51" i="12"/>
  <c r="AG95" i="11"/>
  <c r="E91" i="15"/>
  <c r="F91" i="14"/>
  <c r="AH126" i="14"/>
  <c r="AI126" i="14"/>
  <c r="AJ126" i="14"/>
  <c r="AE72" i="15"/>
  <c r="AG72" i="15" s="1"/>
  <c r="AJ72" i="14"/>
  <c r="N99" i="14"/>
  <c r="M99" i="14"/>
  <c r="V44" i="16"/>
  <c r="L122" i="14"/>
  <c r="L65" i="10"/>
  <c r="J63" i="10"/>
  <c r="AG60" i="10"/>
  <c r="AE58" i="10"/>
  <c r="AE57" i="10" s="1"/>
  <c r="AG124" i="11"/>
  <c r="AB134" i="12"/>
  <c r="AI134" i="11"/>
  <c r="M107" i="13"/>
  <c r="N107" i="13"/>
  <c r="D106" i="16"/>
  <c r="F106" i="16" s="1"/>
  <c r="F106" i="15"/>
  <c r="J27" i="12"/>
  <c r="N27" i="11"/>
  <c r="I95" i="12"/>
  <c r="AJ213" i="14"/>
  <c r="AH213" i="14"/>
  <c r="AJ158" i="10"/>
  <c r="AE158" i="11"/>
  <c r="Q126" i="14"/>
  <c r="Q130" i="14" s="1"/>
  <c r="AE165" i="16"/>
  <c r="AG165" i="16" s="1"/>
  <c r="AG22" i="10"/>
  <c r="AE20" i="10"/>
  <c r="AE16" i="10" s="1"/>
  <c r="X124" i="16"/>
  <c r="AU12" i="16"/>
  <c r="AV12" i="16"/>
  <c r="AY12" i="16"/>
  <c r="AZ12" i="16"/>
  <c r="M105" i="13"/>
  <c r="L82" i="11"/>
  <c r="BP26" i="12"/>
  <c r="AB212" i="13"/>
  <c r="AI212" i="12"/>
  <c r="AE99" i="16"/>
  <c r="AG99" i="16" s="1"/>
  <c r="X246" i="16"/>
  <c r="AJ54" i="10"/>
  <c r="AE54" i="11"/>
  <c r="AI22" i="14"/>
  <c r="AB22" i="15"/>
  <c r="AB129" i="16"/>
  <c r="AJ142" i="10"/>
  <c r="AJ141" i="10" s="1"/>
  <c r="AG141" i="10"/>
  <c r="AE142" i="11"/>
  <c r="I71" i="15"/>
  <c r="AI223" i="15"/>
  <c r="G77" i="13"/>
  <c r="M77" i="12"/>
  <c r="G81" i="11"/>
  <c r="I83" i="11"/>
  <c r="W116" i="16"/>
  <c r="J86" i="11"/>
  <c r="L85" i="10"/>
  <c r="N86" i="10"/>
  <c r="N85" i="10" s="1"/>
  <c r="Y70" i="11"/>
  <c r="AH70" i="10"/>
  <c r="AB61" i="15"/>
  <c r="AZ12" i="15"/>
  <c r="AY12" i="15"/>
  <c r="AV12" i="15"/>
  <c r="AU12" i="15"/>
  <c r="AG73" i="10"/>
  <c r="AE69" i="10"/>
  <c r="AE65" i="10" s="1"/>
  <c r="N91" i="13"/>
  <c r="M91" i="13"/>
  <c r="AD245" i="13"/>
  <c r="AB132" i="15"/>
  <c r="AD143" i="13"/>
  <c r="AG241" i="10"/>
  <c r="AE235" i="10"/>
  <c r="AE234" i="10" s="1"/>
  <c r="AE232" i="10" s="1"/>
  <c r="AG70" i="11"/>
  <c r="D107" i="15"/>
  <c r="F107" i="14"/>
  <c r="AG17" i="13"/>
  <c r="AB229" i="12"/>
  <c r="AI229" i="11"/>
  <c r="D81" i="16"/>
  <c r="AY31" i="7"/>
  <c r="AY32" i="7" s="1"/>
  <c r="V234" i="13" l="1"/>
  <c r="V232" i="13" s="1"/>
  <c r="AB90" i="10"/>
  <c r="M128" i="9"/>
  <c r="AA43" i="9"/>
  <c r="V90" i="13"/>
  <c r="AQ25" i="11"/>
  <c r="D28" i="13"/>
  <c r="D21" i="13" s="1"/>
  <c r="D19" i="13" s="1"/>
  <c r="D17" i="13" s="1"/>
  <c r="BP13" i="9"/>
  <c r="AE10" i="9"/>
  <c r="AX32" i="6"/>
  <c r="AZ31" i="6"/>
  <c r="AZ32" i="6" s="1"/>
  <c r="N111" i="14"/>
  <c r="AW32" i="6"/>
  <c r="AY31" i="6"/>
  <c r="AY32" i="6" s="1"/>
  <c r="AR25" i="9"/>
  <c r="AU25" i="9" s="1"/>
  <c r="D128" i="14"/>
  <c r="AH43" i="9"/>
  <c r="AH14" i="9" s="1"/>
  <c r="AU32" i="6"/>
  <c r="AQ33" i="6"/>
  <c r="AV32" i="6"/>
  <c r="AH128" i="16"/>
  <c r="AJ128" i="16"/>
  <c r="AI128" i="16"/>
  <c r="V132" i="15"/>
  <c r="X132" i="14"/>
  <c r="AD14" i="9"/>
  <c r="AJ75" i="16"/>
  <c r="G26" i="15"/>
  <c r="I26" i="15" s="1"/>
  <c r="BD11" i="14"/>
  <c r="V174" i="15"/>
  <c r="V172" i="14"/>
  <c r="X174" i="14"/>
  <c r="AH174" i="14" s="1"/>
  <c r="AB117" i="11"/>
  <c r="AI117" i="10"/>
  <c r="AI114" i="10" s="1"/>
  <c r="AD114" i="10"/>
  <c r="V123" i="14"/>
  <c r="AX14" i="9"/>
  <c r="AZ14" i="9" s="1"/>
  <c r="AH67" i="14"/>
  <c r="BO11" i="14"/>
  <c r="W63" i="13"/>
  <c r="AH110" i="9"/>
  <c r="AA170" i="9"/>
  <c r="BO24" i="9" s="1"/>
  <c r="V12" i="12"/>
  <c r="V10" i="12" s="1"/>
  <c r="V258" i="12" s="1"/>
  <c r="Y10" i="9"/>
  <c r="AI128" i="15"/>
  <c r="AH128" i="15"/>
  <c r="AJ128" i="15"/>
  <c r="AA46" i="10"/>
  <c r="Y44" i="10"/>
  <c r="AE94" i="11"/>
  <c r="AJ94" i="10"/>
  <c r="AJ91" i="10" s="1"/>
  <c r="AG91" i="10"/>
  <c r="AH132" i="13"/>
  <c r="AJ132" i="13"/>
  <c r="AI132" i="13"/>
  <c r="Y124" i="12"/>
  <c r="AH124" i="11"/>
  <c r="AH123" i="11" s="1"/>
  <c r="AA123" i="11"/>
  <c r="AD161" i="10"/>
  <c r="AB157" i="10"/>
  <c r="AB155" i="10" s="1"/>
  <c r="AD170" i="9"/>
  <c r="BP24" i="9" s="1"/>
  <c r="BP22" i="9" s="1"/>
  <c r="BJ11" i="9" s="1"/>
  <c r="F28" i="12"/>
  <c r="F21" i="12" s="1"/>
  <c r="F19" i="12" s="1"/>
  <c r="AE222" i="10"/>
  <c r="AG223" i="10"/>
  <c r="V258" i="11"/>
  <c r="X145" i="12"/>
  <c r="BN31" i="13"/>
  <c r="BH15" i="13" s="1"/>
  <c r="AH234" i="9"/>
  <c r="AH232" i="9" s="1"/>
  <c r="BC21" i="13"/>
  <c r="AG145" i="9"/>
  <c r="AG110" i="9" s="1"/>
  <c r="AS26" i="9" s="1"/>
  <c r="AE220" i="10"/>
  <c r="BP28" i="9"/>
  <c r="AD193" i="9"/>
  <c r="AR28" i="9" s="1"/>
  <c r="AW28" i="9" s="1"/>
  <c r="AY28" i="9" s="1"/>
  <c r="N28" i="9"/>
  <c r="N21" i="9" s="1"/>
  <c r="N19" i="9" s="1"/>
  <c r="N17" i="9" s="1"/>
  <c r="AQ27" i="11"/>
  <c r="V63" i="13"/>
  <c r="V14" i="13"/>
  <c r="W12" i="12"/>
  <c r="W10" i="12" s="1"/>
  <c r="W258" i="12" s="1"/>
  <c r="AJ63" i="9"/>
  <c r="F75" i="14"/>
  <c r="AA167" i="10"/>
  <c r="Y157" i="10"/>
  <c r="Y155" i="10" s="1"/>
  <c r="Y145" i="10" s="1"/>
  <c r="F56" i="15"/>
  <c r="D56" i="16"/>
  <c r="F56" i="16" s="1"/>
  <c r="AA52" i="10"/>
  <c r="Y49" i="10"/>
  <c r="D74" i="15"/>
  <c r="D72" i="14"/>
  <c r="F74" i="14"/>
  <c r="F72" i="14" s="1"/>
  <c r="J26" i="11"/>
  <c r="N26" i="10"/>
  <c r="N25" i="10" s="1"/>
  <c r="AX8" i="10"/>
  <c r="AZ8" i="10" s="1"/>
  <c r="L25" i="10"/>
  <c r="AS8" i="10" s="1"/>
  <c r="AV8" i="10" s="1"/>
  <c r="Y59" i="11"/>
  <c r="AA58" i="10"/>
  <c r="AA57" i="10" s="1"/>
  <c r="AH59" i="10"/>
  <c r="AH58" i="10" s="1"/>
  <c r="AH57" i="10" s="1"/>
  <c r="AI130" i="15"/>
  <c r="AB130" i="16"/>
  <c r="AD130" i="16" s="1"/>
  <c r="AI130" i="16" s="1"/>
  <c r="D77" i="16"/>
  <c r="F77" i="16" s="1"/>
  <c r="F77" i="15"/>
  <c r="N77" i="15" s="1"/>
  <c r="M71" i="14"/>
  <c r="AJ229" i="13"/>
  <c r="X227" i="13"/>
  <c r="BC12" i="14"/>
  <c r="D50" i="16"/>
  <c r="F50" i="16" s="1"/>
  <c r="N50" i="16" s="1"/>
  <c r="F50" i="15"/>
  <c r="N50" i="15" s="1"/>
  <c r="E49" i="16"/>
  <c r="E48" i="16" s="1"/>
  <c r="E48" i="15"/>
  <c r="I61" i="10"/>
  <c r="G60" i="10"/>
  <c r="D41" i="15"/>
  <c r="F41" i="14"/>
  <c r="D33" i="16"/>
  <c r="F33" i="15"/>
  <c r="D32" i="15"/>
  <c r="AI60" i="13"/>
  <c r="AH60" i="13"/>
  <c r="X58" i="13"/>
  <c r="X57" i="13" s="1"/>
  <c r="L83" i="10"/>
  <c r="J81" i="10"/>
  <c r="AH116" i="13"/>
  <c r="AJ116" i="13"/>
  <c r="D80" i="15"/>
  <c r="F80" i="14"/>
  <c r="M80" i="14" s="1"/>
  <c r="D78" i="14"/>
  <c r="AB106" i="11"/>
  <c r="AD105" i="10"/>
  <c r="AD104" i="10" s="1"/>
  <c r="AI106" i="10"/>
  <c r="AI105" i="10" s="1"/>
  <c r="AI104" i="10" s="1"/>
  <c r="V73" i="16"/>
  <c r="X73" i="16" s="1"/>
  <c r="X73" i="15"/>
  <c r="AB41" i="16"/>
  <c r="AD41" i="16" s="1"/>
  <c r="AI41" i="16" s="1"/>
  <c r="AI41" i="15"/>
  <c r="V99" i="16"/>
  <c r="X99" i="16" s="1"/>
  <c r="AH99" i="16" s="1"/>
  <c r="X99" i="15"/>
  <c r="BC19" i="13"/>
  <c r="AI63" i="9"/>
  <c r="AI12" i="9" s="1"/>
  <c r="J128" i="10"/>
  <c r="AS24" i="9"/>
  <c r="AV24" i="9" s="1"/>
  <c r="BN15" i="11"/>
  <c r="BH10" i="11" s="1"/>
  <c r="W258" i="11"/>
  <c r="X114" i="13"/>
  <c r="AD44" i="10"/>
  <c r="AB46" i="11"/>
  <c r="AI46" i="10"/>
  <c r="AI44" i="10" s="1"/>
  <c r="D30" i="15"/>
  <c r="F30" i="14"/>
  <c r="D29" i="14"/>
  <c r="M47" i="14"/>
  <c r="BO10" i="14"/>
  <c r="AH17" i="14"/>
  <c r="Y17" i="15"/>
  <c r="AA17" i="15" s="1"/>
  <c r="Y61" i="15"/>
  <c r="AA61" i="15" s="1"/>
  <c r="BO31" i="14"/>
  <c r="BI15" i="14" s="1"/>
  <c r="AA90" i="9"/>
  <c r="BO13" i="9" s="1"/>
  <c r="AJ55" i="15"/>
  <c r="AH55" i="15"/>
  <c r="AI55" i="15"/>
  <c r="D71" i="16"/>
  <c r="F71" i="16" s="1"/>
  <c r="F71" i="15"/>
  <c r="V229" i="15"/>
  <c r="V227" i="14"/>
  <c r="X229" i="14"/>
  <c r="D23" i="16"/>
  <c r="F23" i="15"/>
  <c r="D22" i="15"/>
  <c r="AA98" i="10"/>
  <c r="Y96" i="10"/>
  <c r="M59" i="14"/>
  <c r="N59" i="14"/>
  <c r="V106" i="15"/>
  <c r="X106" i="14"/>
  <c r="V105" i="14"/>
  <c r="V104" i="14" s="1"/>
  <c r="AH75" i="15"/>
  <c r="AJ75" i="15"/>
  <c r="AB92" i="11"/>
  <c r="AD91" i="10"/>
  <c r="AI92" i="10"/>
  <c r="AI91" i="10" s="1"/>
  <c r="AA177" i="10"/>
  <c r="Y176" i="10"/>
  <c r="V116" i="15"/>
  <c r="X116" i="14"/>
  <c r="AH71" i="13"/>
  <c r="AJ71" i="13"/>
  <c r="L71" i="11"/>
  <c r="J69" i="11"/>
  <c r="AG150" i="10"/>
  <c r="AE149" i="10"/>
  <c r="AE147" i="10" s="1"/>
  <c r="AI118" i="13"/>
  <c r="AH118" i="13"/>
  <c r="AJ118" i="13"/>
  <c r="AB43" i="10"/>
  <c r="BO22" i="9"/>
  <c r="BI11" i="9" s="1"/>
  <c r="AI170" i="9"/>
  <c r="AJ14" i="9"/>
  <c r="BC10" i="12"/>
  <c r="BO17" i="9"/>
  <c r="BO15" i="9" s="1"/>
  <c r="BI10" i="9" s="1"/>
  <c r="AA145" i="9"/>
  <c r="AA110" i="9" s="1"/>
  <c r="Y222" i="10"/>
  <c r="Y220" i="10" s="1"/>
  <c r="AA223" i="10"/>
  <c r="D12" i="15"/>
  <c r="F12" i="14"/>
  <c r="N12" i="14" s="1"/>
  <c r="D10" i="14"/>
  <c r="D47" i="16"/>
  <c r="F47" i="16" s="1"/>
  <c r="F47" i="15"/>
  <c r="V85" i="15"/>
  <c r="X85" i="14"/>
  <c r="AH87" i="14"/>
  <c r="AI87" i="14"/>
  <c r="AJ87" i="14"/>
  <c r="AA188" i="11"/>
  <c r="Y187" i="11"/>
  <c r="Y185" i="11" s="1"/>
  <c r="AH90" i="9"/>
  <c r="AH63" i="9" s="1"/>
  <c r="L36" i="10"/>
  <c r="J35" i="10"/>
  <c r="AH55" i="16"/>
  <c r="AJ55" i="16"/>
  <c r="AI55" i="16"/>
  <c r="AH21" i="13"/>
  <c r="AJ21" i="13"/>
  <c r="D59" i="16"/>
  <c r="D57" i="15"/>
  <c r="F59" i="15"/>
  <c r="V60" i="15"/>
  <c r="V58" i="14"/>
  <c r="V57" i="14" s="1"/>
  <c r="X60" i="14"/>
  <c r="BC11" i="14"/>
  <c r="M26" i="14"/>
  <c r="AH77" i="15"/>
  <c r="AI77" i="15"/>
  <c r="AJ77" i="15"/>
  <c r="V71" i="15"/>
  <c r="X71" i="14"/>
  <c r="AD85" i="10"/>
  <c r="AB83" i="10"/>
  <c r="I58" i="10"/>
  <c r="G57" i="10"/>
  <c r="X118" i="14"/>
  <c r="V118" i="15"/>
  <c r="AB51" i="11"/>
  <c r="AD49" i="10"/>
  <c r="AI51" i="10"/>
  <c r="AI49" i="10" s="1"/>
  <c r="BD10" i="9"/>
  <c r="BD9" i="9" s="1"/>
  <c r="BD8" i="9" s="1"/>
  <c r="BD22" i="9" s="1"/>
  <c r="D36" i="15"/>
  <c r="F36" i="14"/>
  <c r="D35" i="14"/>
  <c r="L23" i="10"/>
  <c r="J22" i="10"/>
  <c r="D62" i="16"/>
  <c r="D60" i="16" s="1"/>
  <c r="D60" i="15"/>
  <c r="AD116" i="12"/>
  <c r="AH85" i="13"/>
  <c r="V87" i="16"/>
  <c r="X87" i="16" s="1"/>
  <c r="X87" i="15"/>
  <c r="AA93" i="10"/>
  <c r="Y91" i="10"/>
  <c r="F68" i="15"/>
  <c r="D68" i="16"/>
  <c r="D66" i="15"/>
  <c r="J47" i="11"/>
  <c r="N47" i="10"/>
  <c r="N45" i="10" s="1"/>
  <c r="L45" i="10"/>
  <c r="V21" i="15"/>
  <c r="X21" i="14"/>
  <c r="V20" i="14"/>
  <c r="V16" i="14" s="1"/>
  <c r="N41" i="13"/>
  <c r="M41" i="13"/>
  <c r="AG159" i="10"/>
  <c r="AE157" i="10"/>
  <c r="AE155" i="10" s="1"/>
  <c r="D26" i="16"/>
  <c r="F26" i="16" s="1"/>
  <c r="F26" i="15"/>
  <c r="AI77" i="16"/>
  <c r="AH77" i="16"/>
  <c r="AA107" i="10"/>
  <c r="Y105" i="10"/>
  <c r="Y104" i="10" s="1"/>
  <c r="V97" i="15"/>
  <c r="X97" i="14"/>
  <c r="AH97" i="14" s="1"/>
  <c r="AJ145" i="9"/>
  <c r="AJ110" i="9" s="1"/>
  <c r="AI73" i="14"/>
  <c r="AH73" i="14"/>
  <c r="AH99" i="14"/>
  <c r="AJ99" i="14"/>
  <c r="V145" i="13"/>
  <c r="AS25" i="9"/>
  <c r="AV25" i="9" s="1"/>
  <c r="AG14" i="9"/>
  <c r="AE41" i="15"/>
  <c r="AG41" i="15" s="1"/>
  <c r="AJ41" i="14"/>
  <c r="M49" i="13"/>
  <c r="F48" i="13"/>
  <c r="AI133" i="13"/>
  <c r="AJ133" i="13"/>
  <c r="AH24" i="13"/>
  <c r="AI24" i="13"/>
  <c r="AJ24" i="13"/>
  <c r="X20" i="13"/>
  <c r="X16" i="13" s="1"/>
  <c r="AQ23" i="13" s="1"/>
  <c r="D55" i="15"/>
  <c r="D54" i="14"/>
  <c r="F55" i="14"/>
  <c r="F54" i="14" s="1"/>
  <c r="V177" i="15"/>
  <c r="V176" i="14"/>
  <c r="X177" i="14"/>
  <c r="V187" i="15"/>
  <c r="V185" i="15" s="1"/>
  <c r="V188" i="16"/>
  <c r="X188" i="15"/>
  <c r="AI188" i="15" s="1"/>
  <c r="W161" i="15"/>
  <c r="X161" i="14"/>
  <c r="W170" i="13"/>
  <c r="W194" i="13"/>
  <c r="W193" i="13" s="1"/>
  <c r="X90" i="12"/>
  <c r="X63" i="12" s="1"/>
  <c r="F128" i="13"/>
  <c r="AQ23" i="12"/>
  <c r="F32" i="14"/>
  <c r="M34" i="14"/>
  <c r="N34" i="14"/>
  <c r="W107" i="15"/>
  <c r="X107" i="14"/>
  <c r="W105" i="14"/>
  <c r="W104" i="14" s="1"/>
  <c r="E58" i="15"/>
  <c r="F58" i="14"/>
  <c r="F57" i="14" s="1"/>
  <c r="E57" i="14"/>
  <c r="AI173" i="13"/>
  <c r="X172" i="13"/>
  <c r="W36" i="15"/>
  <c r="X36" i="14"/>
  <c r="W35" i="14"/>
  <c r="AI254" i="15"/>
  <c r="AH254" i="15"/>
  <c r="AJ254" i="15"/>
  <c r="W150" i="15"/>
  <c r="X150" i="14"/>
  <c r="W149" i="14"/>
  <c r="W147" i="14" s="1"/>
  <c r="G56" i="11"/>
  <c r="M56" i="10"/>
  <c r="M54" i="10" s="1"/>
  <c r="I54" i="10"/>
  <c r="AH88" i="13"/>
  <c r="AJ88" i="13"/>
  <c r="V51" i="15"/>
  <c r="X51" i="14"/>
  <c r="V49" i="14"/>
  <c r="V43" i="14" s="1"/>
  <c r="W135" i="16"/>
  <c r="X135" i="16" s="1"/>
  <c r="X135" i="15"/>
  <c r="F66" i="13"/>
  <c r="M67" i="13"/>
  <c r="AH117" i="13"/>
  <c r="W198" i="15"/>
  <c r="W195" i="14"/>
  <c r="X198" i="14"/>
  <c r="W32" i="15"/>
  <c r="X32" i="14"/>
  <c r="M70" i="10"/>
  <c r="M69" i="10" s="1"/>
  <c r="I69" i="10"/>
  <c r="G70" i="11"/>
  <c r="AG98" i="10"/>
  <c r="AE96" i="10"/>
  <c r="AE90" i="10" s="1"/>
  <c r="E64" i="15"/>
  <c r="F64" i="14"/>
  <c r="E63" i="14"/>
  <c r="AH50" i="13"/>
  <c r="AJ50" i="13"/>
  <c r="D75" i="15"/>
  <c r="D76" i="16"/>
  <c r="E52" i="15"/>
  <c r="E51" i="14"/>
  <c r="F52" i="14"/>
  <c r="F51" i="14" s="1"/>
  <c r="AA38" i="10"/>
  <c r="Y35" i="10"/>
  <c r="V133" i="15"/>
  <c r="X133" i="14"/>
  <c r="AH183" i="13"/>
  <c r="AJ183" i="13"/>
  <c r="AI183" i="13"/>
  <c r="F27" i="14"/>
  <c r="F25" i="14" s="1"/>
  <c r="AQ8" i="14" s="1"/>
  <c r="D25" i="14"/>
  <c r="D27" i="15"/>
  <c r="D128" i="15" s="1"/>
  <c r="AI196" i="13"/>
  <c r="AJ196" i="13"/>
  <c r="X195" i="13"/>
  <c r="AH137" i="13"/>
  <c r="AI137" i="13"/>
  <c r="AJ137" i="13"/>
  <c r="N13" i="13"/>
  <c r="M13" i="13"/>
  <c r="F10" i="13"/>
  <c r="AJ143" i="13"/>
  <c r="X141" i="13"/>
  <c r="BN20" i="13" s="1"/>
  <c r="AH143" i="13"/>
  <c r="X38" i="14"/>
  <c r="W38" i="15"/>
  <c r="AH19" i="14"/>
  <c r="AI19" i="14"/>
  <c r="E70" i="15"/>
  <c r="E69" i="14"/>
  <c r="F70" i="14"/>
  <c r="F69" i="14" s="1"/>
  <c r="F35" i="13"/>
  <c r="BC15" i="13"/>
  <c r="F45" i="13"/>
  <c r="E28" i="13"/>
  <c r="E21" i="13" s="1"/>
  <c r="E19" i="13" s="1"/>
  <c r="E17" i="13" s="1"/>
  <c r="E8" i="13" s="1"/>
  <c r="E126" i="13" s="1"/>
  <c r="E130" i="13" s="1"/>
  <c r="X194" i="12"/>
  <c r="BN28" i="12" s="1"/>
  <c r="BO14" i="9"/>
  <c r="BI9" i="9" s="1"/>
  <c r="AH225" i="13"/>
  <c r="AJ225" i="13"/>
  <c r="AA180" i="12"/>
  <c r="AH131" i="13"/>
  <c r="AI131" i="13"/>
  <c r="AJ131" i="13"/>
  <c r="W173" i="15"/>
  <c r="X173" i="14"/>
  <c r="W172" i="14"/>
  <c r="AH139" i="13"/>
  <c r="AI139" i="13"/>
  <c r="AJ139" i="13"/>
  <c r="AI254" i="16"/>
  <c r="AH254" i="16"/>
  <c r="W88" i="15"/>
  <c r="X88" i="14"/>
  <c r="E67" i="15"/>
  <c r="F67" i="14"/>
  <c r="E66" i="14"/>
  <c r="V117" i="15"/>
  <c r="X117" i="14"/>
  <c r="V114" i="14"/>
  <c r="AH61" i="13"/>
  <c r="AJ61" i="13"/>
  <c r="AI61" i="13"/>
  <c r="BC7" i="12"/>
  <c r="AQ16" i="12"/>
  <c r="W50" i="15"/>
  <c r="X50" i="14"/>
  <c r="F22" i="13"/>
  <c r="AQ7" i="13" s="1"/>
  <c r="M24" i="13"/>
  <c r="AI159" i="13"/>
  <c r="AD174" i="10"/>
  <c r="AB172" i="10"/>
  <c r="AI95" i="13"/>
  <c r="AH95" i="13"/>
  <c r="AJ28" i="13"/>
  <c r="AH28" i="13"/>
  <c r="AI28" i="13"/>
  <c r="AG52" i="10"/>
  <c r="AE49" i="10"/>
  <c r="AE43" i="10" s="1"/>
  <c r="V152" i="15"/>
  <c r="V149" i="14"/>
  <c r="V147" i="14" s="1"/>
  <c r="X152" i="14"/>
  <c r="AJ152" i="14" s="1"/>
  <c r="W183" i="15"/>
  <c r="X183" i="14"/>
  <c r="V196" i="15"/>
  <c r="X196" i="14"/>
  <c r="V195" i="14"/>
  <c r="V194" i="14" s="1"/>
  <c r="V193" i="14" s="1"/>
  <c r="V137" i="15"/>
  <c r="V123" i="15" s="1"/>
  <c r="X137" i="14"/>
  <c r="AI251" i="13"/>
  <c r="AH251" i="13"/>
  <c r="AJ251" i="13"/>
  <c r="W24" i="15"/>
  <c r="W20" i="14"/>
  <c r="W16" i="14" s="1"/>
  <c r="X24" i="14"/>
  <c r="AI38" i="13"/>
  <c r="AI177" i="13"/>
  <c r="BN23" i="13"/>
  <c r="E82" i="15"/>
  <c r="E81" i="14"/>
  <c r="F82" i="14"/>
  <c r="AH121" i="14"/>
  <c r="AI121" i="14"/>
  <c r="AJ121" i="14"/>
  <c r="W19" i="16"/>
  <c r="X19" i="16" s="1"/>
  <c r="X19" i="15"/>
  <c r="AH239" i="13"/>
  <c r="AJ239" i="13"/>
  <c r="F37" i="14"/>
  <c r="E35" i="14"/>
  <c r="E37" i="15"/>
  <c r="F46" i="14"/>
  <c r="E46" i="15"/>
  <c r="E45" i="14"/>
  <c r="F29" i="13"/>
  <c r="N31" i="13"/>
  <c r="AJ107" i="13"/>
  <c r="X105" i="13"/>
  <c r="X104" i="13" s="1"/>
  <c r="AJ36" i="13"/>
  <c r="AH36" i="13"/>
  <c r="X35" i="13"/>
  <c r="AI150" i="13"/>
  <c r="AH150" i="13"/>
  <c r="X149" i="13"/>
  <c r="X147" i="13" s="1"/>
  <c r="AH135" i="14"/>
  <c r="AI135" i="14"/>
  <c r="AJ135" i="14"/>
  <c r="AI32" i="13"/>
  <c r="AH32" i="13"/>
  <c r="AJ32" i="13"/>
  <c r="V224" i="15"/>
  <c r="X224" i="14"/>
  <c r="V222" i="14"/>
  <c r="G74" i="11"/>
  <c r="M74" i="10"/>
  <c r="M72" i="10" s="1"/>
  <c r="I72" i="10"/>
  <c r="E76" i="15"/>
  <c r="E75" i="14"/>
  <c r="V39" i="15"/>
  <c r="X39" i="14"/>
  <c r="V35" i="14"/>
  <c r="V84" i="15"/>
  <c r="X84" i="14"/>
  <c r="AI84" i="14" s="1"/>
  <c r="V83" i="14"/>
  <c r="V120" i="15"/>
  <c r="X120" i="14"/>
  <c r="V100" i="15"/>
  <c r="X100" i="14"/>
  <c r="V96" i="14"/>
  <c r="I31" i="10"/>
  <c r="AW9" i="10" s="1"/>
  <c r="AY9" i="10" s="1"/>
  <c r="G29" i="10"/>
  <c r="G28" i="10" s="1"/>
  <c r="X143" i="14"/>
  <c r="V143" i="15"/>
  <c r="V141" i="14"/>
  <c r="AB186" i="15"/>
  <c r="AD186" i="15" s="1"/>
  <c r="AI186" i="14"/>
  <c r="W202" i="16"/>
  <c r="X202" i="16" s="1"/>
  <c r="X202" i="15"/>
  <c r="M82" i="13"/>
  <c r="F81" i="13"/>
  <c r="AV30" i="9"/>
  <c r="BC17" i="13"/>
  <c r="AB258" i="9"/>
  <c r="N128" i="9"/>
  <c r="M110" i="14"/>
  <c r="X12" i="11"/>
  <c r="X10" i="11" s="1"/>
  <c r="X8" i="11" s="1"/>
  <c r="E34" i="16"/>
  <c r="E32" i="15"/>
  <c r="F34" i="15"/>
  <c r="W225" i="15"/>
  <c r="X225" i="14"/>
  <c r="W222" i="14"/>
  <c r="W220" i="14" s="1"/>
  <c r="W131" i="15"/>
  <c r="X131" i="14"/>
  <c r="W139" i="15"/>
  <c r="X139" i="14"/>
  <c r="E79" i="15"/>
  <c r="E78" i="14"/>
  <c r="F79" i="14"/>
  <c r="N79" i="14" s="1"/>
  <c r="G37" i="11"/>
  <c r="I35" i="10"/>
  <c r="M37" i="10"/>
  <c r="M35" i="10" s="1"/>
  <c r="AH198" i="13"/>
  <c r="AI198" i="13"/>
  <c r="AJ198" i="13"/>
  <c r="AG38" i="10"/>
  <c r="AE35" i="10"/>
  <c r="AH224" i="13"/>
  <c r="AJ224" i="13"/>
  <c r="X222" i="13"/>
  <c r="X220" i="13" s="1"/>
  <c r="BN30" i="13" s="1"/>
  <c r="BH14" i="13" s="1"/>
  <c r="V61" i="15"/>
  <c r="X61" i="14"/>
  <c r="F63" i="13"/>
  <c r="N64" i="13"/>
  <c r="BC14" i="13"/>
  <c r="G45" i="10"/>
  <c r="I46" i="10"/>
  <c r="E22" i="14"/>
  <c r="E128" i="14"/>
  <c r="F24" i="14"/>
  <c r="E24" i="15"/>
  <c r="V159" i="15"/>
  <c r="X159" i="14"/>
  <c r="V157" i="14"/>
  <c r="V155" i="14" s="1"/>
  <c r="AH39" i="13"/>
  <c r="AI39" i="13"/>
  <c r="AJ39" i="13"/>
  <c r="V112" i="13"/>
  <c r="AD199" i="10"/>
  <c r="AB195" i="10"/>
  <c r="AB194" i="10" s="1"/>
  <c r="AB193" i="10" s="1"/>
  <c r="D49" i="15"/>
  <c r="F49" i="14"/>
  <c r="D48" i="14"/>
  <c r="V95" i="15"/>
  <c r="X95" i="14"/>
  <c r="W28" i="15"/>
  <c r="X28" i="14"/>
  <c r="AI120" i="13"/>
  <c r="AJ120" i="13"/>
  <c r="AH120" i="13"/>
  <c r="V251" i="15"/>
  <c r="X251" i="14"/>
  <c r="V243" i="14"/>
  <c r="AI100" i="13"/>
  <c r="AH100" i="13"/>
  <c r="AJ100" i="13"/>
  <c r="X96" i="13"/>
  <c r="E13" i="15"/>
  <c r="E10" i="14"/>
  <c r="F13" i="14"/>
  <c r="AI202" i="14"/>
  <c r="AH202" i="14"/>
  <c r="AJ202" i="14"/>
  <c r="V121" i="16"/>
  <c r="X121" i="16" s="1"/>
  <c r="X121" i="15"/>
  <c r="W239" i="15"/>
  <c r="X239" i="14"/>
  <c r="AJ161" i="13"/>
  <c r="AH161" i="13"/>
  <c r="E29" i="14"/>
  <c r="E31" i="15"/>
  <c r="F31" i="14"/>
  <c r="N39" i="16"/>
  <c r="AY17" i="9"/>
  <c r="AB37" i="11"/>
  <c r="AI37" i="10"/>
  <c r="AI35" i="10" s="1"/>
  <c r="AD35" i="10"/>
  <c r="AW24" i="9"/>
  <c r="AY24" i="9" s="1"/>
  <c r="AU24" i="9"/>
  <c r="AA228" i="11"/>
  <c r="Y227" i="11"/>
  <c r="N56" i="10"/>
  <c r="N54" i="10" s="1"/>
  <c r="J56" i="11"/>
  <c r="L54" i="10"/>
  <c r="AE117" i="11"/>
  <c r="AJ117" i="10"/>
  <c r="AJ114" i="10" s="1"/>
  <c r="AG114" i="10"/>
  <c r="AS9" i="9"/>
  <c r="AV9" i="9" s="1"/>
  <c r="D8" i="12"/>
  <c r="D126" i="12" s="1"/>
  <c r="D130" i="12" s="1"/>
  <c r="F117" i="15"/>
  <c r="D117" i="16"/>
  <c r="N115" i="13"/>
  <c r="BC20" i="13"/>
  <c r="F113" i="13"/>
  <c r="AQ15" i="13" s="1"/>
  <c r="AZ11" i="16"/>
  <c r="BH7" i="10"/>
  <c r="BH16" i="10" s="1"/>
  <c r="BH17" i="10" s="1"/>
  <c r="N116" i="15"/>
  <c r="M116" i="15"/>
  <c r="N121" i="13"/>
  <c r="M121" i="13"/>
  <c r="D119" i="16"/>
  <c r="F119" i="16" s="1"/>
  <c r="M119" i="16" s="1"/>
  <c r="F119" i="15"/>
  <c r="M119" i="15" s="1"/>
  <c r="G122" i="15"/>
  <c r="I122" i="15" s="1"/>
  <c r="M122" i="14"/>
  <c r="E115" i="15"/>
  <c r="F115" i="14"/>
  <c r="E113" i="14"/>
  <c r="M116" i="16"/>
  <c r="N116" i="16"/>
  <c r="BD20" i="11"/>
  <c r="I113" i="11"/>
  <c r="AR15" i="11" s="1"/>
  <c r="G115" i="12"/>
  <c r="M115" i="11"/>
  <c r="M113" i="11" s="1"/>
  <c r="D120" i="16"/>
  <c r="F120" i="16" s="1"/>
  <c r="F120" i="15"/>
  <c r="N117" i="14"/>
  <c r="M117" i="14"/>
  <c r="N124" i="15"/>
  <c r="M124" i="15"/>
  <c r="F121" i="14"/>
  <c r="D121" i="15"/>
  <c r="D113" i="15" s="1"/>
  <c r="M123" i="16"/>
  <c r="N123" i="16"/>
  <c r="N39" i="15"/>
  <c r="N118" i="15"/>
  <c r="N120" i="14"/>
  <c r="M120" i="14"/>
  <c r="M123" i="15"/>
  <c r="N123" i="15"/>
  <c r="D113" i="14"/>
  <c r="N124" i="16"/>
  <c r="M124" i="16"/>
  <c r="J119" i="11"/>
  <c r="N119" i="10"/>
  <c r="N113" i="10" s="1"/>
  <c r="L113" i="10"/>
  <c r="AS15" i="10" s="1"/>
  <c r="J8" i="9"/>
  <c r="J126" i="9" s="1"/>
  <c r="J130" i="9" s="1"/>
  <c r="G8" i="9"/>
  <c r="G126" i="9" s="1"/>
  <c r="G130" i="9" s="1"/>
  <c r="Y258" i="9"/>
  <c r="W43" i="13"/>
  <c r="W14" i="13" s="1"/>
  <c r="X258" i="10"/>
  <c r="AE8" i="9"/>
  <c r="AI110" i="9"/>
  <c r="BP7" i="8"/>
  <c r="BP32" i="8" s="1"/>
  <c r="AD10" i="8"/>
  <c r="AD258" i="8" s="1"/>
  <c r="BJ7" i="8"/>
  <c r="BJ16" i="8" s="1"/>
  <c r="AA8" i="8"/>
  <c r="U1" i="8" s="1"/>
  <c r="AA258" i="8"/>
  <c r="BO33" i="8" s="1"/>
  <c r="E54" i="16"/>
  <c r="AJ244" i="15"/>
  <c r="AX27" i="9"/>
  <c r="AZ27" i="9" s="1"/>
  <c r="X43" i="12"/>
  <c r="M63" i="9"/>
  <c r="M21" i="9" s="1"/>
  <c r="M19" i="9" s="1"/>
  <c r="M17" i="9" s="1"/>
  <c r="M8" i="9" s="1"/>
  <c r="BN8" i="10"/>
  <c r="BN7" i="10" s="1"/>
  <c r="BN32" i="10" s="1"/>
  <c r="BN13" i="11"/>
  <c r="M30" i="12"/>
  <c r="G30" i="13"/>
  <c r="I73" i="12"/>
  <c r="BC9" i="12"/>
  <c r="BC8" i="12" s="1"/>
  <c r="AG151" i="12"/>
  <c r="AA94" i="14"/>
  <c r="N77" i="16"/>
  <c r="AB8" i="9"/>
  <c r="AU29" i="11"/>
  <c r="AV29" i="11"/>
  <c r="AG136" i="10"/>
  <c r="AE123" i="10"/>
  <c r="AE112" i="10" s="1"/>
  <c r="V74" i="16"/>
  <c r="X74" i="15"/>
  <c r="V69" i="15"/>
  <c r="V65" i="15" s="1"/>
  <c r="W167" i="16"/>
  <c r="X167" i="16" s="1"/>
  <c r="X167" i="15"/>
  <c r="BN19" i="15" s="1"/>
  <c r="AI47" i="13"/>
  <c r="AH47" i="13"/>
  <c r="AJ47" i="13"/>
  <c r="D86" i="15"/>
  <c r="F86" i="14"/>
  <c r="F85" i="14" s="1"/>
  <c r="D85" i="14"/>
  <c r="AJ92" i="13"/>
  <c r="AH92" i="13"/>
  <c r="X91" i="13"/>
  <c r="L61" i="12"/>
  <c r="AI33" i="14"/>
  <c r="AH33" i="14"/>
  <c r="AJ33" i="14"/>
  <c r="AA193" i="9"/>
  <c r="BO28" i="9"/>
  <c r="BO25" i="9" s="1"/>
  <c r="BI12" i="9" s="1"/>
  <c r="D108" i="15"/>
  <c r="D104" i="15" s="1"/>
  <c r="F108" i="14"/>
  <c r="F104" i="14" s="1"/>
  <c r="V214" i="15"/>
  <c r="X214" i="14"/>
  <c r="V211" i="14"/>
  <c r="V210" i="14" s="1"/>
  <c r="V209" i="14" s="1"/>
  <c r="V207" i="14" s="1"/>
  <c r="J67" i="11"/>
  <c r="N67" i="10"/>
  <c r="N66" i="10" s="1"/>
  <c r="L66" i="10"/>
  <c r="M96" i="15"/>
  <c r="N96" i="15"/>
  <c r="AB59" i="11"/>
  <c r="AD58" i="10"/>
  <c r="AD57" i="10" s="1"/>
  <c r="AI59" i="10"/>
  <c r="AI58" i="10" s="1"/>
  <c r="AI57" i="10" s="1"/>
  <c r="AI71" i="11"/>
  <c r="AB71" i="12"/>
  <c r="N44" i="10"/>
  <c r="N42" i="10" s="1"/>
  <c r="J44" i="11"/>
  <c r="L42" i="10"/>
  <c r="AS10" i="10" s="1"/>
  <c r="AV10" i="10" s="1"/>
  <c r="AX10" i="10"/>
  <c r="AZ10" i="10" s="1"/>
  <c r="AH125" i="14"/>
  <c r="AJ125" i="14"/>
  <c r="AW22" i="9"/>
  <c r="AY22" i="9" s="1"/>
  <c r="AU22" i="9"/>
  <c r="AH250" i="14"/>
  <c r="AI250" i="14"/>
  <c r="AJ250" i="14"/>
  <c r="Y8" i="9"/>
  <c r="AH245" i="13"/>
  <c r="X243" i="13"/>
  <c r="W158" i="15"/>
  <c r="X158" i="14"/>
  <c r="W157" i="14"/>
  <c r="W155" i="14" s="1"/>
  <c r="AR32" i="7"/>
  <c r="AU31" i="7"/>
  <c r="V156" i="15"/>
  <c r="X156" i="14"/>
  <c r="AD203" i="10"/>
  <c r="AB204" i="11"/>
  <c r="AI204" i="10"/>
  <c r="AI203" i="10" s="1"/>
  <c r="V240" i="15"/>
  <c r="X240" i="14"/>
  <c r="V235" i="14"/>
  <c r="AJ45" i="13"/>
  <c r="AH45" i="13"/>
  <c r="X44" i="13"/>
  <c r="AI45" i="13"/>
  <c r="AA236" i="10"/>
  <c r="Y235" i="10"/>
  <c r="F8" i="10"/>
  <c r="AR27" i="9"/>
  <c r="AH237" i="13"/>
  <c r="X235" i="13"/>
  <c r="AI237" i="13"/>
  <c r="AH129" i="14"/>
  <c r="AJ129" i="14"/>
  <c r="AI129" i="14"/>
  <c r="N38" i="13"/>
  <c r="BC13" i="13"/>
  <c r="M38" i="13"/>
  <c r="W119" i="16"/>
  <c r="X119" i="16" s="1"/>
  <c r="X119" i="15"/>
  <c r="BN29" i="11"/>
  <c r="BH13" i="11" s="1"/>
  <c r="AQ30" i="11"/>
  <c r="G78" i="11"/>
  <c r="I78" i="11" s="1"/>
  <c r="M78" i="11" s="1"/>
  <c r="I79" i="11"/>
  <c r="W83" i="14"/>
  <c r="X86" i="14"/>
  <c r="W86" i="15"/>
  <c r="AE67" i="15"/>
  <c r="AG67" i="15" s="1"/>
  <c r="AJ67" i="14"/>
  <c r="W249" i="15"/>
  <c r="X249" i="14"/>
  <c r="W163" i="16"/>
  <c r="X163" i="16" s="1"/>
  <c r="X163" i="15"/>
  <c r="AR7" i="9"/>
  <c r="AU7" i="9" s="1"/>
  <c r="I21" i="9"/>
  <c r="I19" i="9" s="1"/>
  <c r="I17" i="9" s="1"/>
  <c r="I8" i="9" s="1"/>
  <c r="AA80" i="10"/>
  <c r="Y69" i="10"/>
  <c r="Y65" i="10" s="1"/>
  <c r="J32" i="10"/>
  <c r="L33" i="10"/>
  <c r="W215" i="15"/>
  <c r="X215" i="14"/>
  <c r="AJ26" i="15"/>
  <c r="AE26" i="16"/>
  <c r="AG26" i="16" s="1"/>
  <c r="AJ26" i="16" s="1"/>
  <c r="AU14" i="8"/>
  <c r="AR17" i="8"/>
  <c r="AU17" i="8" s="1"/>
  <c r="AS17" i="8"/>
  <c r="AV17" i="8" s="1"/>
  <c r="AV14" i="8"/>
  <c r="AI74" i="14"/>
  <c r="AJ74" i="14"/>
  <c r="AH74" i="14"/>
  <c r="AI167" i="14"/>
  <c r="AJ167" i="14"/>
  <c r="M12" i="11"/>
  <c r="M10" i="11" s="1"/>
  <c r="G12" i="12"/>
  <c r="I10" i="11"/>
  <c r="AI88" i="13"/>
  <c r="AB88" i="14"/>
  <c r="AI253" i="15"/>
  <c r="AB253" i="16"/>
  <c r="AD253" i="16" s="1"/>
  <c r="AI253" i="16" s="1"/>
  <c r="AD236" i="10"/>
  <c r="AB235" i="10"/>
  <c r="AB234" i="10" s="1"/>
  <c r="AB232" i="10" s="1"/>
  <c r="M102" i="14"/>
  <c r="N102" i="14"/>
  <c r="F101" i="14"/>
  <c r="D101" i="15"/>
  <c r="M108" i="13"/>
  <c r="N108" i="13"/>
  <c r="F60" i="15"/>
  <c r="M62" i="15"/>
  <c r="AI214" i="13"/>
  <c r="AJ214" i="13"/>
  <c r="AH214" i="13"/>
  <c r="C19" i="20"/>
  <c r="N96" i="16"/>
  <c r="M96" i="16"/>
  <c r="I65" i="10"/>
  <c r="I63" i="10" s="1"/>
  <c r="G128" i="10"/>
  <c r="W134" i="15"/>
  <c r="X134" i="14"/>
  <c r="W123" i="14"/>
  <c r="W112" i="14" s="1"/>
  <c r="AQ27" i="12"/>
  <c r="BN24" i="12"/>
  <c r="BN22" i="12" s="1"/>
  <c r="BH11" i="12" s="1"/>
  <c r="AB21" i="11"/>
  <c r="AI21" i="10"/>
  <c r="AI20" i="10" s="1"/>
  <c r="AI16" i="10" s="1"/>
  <c r="AD20" i="10"/>
  <c r="AD16" i="10" s="1"/>
  <c r="AQ31" i="9"/>
  <c r="BN33" i="9"/>
  <c r="BH19" i="9" s="1"/>
  <c r="BH20" i="9" s="1"/>
  <c r="L57" i="10"/>
  <c r="J58" i="11"/>
  <c r="N58" i="10"/>
  <c r="N57" i="10" s="1"/>
  <c r="AH94" i="13"/>
  <c r="AI94" i="13"/>
  <c r="J55" i="12"/>
  <c r="N55" i="11"/>
  <c r="AB50" i="13"/>
  <c r="AI50" i="12"/>
  <c r="AA26" i="10"/>
  <c r="Y20" i="10"/>
  <c r="Y16" i="10" s="1"/>
  <c r="J30" i="11"/>
  <c r="N30" i="10"/>
  <c r="N29" i="10" s="1"/>
  <c r="L29" i="10"/>
  <c r="AJ46" i="10"/>
  <c r="AJ44" i="10" s="1"/>
  <c r="AE46" i="11"/>
  <c r="AG44" i="10"/>
  <c r="W256" i="16"/>
  <c r="X256" i="16" s="1"/>
  <c r="X256" i="15"/>
  <c r="I52" i="10"/>
  <c r="G51" i="10"/>
  <c r="BN27" i="12"/>
  <c r="X207" i="12"/>
  <c r="AQ29" i="12" s="1"/>
  <c r="AI156" i="13"/>
  <c r="AH156" i="13"/>
  <c r="AJ156" i="13"/>
  <c r="BN18" i="13"/>
  <c r="W48" i="15"/>
  <c r="X48" i="14"/>
  <c r="AH240" i="13"/>
  <c r="AI240" i="13"/>
  <c r="AJ240" i="13"/>
  <c r="AD152" i="10"/>
  <c r="AB149" i="10"/>
  <c r="AB147" i="10" s="1"/>
  <c r="AB145" i="10" s="1"/>
  <c r="W190" i="15"/>
  <c r="X190" i="14"/>
  <c r="W187" i="14"/>
  <c r="W185" i="14" s="1"/>
  <c r="BN12" i="13"/>
  <c r="BN9" i="13" s="1"/>
  <c r="Y115" i="11"/>
  <c r="AA114" i="10"/>
  <c r="BO16" i="10" s="1"/>
  <c r="AH115" i="10"/>
  <c r="AH114" i="10" s="1"/>
  <c r="G76" i="11"/>
  <c r="M76" i="10"/>
  <c r="M75" i="10" s="1"/>
  <c r="I75" i="10"/>
  <c r="AE195" i="10"/>
  <c r="AE194" i="10" s="1"/>
  <c r="AE193" i="10" s="1"/>
  <c r="AG197" i="10"/>
  <c r="D97" i="15"/>
  <c r="F97" i="14"/>
  <c r="L62" i="11"/>
  <c r="J60" i="11"/>
  <c r="AU11" i="16"/>
  <c r="AV11" i="16"/>
  <c r="AY11" i="16"/>
  <c r="F38" i="14"/>
  <c r="D38" i="15"/>
  <c r="AH119" i="14"/>
  <c r="AI119" i="14"/>
  <c r="AJ119" i="14"/>
  <c r="AD189" i="11"/>
  <c r="W96" i="16"/>
  <c r="W204" i="15"/>
  <c r="W203" i="14"/>
  <c r="X204" i="14"/>
  <c r="X203" i="14" s="1"/>
  <c r="J46" i="12"/>
  <c r="N46" i="11"/>
  <c r="G33" i="11"/>
  <c r="I32" i="10"/>
  <c r="M33" i="10"/>
  <c r="M32" i="10" s="1"/>
  <c r="BD13" i="10"/>
  <c r="M53" i="15"/>
  <c r="AA86" i="10"/>
  <c r="Y83" i="10"/>
  <c r="AH249" i="13"/>
  <c r="AI249" i="13"/>
  <c r="AJ249" i="13"/>
  <c r="AQ9" i="12"/>
  <c r="BN26" i="13"/>
  <c r="AH212" i="13"/>
  <c r="X211" i="13"/>
  <c r="X210" i="13" s="1"/>
  <c r="X209" i="13" s="1"/>
  <c r="AJ163" i="14"/>
  <c r="AH163" i="14"/>
  <c r="AI163" i="14"/>
  <c r="G22" i="10"/>
  <c r="I23" i="10"/>
  <c r="AW17" i="9"/>
  <c r="AX17" i="9"/>
  <c r="AZ9" i="9"/>
  <c r="AZ17" i="9" s="1"/>
  <c r="J80" i="11"/>
  <c r="N80" i="10"/>
  <c r="AH68" i="14"/>
  <c r="AI68" i="14"/>
  <c r="AJ68" i="14"/>
  <c r="I8" i="8"/>
  <c r="AA173" i="10"/>
  <c r="Y172" i="10"/>
  <c r="Y170" i="10" s="1"/>
  <c r="W234" i="13"/>
  <c r="W232" i="13" s="1"/>
  <c r="X69" i="14"/>
  <c r="X65" i="14" s="1"/>
  <c r="J43" i="12"/>
  <c r="N43" i="11"/>
  <c r="AH134" i="13"/>
  <c r="AJ134" i="13"/>
  <c r="AB142" i="11"/>
  <c r="AI142" i="10"/>
  <c r="AI141" i="10" s="1"/>
  <c r="AD141" i="10"/>
  <c r="BP20" i="10" s="1"/>
  <c r="BP12" i="9"/>
  <c r="BP9" i="9" s="1"/>
  <c r="AD63" i="9"/>
  <c r="AR23" i="9"/>
  <c r="AD66" i="10"/>
  <c r="AB65" i="10"/>
  <c r="D95" i="16"/>
  <c r="F126" i="9"/>
  <c r="F130" i="9" s="1"/>
  <c r="A1" i="9"/>
  <c r="AB29" i="16"/>
  <c r="AD29" i="16" s="1"/>
  <c r="AI29" i="16" s="1"/>
  <c r="AI29" i="15"/>
  <c r="AW16" i="10"/>
  <c r="AY16" i="10" s="1"/>
  <c r="AU16" i="10"/>
  <c r="AH256" i="14"/>
  <c r="AI256" i="14"/>
  <c r="AJ256" i="14"/>
  <c r="AD125" i="10"/>
  <c r="AB123" i="10"/>
  <c r="AB112" i="10" s="1"/>
  <c r="AI158" i="13"/>
  <c r="AH158" i="13"/>
  <c r="X157" i="13"/>
  <c r="X155" i="13" s="1"/>
  <c r="AD215" i="10"/>
  <c r="AB211" i="10"/>
  <c r="AB210" i="10" s="1"/>
  <c r="AB209" i="10" s="1"/>
  <c r="AB207" i="10" s="1"/>
  <c r="AB97" i="12"/>
  <c r="AI97" i="11"/>
  <c r="AI48" i="13"/>
  <c r="AH48" i="13"/>
  <c r="W227" i="16"/>
  <c r="BP16" i="9"/>
  <c r="AD145" i="9"/>
  <c r="L53" i="10"/>
  <c r="L128" i="10" s="1"/>
  <c r="J51" i="10"/>
  <c r="AH190" i="13"/>
  <c r="AJ190" i="13"/>
  <c r="X187" i="13"/>
  <c r="X185" i="13" s="1"/>
  <c r="W45" i="15"/>
  <c r="W44" i="14"/>
  <c r="X45" i="14"/>
  <c r="W179" i="15"/>
  <c r="X179" i="14"/>
  <c r="W176" i="14"/>
  <c r="L76" i="10"/>
  <c r="J75" i="10"/>
  <c r="AE25" i="15"/>
  <c r="AG25" i="15" s="1"/>
  <c r="AJ25" i="14"/>
  <c r="AD190" i="10"/>
  <c r="AB187" i="10"/>
  <c r="AB185" i="10" s="1"/>
  <c r="W235" i="14"/>
  <c r="X237" i="14"/>
  <c r="W237" i="15"/>
  <c r="N97" i="13"/>
  <c r="F94" i="13"/>
  <c r="AB75" i="11"/>
  <c r="AI75" i="10"/>
  <c r="AI69" i="10" s="1"/>
  <c r="AD69" i="10"/>
  <c r="L49" i="10"/>
  <c r="J48" i="10"/>
  <c r="X203" i="13"/>
  <c r="AY11" i="15"/>
  <c r="AU11" i="15"/>
  <c r="AV11" i="15"/>
  <c r="AD225" i="10"/>
  <c r="AB222" i="10"/>
  <c r="AB220" i="10" s="1"/>
  <c r="E94" i="14"/>
  <c r="E95" i="15"/>
  <c r="M43" i="14"/>
  <c r="F42" i="14"/>
  <c r="AQ10" i="14" s="1"/>
  <c r="BC16" i="14"/>
  <c r="AX31" i="8"/>
  <c r="AW31" i="8"/>
  <c r="AY31" i="8" s="1"/>
  <c r="AQ32" i="8"/>
  <c r="AA142" i="10"/>
  <c r="Y141" i="10"/>
  <c r="Y112" i="10" s="1"/>
  <c r="W68" i="16"/>
  <c r="X68" i="15"/>
  <c r="W54" i="15"/>
  <c r="X54" i="14"/>
  <c r="W49" i="14"/>
  <c r="AB14" i="10"/>
  <c r="AA234" i="9"/>
  <c r="AA232" i="9" s="1"/>
  <c r="BO29" i="9" s="1"/>
  <c r="BI13" i="9" s="1"/>
  <c r="D94" i="14"/>
  <c r="BN17" i="12"/>
  <c r="BN15" i="12" s="1"/>
  <c r="BH10" i="12" s="1"/>
  <c r="X112" i="12"/>
  <c r="AB99" i="11"/>
  <c r="AI99" i="10"/>
  <c r="AI96" i="10" s="1"/>
  <c r="AI90" i="10" s="1"/>
  <c r="AD96" i="10"/>
  <c r="AA197" i="10"/>
  <c r="Y195" i="10"/>
  <c r="Y194" i="10" s="1"/>
  <c r="Y193" i="10" s="1"/>
  <c r="F102" i="15"/>
  <c r="D102" i="16"/>
  <c r="F102" i="16" s="1"/>
  <c r="M101" i="13"/>
  <c r="N101" i="13"/>
  <c r="M92" i="15"/>
  <c r="N92" i="15"/>
  <c r="W165" i="16"/>
  <c r="X165" i="16" s="1"/>
  <c r="X165" i="15"/>
  <c r="AE137" i="16"/>
  <c r="AG137" i="16" s="1"/>
  <c r="AA84" i="11"/>
  <c r="W47" i="15"/>
  <c r="X47" i="14"/>
  <c r="W92" i="15"/>
  <c r="X92" i="14"/>
  <c r="W91" i="14"/>
  <c r="W90" i="14" s="1"/>
  <c r="W33" i="16"/>
  <c r="X33" i="15"/>
  <c r="AE189" i="15"/>
  <c r="AG189" i="15" s="1"/>
  <c r="AJ189" i="14"/>
  <c r="E60" i="16"/>
  <c r="N92" i="16"/>
  <c r="M92" i="16"/>
  <c r="AH165" i="14"/>
  <c r="AI165" i="14"/>
  <c r="AJ165" i="14"/>
  <c r="V125" i="16"/>
  <c r="X125" i="15"/>
  <c r="J94" i="10"/>
  <c r="L95" i="10"/>
  <c r="AA133" i="13"/>
  <c r="W250" i="16"/>
  <c r="X250" i="16" s="1"/>
  <c r="X250" i="15"/>
  <c r="V94" i="15"/>
  <c r="V91" i="14"/>
  <c r="X94" i="14"/>
  <c r="AA14" i="9"/>
  <c r="BO12" i="9"/>
  <c r="BO9" i="9" s="1"/>
  <c r="AQ24" i="12"/>
  <c r="BN14" i="12"/>
  <c r="BH9" i="12" s="1"/>
  <c r="W245" i="15"/>
  <c r="X245" i="14"/>
  <c r="W243" i="14"/>
  <c r="Y204" i="11"/>
  <c r="AA203" i="10"/>
  <c r="AH204" i="10"/>
  <c r="AH203" i="10" s="1"/>
  <c r="AD112" i="9"/>
  <c r="BP17" i="9"/>
  <c r="AD207" i="9"/>
  <c r="AR29" i="9" s="1"/>
  <c r="AW29" i="9" s="1"/>
  <c r="AY29" i="9" s="1"/>
  <c r="BP27" i="9"/>
  <c r="BP25" i="9" s="1"/>
  <c r="BJ12" i="9" s="1"/>
  <c r="T15" i="9"/>
  <c r="AA259" i="8"/>
  <c r="Y259" i="8"/>
  <c r="Z259" i="8"/>
  <c r="AH259" i="8"/>
  <c r="AC259" i="8"/>
  <c r="AF259" i="8"/>
  <c r="X259" i="8"/>
  <c r="V259" i="8"/>
  <c r="W259" i="8"/>
  <c r="U259" i="8"/>
  <c r="AB259" i="8"/>
  <c r="AE259" i="8"/>
  <c r="AD259" i="8"/>
  <c r="AG259" i="8"/>
  <c r="AI259" i="8"/>
  <c r="AJ259" i="8"/>
  <c r="AG86" i="10"/>
  <c r="AE83" i="10"/>
  <c r="AI179" i="13"/>
  <c r="AH179" i="13"/>
  <c r="AJ179" i="13"/>
  <c r="X176" i="13"/>
  <c r="G90" i="15"/>
  <c r="I90" i="15" s="1"/>
  <c r="AR13" i="14"/>
  <c r="AW13" i="14"/>
  <c r="AX28" i="9"/>
  <c r="AZ28" i="9" s="1"/>
  <c r="AV28" i="9"/>
  <c r="AD228" i="11"/>
  <c r="AB227" i="11"/>
  <c r="V129" i="16"/>
  <c r="X129" i="16" s="1"/>
  <c r="X129" i="15"/>
  <c r="W70" i="16"/>
  <c r="W69" i="15"/>
  <c r="W65" i="15" s="1"/>
  <c r="X70" i="15"/>
  <c r="L73" i="10"/>
  <c r="J72" i="10"/>
  <c r="AA244" i="10"/>
  <c r="Y243" i="10"/>
  <c r="AG178" i="10"/>
  <c r="AE176" i="10"/>
  <c r="AE170" i="10" s="1"/>
  <c r="AW26" i="8"/>
  <c r="AU26" i="8"/>
  <c r="L70" i="12"/>
  <c r="AH106" i="11"/>
  <c r="Y106" i="12"/>
  <c r="D51" i="16"/>
  <c r="F53" i="16"/>
  <c r="AI86" i="13"/>
  <c r="X83" i="13"/>
  <c r="D111" i="16"/>
  <c r="F111" i="16" s="1"/>
  <c r="M111" i="16" s="1"/>
  <c r="F111" i="15"/>
  <c r="M111" i="15" s="1"/>
  <c r="W212" i="15"/>
  <c r="W211" i="14"/>
  <c r="W210" i="14" s="1"/>
  <c r="W209" i="14" s="1"/>
  <c r="W207" i="14" s="1"/>
  <c r="X212" i="14"/>
  <c r="D42" i="15"/>
  <c r="F43" i="15"/>
  <c r="D43" i="16"/>
  <c r="AG153" i="11"/>
  <c r="AQ14" i="11"/>
  <c r="AQ17" i="11" s="1"/>
  <c r="F17" i="11"/>
  <c r="F110" i="15"/>
  <c r="N110" i="15" s="1"/>
  <c r="D110" i="16"/>
  <c r="F110" i="16" s="1"/>
  <c r="N110" i="16" s="1"/>
  <c r="AI54" i="13"/>
  <c r="AH54" i="13"/>
  <c r="X49" i="13"/>
  <c r="G68" i="11"/>
  <c r="M68" i="10"/>
  <c r="M66" i="10" s="1"/>
  <c r="I66" i="10"/>
  <c r="AR30" i="9"/>
  <c r="AW30" i="9" s="1"/>
  <c r="AY30" i="9" s="1"/>
  <c r="E104" i="16"/>
  <c r="X234" i="12"/>
  <c r="X232" i="12" s="1"/>
  <c r="BN25" i="11"/>
  <c r="BH12" i="11" s="1"/>
  <c r="W110" i="13"/>
  <c r="L21" i="9"/>
  <c r="L19" i="9" s="1"/>
  <c r="X123" i="13"/>
  <c r="AG63" i="9"/>
  <c r="BC18" i="13"/>
  <c r="N87" i="16"/>
  <c r="M87" i="16"/>
  <c r="AZ35" i="7"/>
  <c r="AY35" i="7"/>
  <c r="AE241" i="11"/>
  <c r="AJ241" i="10"/>
  <c r="AG235" i="10"/>
  <c r="AG234" i="10" s="1"/>
  <c r="AG232" i="10" s="1"/>
  <c r="L86" i="11"/>
  <c r="J85" i="11"/>
  <c r="AD129" i="16"/>
  <c r="AI246" i="16"/>
  <c r="AH246" i="16"/>
  <c r="J82" i="12"/>
  <c r="N82" i="11"/>
  <c r="AG158" i="11"/>
  <c r="AU30" i="9"/>
  <c r="N106" i="15"/>
  <c r="AE124" i="12"/>
  <c r="AJ124" i="11"/>
  <c r="AE72" i="16"/>
  <c r="AG72" i="16" s="1"/>
  <c r="AJ72" i="16" s="1"/>
  <c r="AJ72" i="15"/>
  <c r="E91" i="16"/>
  <c r="F91" i="16" s="1"/>
  <c r="F91" i="15"/>
  <c r="AH51" i="12"/>
  <c r="Y51" i="13"/>
  <c r="AB248" i="11"/>
  <c r="AI248" i="10"/>
  <c r="AI243" i="10" s="1"/>
  <c r="AD243" i="10"/>
  <c r="G64" i="11"/>
  <c r="BD14" i="10"/>
  <c r="M64" i="10"/>
  <c r="AG174" i="11"/>
  <c r="AE172" i="11"/>
  <c r="AA229" i="13"/>
  <c r="AX23" i="9"/>
  <c r="AV23" i="9"/>
  <c r="K126" i="15"/>
  <c r="K130" i="15" s="1"/>
  <c r="AG84" i="13"/>
  <c r="G55" i="13"/>
  <c r="M55" i="12"/>
  <c r="AE228" i="11"/>
  <c r="AG227" i="10"/>
  <c r="AJ228" i="10"/>
  <c r="AJ227" i="10" s="1"/>
  <c r="AB180" i="12"/>
  <c r="AI180" i="11"/>
  <c r="AI176" i="11" s="1"/>
  <c r="AD176" i="11"/>
  <c r="Y211" i="11"/>
  <c r="Y210" i="11" s="1"/>
  <c r="Y209" i="11" s="1"/>
  <c r="Y207" i="11" s="1"/>
  <c r="AA215" i="11"/>
  <c r="AG168" i="13"/>
  <c r="AA238" i="11"/>
  <c r="AA126" i="15"/>
  <c r="AH126" i="15" s="1"/>
  <c r="AE18" i="13"/>
  <c r="AJ18" i="12"/>
  <c r="L24" i="12"/>
  <c r="AE215" i="11"/>
  <c r="AJ215" i="10"/>
  <c r="AJ211" i="10" s="1"/>
  <c r="AJ210" i="10" s="1"/>
  <c r="AJ209" i="10" s="1"/>
  <c r="AJ207" i="10" s="1"/>
  <c r="AG211" i="10"/>
  <c r="AG210" i="10" s="1"/>
  <c r="AG209" i="10" s="1"/>
  <c r="AG207" i="10" s="1"/>
  <c r="AS29" i="10" s="1"/>
  <c r="AX29" i="10" s="1"/>
  <c r="AZ29" i="10" s="1"/>
  <c r="AG40" i="14"/>
  <c r="AR8" i="10"/>
  <c r="X126" i="16"/>
  <c r="AG148" i="13"/>
  <c r="J111" i="16"/>
  <c r="L111" i="16" s="1"/>
  <c r="L15" i="12"/>
  <c r="J10" i="12"/>
  <c r="AB107" i="13"/>
  <c r="AI107" i="12"/>
  <c r="M105" i="14"/>
  <c r="X213" i="16"/>
  <c r="Y159" i="13"/>
  <c r="AH159" i="12"/>
  <c r="E85" i="15"/>
  <c r="AD229" i="12"/>
  <c r="AB143" i="14"/>
  <c r="AI143" i="13"/>
  <c r="I77" i="13"/>
  <c r="AD132" i="15"/>
  <c r="I81" i="11"/>
  <c r="G83" i="12"/>
  <c r="M83" i="11"/>
  <c r="M81" i="11" s="1"/>
  <c r="AG142" i="11"/>
  <c r="AE141" i="11"/>
  <c r="J122" i="15"/>
  <c r="N122" i="14"/>
  <c r="N91" i="14"/>
  <c r="M91" i="14"/>
  <c r="AB191" i="12"/>
  <c r="AI191" i="11"/>
  <c r="AE59" i="12"/>
  <c r="AJ59" i="11"/>
  <c r="I106" i="11"/>
  <c r="G104" i="11"/>
  <c r="AI223" i="16"/>
  <c r="AG92" i="15"/>
  <c r="Q126" i="15"/>
  <c r="Q130" i="15" s="1"/>
  <c r="C126" i="15"/>
  <c r="C130" i="15" s="1"/>
  <c r="K128" i="16"/>
  <c r="P128" i="16"/>
  <c r="C128" i="16"/>
  <c r="Q128" i="16"/>
  <c r="BE21" i="16"/>
  <c r="H128" i="16"/>
  <c r="Y149" i="11"/>
  <c r="Y147" i="11" s="1"/>
  <c r="AA152" i="11"/>
  <c r="AD23" i="14"/>
  <c r="AE188" i="11"/>
  <c r="AG187" i="10"/>
  <c r="AG185" i="10" s="1"/>
  <c r="AJ188" i="10"/>
  <c r="AJ187" i="10" s="1"/>
  <c r="AJ185" i="10" s="1"/>
  <c r="M99" i="15"/>
  <c r="N99" i="15"/>
  <c r="AB70" i="13"/>
  <c r="AI70" i="12"/>
  <c r="BO27" i="10"/>
  <c r="AA207" i="10"/>
  <c r="AD224" i="11"/>
  <c r="AA196" i="12"/>
  <c r="N68" i="12"/>
  <c r="J68" i="13"/>
  <c r="M90" i="14"/>
  <c r="N90" i="14"/>
  <c r="AQ13" i="14"/>
  <c r="AG45" i="15"/>
  <c r="M25" i="10"/>
  <c r="AH27" i="11"/>
  <c r="Y27" i="12"/>
  <c r="AI239" i="12"/>
  <c r="AB239" i="13"/>
  <c r="AG177" i="11"/>
  <c r="AG85" i="12"/>
  <c r="AG106" i="11"/>
  <c r="AE105" i="11"/>
  <c r="AE104" i="11" s="1"/>
  <c r="AS16" i="11"/>
  <c r="AB183" i="16"/>
  <c r="AD183" i="16" s="1"/>
  <c r="AG93" i="13"/>
  <c r="AH40" i="12"/>
  <c r="Y40" i="13"/>
  <c r="AH213" i="15"/>
  <c r="AJ213" i="15"/>
  <c r="AE48" i="12"/>
  <c r="AJ48" i="11"/>
  <c r="AE70" i="12"/>
  <c r="AJ70" i="11"/>
  <c r="AG244" i="16"/>
  <c r="G71" i="16"/>
  <c r="M71" i="15"/>
  <c r="AS22" i="13"/>
  <c r="AJ17" i="13"/>
  <c r="AE17" i="14"/>
  <c r="F107" i="15"/>
  <c r="D107" i="16"/>
  <c r="F107" i="16" s="1"/>
  <c r="AA70" i="11"/>
  <c r="N107" i="14"/>
  <c r="M107" i="14"/>
  <c r="AB245" i="14"/>
  <c r="AI245" i="13"/>
  <c r="AD61" i="15"/>
  <c r="AA67" i="15"/>
  <c r="AD22" i="15"/>
  <c r="AD212" i="13"/>
  <c r="AI124" i="16"/>
  <c r="AG20" i="10"/>
  <c r="AG16" i="10" s="1"/>
  <c r="AE22" i="11"/>
  <c r="AJ22" i="10"/>
  <c r="AJ20" i="10" s="1"/>
  <c r="AJ16" i="10" s="1"/>
  <c r="G95" i="13"/>
  <c r="M95" i="12"/>
  <c r="L27" i="12"/>
  <c r="AD134" i="12"/>
  <c r="AE60" i="11"/>
  <c r="AJ60" i="10"/>
  <c r="AJ58" i="10" s="1"/>
  <c r="AJ57" i="10" s="1"/>
  <c r="AG58" i="10"/>
  <c r="AG57" i="10" s="1"/>
  <c r="AE95" i="12"/>
  <c r="AJ95" i="11"/>
  <c r="AE173" i="13"/>
  <c r="AJ173" i="12"/>
  <c r="AE19" i="12"/>
  <c r="AJ19" i="11"/>
  <c r="AD94" i="16"/>
  <c r="P126" i="15"/>
  <c r="P130" i="15" s="1"/>
  <c r="H126" i="15"/>
  <c r="H130" i="15" s="1"/>
  <c r="P25" i="20"/>
  <c r="BE22" i="15"/>
  <c r="AD166" i="13"/>
  <c r="AG37" i="16"/>
  <c r="N99" i="16"/>
  <c r="M99" i="16"/>
  <c r="C21" i="20"/>
  <c r="J52" i="12"/>
  <c r="N52" i="11"/>
  <c r="G41" i="16"/>
  <c r="I41" i="16" s="1"/>
  <c r="AD197" i="12"/>
  <c r="D90" i="16"/>
  <c r="F90" i="16" s="1"/>
  <c r="F90" i="15"/>
  <c r="L118" i="16"/>
  <c r="AG246" i="11"/>
  <c r="AE243" i="11"/>
  <c r="G25" i="11"/>
  <c r="I27" i="11"/>
  <c r="AG245" i="12"/>
  <c r="AE115" i="13"/>
  <c r="AJ115" i="12"/>
  <c r="AG237" i="13"/>
  <c r="L74" i="12"/>
  <c r="AE81" i="12"/>
  <c r="AJ81" i="11"/>
  <c r="D105" i="16"/>
  <c r="F105" i="15"/>
  <c r="I50" i="11"/>
  <c r="G48" i="11"/>
  <c r="M15" i="16"/>
  <c r="AG238" i="12"/>
  <c r="AE73" i="11"/>
  <c r="AJ73" i="10"/>
  <c r="AJ69" i="10" s="1"/>
  <c r="AJ65" i="10" s="1"/>
  <c r="AG69" i="10"/>
  <c r="AG65" i="10" s="1"/>
  <c r="AG54" i="11"/>
  <c r="N106" i="16"/>
  <c r="L63" i="10"/>
  <c r="N65" i="10"/>
  <c r="J65" i="11"/>
  <c r="AD36" i="13"/>
  <c r="AA214" i="16"/>
  <c r="AG236" i="15"/>
  <c r="AG212" i="12"/>
  <c r="AE252" i="16"/>
  <c r="AG252" i="16" s="1"/>
  <c r="AJ252" i="16" s="1"/>
  <c r="AJ252" i="15"/>
  <c r="AG51" i="13"/>
  <c r="AE97" i="12"/>
  <c r="AJ97" i="11"/>
  <c r="M36" i="12"/>
  <c r="G36" i="13"/>
  <c r="AD213" i="12"/>
  <c r="J104" i="11"/>
  <c r="L105" i="11"/>
  <c r="AG186" i="11"/>
  <c r="AZ22" i="12"/>
  <c r="AD67" i="11"/>
  <c r="AI126" i="15"/>
  <c r="AJ126" i="15"/>
  <c r="J37" i="12"/>
  <c r="N37" i="11"/>
  <c r="AE204" i="13"/>
  <c r="AG203" i="12"/>
  <c r="AJ204" i="12"/>
  <c r="AJ203" i="12" s="1"/>
  <c r="G110" i="16"/>
  <c r="I110" i="16" s="1"/>
  <c r="I42" i="12"/>
  <c r="AR10" i="12" s="1"/>
  <c r="AU10" i="12" s="1"/>
  <c r="M44" i="12"/>
  <c r="M42" i="12" s="1"/>
  <c r="G44" i="13"/>
  <c r="AW10" i="12"/>
  <c r="AY10" i="12" s="1"/>
  <c r="AU13" i="13"/>
  <c r="AY13" i="13"/>
  <c r="AV13" i="13"/>
  <c r="AZ13" i="13"/>
  <c r="AD26" i="12"/>
  <c r="M15" i="15"/>
  <c r="G86" i="11"/>
  <c r="I85" i="10"/>
  <c r="M86" i="10"/>
  <c r="M85" i="10" s="1"/>
  <c r="G97" i="12"/>
  <c r="M97" i="11"/>
  <c r="M94" i="11" s="1"/>
  <c r="I94" i="11"/>
  <c r="BD18" i="11"/>
  <c r="I67" i="15"/>
  <c r="X110" i="12" l="1"/>
  <c r="AQ26" i="12" s="1"/>
  <c r="AW25" i="9"/>
  <c r="AY25" i="9" s="1"/>
  <c r="W194" i="14"/>
  <c r="W193" i="14" s="1"/>
  <c r="W114" i="16"/>
  <c r="AE63" i="10"/>
  <c r="M126" i="9"/>
  <c r="M130" i="9" s="1"/>
  <c r="AB170" i="10"/>
  <c r="AD12" i="9"/>
  <c r="Y43" i="10"/>
  <c r="F62" i="16"/>
  <c r="AU28" i="9"/>
  <c r="AD90" i="10"/>
  <c r="V170" i="14"/>
  <c r="E28" i="14"/>
  <c r="AH12" i="9"/>
  <c r="AH10" i="9" s="1"/>
  <c r="AH258" i="9" s="1"/>
  <c r="AJ12" i="9"/>
  <c r="AJ10" i="9" s="1"/>
  <c r="V8" i="12"/>
  <c r="AZ35" i="6"/>
  <c r="AY35" i="6"/>
  <c r="AB63" i="10"/>
  <c r="AB12" i="10" s="1"/>
  <c r="W145" i="14"/>
  <c r="BC22" i="12"/>
  <c r="F28" i="13"/>
  <c r="F21" i="13" s="1"/>
  <c r="F19" i="13" s="1"/>
  <c r="AB161" i="11"/>
  <c r="AD157" i="10"/>
  <c r="AD155" i="10" s="1"/>
  <c r="AI161" i="10"/>
  <c r="AI157" i="10" s="1"/>
  <c r="AI155" i="10" s="1"/>
  <c r="BD11" i="15"/>
  <c r="G26" i="16"/>
  <c r="I26" i="16" s="1"/>
  <c r="V132" i="16"/>
  <c r="X132" i="16" s="1"/>
  <c r="X132" i="15"/>
  <c r="Y14" i="10"/>
  <c r="AX24" i="9"/>
  <c r="AZ24" i="9" s="1"/>
  <c r="AG94" i="11"/>
  <c r="AE91" i="11"/>
  <c r="W12" i="13"/>
  <c r="V174" i="16"/>
  <c r="V172" i="15"/>
  <c r="X174" i="15"/>
  <c r="AH174" i="15" s="1"/>
  <c r="BN31" i="14"/>
  <c r="BH15" i="14" s="1"/>
  <c r="AA124" i="12"/>
  <c r="Y123" i="12"/>
  <c r="Y46" i="11"/>
  <c r="AA44" i="10"/>
  <c r="AH46" i="10"/>
  <c r="AH44" i="10" s="1"/>
  <c r="AD117" i="11"/>
  <c r="AB114" i="11"/>
  <c r="AH132" i="14"/>
  <c r="AJ132" i="14"/>
  <c r="AI132" i="14"/>
  <c r="AX26" i="9"/>
  <c r="AZ26" i="9" s="1"/>
  <c r="AV26" i="9"/>
  <c r="BD17" i="10"/>
  <c r="W8" i="12"/>
  <c r="AG222" i="10"/>
  <c r="AG220" i="10" s="1"/>
  <c r="AS30" i="10" s="1"/>
  <c r="AV30" i="10" s="1"/>
  <c r="AE223" i="11"/>
  <c r="AJ223" i="10"/>
  <c r="AJ222" i="10" s="1"/>
  <c r="AJ220" i="10" s="1"/>
  <c r="D28" i="14"/>
  <c r="F78" i="14"/>
  <c r="AE14" i="10"/>
  <c r="AE12" i="10" s="1"/>
  <c r="BN16" i="13"/>
  <c r="Y90" i="10"/>
  <c r="D45" i="16"/>
  <c r="V12" i="13"/>
  <c r="AG12" i="9"/>
  <c r="AG10" i="9" s="1"/>
  <c r="AG258" i="9" s="1"/>
  <c r="AS31" i="9" s="1"/>
  <c r="BC10" i="13"/>
  <c r="J28" i="10"/>
  <c r="AX25" i="9"/>
  <c r="AZ25" i="9" s="1"/>
  <c r="Y110" i="10"/>
  <c r="AJ99" i="16"/>
  <c r="BN13" i="12"/>
  <c r="BH8" i="12" s="1"/>
  <c r="BH7" i="12" s="1"/>
  <c r="AA63" i="9"/>
  <c r="X194" i="13"/>
  <c r="BN28" i="13" s="1"/>
  <c r="M26" i="15"/>
  <c r="BC11" i="15"/>
  <c r="AE159" i="11"/>
  <c r="AJ159" i="10"/>
  <c r="AJ157" i="10" s="1"/>
  <c r="AJ155" i="10" s="1"/>
  <c r="AG157" i="10"/>
  <c r="AG155" i="10" s="1"/>
  <c r="AJ21" i="14"/>
  <c r="AH21" i="14"/>
  <c r="L47" i="11"/>
  <c r="J45" i="11"/>
  <c r="AH118" i="14"/>
  <c r="AI118" i="14"/>
  <c r="AJ118" i="14"/>
  <c r="AB85" i="11"/>
  <c r="AD83" i="10"/>
  <c r="BP14" i="10" s="1"/>
  <c r="BJ9" i="10" s="1"/>
  <c r="AI85" i="10"/>
  <c r="AI83" i="10" s="1"/>
  <c r="V58" i="15"/>
  <c r="V57" i="15" s="1"/>
  <c r="X60" i="15"/>
  <c r="V60" i="16"/>
  <c r="M47" i="16"/>
  <c r="AA222" i="10"/>
  <c r="AA220" i="10" s="1"/>
  <c r="BO30" i="10" s="1"/>
  <c r="BI14" i="10" s="1"/>
  <c r="AH223" i="10"/>
  <c r="AH222" i="10" s="1"/>
  <c r="AH220" i="10" s="1"/>
  <c r="Y223" i="11"/>
  <c r="AH116" i="14"/>
  <c r="AJ116" i="14"/>
  <c r="AH99" i="15"/>
  <c r="AJ99" i="15"/>
  <c r="AI73" i="15"/>
  <c r="AH73" i="15"/>
  <c r="AD106" i="11"/>
  <c r="AB105" i="11"/>
  <c r="AB104" i="11" s="1"/>
  <c r="J83" i="11"/>
  <c r="N83" i="10"/>
  <c r="N81" i="10" s="1"/>
  <c r="L81" i="10"/>
  <c r="N41" i="14"/>
  <c r="M41" i="14"/>
  <c r="AA59" i="11"/>
  <c r="Y58" i="11"/>
  <c r="Y57" i="11" s="1"/>
  <c r="L26" i="11"/>
  <c r="J25" i="11"/>
  <c r="D21" i="14"/>
  <c r="D19" i="14" s="1"/>
  <c r="D17" i="14" s="1"/>
  <c r="V110" i="13"/>
  <c r="V14" i="14"/>
  <c r="V220" i="14"/>
  <c r="D69" i="16"/>
  <c r="Y107" i="11"/>
  <c r="AH107" i="10"/>
  <c r="AH105" i="10" s="1"/>
  <c r="AH104" i="10" s="1"/>
  <c r="AA105" i="10"/>
  <c r="AA104" i="10" s="1"/>
  <c r="BC11" i="16"/>
  <c r="C11" i="20" s="1"/>
  <c r="V21" i="16"/>
  <c r="X21" i="15"/>
  <c r="V20" i="15"/>
  <c r="V16" i="15" s="1"/>
  <c r="AA91" i="10"/>
  <c r="Y93" i="11"/>
  <c r="AH93" i="10"/>
  <c r="AH91" i="10" s="1"/>
  <c r="AD43" i="10"/>
  <c r="AD14" i="10" s="1"/>
  <c r="M59" i="15"/>
  <c r="N59" i="15"/>
  <c r="AH188" i="11"/>
  <c r="AH187" i="11" s="1"/>
  <c r="AH185" i="11" s="1"/>
  <c r="Y188" i="12"/>
  <c r="AA187" i="11"/>
  <c r="AA185" i="11" s="1"/>
  <c r="AH85" i="14"/>
  <c r="J71" i="12"/>
  <c r="N71" i="11"/>
  <c r="N69" i="11" s="1"/>
  <c r="L69" i="11"/>
  <c r="V116" i="16"/>
  <c r="X116" i="16" s="1"/>
  <c r="AH116" i="16" s="1"/>
  <c r="X116" i="15"/>
  <c r="BC12" i="15"/>
  <c r="V229" i="16"/>
  <c r="V227" i="15"/>
  <c r="X229" i="15"/>
  <c r="Y61" i="16"/>
  <c r="AA61" i="16" s="1"/>
  <c r="BO31" i="16" s="1"/>
  <c r="BI15" i="16" s="1"/>
  <c r="BO31" i="15"/>
  <c r="BI15" i="15" s="1"/>
  <c r="D30" i="16"/>
  <c r="F30" i="15"/>
  <c r="D29" i="15"/>
  <c r="AH73" i="16"/>
  <c r="AI73" i="16"/>
  <c r="D41" i="16"/>
  <c r="F41" i="16" s="1"/>
  <c r="N41" i="16" s="1"/>
  <c r="F41" i="15"/>
  <c r="Y52" i="11"/>
  <c r="AH52" i="10"/>
  <c r="AH49" i="10" s="1"/>
  <c r="AA49" i="10"/>
  <c r="Y167" i="11"/>
  <c r="BO19" i="10"/>
  <c r="AA157" i="10"/>
  <c r="AA155" i="10" s="1"/>
  <c r="AH167" i="10"/>
  <c r="AH157" i="10" s="1"/>
  <c r="AH155" i="10" s="1"/>
  <c r="AH145" i="10" s="1"/>
  <c r="F68" i="16"/>
  <c r="D66" i="16"/>
  <c r="AJ87" i="15"/>
  <c r="AI87" i="15"/>
  <c r="AH87" i="15"/>
  <c r="D36" i="16"/>
  <c r="F36" i="15"/>
  <c r="D35" i="15"/>
  <c r="AD51" i="11"/>
  <c r="AB49" i="11"/>
  <c r="M58" i="10"/>
  <c r="M57" i="10" s="1"/>
  <c r="I57" i="10"/>
  <c r="G58" i="11"/>
  <c r="AH71" i="14"/>
  <c r="AJ71" i="14"/>
  <c r="X58" i="14"/>
  <c r="AH60" i="14"/>
  <c r="AI60" i="14"/>
  <c r="J36" i="11"/>
  <c r="N36" i="10"/>
  <c r="N35" i="10" s="1"/>
  <c r="L35" i="10"/>
  <c r="V85" i="16"/>
  <c r="X85" i="16" s="1"/>
  <c r="X85" i="15"/>
  <c r="AE145" i="10"/>
  <c r="AE110" i="10" s="1"/>
  <c r="AD92" i="11"/>
  <c r="AB91" i="11"/>
  <c r="F23" i="16"/>
  <c r="D22" i="16"/>
  <c r="BO10" i="15"/>
  <c r="AH17" i="15"/>
  <c r="Y17" i="16"/>
  <c r="AA17" i="16" s="1"/>
  <c r="AI43" i="10"/>
  <c r="AI14" i="10" s="1"/>
  <c r="V97" i="16"/>
  <c r="X97" i="16" s="1"/>
  <c r="AH97" i="16" s="1"/>
  <c r="X97" i="15"/>
  <c r="AH97" i="15" s="1"/>
  <c r="AH87" i="16"/>
  <c r="AI87" i="16"/>
  <c r="AJ87" i="16"/>
  <c r="AB116" i="13"/>
  <c r="AI116" i="12"/>
  <c r="J23" i="11"/>
  <c r="N23" i="10"/>
  <c r="N22" i="10" s="1"/>
  <c r="L22" i="10"/>
  <c r="AS7" i="10" s="1"/>
  <c r="AV7" i="10" s="1"/>
  <c r="AX7" i="10"/>
  <c r="AZ7" i="10" s="1"/>
  <c r="X118" i="15"/>
  <c r="V118" i="16"/>
  <c r="X118" i="16" s="1"/>
  <c r="V71" i="16"/>
  <c r="X71" i="16" s="1"/>
  <c r="X71" i="15"/>
  <c r="X69" i="15" s="1"/>
  <c r="X65" i="15" s="1"/>
  <c r="D57" i="16"/>
  <c r="F59" i="16"/>
  <c r="M47" i="15"/>
  <c r="D12" i="16"/>
  <c r="F12" i="15"/>
  <c r="N12" i="15" s="1"/>
  <c r="D10" i="15"/>
  <c r="AE150" i="11"/>
  <c r="AG149" i="10"/>
  <c r="AG147" i="10" s="1"/>
  <c r="AJ150" i="10"/>
  <c r="AJ149" i="10" s="1"/>
  <c r="AJ147" i="10" s="1"/>
  <c r="Y177" i="11"/>
  <c r="BO23" i="10"/>
  <c r="AH177" i="10"/>
  <c r="AH176" i="10" s="1"/>
  <c r="AA176" i="10"/>
  <c r="V106" i="16"/>
  <c r="V105" i="15"/>
  <c r="V104" i="15" s="1"/>
  <c r="X106" i="15"/>
  <c r="Y98" i="11"/>
  <c r="AA96" i="10"/>
  <c r="AH98" i="10"/>
  <c r="AH96" i="10" s="1"/>
  <c r="AJ229" i="14"/>
  <c r="X227" i="14"/>
  <c r="AB44" i="11"/>
  <c r="AD46" i="11"/>
  <c r="D80" i="16"/>
  <c r="F80" i="15"/>
  <c r="M80" i="15" s="1"/>
  <c r="D78" i="15"/>
  <c r="F33" i="16"/>
  <c r="D32" i="16"/>
  <c r="I60" i="10"/>
  <c r="M61" i="10"/>
  <c r="M60" i="10" s="1"/>
  <c r="G61" i="11"/>
  <c r="D74" i="16"/>
  <c r="D72" i="15"/>
  <c r="F74" i="15"/>
  <c r="F72" i="15" s="1"/>
  <c r="V112" i="14"/>
  <c r="X145" i="13"/>
  <c r="V145" i="14"/>
  <c r="N31" i="14"/>
  <c r="F29" i="14"/>
  <c r="AH121" i="15"/>
  <c r="AJ121" i="15"/>
  <c r="AI121" i="15"/>
  <c r="AI95" i="14"/>
  <c r="AH95" i="14"/>
  <c r="F49" i="15"/>
  <c r="D49" i="16"/>
  <c r="D48" i="15"/>
  <c r="AI159" i="14"/>
  <c r="AH61" i="14"/>
  <c r="AJ61" i="14"/>
  <c r="AI61" i="14"/>
  <c r="AE38" i="11"/>
  <c r="AG35" i="10"/>
  <c r="AJ38" i="10"/>
  <c r="AJ35" i="10" s="1"/>
  <c r="AH131" i="14"/>
  <c r="AI131" i="14"/>
  <c r="AJ131" i="14"/>
  <c r="W225" i="16"/>
  <c r="X225" i="15"/>
  <c r="W222" i="15"/>
  <c r="W220" i="15" s="1"/>
  <c r="AI202" i="16"/>
  <c r="AH202" i="16"/>
  <c r="AJ202" i="16"/>
  <c r="X143" i="15"/>
  <c r="V143" i="16"/>
  <c r="V141" i="15"/>
  <c r="V120" i="16"/>
  <c r="X120" i="16" s="1"/>
  <c r="X120" i="15"/>
  <c r="E76" i="16"/>
  <c r="E75" i="16" s="1"/>
  <c r="E75" i="15"/>
  <c r="F45" i="14"/>
  <c r="BC15" i="14"/>
  <c r="AI196" i="14"/>
  <c r="AJ196" i="14"/>
  <c r="X195" i="14"/>
  <c r="X194" i="14" s="1"/>
  <c r="AE52" i="11"/>
  <c r="AJ52" i="10"/>
  <c r="AJ49" i="10" s="1"/>
  <c r="AG49" i="10"/>
  <c r="AG43" i="10" s="1"/>
  <c r="AH50" i="14"/>
  <c r="AJ50" i="14"/>
  <c r="AH117" i="14"/>
  <c r="E67" i="16"/>
  <c r="F67" i="15"/>
  <c r="F66" i="15" s="1"/>
  <c r="E66" i="15"/>
  <c r="X38" i="15"/>
  <c r="W38" i="16"/>
  <c r="AI133" i="14"/>
  <c r="AJ133" i="14"/>
  <c r="D75" i="16"/>
  <c r="E64" i="16"/>
  <c r="F64" i="15"/>
  <c r="E63" i="15"/>
  <c r="AI198" i="14"/>
  <c r="AJ198" i="14"/>
  <c r="AH198" i="14"/>
  <c r="AH135" i="16"/>
  <c r="AI135" i="16"/>
  <c r="AJ135" i="16"/>
  <c r="I56" i="11"/>
  <c r="G54" i="11"/>
  <c r="AJ36" i="14"/>
  <c r="AH36" i="14"/>
  <c r="AJ107" i="14"/>
  <c r="X105" i="14"/>
  <c r="X104" i="14" s="1"/>
  <c r="X188" i="16"/>
  <c r="AI188" i="16" s="1"/>
  <c r="V187" i="16"/>
  <c r="V185" i="16" s="1"/>
  <c r="X177" i="15"/>
  <c r="V177" i="16"/>
  <c r="V176" i="15"/>
  <c r="N111" i="16"/>
  <c r="X193" i="12"/>
  <c r="AQ28" i="12" s="1"/>
  <c r="V234" i="14"/>
  <c r="V232" i="14" s="1"/>
  <c r="X90" i="13"/>
  <c r="E31" i="16"/>
  <c r="F31" i="15"/>
  <c r="E29" i="15"/>
  <c r="AJ121" i="16"/>
  <c r="AH121" i="16"/>
  <c r="AI121" i="16"/>
  <c r="M13" i="14"/>
  <c r="N13" i="14"/>
  <c r="F10" i="14"/>
  <c r="AI251" i="14"/>
  <c r="AH251" i="14"/>
  <c r="AJ251" i="14"/>
  <c r="V95" i="16"/>
  <c r="X95" i="16" s="1"/>
  <c r="X95" i="15"/>
  <c r="V159" i="16"/>
  <c r="X159" i="15"/>
  <c r="V157" i="15"/>
  <c r="V155" i="15" s="1"/>
  <c r="E21" i="14"/>
  <c r="E19" i="14" s="1"/>
  <c r="E17" i="14" s="1"/>
  <c r="E8" i="14" s="1"/>
  <c r="E126" i="14" s="1"/>
  <c r="E130" i="14" s="1"/>
  <c r="V61" i="16"/>
  <c r="X61" i="16" s="1"/>
  <c r="X61" i="15"/>
  <c r="E79" i="16"/>
  <c r="E78" i="15"/>
  <c r="F79" i="15"/>
  <c r="N79" i="15" s="1"/>
  <c r="W131" i="16"/>
  <c r="X131" i="16" s="1"/>
  <c r="X131" i="15"/>
  <c r="N34" i="15"/>
  <c r="F32" i="15"/>
  <c r="M34" i="15"/>
  <c r="X57" i="14"/>
  <c r="AJ143" i="14"/>
  <c r="AH143" i="14"/>
  <c r="X141" i="14"/>
  <c r="BN20" i="14" s="1"/>
  <c r="AH100" i="14"/>
  <c r="AI100" i="14"/>
  <c r="AJ100" i="14"/>
  <c r="X96" i="14"/>
  <c r="AH39" i="14"/>
  <c r="AI39" i="14"/>
  <c r="AJ39" i="14"/>
  <c r="AH224" i="14"/>
  <c r="AJ224" i="14"/>
  <c r="X222" i="14"/>
  <c r="E37" i="16"/>
  <c r="E35" i="15"/>
  <c r="F37" i="15"/>
  <c r="E82" i="16"/>
  <c r="E81" i="15"/>
  <c r="F82" i="15"/>
  <c r="W24" i="16"/>
  <c r="W20" i="15"/>
  <c r="W16" i="15" s="1"/>
  <c r="X24" i="15"/>
  <c r="AH137" i="14"/>
  <c r="AI137" i="14"/>
  <c r="AJ137" i="14"/>
  <c r="V196" i="16"/>
  <c r="X196" i="15"/>
  <c r="V195" i="15"/>
  <c r="V194" i="15" s="1"/>
  <c r="V193" i="15" s="1"/>
  <c r="X50" i="15"/>
  <c r="W50" i="16"/>
  <c r="X50" i="16" s="1"/>
  <c r="V117" i="16"/>
  <c r="X117" i="15"/>
  <c r="AH117" i="15" s="1"/>
  <c r="V114" i="15"/>
  <c r="AH88" i="14"/>
  <c r="AJ88" i="14"/>
  <c r="AI173" i="14"/>
  <c r="X172" i="14"/>
  <c r="E70" i="16"/>
  <c r="E69" i="15"/>
  <c r="F70" i="15"/>
  <c r="F69" i="15" s="1"/>
  <c r="X35" i="14"/>
  <c r="AI38" i="14"/>
  <c r="BC7" i="13"/>
  <c r="AQ16" i="13"/>
  <c r="V133" i="16"/>
  <c r="X133" i="16" s="1"/>
  <c r="X133" i="15"/>
  <c r="W36" i="16"/>
  <c r="X36" i="16" s="1"/>
  <c r="X36" i="15"/>
  <c r="W35" i="15"/>
  <c r="W107" i="16"/>
  <c r="X107" i="15"/>
  <c r="W105" i="15"/>
  <c r="W104" i="15" s="1"/>
  <c r="AJ161" i="14"/>
  <c r="AH161" i="14"/>
  <c r="V90" i="14"/>
  <c r="V63" i="14" s="1"/>
  <c r="BC21" i="14"/>
  <c r="W170" i="14"/>
  <c r="BC17" i="14"/>
  <c r="AH239" i="14"/>
  <c r="AJ239" i="14"/>
  <c r="V251" i="16"/>
  <c r="X251" i="15"/>
  <c r="V243" i="15"/>
  <c r="AJ28" i="14"/>
  <c r="AI28" i="14"/>
  <c r="AH28" i="14"/>
  <c r="AB199" i="11"/>
  <c r="AI199" i="10"/>
  <c r="AI195" i="10" s="1"/>
  <c r="AI194" i="10" s="1"/>
  <c r="AI193" i="10" s="1"/>
  <c r="AD195" i="10"/>
  <c r="AD194" i="10" s="1"/>
  <c r="E22" i="15"/>
  <c r="E24" i="16"/>
  <c r="F24" i="15"/>
  <c r="E128" i="15"/>
  <c r="M46" i="10"/>
  <c r="M45" i="10" s="1"/>
  <c r="BD15" i="10"/>
  <c r="I45" i="10"/>
  <c r="G46" i="11"/>
  <c r="I37" i="11"/>
  <c r="G35" i="11"/>
  <c r="AI139" i="14"/>
  <c r="AJ139" i="14"/>
  <c r="AH139" i="14"/>
  <c r="AI186" i="15"/>
  <c r="AB186" i="16"/>
  <c r="AD186" i="16" s="1"/>
  <c r="AI186" i="16" s="1"/>
  <c r="V100" i="16"/>
  <c r="X100" i="15"/>
  <c r="V96" i="15"/>
  <c r="V39" i="16"/>
  <c r="X39" i="15"/>
  <c r="V35" i="15"/>
  <c r="V224" i="16"/>
  <c r="X224" i="15"/>
  <c r="V222" i="15"/>
  <c r="AI19" i="15"/>
  <c r="AH19" i="15"/>
  <c r="V137" i="16"/>
  <c r="X137" i="16" s="1"/>
  <c r="X137" i="15"/>
  <c r="AH183" i="14"/>
  <c r="AJ183" i="14"/>
  <c r="AI183" i="14"/>
  <c r="V152" i="16"/>
  <c r="V149" i="15"/>
  <c r="V147" i="15" s="1"/>
  <c r="X152" i="15"/>
  <c r="AJ152" i="15" s="1"/>
  <c r="W88" i="16"/>
  <c r="X88" i="16" s="1"/>
  <c r="X88" i="15"/>
  <c r="W173" i="16"/>
  <c r="X173" i="15"/>
  <c r="W172" i="15"/>
  <c r="F27" i="15"/>
  <c r="F25" i="15" s="1"/>
  <c r="AQ8" i="15" s="1"/>
  <c r="D25" i="15"/>
  <c r="D27" i="16"/>
  <c r="F52" i="15"/>
  <c r="F51" i="15" s="1"/>
  <c r="E51" i="15"/>
  <c r="E52" i="16"/>
  <c r="AE98" i="11"/>
  <c r="AJ98" i="10"/>
  <c r="AJ96" i="10" s="1"/>
  <c r="AJ90" i="10" s="1"/>
  <c r="AG96" i="10"/>
  <c r="AG90" i="10" s="1"/>
  <c r="AH32" i="14"/>
  <c r="AI32" i="14"/>
  <c r="AJ32" i="14"/>
  <c r="W198" i="16"/>
  <c r="W195" i="15"/>
  <c r="X198" i="15"/>
  <c r="AH150" i="14"/>
  <c r="AI150" i="14"/>
  <c r="X149" i="14"/>
  <c r="X147" i="14" s="1"/>
  <c r="E58" i="16"/>
  <c r="F58" i="15"/>
  <c r="F57" i="15" s="1"/>
  <c r="E57" i="15"/>
  <c r="W161" i="16"/>
  <c r="X161" i="16" s="1"/>
  <c r="X161" i="15"/>
  <c r="AI177" i="14"/>
  <c r="BN23" i="14"/>
  <c r="AE41" i="16"/>
  <c r="AG41" i="16" s="1"/>
  <c r="AJ41" i="16" s="1"/>
  <c r="AJ41" i="15"/>
  <c r="W63" i="14"/>
  <c r="AJ43" i="10"/>
  <c r="W110" i="14"/>
  <c r="W239" i="16"/>
  <c r="X239" i="16" s="1"/>
  <c r="X239" i="15"/>
  <c r="E13" i="16"/>
  <c r="F13" i="15"/>
  <c r="E10" i="15"/>
  <c r="W28" i="16"/>
  <c r="X28" i="16" s="1"/>
  <c r="X28" i="15"/>
  <c r="M49" i="14"/>
  <c r="F48" i="14"/>
  <c r="F22" i="14"/>
  <c r="AQ7" i="14" s="1"/>
  <c r="F128" i="14"/>
  <c r="M24" i="14"/>
  <c r="W139" i="16"/>
  <c r="X139" i="16" s="1"/>
  <c r="X139" i="15"/>
  <c r="AH225" i="14"/>
  <c r="AJ225" i="14"/>
  <c r="E32" i="16"/>
  <c r="F34" i="16"/>
  <c r="AH202" i="15"/>
  <c r="AI202" i="15"/>
  <c r="AJ202" i="15"/>
  <c r="G31" i="11"/>
  <c r="I29" i="10"/>
  <c r="I28" i="10" s="1"/>
  <c r="AR9" i="10" s="1"/>
  <c r="AU9" i="10" s="1"/>
  <c r="M31" i="10"/>
  <c r="M29" i="10" s="1"/>
  <c r="M28" i="10" s="1"/>
  <c r="AH120" i="14"/>
  <c r="AJ120" i="14"/>
  <c r="AI120" i="14"/>
  <c r="V84" i="16"/>
  <c r="X84" i="15"/>
  <c r="AI84" i="15" s="1"/>
  <c r="V83" i="15"/>
  <c r="I74" i="11"/>
  <c r="G72" i="11"/>
  <c r="F46" i="15"/>
  <c r="E46" i="16"/>
  <c r="E45" i="15"/>
  <c r="F35" i="14"/>
  <c r="AI19" i="16"/>
  <c r="AH19" i="16"/>
  <c r="M82" i="14"/>
  <c r="F81" i="14"/>
  <c r="X20" i="14"/>
  <c r="X16" i="14" s="1"/>
  <c r="AQ23" i="14" s="1"/>
  <c r="AI24" i="14"/>
  <c r="AH24" i="14"/>
  <c r="AJ24" i="14"/>
  <c r="W183" i="16"/>
  <c r="X183" i="16" s="1"/>
  <c r="X183" i="15"/>
  <c r="AB174" i="11"/>
  <c r="AI174" i="10"/>
  <c r="AI172" i="10" s="1"/>
  <c r="AD172" i="10"/>
  <c r="F66" i="14"/>
  <c r="M67" i="14"/>
  <c r="Y180" i="13"/>
  <c r="AH180" i="12"/>
  <c r="X114" i="14"/>
  <c r="Y38" i="11"/>
  <c r="AA35" i="10"/>
  <c r="AH38" i="10"/>
  <c r="AH35" i="10" s="1"/>
  <c r="F76" i="15"/>
  <c r="F75" i="15" s="1"/>
  <c r="F63" i="14"/>
  <c r="BC14" i="14"/>
  <c r="N64" i="14"/>
  <c r="I70" i="11"/>
  <c r="G69" i="11"/>
  <c r="W32" i="16"/>
  <c r="X32" i="16" s="1"/>
  <c r="X32" i="15"/>
  <c r="AH135" i="15"/>
  <c r="AJ135" i="15"/>
  <c r="AI135" i="15"/>
  <c r="V51" i="16"/>
  <c r="X51" i="15"/>
  <c r="V49" i="15"/>
  <c r="V43" i="15" s="1"/>
  <c r="W150" i="16"/>
  <c r="X150" i="15"/>
  <c r="W149" i="15"/>
  <c r="W147" i="15" s="1"/>
  <c r="D55" i="16"/>
  <c r="D54" i="15"/>
  <c r="F55" i="15"/>
  <c r="F54" i="15" s="1"/>
  <c r="G21" i="10"/>
  <c r="G19" i="10" s="1"/>
  <c r="G17" i="10" s="1"/>
  <c r="G8" i="10" s="1"/>
  <c r="G126" i="10" s="1"/>
  <c r="G130" i="10" s="1"/>
  <c r="AG117" i="11"/>
  <c r="AE114" i="11"/>
  <c r="L56" i="11"/>
  <c r="J54" i="11"/>
  <c r="Y228" i="12"/>
  <c r="AH228" i="11"/>
  <c r="AH227" i="11" s="1"/>
  <c r="AA227" i="11"/>
  <c r="AD37" i="11"/>
  <c r="AB35" i="11"/>
  <c r="AI10" i="9"/>
  <c r="AI258" i="9" s="1"/>
  <c r="X258" i="11"/>
  <c r="M121" i="14"/>
  <c r="N121" i="14"/>
  <c r="I115" i="12"/>
  <c r="G113" i="12"/>
  <c r="N117" i="15"/>
  <c r="M117" i="15"/>
  <c r="N120" i="15"/>
  <c r="M120" i="15"/>
  <c r="AW15" i="11"/>
  <c r="AY15" i="11" s="1"/>
  <c r="AU15" i="11"/>
  <c r="G122" i="16"/>
  <c r="I122" i="16" s="1"/>
  <c r="M122" i="15"/>
  <c r="M120" i="16"/>
  <c r="N120" i="16"/>
  <c r="F113" i="14"/>
  <c r="AQ15" i="14" s="1"/>
  <c r="BC20" i="14"/>
  <c r="N115" i="14"/>
  <c r="D121" i="16"/>
  <c r="F121" i="16" s="1"/>
  <c r="F121" i="15"/>
  <c r="E115" i="16"/>
  <c r="E113" i="15"/>
  <c r="F115" i="15"/>
  <c r="F117" i="16"/>
  <c r="AX15" i="10"/>
  <c r="AZ15" i="10" s="1"/>
  <c r="AV15" i="10"/>
  <c r="L119" i="11"/>
  <c r="J113" i="11"/>
  <c r="J21" i="10"/>
  <c r="J19" i="10" s="1"/>
  <c r="J17" i="10" s="1"/>
  <c r="J8" i="10" s="1"/>
  <c r="J126" i="10" s="1"/>
  <c r="J130" i="10" s="1"/>
  <c r="AQ25" i="12"/>
  <c r="N8" i="9"/>
  <c r="N126" i="9" s="1"/>
  <c r="N130" i="9" s="1"/>
  <c r="AF258" i="9"/>
  <c r="BQ33" i="9" s="1"/>
  <c r="AE258" i="9"/>
  <c r="M110" i="16"/>
  <c r="AD8" i="8"/>
  <c r="Y1" i="8" s="1"/>
  <c r="AB110" i="10"/>
  <c r="BP15" i="9"/>
  <c r="BJ10" i="9" s="1"/>
  <c r="AA12" i="9"/>
  <c r="AA10" i="9" s="1"/>
  <c r="BN8" i="11"/>
  <c r="BN7" i="11" s="1"/>
  <c r="BN32" i="11" s="1"/>
  <c r="BH8" i="11"/>
  <c r="BH7" i="11" s="1"/>
  <c r="BH16" i="11" s="1"/>
  <c r="BH17" i="11" s="1"/>
  <c r="BC19" i="14"/>
  <c r="Y94" i="15"/>
  <c r="I30" i="13"/>
  <c r="AE151" i="13"/>
  <c r="AJ151" i="12"/>
  <c r="X14" i="12"/>
  <c r="X12" i="12" s="1"/>
  <c r="G73" i="13"/>
  <c r="M73" i="12"/>
  <c r="E85" i="16"/>
  <c r="AW14" i="10"/>
  <c r="AY14" i="10" s="1"/>
  <c r="AR14" i="9"/>
  <c r="W10" i="13"/>
  <c r="W258" i="13" s="1"/>
  <c r="X170" i="13"/>
  <c r="BN24" i="13" s="1"/>
  <c r="BN22" i="13" s="1"/>
  <c r="BH11" i="13" s="1"/>
  <c r="AD110" i="9"/>
  <c r="AR26" i="9" s="1"/>
  <c r="AW26" i="9" s="1"/>
  <c r="AY26" i="9" s="1"/>
  <c r="BN17" i="13"/>
  <c r="BN15" i="13" s="1"/>
  <c r="BH10" i="13" s="1"/>
  <c r="X112" i="13"/>
  <c r="AA106" i="12"/>
  <c r="W69" i="16"/>
  <c r="W65" i="16" s="1"/>
  <c r="X70" i="16"/>
  <c r="AB228" i="12"/>
  <c r="AI228" i="11"/>
  <c r="AI227" i="11" s="1"/>
  <c r="AD227" i="11"/>
  <c r="F60" i="16"/>
  <c r="M62" i="16"/>
  <c r="X33" i="16"/>
  <c r="AI47" i="14"/>
  <c r="AH47" i="14"/>
  <c r="AJ47" i="14"/>
  <c r="AH165" i="16"/>
  <c r="AI165" i="16"/>
  <c r="Y197" i="11"/>
  <c r="AH197" i="10"/>
  <c r="AH195" i="10" s="1"/>
  <c r="AH194" i="10" s="1"/>
  <c r="AH193" i="10" s="1"/>
  <c r="AA195" i="10"/>
  <c r="AA194" i="10" s="1"/>
  <c r="W54" i="16"/>
  <c r="X54" i="15"/>
  <c r="W49" i="15"/>
  <c r="E94" i="15"/>
  <c r="E95" i="16"/>
  <c r="E94" i="16" s="1"/>
  <c r="J49" i="11"/>
  <c r="L48" i="10"/>
  <c r="N49" i="10"/>
  <c r="N48" i="10" s="1"/>
  <c r="W179" i="16"/>
  <c r="X179" i="15"/>
  <c r="W176" i="15"/>
  <c r="D55" i="20"/>
  <c r="AD97" i="12"/>
  <c r="AB66" i="11"/>
  <c r="AR22" i="10"/>
  <c r="BP10" i="10"/>
  <c r="AI66" i="10"/>
  <c r="AI65" i="10" s="1"/>
  <c r="AI63" i="10" s="1"/>
  <c r="AD65" i="10"/>
  <c r="L43" i="12"/>
  <c r="I126" i="8"/>
  <c r="I130" i="8" s="1"/>
  <c r="K1" i="8"/>
  <c r="J5" i="8"/>
  <c r="X207" i="13"/>
  <c r="AQ29" i="13" s="1"/>
  <c r="BN27" i="13"/>
  <c r="I33" i="11"/>
  <c r="G32" i="11"/>
  <c r="N38" i="14"/>
  <c r="BC13" i="14"/>
  <c r="M38" i="14"/>
  <c r="N97" i="14"/>
  <c r="F94" i="14"/>
  <c r="BC18" i="14"/>
  <c r="AE197" i="11"/>
  <c r="AG195" i="10"/>
  <c r="AG194" i="10" s="1"/>
  <c r="AG193" i="10" s="1"/>
  <c r="AS28" i="10" s="1"/>
  <c r="AJ197" i="10"/>
  <c r="AJ195" i="10" s="1"/>
  <c r="AJ194" i="10" s="1"/>
  <c r="AJ193" i="10" s="1"/>
  <c r="I76" i="11"/>
  <c r="G75" i="11"/>
  <c r="X190" i="15"/>
  <c r="W190" i="16"/>
  <c r="W187" i="15"/>
  <c r="W185" i="15" s="1"/>
  <c r="AV29" i="12"/>
  <c r="AU29" i="12"/>
  <c r="AH256" i="15"/>
  <c r="AI256" i="15"/>
  <c r="AJ256" i="15"/>
  <c r="J57" i="11"/>
  <c r="L58" i="11"/>
  <c r="D101" i="16"/>
  <c r="F101" i="16" s="1"/>
  <c r="F101" i="15"/>
  <c r="AD88" i="14"/>
  <c r="I12" i="12"/>
  <c r="G10" i="12"/>
  <c r="N33" i="10"/>
  <c r="N32" i="10" s="1"/>
  <c r="J33" i="11"/>
  <c r="L32" i="10"/>
  <c r="AX9" i="10"/>
  <c r="AH249" i="14"/>
  <c r="AI249" i="14"/>
  <c r="AJ249" i="14"/>
  <c r="W86" i="16"/>
  <c r="X86" i="15"/>
  <c r="W83" i="15"/>
  <c r="AH119" i="16"/>
  <c r="AI119" i="16"/>
  <c r="AJ119" i="16"/>
  <c r="AQ31" i="10"/>
  <c r="BN33" i="10"/>
  <c r="AD204" i="11"/>
  <c r="AB203" i="11"/>
  <c r="AI156" i="14"/>
  <c r="AH156" i="14"/>
  <c r="BN18" i="14"/>
  <c r="AJ156" i="14"/>
  <c r="L44" i="11"/>
  <c r="J42" i="11"/>
  <c r="L67" i="11"/>
  <c r="J66" i="11"/>
  <c r="N108" i="14"/>
  <c r="M108" i="14"/>
  <c r="D86" i="16"/>
  <c r="F86" i="16" s="1"/>
  <c r="F86" i="15"/>
  <c r="D85" i="15"/>
  <c r="AI167" i="15"/>
  <c r="AJ167" i="15"/>
  <c r="X74" i="16"/>
  <c r="W234" i="14"/>
  <c r="W232" i="14" s="1"/>
  <c r="BC16" i="15"/>
  <c r="M43" i="15"/>
  <c r="F42" i="15"/>
  <c r="AQ10" i="15" s="1"/>
  <c r="W212" i="16"/>
  <c r="W211" i="15"/>
  <c r="W210" i="15" s="1"/>
  <c r="W209" i="15" s="1"/>
  <c r="W207" i="15" s="1"/>
  <c r="X212" i="15"/>
  <c r="BN14" i="13"/>
  <c r="AQ24" i="13"/>
  <c r="J70" i="13"/>
  <c r="N70" i="12"/>
  <c r="Y244" i="11"/>
  <c r="AA243" i="10"/>
  <c r="AH244" i="10"/>
  <c r="AH243" i="10" s="1"/>
  <c r="AA204" i="11"/>
  <c r="Y203" i="11"/>
  <c r="AH94" i="14"/>
  <c r="AI94" i="14"/>
  <c r="AH250" i="16"/>
  <c r="AI250" i="16"/>
  <c r="AE189" i="16"/>
  <c r="AG189" i="16" s="1"/>
  <c r="AJ189" i="16" s="1"/>
  <c r="AJ189" i="15"/>
  <c r="AI33" i="15"/>
  <c r="AH33" i="15"/>
  <c r="AJ33" i="15"/>
  <c r="W92" i="16"/>
  <c r="X92" i="15"/>
  <c r="AJ92" i="15" s="1"/>
  <c r="W91" i="15"/>
  <c r="W90" i="15" s="1"/>
  <c r="AI165" i="15"/>
  <c r="AH165" i="15"/>
  <c r="AJ165" i="15"/>
  <c r="AD99" i="11"/>
  <c r="AB96" i="11"/>
  <c r="AH8" i="9"/>
  <c r="AH54" i="14"/>
  <c r="AI54" i="14"/>
  <c r="X49" i="14"/>
  <c r="Y142" i="11"/>
  <c r="AA141" i="10"/>
  <c r="BO20" i="10" s="1"/>
  <c r="AH142" i="10"/>
  <c r="AH141" i="10" s="1"/>
  <c r="AZ31" i="8"/>
  <c r="AZ32" i="8" s="1"/>
  <c r="AX32" i="8"/>
  <c r="AB225" i="11"/>
  <c r="AI225" i="10"/>
  <c r="AI222" i="10" s="1"/>
  <c r="AI220" i="10" s="1"/>
  <c r="BP31" i="10"/>
  <c r="BJ15" i="10" s="1"/>
  <c r="AD222" i="10"/>
  <c r="AD220" i="10" s="1"/>
  <c r="BP30" i="10" s="1"/>
  <c r="BJ14" i="10" s="1"/>
  <c r="AJ25" i="15"/>
  <c r="AE25" i="16"/>
  <c r="AG25" i="16" s="1"/>
  <c r="AJ25" i="16" s="1"/>
  <c r="AI179" i="14"/>
  <c r="AH179" i="14"/>
  <c r="AJ179" i="14"/>
  <c r="X176" i="14"/>
  <c r="W44" i="15"/>
  <c r="W45" i="16"/>
  <c r="X45" i="15"/>
  <c r="AB125" i="11"/>
  <c r="AI125" i="10"/>
  <c r="AI123" i="10" s="1"/>
  <c r="AI112" i="10" s="1"/>
  <c r="AD123" i="10"/>
  <c r="BJ8" i="9"/>
  <c r="BP8" i="9"/>
  <c r="Y173" i="11"/>
  <c r="AA172" i="10"/>
  <c r="AA170" i="10" s="1"/>
  <c r="BO24" i="10" s="1"/>
  <c r="AH173" i="10"/>
  <c r="AH172" i="10" s="1"/>
  <c r="L80" i="11"/>
  <c r="J78" i="11"/>
  <c r="L78" i="11" s="1"/>
  <c r="N78" i="11" s="1"/>
  <c r="BD12" i="10"/>
  <c r="M23" i="10"/>
  <c r="M22" i="10" s="1"/>
  <c r="AW7" i="10"/>
  <c r="AY7" i="10" s="1"/>
  <c r="I22" i="10"/>
  <c r="G23" i="11"/>
  <c r="AQ14" i="12"/>
  <c r="AQ17" i="12" s="1"/>
  <c r="F17" i="12"/>
  <c r="L46" i="12"/>
  <c r="D38" i="16"/>
  <c r="D28" i="15"/>
  <c r="F38" i="15"/>
  <c r="J62" i="12"/>
  <c r="N62" i="11"/>
  <c r="N60" i="11" s="1"/>
  <c r="L60" i="11"/>
  <c r="AA115" i="11"/>
  <c r="Y114" i="11"/>
  <c r="AH190" i="14"/>
  <c r="AJ190" i="14"/>
  <c r="X187" i="14"/>
  <c r="X185" i="14" s="1"/>
  <c r="W48" i="16"/>
  <c r="X48" i="16" s="1"/>
  <c r="X48" i="15"/>
  <c r="I51" i="10"/>
  <c r="G52" i="11"/>
  <c r="M52" i="10"/>
  <c r="M51" i="10" s="1"/>
  <c r="AG46" i="11"/>
  <c r="AE44" i="11"/>
  <c r="L30" i="11"/>
  <c r="J29" i="11"/>
  <c r="AD50" i="13"/>
  <c r="L55" i="12"/>
  <c r="AX31" i="9"/>
  <c r="AZ31" i="9" s="1"/>
  <c r="AQ32" i="9"/>
  <c r="AQ33" i="9" s="1"/>
  <c r="AW31" i="9"/>
  <c r="AY31" i="9" s="1"/>
  <c r="W134" i="16"/>
  <c r="X134" i="15"/>
  <c r="W123" i="15"/>
  <c r="W112" i="15" s="1"/>
  <c r="BD7" i="11"/>
  <c r="AR16" i="11"/>
  <c r="X215" i="15"/>
  <c r="W215" i="16"/>
  <c r="X215" i="16" s="1"/>
  <c r="Y80" i="11"/>
  <c r="AH80" i="10"/>
  <c r="AH69" i="10" s="1"/>
  <c r="AH65" i="10" s="1"/>
  <c r="AA69" i="10"/>
  <c r="AA65" i="10" s="1"/>
  <c r="AH163" i="16"/>
  <c r="AI163" i="16"/>
  <c r="AJ163" i="16"/>
  <c r="AE67" i="16"/>
  <c r="AG67" i="16" s="1"/>
  <c r="AJ67" i="16" s="1"/>
  <c r="AJ67" i="15"/>
  <c r="M79" i="11"/>
  <c r="G79" i="12"/>
  <c r="AH119" i="15"/>
  <c r="AI119" i="15"/>
  <c r="AJ119" i="15"/>
  <c r="A1" i="10"/>
  <c r="F126" i="10"/>
  <c r="F130" i="10" s="1"/>
  <c r="AU35" i="7"/>
  <c r="AV35" i="7"/>
  <c r="AU32" i="7"/>
  <c r="AD71" i="12"/>
  <c r="AD59" i="11"/>
  <c r="AB58" i="11"/>
  <c r="AB57" i="11" s="1"/>
  <c r="V214" i="16"/>
  <c r="X214" i="15"/>
  <c r="V211" i="15"/>
  <c r="V210" i="15" s="1"/>
  <c r="V209" i="15" s="1"/>
  <c r="V207" i="15" s="1"/>
  <c r="AH74" i="15"/>
  <c r="AI74" i="15"/>
  <c r="AJ74" i="15"/>
  <c r="AJ250" i="16"/>
  <c r="L17" i="9"/>
  <c r="L8" i="9" s="1"/>
  <c r="AS14" i="9"/>
  <c r="I68" i="11"/>
  <c r="G66" i="11"/>
  <c r="F8" i="11"/>
  <c r="D42" i="16"/>
  <c r="F43" i="16"/>
  <c r="M53" i="16"/>
  <c r="AH129" i="16"/>
  <c r="AJ129" i="16"/>
  <c r="Y259" i="9"/>
  <c r="Z259" i="9"/>
  <c r="AA259" i="9"/>
  <c r="AF259" i="9"/>
  <c r="V259" i="9"/>
  <c r="X259" i="9"/>
  <c r="AC259" i="9"/>
  <c r="T15" i="10"/>
  <c r="U259" i="9"/>
  <c r="W259" i="9"/>
  <c r="AH259" i="9"/>
  <c r="AB259" i="9"/>
  <c r="AD259" i="9"/>
  <c r="AE259" i="9"/>
  <c r="AJ259" i="9"/>
  <c r="AG259" i="9"/>
  <c r="AI259" i="9"/>
  <c r="W245" i="16"/>
  <c r="X245" i="15"/>
  <c r="W243" i="15"/>
  <c r="AH250" i="15"/>
  <c r="AI250" i="15"/>
  <c r="AJ250" i="15"/>
  <c r="N95" i="10"/>
  <c r="N94" i="10" s="1"/>
  <c r="J95" i="11"/>
  <c r="L94" i="10"/>
  <c r="AX14" i="10" s="1"/>
  <c r="AZ14" i="10" s="1"/>
  <c r="X125" i="16"/>
  <c r="X91" i="14"/>
  <c r="X90" i="14" s="1"/>
  <c r="AH92" i="14"/>
  <c r="AJ92" i="14"/>
  <c r="Y84" i="12"/>
  <c r="AH84" i="11"/>
  <c r="N102" i="15"/>
  <c r="M102" i="15"/>
  <c r="X68" i="16"/>
  <c r="AI237" i="14"/>
  <c r="X235" i="14"/>
  <c r="AH237" i="14"/>
  <c r="AB215" i="11"/>
  <c r="AI215" i="10"/>
  <c r="AI211" i="10" s="1"/>
  <c r="AI210" i="10" s="1"/>
  <c r="AI209" i="10" s="1"/>
  <c r="AI207" i="10" s="1"/>
  <c r="AD211" i="10"/>
  <c r="AD210" i="10" s="1"/>
  <c r="AD209" i="10" s="1"/>
  <c r="AD142" i="11"/>
  <c r="AB141" i="11"/>
  <c r="W203" i="15"/>
  <c r="W194" i="15" s="1"/>
  <c r="W193" i="15" s="1"/>
  <c r="W204" i="16"/>
  <c r="X204" i="15"/>
  <c r="X203" i="15" s="1"/>
  <c r="AI189" i="11"/>
  <c r="AB189" i="12"/>
  <c r="AB152" i="11"/>
  <c r="AD149" i="10"/>
  <c r="AD147" i="10" s="1"/>
  <c r="AI152" i="10"/>
  <c r="AI149" i="10" s="1"/>
  <c r="AI147" i="10" s="1"/>
  <c r="AI145" i="10" s="1"/>
  <c r="AI48" i="14"/>
  <c r="AH48" i="14"/>
  <c r="AD21" i="11"/>
  <c r="AB20" i="11"/>
  <c r="AB16" i="11" s="1"/>
  <c r="AH134" i="14"/>
  <c r="AJ134" i="14"/>
  <c r="AH163" i="15"/>
  <c r="AI163" i="15"/>
  <c r="AJ163" i="15"/>
  <c r="Y236" i="11"/>
  <c r="AH236" i="10"/>
  <c r="AH235" i="10" s="1"/>
  <c r="AH234" i="10" s="1"/>
  <c r="AH232" i="10" s="1"/>
  <c r="AA235" i="10"/>
  <c r="V240" i="16"/>
  <c r="X240" i="15"/>
  <c r="V235" i="15"/>
  <c r="W158" i="16"/>
  <c r="X158" i="15"/>
  <c r="W157" i="15"/>
  <c r="W155" i="15" s="1"/>
  <c r="AI214" i="14"/>
  <c r="AJ214" i="14"/>
  <c r="AH214" i="14"/>
  <c r="AJ136" i="10"/>
  <c r="AJ123" i="10" s="1"/>
  <c r="AJ112" i="10" s="1"/>
  <c r="AE136" i="11"/>
  <c r="AG123" i="10"/>
  <c r="AG112" i="10" s="1"/>
  <c r="M110" i="15"/>
  <c r="W43" i="14"/>
  <c r="W14" i="14" s="1"/>
  <c r="W12" i="14" s="1"/>
  <c r="N28" i="10"/>
  <c r="AJ165" i="16"/>
  <c r="Y63" i="10"/>
  <c r="Y12" i="10" s="1"/>
  <c r="Y10" i="10" s="1"/>
  <c r="X123" i="14"/>
  <c r="X63" i="13"/>
  <c r="BN29" i="12"/>
  <c r="BH13" i="12" s="1"/>
  <c r="AQ30" i="12"/>
  <c r="AE153" i="12"/>
  <c r="AJ153" i="11"/>
  <c r="AH212" i="14"/>
  <c r="BN26" i="14"/>
  <c r="X211" i="14"/>
  <c r="X210" i="14" s="1"/>
  <c r="X209" i="14" s="1"/>
  <c r="AY26" i="8"/>
  <c r="AY32" i="8" s="1"/>
  <c r="AW32" i="8"/>
  <c r="AE178" i="11"/>
  <c r="AJ178" i="10"/>
  <c r="AJ176" i="10" s="1"/>
  <c r="AJ170" i="10" s="1"/>
  <c r="AG176" i="10"/>
  <c r="AG170" i="10" s="1"/>
  <c r="AS27" i="10" s="1"/>
  <c r="AX27" i="10" s="1"/>
  <c r="AZ27" i="10" s="1"/>
  <c r="J73" i="11"/>
  <c r="N73" i="10"/>
  <c r="N72" i="10" s="1"/>
  <c r="L72" i="10"/>
  <c r="AH129" i="15"/>
  <c r="AJ129" i="15"/>
  <c r="AI129" i="15"/>
  <c r="G90" i="16"/>
  <c r="I90" i="16" s="1"/>
  <c r="M90" i="16" s="1"/>
  <c r="AW13" i="15"/>
  <c r="AR13" i="15"/>
  <c r="AE86" i="11"/>
  <c r="AJ86" i="10"/>
  <c r="AJ83" i="10" s="1"/>
  <c r="AG83" i="10"/>
  <c r="AS24" i="10" s="1"/>
  <c r="AH245" i="14"/>
  <c r="X243" i="14"/>
  <c r="BI8" i="9"/>
  <c r="BI7" i="9" s="1"/>
  <c r="BI16" i="9" s="1"/>
  <c r="BO8" i="9"/>
  <c r="BO7" i="9" s="1"/>
  <c r="BO32" i="9" s="1"/>
  <c r="V94" i="16"/>
  <c r="V91" i="15"/>
  <c r="X94" i="15"/>
  <c r="AH133" i="13"/>
  <c r="Y133" i="14"/>
  <c r="AH125" i="15"/>
  <c r="AJ125" i="15"/>
  <c r="W47" i="16"/>
  <c r="X47" i="16" s="1"/>
  <c r="X47" i="15"/>
  <c r="M102" i="16"/>
  <c r="N102" i="16"/>
  <c r="D8" i="13"/>
  <c r="D126" i="13" s="1"/>
  <c r="D130" i="13" s="1"/>
  <c r="AJ68" i="15"/>
  <c r="AH68" i="15"/>
  <c r="AI68" i="15"/>
  <c r="AV32" i="8"/>
  <c r="AQ33" i="8"/>
  <c r="AR31" i="8"/>
  <c r="BP33" i="8"/>
  <c r="AD75" i="11"/>
  <c r="AB69" i="11"/>
  <c r="W235" i="15"/>
  <c r="X237" i="15"/>
  <c r="W237" i="16"/>
  <c r="AB190" i="11"/>
  <c r="AI190" i="10"/>
  <c r="AI187" i="10" s="1"/>
  <c r="AI185" i="10" s="1"/>
  <c r="AI170" i="10" s="1"/>
  <c r="AD187" i="10"/>
  <c r="AD185" i="10" s="1"/>
  <c r="J76" i="11"/>
  <c r="L75" i="10"/>
  <c r="N76" i="10"/>
  <c r="N75" i="10" s="1"/>
  <c r="X44" i="14"/>
  <c r="AI45" i="14"/>
  <c r="AH45" i="14"/>
  <c r="AJ45" i="14"/>
  <c r="J53" i="11"/>
  <c r="J128" i="11" s="1"/>
  <c r="N53" i="10"/>
  <c r="N51" i="10" s="1"/>
  <c r="L51" i="10"/>
  <c r="AW23" i="9"/>
  <c r="AY23" i="9" s="1"/>
  <c r="AU23" i="9"/>
  <c r="Y86" i="11"/>
  <c r="AH86" i="10"/>
  <c r="AH83" i="10" s="1"/>
  <c r="AA83" i="10"/>
  <c r="F97" i="15"/>
  <c r="N97" i="15" s="1"/>
  <c r="D97" i="16"/>
  <c r="F97" i="16" s="1"/>
  <c r="AH256" i="16"/>
  <c r="AI256" i="16"/>
  <c r="AJ256" i="16"/>
  <c r="Y26" i="11"/>
  <c r="AH26" i="10"/>
  <c r="AH20" i="10" s="1"/>
  <c r="AH16" i="10" s="1"/>
  <c r="AA20" i="10"/>
  <c r="AA16" i="10" s="1"/>
  <c r="M65" i="10"/>
  <c r="G65" i="11"/>
  <c r="G63" i="11" s="1"/>
  <c r="BD21" i="10"/>
  <c r="I128" i="10"/>
  <c r="M101" i="14"/>
  <c r="N101" i="14"/>
  <c r="AB236" i="11"/>
  <c r="AI236" i="10"/>
  <c r="AI235" i="10" s="1"/>
  <c r="AI234" i="10" s="1"/>
  <c r="AI232" i="10" s="1"/>
  <c r="AD235" i="10"/>
  <c r="AD234" i="10" s="1"/>
  <c r="AD232" i="10" s="1"/>
  <c r="BP29" i="10" s="1"/>
  <c r="BJ13" i="10" s="1"/>
  <c r="W249" i="16"/>
  <c r="X249" i="16" s="1"/>
  <c r="X249" i="15"/>
  <c r="X83" i="14"/>
  <c r="AI86" i="14"/>
  <c r="AQ9" i="13"/>
  <c r="AW27" i="9"/>
  <c r="AY27" i="9" s="1"/>
  <c r="AU27" i="9"/>
  <c r="AI240" i="14"/>
  <c r="AH240" i="14"/>
  <c r="AJ240" i="14"/>
  <c r="V156" i="16"/>
  <c r="X156" i="15"/>
  <c r="AI158" i="14"/>
  <c r="AH158" i="14"/>
  <c r="X157" i="14"/>
  <c r="X155" i="14" s="1"/>
  <c r="D108" i="16"/>
  <c r="F108" i="16" s="1"/>
  <c r="F108" i="15"/>
  <c r="F104" i="15" s="1"/>
  <c r="N61" i="12"/>
  <c r="J61" i="13"/>
  <c r="AI167" i="16"/>
  <c r="AJ167" i="16"/>
  <c r="BC9" i="13"/>
  <c r="BC8" i="13" s="1"/>
  <c r="BC22" i="13" s="1"/>
  <c r="N111" i="15"/>
  <c r="F95" i="15"/>
  <c r="AH112" i="10"/>
  <c r="AH110" i="10" s="1"/>
  <c r="BN25" i="12"/>
  <c r="BH12" i="12" s="1"/>
  <c r="Y234" i="10"/>
  <c r="Y232" i="10" s="1"/>
  <c r="X43" i="13"/>
  <c r="X234" i="13"/>
  <c r="X232" i="13" s="1"/>
  <c r="D94" i="15"/>
  <c r="AE245" i="13"/>
  <c r="AJ245" i="12"/>
  <c r="AI166" i="13"/>
  <c r="AB166" i="14"/>
  <c r="AX22" i="13"/>
  <c r="AV22" i="13"/>
  <c r="AD239" i="13"/>
  <c r="C126" i="16"/>
  <c r="C130" i="16" s="1"/>
  <c r="AH213" i="16"/>
  <c r="AJ213" i="16"/>
  <c r="AE148" i="14"/>
  <c r="AJ148" i="13"/>
  <c r="AI126" i="16"/>
  <c r="BN19" i="16"/>
  <c r="C43" i="20" s="1"/>
  <c r="AJ126" i="16"/>
  <c r="AG115" i="13"/>
  <c r="N90" i="16"/>
  <c r="AQ13" i="16"/>
  <c r="AB197" i="13"/>
  <c r="AI197" i="12"/>
  <c r="M41" i="16"/>
  <c r="L52" i="12"/>
  <c r="AG173" i="13"/>
  <c r="J27" i="13"/>
  <c r="N27" i="12"/>
  <c r="AU14" i="9"/>
  <c r="AR17" i="9"/>
  <c r="I95" i="13"/>
  <c r="AG17" i="14"/>
  <c r="I71" i="16"/>
  <c r="AE93" i="14"/>
  <c r="AJ93" i="13"/>
  <c r="BO26" i="12"/>
  <c r="Y196" i="13"/>
  <c r="AH196" i="12"/>
  <c r="AG59" i="12"/>
  <c r="L122" i="15"/>
  <c r="AB132" i="16"/>
  <c r="AI132" i="15"/>
  <c r="AD107" i="13"/>
  <c r="AU8" i="10"/>
  <c r="AD180" i="12"/>
  <c r="AB176" i="12"/>
  <c r="AJ84" i="13"/>
  <c r="AE84" i="14"/>
  <c r="AE174" i="12"/>
  <c r="AJ174" i="11"/>
  <c r="AJ172" i="11" s="1"/>
  <c r="AG172" i="11"/>
  <c r="AD248" i="11"/>
  <c r="AB243" i="11"/>
  <c r="F85" i="16"/>
  <c r="AI129" i="16"/>
  <c r="AJ186" i="11"/>
  <c r="AE186" i="12"/>
  <c r="I36" i="13"/>
  <c r="AE45" i="16"/>
  <c r="AJ45" i="15"/>
  <c r="L68" i="13"/>
  <c r="Y152" i="12"/>
  <c r="AA149" i="11"/>
  <c r="AA147" i="11" s="1"/>
  <c r="AH152" i="11"/>
  <c r="AH149" i="11" s="1"/>
  <c r="AH147" i="11" s="1"/>
  <c r="K126" i="16"/>
  <c r="K130" i="16" s="1"/>
  <c r="AE92" i="16"/>
  <c r="G77" i="14"/>
  <c r="M77" i="13"/>
  <c r="I55" i="13"/>
  <c r="J86" i="12"/>
  <c r="L85" i="11"/>
  <c r="N86" i="11"/>
  <c r="N85" i="11" s="1"/>
  <c r="AG204" i="13"/>
  <c r="AE203" i="13"/>
  <c r="L104" i="11"/>
  <c r="J105" i="12"/>
  <c r="N105" i="11"/>
  <c r="N104" i="11" s="1"/>
  <c r="AE51" i="14"/>
  <c r="AJ51" i="13"/>
  <c r="N63" i="10"/>
  <c r="AE238" i="13"/>
  <c r="AJ238" i="12"/>
  <c r="G50" i="12"/>
  <c r="I48" i="11"/>
  <c r="M50" i="11"/>
  <c r="M48" i="11" s="1"/>
  <c r="G67" i="16"/>
  <c r="AB26" i="13"/>
  <c r="AI26" i="12"/>
  <c r="L37" i="12"/>
  <c r="AB213" i="13"/>
  <c r="AI213" i="12"/>
  <c r="AJ236" i="15"/>
  <c r="AE236" i="16"/>
  <c r="AI36" i="13"/>
  <c r="AB36" i="14"/>
  <c r="L65" i="11"/>
  <c r="J63" i="11"/>
  <c r="J74" i="13"/>
  <c r="N74" i="12"/>
  <c r="N118" i="16"/>
  <c r="M90" i="15"/>
  <c r="N90" i="15"/>
  <c r="AQ13" i="15"/>
  <c r="AJ37" i="16"/>
  <c r="AB134" i="13"/>
  <c r="AI134" i="12"/>
  <c r="I126" i="9"/>
  <c r="I130" i="9" s="1"/>
  <c r="AS23" i="10"/>
  <c r="BP26" i="13"/>
  <c r="AB212" i="14"/>
  <c r="AI212" i="13"/>
  <c r="AB61" i="16"/>
  <c r="AI61" i="15"/>
  <c r="AG70" i="12"/>
  <c r="AG48" i="12"/>
  <c r="AE106" i="12"/>
  <c r="AG105" i="11"/>
  <c r="AG104" i="11" s="1"/>
  <c r="AJ106" i="11"/>
  <c r="AJ105" i="11" s="1"/>
  <c r="AJ104" i="11" s="1"/>
  <c r="AE177" i="12"/>
  <c r="AJ177" i="11"/>
  <c r="AA27" i="12"/>
  <c r="AV13" i="14"/>
  <c r="AU13" i="14"/>
  <c r="AZ13" i="14"/>
  <c r="AY13" i="14"/>
  <c r="AD70" i="13"/>
  <c r="AB23" i="15"/>
  <c r="AI23" i="14"/>
  <c r="H126" i="16"/>
  <c r="H130" i="16" s="1"/>
  <c r="BF21" i="16"/>
  <c r="BE22" i="16"/>
  <c r="BF22" i="16" s="1"/>
  <c r="Q25" i="20"/>
  <c r="R25" i="20" s="1"/>
  <c r="AD191" i="12"/>
  <c r="AG141" i="11"/>
  <c r="AJ142" i="11"/>
  <c r="AJ141" i="11" s="1"/>
  <c r="AE142" i="12"/>
  <c r="AB229" i="13"/>
  <c r="AI229" i="12"/>
  <c r="J24" i="13"/>
  <c r="N24" i="12"/>
  <c r="Y126" i="16"/>
  <c r="Y238" i="12"/>
  <c r="AH238" i="11"/>
  <c r="AG228" i="11"/>
  <c r="AE227" i="11"/>
  <c r="Y229" i="14"/>
  <c r="AH229" i="13"/>
  <c r="AA51" i="13"/>
  <c r="M91" i="16"/>
  <c r="N91" i="16"/>
  <c r="AJ158" i="11"/>
  <c r="AE158" i="12"/>
  <c r="L82" i="12"/>
  <c r="AG241" i="11"/>
  <c r="AE235" i="11"/>
  <c r="AE234" i="11" s="1"/>
  <c r="AE232" i="11" s="1"/>
  <c r="AG73" i="11"/>
  <c r="AE69" i="11"/>
  <c r="AE65" i="11" s="1"/>
  <c r="F105" i="16"/>
  <c r="I25" i="11"/>
  <c r="G27" i="12"/>
  <c r="AW8" i="11"/>
  <c r="AY8" i="11" s="1"/>
  <c r="M27" i="11"/>
  <c r="AG95" i="12"/>
  <c r="AE20" i="11"/>
  <c r="AE16" i="11" s="1"/>
  <c r="AG22" i="11"/>
  <c r="Y70" i="12"/>
  <c r="AH70" i="11"/>
  <c r="N107" i="15"/>
  <c r="M107" i="15"/>
  <c r="J15" i="13"/>
  <c r="L10" i="12"/>
  <c r="N15" i="12"/>
  <c r="N10" i="12" s="1"/>
  <c r="AE40" i="15"/>
  <c r="AJ40" i="14"/>
  <c r="Y215" i="12"/>
  <c r="AA211" i="11"/>
  <c r="AA210" i="11" s="1"/>
  <c r="AA209" i="11" s="1"/>
  <c r="AH215" i="11"/>
  <c r="AH211" i="11" s="1"/>
  <c r="AH210" i="11" s="1"/>
  <c r="AH209" i="11" s="1"/>
  <c r="AH207" i="11" s="1"/>
  <c r="M91" i="15"/>
  <c r="N91" i="15"/>
  <c r="AG124" i="12"/>
  <c r="AJ235" i="10"/>
  <c r="AJ234" i="10" s="1"/>
  <c r="AJ232" i="10" s="1"/>
  <c r="AJ259" i="10"/>
  <c r="I97" i="12"/>
  <c r="G94" i="12"/>
  <c r="I86" i="11"/>
  <c r="G85" i="11"/>
  <c r="I44" i="13"/>
  <c r="G42" i="13"/>
  <c r="AB67" i="12"/>
  <c r="BP11" i="11"/>
  <c r="AI67" i="11"/>
  <c r="AG97" i="12"/>
  <c r="AE212" i="13"/>
  <c r="AJ212" i="12"/>
  <c r="AE54" i="12"/>
  <c r="AJ54" i="11"/>
  <c r="M105" i="15"/>
  <c r="AG81" i="12"/>
  <c r="AE237" i="14"/>
  <c r="AJ237" i="13"/>
  <c r="AE246" i="12"/>
  <c r="AJ246" i="11"/>
  <c r="AJ243" i="11" s="1"/>
  <c r="AG243" i="11"/>
  <c r="AG19" i="12"/>
  <c r="AG60" i="11"/>
  <c r="AE58" i="11"/>
  <c r="AE57" i="11" s="1"/>
  <c r="AI22" i="15"/>
  <c r="AB22" i="16"/>
  <c r="Y67" i="16"/>
  <c r="BO11" i="15"/>
  <c r="AH67" i="15"/>
  <c r="AD245" i="14"/>
  <c r="N107" i="16"/>
  <c r="M107" i="16"/>
  <c r="AJ244" i="16"/>
  <c r="AA40" i="13"/>
  <c r="AX16" i="11"/>
  <c r="AZ16" i="11" s="1"/>
  <c r="AV16" i="11"/>
  <c r="AE85" i="13"/>
  <c r="AJ85" i="12"/>
  <c r="AB224" i="12"/>
  <c r="AI224" i="11"/>
  <c r="AG188" i="11"/>
  <c r="AE187" i="11"/>
  <c r="AE185" i="11" s="1"/>
  <c r="Q126" i="16"/>
  <c r="Q130" i="16" s="1"/>
  <c r="P126" i="16"/>
  <c r="P130" i="16" s="1"/>
  <c r="G106" i="12"/>
  <c r="I104" i="11"/>
  <c r="BD19" i="11"/>
  <c r="M106" i="11"/>
  <c r="M104" i="11" s="1"/>
  <c r="G81" i="12"/>
  <c r="I83" i="12"/>
  <c r="AD143" i="14"/>
  <c r="AA159" i="13"/>
  <c r="AG215" i="11"/>
  <c r="AE211" i="11"/>
  <c r="AE210" i="11" s="1"/>
  <c r="AE209" i="11" s="1"/>
  <c r="AE207" i="11" s="1"/>
  <c r="AG18" i="13"/>
  <c r="AJ168" i="13"/>
  <c r="AE168" i="14"/>
  <c r="AZ23" i="9"/>
  <c r="I64" i="11"/>
  <c r="M122" i="16" l="1"/>
  <c r="BD11" i="16"/>
  <c r="D11" i="20" s="1"/>
  <c r="BP13" i="10"/>
  <c r="M67" i="15"/>
  <c r="AG8" i="9"/>
  <c r="AH43" i="10"/>
  <c r="X193" i="13"/>
  <c r="AQ28" i="13" s="1"/>
  <c r="AJ258" i="9"/>
  <c r="AJ8" i="9"/>
  <c r="M26" i="16"/>
  <c r="X145" i="14"/>
  <c r="M128" i="10"/>
  <c r="X43" i="14"/>
  <c r="BN13" i="14" s="1"/>
  <c r="W145" i="15"/>
  <c r="W110" i="15" s="1"/>
  <c r="L28" i="10"/>
  <c r="L21" i="10" s="1"/>
  <c r="L19" i="10" s="1"/>
  <c r="V112" i="15"/>
  <c r="X220" i="14"/>
  <c r="BN30" i="14" s="1"/>
  <c r="BH14" i="14" s="1"/>
  <c r="F78" i="15"/>
  <c r="F28" i="14"/>
  <c r="D104" i="16"/>
  <c r="BN16" i="14"/>
  <c r="AR25" i="10"/>
  <c r="AJ145" i="10"/>
  <c r="AJ110" i="10" s="1"/>
  <c r="AA43" i="10"/>
  <c r="AA14" i="10" s="1"/>
  <c r="Y124" i="13"/>
  <c r="AH124" i="12"/>
  <c r="AH123" i="12" s="1"/>
  <c r="AA123" i="12"/>
  <c r="AE94" i="12"/>
  <c r="AJ94" i="11"/>
  <c r="AJ91" i="11" s="1"/>
  <c r="AG91" i="11"/>
  <c r="AH132" i="16"/>
  <c r="AJ132" i="16"/>
  <c r="AJ116" i="16"/>
  <c r="AA46" i="11"/>
  <c r="Y44" i="11"/>
  <c r="AH14" i="10"/>
  <c r="X114" i="15"/>
  <c r="BO22" i="10"/>
  <c r="BI11" i="10" s="1"/>
  <c r="BN8" i="12"/>
  <c r="BN7" i="12" s="1"/>
  <c r="BN32" i="12" s="1"/>
  <c r="AB117" i="12"/>
  <c r="AI117" i="11"/>
  <c r="AI114" i="11" s="1"/>
  <c r="AD114" i="11"/>
  <c r="AH132" i="15"/>
  <c r="AJ132" i="15"/>
  <c r="V90" i="15"/>
  <c r="V63" i="15" s="1"/>
  <c r="V69" i="16"/>
  <c r="V65" i="16" s="1"/>
  <c r="AI8" i="9"/>
  <c r="V170" i="15"/>
  <c r="V172" i="16"/>
  <c r="X174" i="16"/>
  <c r="AH174" i="16" s="1"/>
  <c r="AD161" i="11"/>
  <c r="AB157" i="11"/>
  <c r="AB155" i="11" s="1"/>
  <c r="V220" i="15"/>
  <c r="AG223" i="11"/>
  <c r="AE222" i="11"/>
  <c r="AE220" i="11" s="1"/>
  <c r="F76" i="16"/>
  <c r="F75" i="16" s="1"/>
  <c r="V10" i="13"/>
  <c r="V8" i="13" s="1"/>
  <c r="AY17" i="10"/>
  <c r="F128" i="15"/>
  <c r="AG145" i="10"/>
  <c r="AG110" i="10" s="1"/>
  <c r="AS26" i="10" s="1"/>
  <c r="AB43" i="11"/>
  <c r="AB14" i="11" s="1"/>
  <c r="M63" i="10"/>
  <c r="M21" i="10" s="1"/>
  <c r="M19" i="10" s="1"/>
  <c r="M17" i="10" s="1"/>
  <c r="AA112" i="10"/>
  <c r="V12" i="14"/>
  <c r="BN28" i="14"/>
  <c r="X193" i="14"/>
  <c r="AQ28" i="14" s="1"/>
  <c r="BP28" i="10"/>
  <c r="AD193" i="10"/>
  <c r="AR28" i="10" s="1"/>
  <c r="AW28" i="10" s="1"/>
  <c r="AY28" i="10" s="1"/>
  <c r="D72" i="16"/>
  <c r="F74" i="16"/>
  <c r="F72" i="16" s="1"/>
  <c r="F80" i="16"/>
  <c r="M80" i="16" s="1"/>
  <c r="D78" i="16"/>
  <c r="F12" i="16"/>
  <c r="N12" i="16" s="1"/>
  <c r="D10" i="16"/>
  <c r="AH118" i="15"/>
  <c r="AI118" i="15"/>
  <c r="AJ118" i="15"/>
  <c r="L23" i="11"/>
  <c r="J22" i="11"/>
  <c r="AH85" i="16"/>
  <c r="F36" i="16"/>
  <c r="D35" i="16"/>
  <c r="AA52" i="11"/>
  <c r="Y49" i="11"/>
  <c r="Y43" i="11" s="1"/>
  <c r="V227" i="16"/>
  <c r="X229" i="16"/>
  <c r="AA107" i="11"/>
  <c r="Y105" i="11"/>
  <c r="Y104" i="11" s="1"/>
  <c r="AA58" i="11"/>
  <c r="AA57" i="11" s="1"/>
  <c r="Y59" i="12"/>
  <c r="AH59" i="11"/>
  <c r="AH58" i="11" s="1"/>
  <c r="AH57" i="11" s="1"/>
  <c r="X60" i="16"/>
  <c r="V58" i="16"/>
  <c r="V57" i="16" s="1"/>
  <c r="AV27" i="10"/>
  <c r="AS9" i="10"/>
  <c r="AV9" i="10" s="1"/>
  <c r="AH170" i="10"/>
  <c r="X10" i="12"/>
  <c r="X8" i="12" s="1"/>
  <c r="D128" i="16"/>
  <c r="AR24" i="10"/>
  <c r="AW24" i="10" s="1"/>
  <c r="AY24" i="10" s="1"/>
  <c r="AS25" i="10"/>
  <c r="AV25" i="10" s="1"/>
  <c r="AJ14" i="10"/>
  <c r="G60" i="11"/>
  <c r="I61" i="11"/>
  <c r="AD44" i="11"/>
  <c r="AI46" i="11"/>
  <c r="AI44" i="11" s="1"/>
  <c r="AB46" i="12"/>
  <c r="AG150" i="11"/>
  <c r="AE149" i="11"/>
  <c r="AE147" i="11" s="1"/>
  <c r="AH71" i="15"/>
  <c r="AJ71" i="15"/>
  <c r="AH17" i="16"/>
  <c r="BO10" i="16"/>
  <c r="D34" i="20" s="1"/>
  <c r="AB92" i="12"/>
  <c r="AD91" i="11"/>
  <c r="AI92" i="11"/>
  <c r="AI91" i="11" s="1"/>
  <c r="I58" i="11"/>
  <c r="G57" i="11"/>
  <c r="AB51" i="12"/>
  <c r="AI51" i="11"/>
  <c r="AI49" i="11" s="1"/>
  <c r="AD49" i="11"/>
  <c r="AD43" i="11" s="1"/>
  <c r="AA167" i="11"/>
  <c r="Y157" i="11"/>
  <c r="Y155" i="11" s="1"/>
  <c r="Y145" i="11" s="1"/>
  <c r="N41" i="15"/>
  <c r="M41" i="15"/>
  <c r="AH90" i="10"/>
  <c r="AH63" i="10" s="1"/>
  <c r="AH21" i="15"/>
  <c r="AJ21" i="15"/>
  <c r="L83" i="11"/>
  <c r="J81" i="11"/>
  <c r="X58" i="15"/>
  <c r="AI60" i="15"/>
  <c r="AH60" i="15"/>
  <c r="AD85" i="11"/>
  <c r="AB83" i="11"/>
  <c r="AD170" i="10"/>
  <c r="AR27" i="10" s="1"/>
  <c r="V234" i="15"/>
  <c r="V232" i="15" s="1"/>
  <c r="V123" i="16"/>
  <c r="BD10" i="10"/>
  <c r="BD9" i="10" s="1"/>
  <c r="BD8" i="10" s="1"/>
  <c r="BD22" i="10" s="1"/>
  <c r="X110" i="13"/>
  <c r="AQ26" i="13" s="1"/>
  <c r="V105" i="16"/>
  <c r="V104" i="16" s="1"/>
  <c r="X106" i="16"/>
  <c r="AA177" i="11"/>
  <c r="Y176" i="11"/>
  <c r="AH71" i="16"/>
  <c r="AJ71" i="16"/>
  <c r="BC12" i="16"/>
  <c r="C12" i="20" s="1"/>
  <c r="X227" i="15"/>
  <c r="AJ229" i="15"/>
  <c r="Y91" i="11"/>
  <c r="AA93" i="11"/>
  <c r="X21" i="16"/>
  <c r="V20" i="16"/>
  <c r="V16" i="16" s="1"/>
  <c r="J26" i="12"/>
  <c r="N26" i="11"/>
  <c r="N25" i="11" s="1"/>
  <c r="AX8" i="11"/>
  <c r="AZ8" i="11" s="1"/>
  <c r="L25" i="11"/>
  <c r="AS8" i="11" s="1"/>
  <c r="AV8" i="11" s="1"/>
  <c r="J47" i="12"/>
  <c r="N47" i="11"/>
  <c r="N45" i="11" s="1"/>
  <c r="L45" i="11"/>
  <c r="BO14" i="10"/>
  <c r="BI9" i="10" s="1"/>
  <c r="AJ63" i="10"/>
  <c r="W10" i="14"/>
  <c r="W258" i="14" s="1"/>
  <c r="AB90" i="11"/>
  <c r="AE10" i="10"/>
  <c r="AE8" i="10" s="1"/>
  <c r="AA98" i="11"/>
  <c r="Y96" i="11"/>
  <c r="M59" i="16"/>
  <c r="N59" i="16"/>
  <c r="AH118" i="16"/>
  <c r="AI118" i="16"/>
  <c r="AJ118" i="16"/>
  <c r="AD116" i="13"/>
  <c r="AH85" i="15"/>
  <c r="L36" i="11"/>
  <c r="J35" i="11"/>
  <c r="BO17" i="10"/>
  <c r="BO15" i="10" s="1"/>
  <c r="BI10" i="10" s="1"/>
  <c r="AA145" i="10"/>
  <c r="F30" i="16"/>
  <c r="D29" i="16"/>
  <c r="D28" i="16" s="1"/>
  <c r="AJ116" i="15"/>
  <c r="AH116" i="15"/>
  <c r="L71" i="12"/>
  <c r="J69" i="12"/>
  <c r="Y187" i="12"/>
  <c r="Y185" i="12" s="1"/>
  <c r="AA188" i="12"/>
  <c r="AA90" i="10"/>
  <c r="AB106" i="12"/>
  <c r="AI106" i="11"/>
  <c r="AI105" i="11" s="1"/>
  <c r="AI104" i="11" s="1"/>
  <c r="AD105" i="11"/>
  <c r="AD104" i="11" s="1"/>
  <c r="AA223" i="11"/>
  <c r="Y222" i="11"/>
  <c r="Y220" i="11" s="1"/>
  <c r="AG159" i="11"/>
  <c r="AE157" i="11"/>
  <c r="AE155" i="11" s="1"/>
  <c r="V110" i="14"/>
  <c r="V145" i="15"/>
  <c r="V110" i="15" s="1"/>
  <c r="D54" i="16"/>
  <c r="F55" i="16"/>
  <c r="F54" i="16" s="1"/>
  <c r="AH32" i="16"/>
  <c r="AI32" i="16"/>
  <c r="AJ32" i="16"/>
  <c r="AH183" i="16"/>
  <c r="AJ183" i="16"/>
  <c r="F46" i="16"/>
  <c r="E45" i="16"/>
  <c r="I31" i="11"/>
  <c r="G29" i="11"/>
  <c r="G28" i="11" s="1"/>
  <c r="M34" i="16"/>
  <c r="F32" i="16"/>
  <c r="N34" i="16"/>
  <c r="AI139" i="15"/>
  <c r="AH139" i="15"/>
  <c r="AJ139" i="15"/>
  <c r="AJ28" i="16"/>
  <c r="AI28" i="16"/>
  <c r="AH28" i="16"/>
  <c r="AH239" i="15"/>
  <c r="AJ239" i="15"/>
  <c r="W195" i="16"/>
  <c r="X198" i="16"/>
  <c r="AH88" i="15"/>
  <c r="AJ88" i="15"/>
  <c r="V149" i="16"/>
  <c r="V147" i="16" s="1"/>
  <c r="X152" i="16"/>
  <c r="AJ152" i="16" s="1"/>
  <c r="AH137" i="15"/>
  <c r="AI137" i="15"/>
  <c r="AJ137" i="15"/>
  <c r="AH224" i="15"/>
  <c r="AJ224" i="15"/>
  <c r="X222" i="15"/>
  <c r="X39" i="16"/>
  <c r="V35" i="16"/>
  <c r="F22" i="15"/>
  <c r="AQ7" i="15" s="1"/>
  <c r="M24" i="15"/>
  <c r="AJ107" i="15"/>
  <c r="X105" i="15"/>
  <c r="X104" i="15" s="1"/>
  <c r="AH36" i="16"/>
  <c r="AJ36" i="16"/>
  <c r="AJ50" i="15"/>
  <c r="AH50" i="15"/>
  <c r="E81" i="16"/>
  <c r="F82" i="16"/>
  <c r="AH95" i="16"/>
  <c r="AI95" i="16"/>
  <c r="AQ16" i="14"/>
  <c r="BC7" i="14"/>
  <c r="F31" i="16"/>
  <c r="E29" i="16"/>
  <c r="BN23" i="15"/>
  <c r="AI177" i="15"/>
  <c r="AI38" i="15"/>
  <c r="X225" i="16"/>
  <c r="W222" i="16"/>
  <c r="W220" i="16" s="1"/>
  <c r="BC19" i="15"/>
  <c r="AG14" i="10"/>
  <c r="F95" i="16"/>
  <c r="F94" i="16" s="1"/>
  <c r="D21" i="15"/>
  <c r="D19" i="15" s="1"/>
  <c r="D17" i="15" s="1"/>
  <c r="BC10" i="14"/>
  <c r="BN12" i="14"/>
  <c r="BN9" i="14" s="1"/>
  <c r="D113" i="16"/>
  <c r="AA38" i="11"/>
  <c r="Y35" i="11"/>
  <c r="AA180" i="13"/>
  <c r="BC15" i="15"/>
  <c r="F45" i="15"/>
  <c r="AI139" i="16"/>
  <c r="AH139" i="16"/>
  <c r="AJ139" i="16"/>
  <c r="AH239" i="16"/>
  <c r="AJ239" i="16"/>
  <c r="AJ161" i="15"/>
  <c r="AH161" i="15"/>
  <c r="F58" i="16"/>
  <c r="F57" i="16" s="1"/>
  <c r="E57" i="16"/>
  <c r="AH88" i="16"/>
  <c r="AJ88" i="16"/>
  <c r="AI137" i="16"/>
  <c r="AH137" i="16"/>
  <c r="X224" i="16"/>
  <c r="V222" i="16"/>
  <c r="E22" i="16"/>
  <c r="E128" i="16"/>
  <c r="F24" i="16"/>
  <c r="AD199" i="11"/>
  <c r="AB195" i="11"/>
  <c r="AB194" i="11" s="1"/>
  <c r="AB193" i="11" s="1"/>
  <c r="W105" i="16"/>
  <c r="W104" i="16" s="1"/>
  <c r="X107" i="16"/>
  <c r="AI133" i="15"/>
  <c r="AJ133" i="15"/>
  <c r="W20" i="16"/>
  <c r="W16" i="16" s="1"/>
  <c r="X24" i="16"/>
  <c r="F35" i="15"/>
  <c r="AI131" i="15"/>
  <c r="AH131" i="15"/>
  <c r="AJ131" i="15"/>
  <c r="E78" i="16"/>
  <c r="F78" i="16" s="1"/>
  <c r="F79" i="16"/>
  <c r="N79" i="16" s="1"/>
  <c r="AH61" i="15"/>
  <c r="AJ61" i="15"/>
  <c r="AI159" i="15"/>
  <c r="G56" i="12"/>
  <c r="M56" i="11"/>
  <c r="M54" i="11" s="1"/>
  <c r="I54" i="11"/>
  <c r="N64" i="15"/>
  <c r="BC14" i="15"/>
  <c r="F63" i="15"/>
  <c r="V141" i="16"/>
  <c r="X143" i="16"/>
  <c r="F49" i="16"/>
  <c r="D48" i="16"/>
  <c r="BN31" i="15"/>
  <c r="BH15" i="15" s="1"/>
  <c r="BC21" i="15"/>
  <c r="AI150" i="15"/>
  <c r="AH150" i="15"/>
  <c r="X149" i="15"/>
  <c r="X147" i="15" s="1"/>
  <c r="X51" i="16"/>
  <c r="V49" i="16"/>
  <c r="V43" i="16" s="1"/>
  <c r="G70" i="12"/>
  <c r="M70" i="11"/>
  <c r="M69" i="11" s="1"/>
  <c r="I69" i="11"/>
  <c r="AD174" i="11"/>
  <c r="AB172" i="11"/>
  <c r="X84" i="16"/>
  <c r="AI84" i="16" s="1"/>
  <c r="V83" i="16"/>
  <c r="N13" i="15"/>
  <c r="M13" i="15"/>
  <c r="F10" i="15"/>
  <c r="AJ161" i="16"/>
  <c r="AH161" i="16"/>
  <c r="AH198" i="15"/>
  <c r="AI198" i="15"/>
  <c r="AJ198" i="15"/>
  <c r="AG98" i="11"/>
  <c r="AE96" i="11"/>
  <c r="AE90" i="11" s="1"/>
  <c r="D25" i="16"/>
  <c r="F27" i="16"/>
  <c r="F25" i="16" s="1"/>
  <c r="AQ8" i="16" s="1"/>
  <c r="AI173" i="15"/>
  <c r="X172" i="15"/>
  <c r="V14" i="15"/>
  <c r="AI100" i="15"/>
  <c r="AH100" i="15"/>
  <c r="AJ100" i="15"/>
  <c r="X96" i="15"/>
  <c r="G37" i="12"/>
  <c r="M37" i="11"/>
  <c r="M35" i="11" s="1"/>
  <c r="I35" i="11"/>
  <c r="AI251" i="15"/>
  <c r="AH251" i="15"/>
  <c r="AJ251" i="15"/>
  <c r="AI133" i="16"/>
  <c r="AJ133" i="16"/>
  <c r="X117" i="16"/>
  <c r="V114" i="16"/>
  <c r="AI196" i="15"/>
  <c r="AJ196" i="15"/>
  <c r="X195" i="15"/>
  <c r="X194" i="15" s="1"/>
  <c r="F81" i="15"/>
  <c r="M82" i="15"/>
  <c r="AH131" i="16"/>
  <c r="AI131" i="16"/>
  <c r="AJ131" i="16"/>
  <c r="AH61" i="16"/>
  <c r="AJ61" i="16"/>
  <c r="X159" i="16"/>
  <c r="V157" i="16"/>
  <c r="V155" i="16" s="1"/>
  <c r="V145" i="16" s="1"/>
  <c r="E28" i="15"/>
  <c r="E21" i="15" s="1"/>
  <c r="E19" i="15" s="1"/>
  <c r="E17" i="15" s="1"/>
  <c r="E8" i="15" s="1"/>
  <c r="E126" i="15" s="1"/>
  <c r="E130" i="15" s="1"/>
  <c r="E63" i="16"/>
  <c r="F64" i="16"/>
  <c r="AG52" i="11"/>
  <c r="AE49" i="11"/>
  <c r="AE43" i="11" s="1"/>
  <c r="AI120" i="15"/>
  <c r="AH120" i="15"/>
  <c r="AJ120" i="15"/>
  <c r="AH143" i="15"/>
  <c r="AJ143" i="15"/>
  <c r="X141" i="15"/>
  <c r="BN20" i="15" s="1"/>
  <c r="AG38" i="11"/>
  <c r="AE35" i="11"/>
  <c r="M49" i="15"/>
  <c r="F48" i="15"/>
  <c r="X123" i="15"/>
  <c r="BC17" i="15"/>
  <c r="X150" i="16"/>
  <c r="W149" i="16"/>
  <c r="W147" i="16" s="1"/>
  <c r="AH32" i="15"/>
  <c r="AI32" i="15"/>
  <c r="AJ32" i="15"/>
  <c r="AH183" i="15"/>
  <c r="AJ183" i="15"/>
  <c r="AI183" i="15"/>
  <c r="G74" i="12"/>
  <c r="M74" i="11"/>
  <c r="M72" i="11" s="1"/>
  <c r="I72" i="11"/>
  <c r="AI28" i="15"/>
  <c r="AJ28" i="15"/>
  <c r="AH28" i="15"/>
  <c r="F13" i="16"/>
  <c r="E10" i="16"/>
  <c r="AI183" i="16"/>
  <c r="F52" i="16"/>
  <c r="F51" i="16" s="1"/>
  <c r="E51" i="16"/>
  <c r="X173" i="16"/>
  <c r="W172" i="16"/>
  <c r="AH39" i="15"/>
  <c r="AI39" i="15"/>
  <c r="AJ39" i="15"/>
  <c r="X100" i="16"/>
  <c r="V96" i="16"/>
  <c r="I46" i="11"/>
  <c r="G45" i="11"/>
  <c r="X251" i="16"/>
  <c r="V243" i="16"/>
  <c r="AH36" i="15"/>
  <c r="AJ36" i="15"/>
  <c r="X35" i="15"/>
  <c r="E69" i="16"/>
  <c r="F70" i="16"/>
  <c r="F69" i="16" s="1"/>
  <c r="AH50" i="16"/>
  <c r="AJ50" i="16"/>
  <c r="X196" i="16"/>
  <c r="V195" i="16"/>
  <c r="V194" i="16" s="1"/>
  <c r="V193" i="16" s="1"/>
  <c r="AJ24" i="15"/>
  <c r="X20" i="15"/>
  <c r="X16" i="15" s="1"/>
  <c r="AQ23" i="15" s="1"/>
  <c r="AH24" i="15"/>
  <c r="AI24" i="15"/>
  <c r="E35" i="16"/>
  <c r="F37" i="16"/>
  <c r="AH95" i="15"/>
  <c r="AI95" i="15"/>
  <c r="N31" i="15"/>
  <c r="F29" i="15"/>
  <c r="X177" i="16"/>
  <c r="V176" i="16"/>
  <c r="W35" i="16"/>
  <c r="X38" i="16"/>
  <c r="F67" i="16"/>
  <c r="F66" i="16" s="1"/>
  <c r="E66" i="16"/>
  <c r="AH120" i="16"/>
  <c r="AJ120" i="16"/>
  <c r="AI120" i="16"/>
  <c r="AJ225" i="15"/>
  <c r="AH225" i="15"/>
  <c r="X57" i="15"/>
  <c r="AJ137" i="16"/>
  <c r="AQ27" i="13"/>
  <c r="AA228" i="12"/>
  <c r="Y227" i="12"/>
  <c r="N56" i="11"/>
  <c r="N54" i="11" s="1"/>
  <c r="J56" i="12"/>
  <c r="L54" i="11"/>
  <c r="AJ117" i="11"/>
  <c r="AJ114" i="11" s="1"/>
  <c r="AE117" i="12"/>
  <c r="AG114" i="11"/>
  <c r="AB37" i="12"/>
  <c r="AI37" i="11"/>
  <c r="AI35" i="11" s="1"/>
  <c r="AD35" i="11"/>
  <c r="AX30" i="10"/>
  <c r="AZ30" i="10" s="1"/>
  <c r="AI12" i="10"/>
  <c r="F115" i="16"/>
  <c r="E113" i="16"/>
  <c r="G115" i="13"/>
  <c r="BD20" i="12"/>
  <c r="I113" i="12"/>
  <c r="AR15" i="12" s="1"/>
  <c r="M115" i="12"/>
  <c r="M113" i="12" s="1"/>
  <c r="N117" i="16"/>
  <c r="M117" i="16"/>
  <c r="N121" i="15"/>
  <c r="M121" i="15"/>
  <c r="N115" i="15"/>
  <c r="BC20" i="15"/>
  <c r="F113" i="15"/>
  <c r="AQ15" i="15" s="1"/>
  <c r="N121" i="16"/>
  <c r="M121" i="16"/>
  <c r="F85" i="15"/>
  <c r="BH16" i="12"/>
  <c r="BH17" i="12" s="1"/>
  <c r="X234" i="14"/>
  <c r="X232" i="14" s="1"/>
  <c r="J119" i="12"/>
  <c r="L113" i="11"/>
  <c r="AS15" i="11" s="1"/>
  <c r="N119" i="11"/>
  <c r="N113" i="11" s="1"/>
  <c r="AC1" i="8"/>
  <c r="Y258" i="10"/>
  <c r="AB10" i="10"/>
  <c r="AB258" i="10" s="1"/>
  <c r="W8" i="13"/>
  <c r="BP7" i="9"/>
  <c r="BP32" i="9" s="1"/>
  <c r="BJ7" i="9"/>
  <c r="BJ16" i="9" s="1"/>
  <c r="AD10" i="9"/>
  <c r="AD258" i="9" s="1"/>
  <c r="AU26" i="9"/>
  <c r="AA8" i="9"/>
  <c r="U1" i="9" s="1"/>
  <c r="AA258" i="9"/>
  <c r="BO33" i="9" s="1"/>
  <c r="AX32" i="9"/>
  <c r="AY32" i="9"/>
  <c r="AZ35" i="9" s="1"/>
  <c r="AA234" i="10"/>
  <c r="AA232" i="10" s="1"/>
  <c r="BO29" i="10" s="1"/>
  <c r="BI13" i="10" s="1"/>
  <c r="W43" i="15"/>
  <c r="W14" i="15" s="1"/>
  <c r="W63" i="15"/>
  <c r="AG151" i="13"/>
  <c r="I73" i="13"/>
  <c r="AZ32" i="9"/>
  <c r="D85" i="16"/>
  <c r="AR30" i="10"/>
  <c r="AU30" i="10" s="1"/>
  <c r="G30" i="14"/>
  <c r="M30" i="13"/>
  <c r="AA94" i="15"/>
  <c r="AH94" i="15" s="1"/>
  <c r="Y8" i="10"/>
  <c r="BN18" i="15"/>
  <c r="AI156" i="15"/>
  <c r="AH156" i="15"/>
  <c r="AJ156" i="15"/>
  <c r="BN14" i="14"/>
  <c r="BH9" i="14" s="1"/>
  <c r="AQ24" i="14"/>
  <c r="N97" i="16"/>
  <c r="C20" i="20"/>
  <c r="W235" i="16"/>
  <c r="X237" i="16"/>
  <c r="AA133" i="14"/>
  <c r="D8" i="14"/>
  <c r="D126" i="14" s="1"/>
  <c r="D130" i="14" s="1"/>
  <c r="AB149" i="11"/>
  <c r="AB147" i="11" s="1"/>
  <c r="AD152" i="11"/>
  <c r="AB142" i="12"/>
  <c r="AI142" i="11"/>
  <c r="AI141" i="11" s="1"/>
  <c r="AD141" i="11"/>
  <c r="BP20" i="11" s="1"/>
  <c r="BN29" i="13"/>
  <c r="AQ30" i="13"/>
  <c r="L61" i="13"/>
  <c r="N108" i="16"/>
  <c r="M108" i="16"/>
  <c r="AH249" i="15"/>
  <c r="AI249" i="15"/>
  <c r="AJ249" i="15"/>
  <c r="AD236" i="11"/>
  <c r="AB235" i="11"/>
  <c r="AB234" i="11" s="1"/>
  <c r="AB232" i="11" s="1"/>
  <c r="AD190" i="11"/>
  <c r="AB187" i="11"/>
  <c r="AB185" i="11" s="1"/>
  <c r="AG86" i="11"/>
  <c r="AE83" i="11"/>
  <c r="AG178" i="11"/>
  <c r="AE176" i="11"/>
  <c r="AE170" i="11" s="1"/>
  <c r="AG153" i="12"/>
  <c r="AG136" i="11"/>
  <c r="AE123" i="11"/>
  <c r="AE112" i="11" s="1"/>
  <c r="AH158" i="15"/>
  <c r="AI158" i="15"/>
  <c r="X157" i="15"/>
  <c r="X155" i="15" s="1"/>
  <c r="X240" i="16"/>
  <c r="V235" i="16"/>
  <c r="AB21" i="12"/>
  <c r="AI21" i="11"/>
  <c r="AI20" i="11" s="1"/>
  <c r="AI16" i="11" s="1"/>
  <c r="AD20" i="11"/>
  <c r="AD16" i="11" s="1"/>
  <c r="BP16" i="10"/>
  <c r="AD145" i="10"/>
  <c r="AD207" i="10"/>
  <c r="AR29" i="10" s="1"/>
  <c r="AW29" i="10" s="1"/>
  <c r="AY29" i="10" s="1"/>
  <c r="BP27" i="10"/>
  <c r="AA84" i="12"/>
  <c r="L95" i="11"/>
  <c r="J94" i="11"/>
  <c r="M43" i="16"/>
  <c r="F42" i="16"/>
  <c r="AQ10" i="16" s="1"/>
  <c r="BC16" i="16"/>
  <c r="C16" i="20" s="1"/>
  <c r="X214" i="16"/>
  <c r="V211" i="16"/>
  <c r="V210" i="16" s="1"/>
  <c r="V209" i="16" s="1"/>
  <c r="V207" i="16" s="1"/>
  <c r="AI71" i="12"/>
  <c r="AB71" i="13"/>
  <c r="AA80" i="11"/>
  <c r="Y69" i="11"/>
  <c r="Y65" i="11" s="1"/>
  <c r="AI48" i="16"/>
  <c r="AH48" i="16"/>
  <c r="F38" i="16"/>
  <c r="I23" i="11"/>
  <c r="G22" i="11"/>
  <c r="BP17" i="10"/>
  <c r="AD112" i="10"/>
  <c r="AA142" i="11"/>
  <c r="Y141" i="11"/>
  <c r="Y112" i="11" s="1"/>
  <c r="AH92" i="15"/>
  <c r="X91" i="15"/>
  <c r="L70" i="13"/>
  <c r="J67" i="12"/>
  <c r="N67" i="11"/>
  <c r="N66" i="11" s="1"/>
  <c r="L66" i="11"/>
  <c r="AW31" i="10"/>
  <c r="AY31" i="10" s="1"/>
  <c r="AX31" i="10"/>
  <c r="AZ31" i="10" s="1"/>
  <c r="AQ32" i="10"/>
  <c r="AQ33" i="10" s="1"/>
  <c r="L33" i="11"/>
  <c r="J32" i="11"/>
  <c r="L57" i="11"/>
  <c r="N58" i="11"/>
  <c r="N57" i="11" s="1"/>
  <c r="J58" i="12"/>
  <c r="W187" i="16"/>
  <c r="W185" i="16" s="1"/>
  <c r="X190" i="16"/>
  <c r="J43" i="13"/>
  <c r="N43" i="12"/>
  <c r="AW22" i="10"/>
  <c r="AY22" i="10" s="1"/>
  <c r="AU22" i="10"/>
  <c r="X179" i="16"/>
  <c r="W176" i="16"/>
  <c r="X54" i="16"/>
  <c r="W49" i="16"/>
  <c r="AA193" i="10"/>
  <c r="BO28" i="10"/>
  <c r="BO25" i="10" s="1"/>
  <c r="BI12" i="10" s="1"/>
  <c r="AV31" i="9"/>
  <c r="AS32" i="9"/>
  <c r="AV32" i="9" s="1"/>
  <c r="X63" i="14"/>
  <c r="X170" i="14"/>
  <c r="X69" i="16"/>
  <c r="X65" i="16" s="1"/>
  <c r="AQ25" i="13"/>
  <c r="BN13" i="13"/>
  <c r="BH8" i="13" s="1"/>
  <c r="X14" i="13"/>
  <c r="X12" i="13" s="1"/>
  <c r="X10" i="13" s="1"/>
  <c r="X8" i="13" s="1"/>
  <c r="BC18" i="15"/>
  <c r="F94" i="15"/>
  <c r="AH249" i="16"/>
  <c r="AI249" i="16"/>
  <c r="AJ249" i="16"/>
  <c r="I65" i="11"/>
  <c r="I63" i="11" s="1"/>
  <c r="G128" i="11"/>
  <c r="AA26" i="11"/>
  <c r="Y20" i="11"/>
  <c r="Y16" i="11" s="1"/>
  <c r="AA86" i="11"/>
  <c r="Y83" i="11"/>
  <c r="J75" i="11"/>
  <c r="L76" i="11"/>
  <c r="AB75" i="12"/>
  <c r="AI75" i="11"/>
  <c r="AI69" i="11" s="1"/>
  <c r="AD69" i="11"/>
  <c r="V91" i="16"/>
  <c r="X94" i="16"/>
  <c r="L73" i="11"/>
  <c r="J72" i="11"/>
  <c r="BN17" i="14"/>
  <c r="X112" i="14"/>
  <c r="X110" i="14" s="1"/>
  <c r="AQ26" i="14" s="1"/>
  <c r="AW25" i="10"/>
  <c r="AY25" i="10" s="1"/>
  <c r="AU25" i="10"/>
  <c r="X158" i="16"/>
  <c r="W157" i="16"/>
  <c r="W155" i="16" s="1"/>
  <c r="N108" i="15"/>
  <c r="M108" i="15"/>
  <c r="BO12" i="10"/>
  <c r="BO9" i="10" s="1"/>
  <c r="AU31" i="8"/>
  <c r="AR32" i="8"/>
  <c r="AI47" i="16"/>
  <c r="AJ47" i="16"/>
  <c r="AH47" i="16"/>
  <c r="AI94" i="15"/>
  <c r="AR13" i="16"/>
  <c r="AU13" i="16" s="1"/>
  <c r="AW13" i="16"/>
  <c r="AY13" i="16" s="1"/>
  <c r="BN27" i="14"/>
  <c r="X207" i="14"/>
  <c r="AQ29" i="14" s="1"/>
  <c r="AH240" i="15"/>
  <c r="AI240" i="15"/>
  <c r="AJ240" i="15"/>
  <c r="AA236" i="11"/>
  <c r="Y235" i="11"/>
  <c r="BC18" i="16"/>
  <c r="AI68" i="16"/>
  <c r="AH68" i="16"/>
  <c r="AJ68" i="16"/>
  <c r="X245" i="16"/>
  <c r="W243" i="16"/>
  <c r="AQ31" i="11"/>
  <c r="BN33" i="11"/>
  <c r="BH19" i="11" s="1"/>
  <c r="BH20" i="11" s="1"/>
  <c r="L126" i="9"/>
  <c r="L130" i="9" s="1"/>
  <c r="AI214" i="15"/>
  <c r="AJ214" i="15"/>
  <c r="AH214" i="15"/>
  <c r="G78" i="12"/>
  <c r="I78" i="12" s="1"/>
  <c r="M78" i="12" s="1"/>
  <c r="I79" i="12"/>
  <c r="AW16" i="11"/>
  <c r="AY16" i="11" s="1"/>
  <c r="AU16" i="11"/>
  <c r="X134" i="16"/>
  <c r="X123" i="16" s="1"/>
  <c r="W123" i="16"/>
  <c r="W112" i="16" s="1"/>
  <c r="AJ46" i="11"/>
  <c r="AJ44" i="11" s="1"/>
  <c r="AE46" i="12"/>
  <c r="AG44" i="11"/>
  <c r="AI48" i="15"/>
  <c r="AH48" i="15"/>
  <c r="AD225" i="11"/>
  <c r="AB222" i="11"/>
  <c r="AB220" i="11" s="1"/>
  <c r="AB99" i="12"/>
  <c r="AI99" i="11"/>
  <c r="AI96" i="11" s="1"/>
  <c r="AI90" i="11" s="1"/>
  <c r="AD96" i="11"/>
  <c r="AD90" i="11" s="1"/>
  <c r="AH212" i="15"/>
  <c r="BN26" i="15"/>
  <c r="X211" i="15"/>
  <c r="X210" i="15" s="1"/>
  <c r="X209" i="15" s="1"/>
  <c r="M12" i="12"/>
  <c r="M10" i="12" s="1"/>
  <c r="I10" i="12"/>
  <c r="G12" i="13"/>
  <c r="M101" i="16"/>
  <c r="N101" i="16"/>
  <c r="G76" i="12"/>
  <c r="M76" i="11"/>
  <c r="M75" i="11" s="1"/>
  <c r="I75" i="11"/>
  <c r="AV29" i="13"/>
  <c r="AU29" i="13"/>
  <c r="AB97" i="13"/>
  <c r="AI97" i="12"/>
  <c r="AI179" i="15"/>
  <c r="AH179" i="15"/>
  <c r="AJ179" i="15"/>
  <c r="X176" i="15"/>
  <c r="L49" i="11"/>
  <c r="J48" i="11"/>
  <c r="AI54" i="15"/>
  <c r="AH54" i="15"/>
  <c r="X49" i="15"/>
  <c r="AD228" i="12"/>
  <c r="AB227" i="12"/>
  <c r="AH106" i="12"/>
  <c r="Y106" i="13"/>
  <c r="AW32" i="9"/>
  <c r="N21" i="10"/>
  <c r="N19" i="10" s="1"/>
  <c r="N17" i="10" s="1"/>
  <c r="W234" i="15"/>
  <c r="W232" i="15" s="1"/>
  <c r="BC9" i="14"/>
  <c r="BC8" i="14" s="1"/>
  <c r="W8" i="14"/>
  <c r="X156" i="16"/>
  <c r="F17" i="13"/>
  <c r="AQ14" i="13"/>
  <c r="AQ17" i="13" s="1"/>
  <c r="L53" i="11"/>
  <c r="J51" i="11"/>
  <c r="AI237" i="15"/>
  <c r="AH237" i="15"/>
  <c r="X235" i="15"/>
  <c r="AI47" i="15"/>
  <c r="AH47" i="15"/>
  <c r="AJ47" i="15"/>
  <c r="AX24" i="10"/>
  <c r="AZ24" i="10" s="1"/>
  <c r="AV24" i="10"/>
  <c r="AZ35" i="8"/>
  <c r="AY35" i="8"/>
  <c r="AD189" i="12"/>
  <c r="W203" i="16"/>
  <c r="W194" i="16" s="1"/>
  <c r="W193" i="16" s="1"/>
  <c r="X204" i="16"/>
  <c r="X203" i="16" s="1"/>
  <c r="AD215" i="11"/>
  <c r="AB211" i="11"/>
  <c r="AB210" i="11" s="1"/>
  <c r="AB209" i="11" s="1"/>
  <c r="AB207" i="11" s="1"/>
  <c r="AJ125" i="16"/>
  <c r="AH125" i="16"/>
  <c r="AH245" i="15"/>
  <c r="X243" i="15"/>
  <c r="A1" i="11"/>
  <c r="F126" i="11"/>
  <c r="F130" i="11" s="1"/>
  <c r="AS17" i="9"/>
  <c r="AV17" i="9" s="1"/>
  <c r="AV14" i="9"/>
  <c r="AB59" i="12"/>
  <c r="AD58" i="11"/>
  <c r="AD57" i="11" s="1"/>
  <c r="AI59" i="11"/>
  <c r="AI58" i="11" s="1"/>
  <c r="AI57" i="11" s="1"/>
  <c r="AH134" i="15"/>
  <c r="AJ134" i="15"/>
  <c r="AI50" i="13"/>
  <c r="AB50" i="14"/>
  <c r="Y115" i="12"/>
  <c r="AA114" i="11"/>
  <c r="BO16" i="11" s="1"/>
  <c r="AH115" i="11"/>
  <c r="AH114" i="11" s="1"/>
  <c r="BC13" i="15"/>
  <c r="N38" i="15"/>
  <c r="M38" i="15"/>
  <c r="F8" i="12"/>
  <c r="N80" i="11"/>
  <c r="J80" i="12"/>
  <c r="AD125" i="11"/>
  <c r="AB123" i="11"/>
  <c r="AB112" i="11" s="1"/>
  <c r="W44" i="16"/>
  <c r="X45" i="16"/>
  <c r="AH204" i="11"/>
  <c r="AH203" i="11" s="1"/>
  <c r="AA203" i="11"/>
  <c r="Y204" i="12"/>
  <c r="BH9" i="13"/>
  <c r="AH74" i="16"/>
  <c r="AI74" i="16"/>
  <c r="AJ74" i="16"/>
  <c r="J44" i="12"/>
  <c r="N44" i="11"/>
  <c r="N42" i="11" s="1"/>
  <c r="L42" i="11"/>
  <c r="AS10" i="11" s="1"/>
  <c r="AV10" i="11" s="1"/>
  <c r="AX10" i="11"/>
  <c r="AZ10" i="11" s="1"/>
  <c r="AB204" i="12"/>
  <c r="AD203" i="11"/>
  <c r="AI204" i="11"/>
  <c r="AI203" i="11" s="1"/>
  <c r="X86" i="16"/>
  <c r="W83" i="16"/>
  <c r="AZ9" i="10"/>
  <c r="AZ17" i="10" s="1"/>
  <c r="AW17" i="10"/>
  <c r="AX17" i="10"/>
  <c r="M101" i="15"/>
  <c r="N101" i="15"/>
  <c r="AG197" i="11"/>
  <c r="AE195" i="11"/>
  <c r="AE194" i="11" s="1"/>
  <c r="AE193" i="11" s="1"/>
  <c r="AA197" i="11"/>
  <c r="Y195" i="11"/>
  <c r="Y194" i="11" s="1"/>
  <c r="Y193" i="11" s="1"/>
  <c r="N128" i="10"/>
  <c r="AG63" i="10"/>
  <c r="D94" i="16"/>
  <c r="AA63" i="10"/>
  <c r="BN25" i="13"/>
  <c r="BH12" i="13" s="1"/>
  <c r="W170" i="15"/>
  <c r="AC259" i="10"/>
  <c r="AF259" i="10"/>
  <c r="U259" i="10"/>
  <c r="V259" i="10"/>
  <c r="W259" i="10"/>
  <c r="AH259" i="10"/>
  <c r="Z259" i="10"/>
  <c r="T15" i="11"/>
  <c r="AG259" i="11" s="1"/>
  <c r="X259" i="10"/>
  <c r="AA259" i="10"/>
  <c r="Y259" i="10"/>
  <c r="AB259" i="10"/>
  <c r="AG259" i="10"/>
  <c r="AD259" i="10"/>
  <c r="AE259" i="10"/>
  <c r="AI259" i="10"/>
  <c r="I66" i="11"/>
  <c r="M68" i="11"/>
  <c r="M66" i="11" s="1"/>
  <c r="G68" i="12"/>
  <c r="J55" i="13"/>
  <c r="N55" i="12"/>
  <c r="J30" i="12"/>
  <c r="N30" i="11"/>
  <c r="N29" i="11" s="1"/>
  <c r="L29" i="11"/>
  <c r="I52" i="11"/>
  <c r="G51" i="11"/>
  <c r="L62" i="12"/>
  <c r="J60" i="12"/>
  <c r="J46" i="13"/>
  <c r="N46" i="12"/>
  <c r="AR7" i="10"/>
  <c r="AU7" i="10" s="1"/>
  <c r="I21" i="10"/>
  <c r="I19" i="10" s="1"/>
  <c r="AA173" i="11"/>
  <c r="Y172" i="11"/>
  <c r="Y170" i="11" s="1"/>
  <c r="AI45" i="15"/>
  <c r="AH45" i="15"/>
  <c r="X44" i="15"/>
  <c r="X92" i="16"/>
  <c r="W91" i="16"/>
  <c r="W90" i="16" s="1"/>
  <c r="AA244" i="11"/>
  <c r="Y243" i="11"/>
  <c r="W211" i="16"/>
  <c r="W210" i="16" s="1"/>
  <c r="W209" i="16" s="1"/>
  <c r="W207" i="16" s="1"/>
  <c r="X212" i="16"/>
  <c r="AI86" i="15"/>
  <c r="X83" i="15"/>
  <c r="AI88" i="14"/>
  <c r="AB88" i="15"/>
  <c r="AH190" i="15"/>
  <c r="AJ190" i="15"/>
  <c r="X187" i="15"/>
  <c r="X185" i="15" s="1"/>
  <c r="AV28" i="10"/>
  <c r="AX28" i="10"/>
  <c r="AZ28" i="10" s="1"/>
  <c r="AQ9" i="14"/>
  <c r="F21" i="14"/>
  <c r="F19" i="14" s="1"/>
  <c r="F17" i="14" s="1"/>
  <c r="G33" i="12"/>
  <c r="I32" i="11"/>
  <c r="M33" i="11"/>
  <c r="M32" i="11" s="1"/>
  <c r="BD13" i="11"/>
  <c r="AW9" i="11"/>
  <c r="AY9" i="11" s="1"/>
  <c r="BP12" i="10"/>
  <c r="BP9" i="10" s="1"/>
  <c r="AR23" i="10"/>
  <c r="AD63" i="10"/>
  <c r="AD12" i="10" s="1"/>
  <c r="AD66" i="11"/>
  <c r="AB65" i="11"/>
  <c r="AI33" i="16"/>
  <c r="AH33" i="16"/>
  <c r="AJ33" i="16"/>
  <c r="AI110" i="10"/>
  <c r="G64" i="12"/>
  <c r="BD14" i="11"/>
  <c r="M64" i="11"/>
  <c r="AD22" i="16"/>
  <c r="AE97" i="13"/>
  <c r="AJ97" i="12"/>
  <c r="AA126" i="16"/>
  <c r="AB70" i="14"/>
  <c r="AI70" i="13"/>
  <c r="AD134" i="13"/>
  <c r="AG186" i="12"/>
  <c r="Y159" i="14"/>
  <c r="AH159" i="13"/>
  <c r="I81" i="12"/>
  <c r="G83" i="13"/>
  <c r="M83" i="12"/>
  <c r="M81" i="12" s="1"/>
  <c r="I106" i="12"/>
  <c r="G104" i="12"/>
  <c r="AD224" i="12"/>
  <c r="AG246" i="12"/>
  <c r="AE243" i="12"/>
  <c r="AG54" i="12"/>
  <c r="AG212" i="13"/>
  <c r="G44" i="14"/>
  <c r="I42" i="13"/>
  <c r="AR10" i="13" s="1"/>
  <c r="AU10" i="13" s="1"/>
  <c r="AW10" i="13"/>
  <c r="AY10" i="13" s="1"/>
  <c r="M44" i="13"/>
  <c r="M42" i="13" s="1"/>
  <c r="G97" i="13"/>
  <c r="M97" i="12"/>
  <c r="M94" i="12" s="1"/>
  <c r="BD18" i="12"/>
  <c r="I94" i="12"/>
  <c r="AS16" i="12"/>
  <c r="AR8" i="11"/>
  <c r="J82" i="13"/>
  <c r="N82" i="12"/>
  <c r="Y51" i="14"/>
  <c r="AH51" i="13"/>
  <c r="AA229" i="14"/>
  <c r="AA238" i="12"/>
  <c r="AE70" i="13"/>
  <c r="AJ70" i="12"/>
  <c r="AD61" i="16"/>
  <c r="AV13" i="15"/>
  <c r="AY13" i="15"/>
  <c r="AZ13" i="15"/>
  <c r="AU13" i="15"/>
  <c r="L63" i="11"/>
  <c r="J65" i="12"/>
  <c r="N65" i="11"/>
  <c r="AG51" i="14"/>
  <c r="L105" i="12"/>
  <c r="J104" i="12"/>
  <c r="I77" i="14"/>
  <c r="AG92" i="16"/>
  <c r="AB180" i="13"/>
  <c r="AI180" i="12"/>
  <c r="AI176" i="12" s="1"/>
  <c r="AD176" i="12"/>
  <c r="AB107" i="14"/>
  <c r="AI107" i="13"/>
  <c r="AU17" i="9"/>
  <c r="J52" i="13"/>
  <c r="N52" i="12"/>
  <c r="AG245" i="13"/>
  <c r="AE60" i="12"/>
  <c r="AJ60" i="11"/>
  <c r="AJ58" i="11" s="1"/>
  <c r="AJ57" i="11" s="1"/>
  <c r="AG58" i="11"/>
  <c r="AG57" i="11" s="1"/>
  <c r="AJ22" i="11"/>
  <c r="AJ20" i="11" s="1"/>
  <c r="AJ16" i="11" s="1"/>
  <c r="AG20" i="11"/>
  <c r="AG16" i="11" s="1"/>
  <c r="AE22" i="12"/>
  <c r="M25" i="11"/>
  <c r="I27" i="12"/>
  <c r="G25" i="12"/>
  <c r="AJ241" i="11"/>
  <c r="AE241" i="12"/>
  <c r="AG235" i="11"/>
  <c r="AG234" i="11" s="1"/>
  <c r="AG232" i="11" s="1"/>
  <c r="L74" i="13"/>
  <c r="AG203" i="13"/>
  <c r="AE204" i="14"/>
  <c r="AJ204" i="13"/>
  <c r="AJ203" i="13" s="1"/>
  <c r="AG174" i="12"/>
  <c r="AE172" i="12"/>
  <c r="J122" i="16"/>
  <c r="N122" i="15"/>
  <c r="AG93" i="14"/>
  <c r="M71" i="16"/>
  <c r="AB143" i="15"/>
  <c r="AI143" i="14"/>
  <c r="AE19" i="13"/>
  <c r="AJ19" i="12"/>
  <c r="AG237" i="14"/>
  <c r="AD67" i="12"/>
  <c r="AA215" i="12"/>
  <c r="Y211" i="12"/>
  <c r="Y210" i="12" s="1"/>
  <c r="Y209" i="12" s="1"/>
  <c r="Y207" i="12" s="1"/>
  <c r="AG158" i="12"/>
  <c r="L24" i="13"/>
  <c r="AD229" i="13"/>
  <c r="AB191" i="13"/>
  <c r="AI191" i="12"/>
  <c r="AE48" i="13"/>
  <c r="AJ48" i="12"/>
  <c r="AD36" i="14"/>
  <c r="AZ13" i="16"/>
  <c r="AV13" i="16"/>
  <c r="AE115" i="14"/>
  <c r="AJ115" i="13"/>
  <c r="AE18" i="14"/>
  <c r="AJ18" i="13"/>
  <c r="AE215" i="12"/>
  <c r="AJ215" i="11"/>
  <c r="AJ211" i="11" s="1"/>
  <c r="AJ210" i="11" s="1"/>
  <c r="AJ209" i="11" s="1"/>
  <c r="AJ207" i="11" s="1"/>
  <c r="AG211" i="11"/>
  <c r="AG210" i="11" s="1"/>
  <c r="AG209" i="11" s="1"/>
  <c r="AG207" i="11" s="1"/>
  <c r="AS29" i="11" s="1"/>
  <c r="AX29" i="11" s="1"/>
  <c r="AZ29" i="11" s="1"/>
  <c r="AE188" i="12"/>
  <c r="AG187" i="11"/>
  <c r="AG185" i="11" s="1"/>
  <c r="AJ188" i="11"/>
  <c r="AJ187" i="11" s="1"/>
  <c r="AJ185" i="11" s="1"/>
  <c r="AG85" i="13"/>
  <c r="AA67" i="16"/>
  <c r="AE81" i="13"/>
  <c r="AJ81" i="12"/>
  <c r="G86" i="12"/>
  <c r="I85" i="11"/>
  <c r="M86" i="11"/>
  <c r="M85" i="11" s="1"/>
  <c r="BO27" i="11"/>
  <c r="AA207" i="11"/>
  <c r="AG40" i="15"/>
  <c r="AE95" i="13"/>
  <c r="AJ95" i="12"/>
  <c r="F104" i="16"/>
  <c r="BC19" i="16"/>
  <c r="C23" i="20" s="1"/>
  <c r="M105" i="16"/>
  <c r="AE73" i="12"/>
  <c r="AJ73" i="11"/>
  <c r="AJ69" i="11" s="1"/>
  <c r="AJ65" i="11" s="1"/>
  <c r="AG69" i="11"/>
  <c r="AG65" i="11" s="1"/>
  <c r="AE228" i="12"/>
  <c r="AG227" i="11"/>
  <c r="AJ228" i="11"/>
  <c r="AJ227" i="11" s="1"/>
  <c r="AE141" i="12"/>
  <c r="AG142" i="12"/>
  <c r="Y27" i="13"/>
  <c r="AH27" i="12"/>
  <c r="AG177" i="12"/>
  <c r="AD212" i="14"/>
  <c r="AX23" i="10"/>
  <c r="AV23" i="10"/>
  <c r="AD213" i="13"/>
  <c r="J37" i="13"/>
  <c r="N37" i="12"/>
  <c r="I67" i="16"/>
  <c r="G48" i="12"/>
  <c r="I50" i="12"/>
  <c r="L86" i="12"/>
  <c r="J85" i="12"/>
  <c r="J68" i="14"/>
  <c r="N68" i="13"/>
  <c r="AB248" i="12"/>
  <c r="AI248" i="11"/>
  <c r="AI243" i="11" s="1"/>
  <c r="AD243" i="11"/>
  <c r="AA196" i="13"/>
  <c r="G95" i="14"/>
  <c r="M95" i="13"/>
  <c r="AE173" i="14"/>
  <c r="AJ173" i="13"/>
  <c r="AD197" i="13"/>
  <c r="AG148" i="14"/>
  <c r="K1" i="9"/>
  <c r="AG168" i="14"/>
  <c r="AH40" i="13"/>
  <c r="Y40" i="14"/>
  <c r="AB245" i="15"/>
  <c r="AI245" i="14"/>
  <c r="AE124" i="13"/>
  <c r="AJ124" i="12"/>
  <c r="L15" i="13"/>
  <c r="J10" i="13"/>
  <c r="AA70" i="12"/>
  <c r="AD23" i="15"/>
  <c r="AG106" i="12"/>
  <c r="AE105" i="12"/>
  <c r="AE104" i="12" s="1"/>
  <c r="AG236" i="16"/>
  <c r="AD26" i="13"/>
  <c r="AG238" i="13"/>
  <c r="G55" i="14"/>
  <c r="M55" i="13"/>
  <c r="Y149" i="12"/>
  <c r="Y147" i="12" s="1"/>
  <c r="AA152" i="12"/>
  <c r="AG45" i="16"/>
  <c r="M36" i="13"/>
  <c r="G36" i="14"/>
  <c r="AG84" i="14"/>
  <c r="AD132" i="16"/>
  <c r="AE59" i="13"/>
  <c r="AJ59" i="12"/>
  <c r="AE17" i="15"/>
  <c r="AS22" i="14"/>
  <c r="AJ17" i="14"/>
  <c r="L27" i="13"/>
  <c r="AB239" i="14"/>
  <c r="AI239" i="13"/>
  <c r="AZ22" i="13"/>
  <c r="AD166" i="14"/>
  <c r="AQ25" i="14" l="1"/>
  <c r="BN15" i="14"/>
  <c r="BH10" i="14" s="1"/>
  <c r="AQ30" i="14"/>
  <c r="AU28" i="10"/>
  <c r="Y110" i="11"/>
  <c r="AB145" i="11"/>
  <c r="AU24" i="10"/>
  <c r="AH12" i="10"/>
  <c r="AH10" i="10" s="1"/>
  <c r="AH258" i="10" s="1"/>
  <c r="BP24" i="10"/>
  <c r="BP22" i="10" s="1"/>
  <c r="BJ11" i="10" s="1"/>
  <c r="J28" i="11"/>
  <c r="AA110" i="10"/>
  <c r="AJ12" i="10"/>
  <c r="AJ10" i="10" s="1"/>
  <c r="AJ258" i="10" s="1"/>
  <c r="W12" i="15"/>
  <c r="W10" i="15" s="1"/>
  <c r="W258" i="15" s="1"/>
  <c r="L128" i="11"/>
  <c r="V10" i="14"/>
  <c r="V8" i="14" s="1"/>
  <c r="BO13" i="10"/>
  <c r="X14" i="14"/>
  <c r="C18" i="20"/>
  <c r="BN16" i="15"/>
  <c r="BD17" i="11"/>
  <c r="X12" i="14"/>
  <c r="X10" i="14" s="1"/>
  <c r="X258" i="14" s="1"/>
  <c r="AX25" i="10"/>
  <c r="AZ25" i="10" s="1"/>
  <c r="V170" i="16"/>
  <c r="AD117" i="12"/>
  <c r="AB114" i="12"/>
  <c r="AG94" i="12"/>
  <c r="AE91" i="12"/>
  <c r="Y46" i="12"/>
  <c r="AH46" i="11"/>
  <c r="AH44" i="11" s="1"/>
  <c r="AA44" i="11"/>
  <c r="W145" i="16"/>
  <c r="F28" i="15"/>
  <c r="AB161" i="12"/>
  <c r="AD157" i="11"/>
  <c r="AD155" i="11" s="1"/>
  <c r="AI161" i="11"/>
  <c r="AI157" i="11" s="1"/>
  <c r="AI155" i="11" s="1"/>
  <c r="BH8" i="14"/>
  <c r="AA124" i="13"/>
  <c r="Y123" i="13"/>
  <c r="W110" i="16"/>
  <c r="V220" i="16"/>
  <c r="V258" i="13"/>
  <c r="AJ223" i="11"/>
  <c r="AJ222" i="11" s="1"/>
  <c r="AJ220" i="11" s="1"/>
  <c r="AE223" i="12"/>
  <c r="AG222" i="11"/>
  <c r="AG220" i="11" s="1"/>
  <c r="AS30" i="11" s="1"/>
  <c r="AG12" i="10"/>
  <c r="AG10" i="10" s="1"/>
  <c r="AE258" i="10"/>
  <c r="M8" i="10"/>
  <c r="M126" i="10" s="1"/>
  <c r="M130" i="10" s="1"/>
  <c r="AX26" i="10"/>
  <c r="AZ26" i="10" s="1"/>
  <c r="AV26" i="10"/>
  <c r="AB63" i="11"/>
  <c r="AB12" i="11" s="1"/>
  <c r="BN31" i="16"/>
  <c r="C55" i="20" s="1"/>
  <c r="V90" i="16"/>
  <c r="V63" i="16" s="1"/>
  <c r="AE145" i="11"/>
  <c r="AE110" i="11" s="1"/>
  <c r="BN12" i="15"/>
  <c r="BN9" i="15" s="1"/>
  <c r="BN25" i="14"/>
  <c r="BH12" i="14" s="1"/>
  <c r="BN28" i="15"/>
  <c r="X193" i="15"/>
  <c r="AQ28" i="15" s="1"/>
  <c r="AQ14" i="14"/>
  <c r="AQ17" i="14" s="1"/>
  <c r="AE14" i="11"/>
  <c r="AD106" i="12"/>
  <c r="AB105" i="12"/>
  <c r="AB104" i="12" s="1"/>
  <c r="AH21" i="16"/>
  <c r="AJ21" i="16"/>
  <c r="AE150" i="12"/>
  <c r="AJ150" i="11"/>
  <c r="AJ149" i="11" s="1"/>
  <c r="AJ147" i="11" s="1"/>
  <c r="AG149" i="11"/>
  <c r="AG147" i="11" s="1"/>
  <c r="M61" i="11"/>
  <c r="M60" i="11" s="1"/>
  <c r="I60" i="11"/>
  <c r="G61" i="12"/>
  <c r="AI60" i="16"/>
  <c r="X58" i="16"/>
  <c r="X57" i="16" s="1"/>
  <c r="AH60" i="16"/>
  <c r="AW30" i="10"/>
  <c r="AY30" i="10" s="1"/>
  <c r="BC22" i="14"/>
  <c r="AE63" i="11"/>
  <c r="X258" i="12"/>
  <c r="AQ31" i="12" s="1"/>
  <c r="V112" i="16"/>
  <c r="V110" i="16" s="1"/>
  <c r="AH223" i="11"/>
  <c r="AH222" i="11" s="1"/>
  <c r="AH220" i="11" s="1"/>
  <c r="AA222" i="11"/>
  <c r="AA220" i="11" s="1"/>
  <c r="BO30" i="11" s="1"/>
  <c r="BI14" i="11" s="1"/>
  <c r="Y223" i="12"/>
  <c r="J71" i="13"/>
  <c r="N71" i="12"/>
  <c r="N69" i="12" s="1"/>
  <c r="L69" i="12"/>
  <c r="AA91" i="11"/>
  <c r="Y93" i="12"/>
  <c r="AH93" i="11"/>
  <c r="AH91" i="11" s="1"/>
  <c r="AD51" i="12"/>
  <c r="AB49" i="12"/>
  <c r="AD46" i="12"/>
  <c r="AB44" i="12"/>
  <c r="Y107" i="12"/>
  <c r="AH107" i="11"/>
  <c r="AH105" i="11" s="1"/>
  <c r="AH104" i="11" s="1"/>
  <c r="AA105" i="11"/>
  <c r="AA104" i="11" s="1"/>
  <c r="Y52" i="12"/>
  <c r="AH52" i="11"/>
  <c r="AH49" i="11" s="1"/>
  <c r="AA49" i="11"/>
  <c r="Y188" i="13"/>
  <c r="AH188" i="12"/>
  <c r="AH187" i="12" s="1"/>
  <c r="AH185" i="12" s="1"/>
  <c r="AA187" i="12"/>
  <c r="AA185" i="12" s="1"/>
  <c r="Y98" i="12"/>
  <c r="AA96" i="11"/>
  <c r="AH98" i="11"/>
  <c r="AH96" i="11" s="1"/>
  <c r="L47" i="12"/>
  <c r="J45" i="12"/>
  <c r="L26" i="12"/>
  <c r="J25" i="12"/>
  <c r="Y90" i="11"/>
  <c r="Y63" i="11" s="1"/>
  <c r="AB85" i="12"/>
  <c r="AD83" i="11"/>
  <c r="AR24" i="11" s="1"/>
  <c r="AI85" i="11"/>
  <c r="AI83" i="11" s="1"/>
  <c r="Y167" i="12"/>
  <c r="BO19" i="11"/>
  <c r="AH167" i="11"/>
  <c r="AH157" i="11" s="1"/>
  <c r="AH155" i="11" s="1"/>
  <c r="AH145" i="11" s="1"/>
  <c r="AA157" i="11"/>
  <c r="AA155" i="11" s="1"/>
  <c r="AD92" i="12"/>
  <c r="AB91" i="12"/>
  <c r="AI43" i="11"/>
  <c r="AI14" i="11" s="1"/>
  <c r="AA59" i="12"/>
  <c r="Y58" i="12"/>
  <c r="Y57" i="12" s="1"/>
  <c r="AJ229" i="16"/>
  <c r="X227" i="16"/>
  <c r="BI8" i="10"/>
  <c r="BI7" i="10" s="1"/>
  <c r="BI16" i="10" s="1"/>
  <c r="Y14" i="11"/>
  <c r="BP25" i="10"/>
  <c r="BJ12" i="10" s="1"/>
  <c r="X220" i="15"/>
  <c r="BN30" i="15" s="1"/>
  <c r="BH14" i="15" s="1"/>
  <c r="AE159" i="12"/>
  <c r="AJ159" i="11"/>
  <c r="AJ157" i="11" s="1"/>
  <c r="AJ155" i="11" s="1"/>
  <c r="AG157" i="11"/>
  <c r="AG155" i="11" s="1"/>
  <c r="J36" i="12"/>
  <c r="N36" i="11"/>
  <c r="N35" i="11" s="1"/>
  <c r="L35" i="11"/>
  <c r="AB116" i="14"/>
  <c r="AI116" i="13"/>
  <c r="AH177" i="11"/>
  <c r="AH176" i="11" s="1"/>
  <c r="Y177" i="12"/>
  <c r="BO23" i="11"/>
  <c r="AA176" i="11"/>
  <c r="J83" i="12"/>
  <c r="N83" i="11"/>
  <c r="N81" i="11" s="1"/>
  <c r="L81" i="11"/>
  <c r="G58" i="12"/>
  <c r="I57" i="11"/>
  <c r="M58" i="11"/>
  <c r="M57" i="11" s="1"/>
  <c r="J23" i="12"/>
  <c r="N23" i="11"/>
  <c r="N22" i="11" s="1"/>
  <c r="L22" i="11"/>
  <c r="AS7" i="11" s="1"/>
  <c r="AV7" i="11" s="1"/>
  <c r="AX7" i="11"/>
  <c r="AZ7" i="11" s="1"/>
  <c r="X112" i="15"/>
  <c r="X145" i="15"/>
  <c r="BN23" i="16"/>
  <c r="C47" i="20" s="1"/>
  <c r="AI177" i="16"/>
  <c r="I45" i="11"/>
  <c r="M46" i="11"/>
  <c r="M45" i="11" s="1"/>
  <c r="BD15" i="11"/>
  <c r="G46" i="12"/>
  <c r="F10" i="16"/>
  <c r="M13" i="16"/>
  <c r="N13" i="16"/>
  <c r="BC7" i="15"/>
  <c r="AQ16" i="15"/>
  <c r="M49" i="16"/>
  <c r="F48" i="16"/>
  <c r="I56" i="12"/>
  <c r="G54" i="12"/>
  <c r="AJ24" i="16"/>
  <c r="AI24" i="16"/>
  <c r="X20" i="16"/>
  <c r="X16" i="16" s="1"/>
  <c r="AQ23" i="16" s="1"/>
  <c r="AH24" i="16"/>
  <c r="AJ107" i="16"/>
  <c r="X105" i="16"/>
  <c r="X104" i="16" s="1"/>
  <c r="BC21" i="16"/>
  <c r="C25" i="20" s="1"/>
  <c r="F22" i="16"/>
  <c r="AQ7" i="16" s="1"/>
  <c r="F128" i="16"/>
  <c r="M24" i="16"/>
  <c r="AH224" i="16"/>
  <c r="AJ224" i="16"/>
  <c r="X222" i="16"/>
  <c r="X220" i="16" s="1"/>
  <c r="BN30" i="16" s="1"/>
  <c r="Y180" i="14"/>
  <c r="AH180" i="13"/>
  <c r="V12" i="15"/>
  <c r="V10" i="15" s="1"/>
  <c r="V8" i="15" s="1"/>
  <c r="AJ225" i="16"/>
  <c r="AH225" i="16"/>
  <c r="G31" i="12"/>
  <c r="M31" i="11"/>
  <c r="M29" i="11" s="1"/>
  <c r="I29" i="11"/>
  <c r="I28" i="11" s="1"/>
  <c r="AR9" i="11" s="1"/>
  <c r="AU9" i="11" s="1"/>
  <c r="W63" i="16"/>
  <c r="BC10" i="15"/>
  <c r="BC9" i="15" s="1"/>
  <c r="BC8" i="15" s="1"/>
  <c r="AI38" i="16"/>
  <c r="AI196" i="16"/>
  <c r="X195" i="16"/>
  <c r="X194" i="16" s="1"/>
  <c r="AJ196" i="16"/>
  <c r="AE38" i="12"/>
  <c r="AG35" i="11"/>
  <c r="AJ38" i="11"/>
  <c r="AJ35" i="11" s="1"/>
  <c r="AE52" i="12"/>
  <c r="AJ52" i="11"/>
  <c r="AJ49" i="11" s="1"/>
  <c r="AJ43" i="11" s="1"/>
  <c r="AG49" i="11"/>
  <c r="AG43" i="11" s="1"/>
  <c r="I70" i="12"/>
  <c r="G69" i="12"/>
  <c r="AH143" i="16"/>
  <c r="AJ143" i="16"/>
  <c r="X141" i="16"/>
  <c r="BN20" i="16" s="1"/>
  <c r="C44" i="20" s="1"/>
  <c r="X90" i="15"/>
  <c r="V234" i="16"/>
  <c r="V232" i="16" s="1"/>
  <c r="F35" i="16"/>
  <c r="AI251" i="16"/>
  <c r="AH251" i="16"/>
  <c r="AJ251" i="16"/>
  <c r="AI100" i="16"/>
  <c r="AH100" i="16"/>
  <c r="AJ100" i="16"/>
  <c r="X96" i="16"/>
  <c r="I74" i="12"/>
  <c r="G72" i="12"/>
  <c r="AH150" i="16"/>
  <c r="AI150" i="16"/>
  <c r="X149" i="16"/>
  <c r="X147" i="16" s="1"/>
  <c r="N64" i="16"/>
  <c r="BC14" i="16"/>
  <c r="C14" i="20" s="1"/>
  <c r="F63" i="16"/>
  <c r="AI159" i="16"/>
  <c r="AH117" i="16"/>
  <c r="X114" i="16"/>
  <c r="AJ98" i="11"/>
  <c r="AJ96" i="11" s="1"/>
  <c r="AJ90" i="11" s="1"/>
  <c r="AE98" i="12"/>
  <c r="AG96" i="11"/>
  <c r="AG90" i="11" s="1"/>
  <c r="AI174" i="11"/>
  <c r="AI172" i="11" s="1"/>
  <c r="AD172" i="11"/>
  <c r="AB174" i="12"/>
  <c r="Y38" i="12"/>
  <c r="AH38" i="11"/>
  <c r="AH35" i="11" s="1"/>
  <c r="AA35" i="11"/>
  <c r="E28" i="16"/>
  <c r="E21" i="16" s="1"/>
  <c r="E19" i="16" s="1"/>
  <c r="E17" i="16" s="1"/>
  <c r="E8" i="16" s="1"/>
  <c r="E126" i="16" s="1"/>
  <c r="E130" i="16" s="1"/>
  <c r="M82" i="16"/>
  <c r="F81" i="16"/>
  <c r="X35" i="16"/>
  <c r="V14" i="16"/>
  <c r="V12" i="16" s="1"/>
  <c r="AH198" i="16"/>
  <c r="AI198" i="16"/>
  <c r="AJ198" i="16"/>
  <c r="BC15" i="16"/>
  <c r="C15" i="20" s="1"/>
  <c r="F45" i="16"/>
  <c r="M28" i="11"/>
  <c r="AW14" i="11"/>
  <c r="AY14" i="11" s="1"/>
  <c r="D21" i="16"/>
  <c r="D19" i="16" s="1"/>
  <c r="D17" i="16" s="1"/>
  <c r="AB170" i="11"/>
  <c r="AI173" i="16"/>
  <c r="X172" i="16"/>
  <c r="I37" i="12"/>
  <c r="G35" i="12"/>
  <c r="AB199" i="12"/>
  <c r="AI199" i="11"/>
  <c r="AI195" i="11" s="1"/>
  <c r="AI194" i="11" s="1"/>
  <c r="AI193" i="11" s="1"/>
  <c r="AD195" i="11"/>
  <c r="AD194" i="11" s="1"/>
  <c r="N31" i="16"/>
  <c r="F29" i="16"/>
  <c r="AH39" i="16"/>
  <c r="AI39" i="16"/>
  <c r="AJ39" i="16"/>
  <c r="BC17" i="16"/>
  <c r="C17" i="20" s="1"/>
  <c r="BN29" i="14"/>
  <c r="BH13" i="14" s="1"/>
  <c r="AG117" i="12"/>
  <c r="AE114" i="12"/>
  <c r="Y228" i="13"/>
  <c r="AH228" i="12"/>
  <c r="AH227" i="12" s="1"/>
  <c r="AA227" i="12"/>
  <c r="BP14" i="11"/>
  <c r="BJ9" i="11" s="1"/>
  <c r="AD37" i="12"/>
  <c r="AB35" i="12"/>
  <c r="L56" i="12"/>
  <c r="J54" i="12"/>
  <c r="AI10" i="10"/>
  <c r="AI258" i="10" s="1"/>
  <c r="X43" i="15"/>
  <c r="AW15" i="12"/>
  <c r="AY15" i="12" s="1"/>
  <c r="AU15" i="12"/>
  <c r="W170" i="16"/>
  <c r="I115" i="13"/>
  <c r="G113" i="13"/>
  <c r="BN8" i="13"/>
  <c r="BN7" i="13" s="1"/>
  <c r="BN32" i="13" s="1"/>
  <c r="BC20" i="16"/>
  <c r="C24" i="20" s="1"/>
  <c r="F113" i="16"/>
  <c r="AQ15" i="16" s="1"/>
  <c r="N115" i="16"/>
  <c r="L119" i="12"/>
  <c r="J113" i="12"/>
  <c r="AV15" i="11"/>
  <c r="AX15" i="11"/>
  <c r="AZ15" i="11" s="1"/>
  <c r="AR14" i="10"/>
  <c r="AU14" i="10" s="1"/>
  <c r="AB8" i="10"/>
  <c r="AD8" i="9"/>
  <c r="AC1" i="9" s="1"/>
  <c r="BN8" i="14"/>
  <c r="W43" i="16"/>
  <c r="W14" i="16" s="1"/>
  <c r="X258" i="13"/>
  <c r="AF258" i="10"/>
  <c r="BQ33" i="10" s="1"/>
  <c r="AE12" i="11"/>
  <c r="AJ8" i="10"/>
  <c r="AD110" i="10"/>
  <c r="AR26" i="10" s="1"/>
  <c r="AW26" i="10" s="1"/>
  <c r="AY26" i="10" s="1"/>
  <c r="AB110" i="11"/>
  <c r="BO8" i="10"/>
  <c r="BO7" i="10" s="1"/>
  <c r="BO32" i="10" s="1"/>
  <c r="AY35" i="9"/>
  <c r="BN17" i="15"/>
  <c r="I30" i="14"/>
  <c r="AJ151" i="13"/>
  <c r="AE151" i="14"/>
  <c r="J5" i="9"/>
  <c r="J21" i="11"/>
  <c r="J19" i="11" s="1"/>
  <c r="J17" i="11" s="1"/>
  <c r="J8" i="11" s="1"/>
  <c r="J126" i="11" s="1"/>
  <c r="J130" i="11" s="1"/>
  <c r="Y94" i="16"/>
  <c r="G73" i="14"/>
  <c r="M73" i="13"/>
  <c r="N8" i="10"/>
  <c r="N126" i="10" s="1"/>
  <c r="N130" i="10" s="1"/>
  <c r="I17" i="10"/>
  <c r="BJ8" i="10"/>
  <c r="BP8" i="10"/>
  <c r="X83" i="16"/>
  <c r="AI86" i="16"/>
  <c r="AI45" i="16"/>
  <c r="AH45" i="16"/>
  <c r="X44" i="16"/>
  <c r="L80" i="12"/>
  <c r="J78" i="12"/>
  <c r="L78" i="12" s="1"/>
  <c r="N78" i="12" s="1"/>
  <c r="AD50" i="14"/>
  <c r="AB215" i="12"/>
  <c r="AI215" i="11"/>
  <c r="AI211" i="11" s="1"/>
  <c r="AI210" i="11" s="1"/>
  <c r="AI209" i="11" s="1"/>
  <c r="AI207" i="11" s="1"/>
  <c r="AD211" i="11"/>
  <c r="AD210" i="11" s="1"/>
  <c r="AD209" i="11" s="1"/>
  <c r="F8" i="13"/>
  <c r="D8" i="15"/>
  <c r="D126" i="15" s="1"/>
  <c r="D130" i="15" s="1"/>
  <c r="I12" i="13"/>
  <c r="G10" i="13"/>
  <c r="AD99" i="12"/>
  <c r="AB96" i="12"/>
  <c r="M79" i="12"/>
  <c r="G79" i="13"/>
  <c r="AH245" i="16"/>
  <c r="X243" i="16"/>
  <c r="AH158" i="16"/>
  <c r="AI158" i="16"/>
  <c r="X157" i="16"/>
  <c r="X155" i="16" s="1"/>
  <c r="BN17" i="16" s="1"/>
  <c r="C41" i="20" s="1"/>
  <c r="L75" i="11"/>
  <c r="J76" i="12"/>
  <c r="N76" i="11"/>
  <c r="N75" i="11" s="1"/>
  <c r="BN24" i="14"/>
  <c r="BN22" i="14" s="1"/>
  <c r="BH11" i="14" s="1"/>
  <c r="BH7" i="14" s="1"/>
  <c r="AQ27" i="14"/>
  <c r="AH54" i="16"/>
  <c r="AI54" i="16"/>
  <c r="X49" i="16"/>
  <c r="L43" i="13"/>
  <c r="L67" i="12"/>
  <c r="J66" i="12"/>
  <c r="N95" i="11"/>
  <c r="N94" i="11" s="1"/>
  <c r="L94" i="11"/>
  <c r="J95" i="12"/>
  <c r="AE153" i="13"/>
  <c r="AJ153" i="12"/>
  <c r="AE86" i="12"/>
  <c r="AJ86" i="11"/>
  <c r="AJ83" i="11" s="1"/>
  <c r="AG83" i="11"/>
  <c r="AB190" i="12"/>
  <c r="AI190" i="11"/>
  <c r="AI187" i="11" s="1"/>
  <c r="AI185" i="11" s="1"/>
  <c r="AD187" i="11"/>
  <c r="AD185" i="11" s="1"/>
  <c r="J61" i="14"/>
  <c r="N61" i="13"/>
  <c r="Y133" i="15"/>
  <c r="AH133" i="14"/>
  <c r="X170" i="15"/>
  <c r="BH15" i="16"/>
  <c r="AD88" i="15"/>
  <c r="AH92" i="16"/>
  <c r="X91" i="16"/>
  <c r="J62" i="13"/>
  <c r="N62" i="12"/>
  <c r="N60" i="12" s="1"/>
  <c r="L60" i="12"/>
  <c r="L55" i="13"/>
  <c r="G66" i="12"/>
  <c r="I68" i="12"/>
  <c r="AB66" i="12"/>
  <c r="AR22" i="11"/>
  <c r="BP10" i="11"/>
  <c r="AI66" i="11"/>
  <c r="AI65" i="11" s="1"/>
  <c r="AD65" i="11"/>
  <c r="I33" i="12"/>
  <c r="G32" i="12"/>
  <c r="AH212" i="16"/>
  <c r="BN26" i="16"/>
  <c r="C50" i="20" s="1"/>
  <c r="X211" i="16"/>
  <c r="X210" i="16" s="1"/>
  <c r="X209" i="16" s="1"/>
  <c r="AC259" i="11"/>
  <c r="AA259" i="11"/>
  <c r="T15" i="12"/>
  <c r="AE259" i="12" s="1"/>
  <c r="AF259" i="11"/>
  <c r="Z259" i="11"/>
  <c r="X259" i="11"/>
  <c r="Y259" i="11"/>
  <c r="W259" i="11"/>
  <c r="AH259" i="11"/>
  <c r="V259" i="11"/>
  <c r="U259" i="11"/>
  <c r="AB259" i="11"/>
  <c r="AE259" i="11"/>
  <c r="AD259" i="11"/>
  <c r="Y197" i="12"/>
  <c r="AH197" i="11"/>
  <c r="AH195" i="11" s="1"/>
  <c r="AH194" i="11" s="1"/>
  <c r="AH193" i="11" s="1"/>
  <c r="AA195" i="11"/>
  <c r="AA194" i="11" s="1"/>
  <c r="AB203" i="12"/>
  <c r="AD204" i="12"/>
  <c r="L44" i="12"/>
  <c r="J42" i="12"/>
  <c r="AB125" i="12"/>
  <c r="AI125" i="11"/>
  <c r="AI123" i="11" s="1"/>
  <c r="AI112" i="11" s="1"/>
  <c r="AD123" i="11"/>
  <c r="A1" i="12"/>
  <c r="F126" i="12"/>
  <c r="F130" i="12" s="1"/>
  <c r="AQ9" i="15"/>
  <c r="F21" i="15"/>
  <c r="F19" i="15" s="1"/>
  <c r="AB189" i="13"/>
  <c r="AI189" i="12"/>
  <c r="J49" i="12"/>
  <c r="L48" i="11"/>
  <c r="N49" i="11"/>
  <c r="N48" i="11" s="1"/>
  <c r="BN27" i="15"/>
  <c r="X207" i="15"/>
  <c r="AQ29" i="15" s="1"/>
  <c r="AR31" i="9"/>
  <c r="BP33" i="9"/>
  <c r="Y236" i="12"/>
  <c r="AH236" i="11"/>
  <c r="AH235" i="11" s="1"/>
  <c r="AA235" i="11"/>
  <c r="AU35" i="8"/>
  <c r="AU32" i="8"/>
  <c r="AV35" i="8"/>
  <c r="AI94" i="16"/>
  <c r="AD75" i="12"/>
  <c r="AB69" i="12"/>
  <c r="Y86" i="12"/>
  <c r="AH86" i="11"/>
  <c r="AH83" i="11" s="1"/>
  <c r="AA83" i="11"/>
  <c r="BO14" i="11" s="1"/>
  <c r="BI9" i="11" s="1"/>
  <c r="G65" i="12"/>
  <c r="G63" i="12" s="1"/>
  <c r="M65" i="11"/>
  <c r="BD21" i="11"/>
  <c r="I128" i="11"/>
  <c r="L58" i="12"/>
  <c r="J57" i="12"/>
  <c r="L32" i="11"/>
  <c r="L28" i="11" s="1"/>
  <c r="J33" i="12"/>
  <c r="N33" i="11"/>
  <c r="N32" i="11" s="1"/>
  <c r="AX9" i="11"/>
  <c r="Y142" i="12"/>
  <c r="AA141" i="11"/>
  <c r="BO20" i="11" s="1"/>
  <c r="AH142" i="11"/>
  <c r="AH141" i="11" s="1"/>
  <c r="AH112" i="11" s="1"/>
  <c r="G23" i="12"/>
  <c r="M23" i="11"/>
  <c r="M22" i="11" s="1"/>
  <c r="AW7" i="11"/>
  <c r="AY7" i="11" s="1"/>
  <c r="BD12" i="11"/>
  <c r="BD10" i="11" s="1"/>
  <c r="BD9" i="11" s="1"/>
  <c r="BD8" i="11" s="1"/>
  <c r="I22" i="11"/>
  <c r="AD71" i="13"/>
  <c r="BH13" i="13"/>
  <c r="AD149" i="11"/>
  <c r="AD147" i="11" s="1"/>
  <c r="AB152" i="12"/>
  <c r="AI152" i="11"/>
  <c r="AI149" i="11" s="1"/>
  <c r="AI147" i="11" s="1"/>
  <c r="AI145" i="11" s="1"/>
  <c r="AY17" i="11"/>
  <c r="AD14" i="11"/>
  <c r="AH244" i="11"/>
  <c r="AH243" i="11" s="1"/>
  <c r="Y244" i="12"/>
  <c r="AA243" i="11"/>
  <c r="L46" i="13"/>
  <c r="G52" i="12"/>
  <c r="I51" i="11"/>
  <c r="M52" i="11"/>
  <c r="M51" i="11" s="1"/>
  <c r="AA115" i="12"/>
  <c r="Y114" i="12"/>
  <c r="AB58" i="12"/>
  <c r="AB57" i="12" s="1"/>
  <c r="AD59" i="12"/>
  <c r="AU27" i="10"/>
  <c r="AW27" i="10"/>
  <c r="AY27" i="10" s="1"/>
  <c r="J53" i="12"/>
  <c r="J128" i="12" s="1"/>
  <c r="N53" i="11"/>
  <c r="N51" i="11" s="1"/>
  <c r="L51" i="11"/>
  <c r="D10" i="18"/>
  <c r="BN18" i="16"/>
  <c r="C42" i="20" s="1"/>
  <c r="AH156" i="16"/>
  <c r="AI156" i="16"/>
  <c r="AJ156" i="16"/>
  <c r="AA106" i="13"/>
  <c r="AB228" i="13"/>
  <c r="AI228" i="12"/>
  <c r="AI227" i="12" s="1"/>
  <c r="AD227" i="12"/>
  <c r="AD97" i="13"/>
  <c r="AB225" i="12"/>
  <c r="AI225" i="11"/>
  <c r="BP31" i="11"/>
  <c r="BJ15" i="11" s="1"/>
  <c r="AD222" i="11"/>
  <c r="AD220" i="11" s="1"/>
  <c r="BP30" i="11" s="1"/>
  <c r="BJ14" i="11" s="1"/>
  <c r="AG46" i="12"/>
  <c r="AE44" i="12"/>
  <c r="AX31" i="11"/>
  <c r="AZ31" i="11" s="1"/>
  <c r="AW31" i="11"/>
  <c r="AY31" i="11" s="1"/>
  <c r="AQ32" i="11"/>
  <c r="AQ33" i="11" s="1"/>
  <c r="N73" i="11"/>
  <c r="N72" i="11" s="1"/>
  <c r="J73" i="12"/>
  <c r="L72" i="11"/>
  <c r="AS14" i="10"/>
  <c r="L17" i="10"/>
  <c r="AH179" i="16"/>
  <c r="AI179" i="16"/>
  <c r="AJ179" i="16"/>
  <c r="X176" i="16"/>
  <c r="AI214" i="16"/>
  <c r="AJ214" i="16"/>
  <c r="AH214" i="16"/>
  <c r="Y84" i="13"/>
  <c r="AH84" i="12"/>
  <c r="AJ136" i="11"/>
  <c r="AJ123" i="11" s="1"/>
  <c r="AJ112" i="11" s="1"/>
  <c r="AE136" i="12"/>
  <c r="AG123" i="11"/>
  <c r="AG112" i="11" s="1"/>
  <c r="AE178" i="12"/>
  <c r="AJ178" i="11"/>
  <c r="AJ176" i="11" s="1"/>
  <c r="AJ170" i="11" s="1"/>
  <c r="AG176" i="11"/>
  <c r="AG170" i="11" s="1"/>
  <c r="AS27" i="11" s="1"/>
  <c r="AX27" i="11" s="1"/>
  <c r="AZ27" i="11" s="1"/>
  <c r="AB236" i="12"/>
  <c r="AI236" i="11"/>
  <c r="AI235" i="11" s="1"/>
  <c r="AI234" i="11" s="1"/>
  <c r="AI232" i="11" s="1"/>
  <c r="AD235" i="11"/>
  <c r="AD234" i="11" s="1"/>
  <c r="AD232" i="11" s="1"/>
  <c r="BP29" i="11" s="1"/>
  <c r="BJ13" i="11" s="1"/>
  <c r="AD142" i="12"/>
  <c r="AB141" i="12"/>
  <c r="Y234" i="11"/>
  <c r="Y232" i="11" s="1"/>
  <c r="AA12" i="10"/>
  <c r="AA10" i="10" s="1"/>
  <c r="BH7" i="13"/>
  <c r="G21" i="11"/>
  <c r="G19" i="11" s="1"/>
  <c r="G17" i="11" s="1"/>
  <c r="BP15" i="10"/>
  <c r="BJ10" i="10" s="1"/>
  <c r="W234" i="16"/>
  <c r="W232" i="16" s="1"/>
  <c r="AU23" i="10"/>
  <c r="AW23" i="10"/>
  <c r="AY23" i="10" s="1"/>
  <c r="AQ24" i="15"/>
  <c r="BN14" i="15"/>
  <c r="BH9" i="15" s="1"/>
  <c r="Y173" i="12"/>
  <c r="AA172" i="11"/>
  <c r="AH173" i="11"/>
  <c r="AH172" i="11" s="1"/>
  <c r="AH170" i="11" s="1"/>
  <c r="L30" i="12"/>
  <c r="J29" i="12"/>
  <c r="AG195" i="11"/>
  <c r="AG194" i="11" s="1"/>
  <c r="AG193" i="11" s="1"/>
  <c r="AS28" i="11" s="1"/>
  <c r="AJ197" i="11"/>
  <c r="AJ195" i="11" s="1"/>
  <c r="AJ194" i="11" s="1"/>
  <c r="AJ193" i="11" s="1"/>
  <c r="AE197" i="12"/>
  <c r="AA204" i="12"/>
  <c r="Y203" i="12"/>
  <c r="BP13" i="11"/>
  <c r="AR25" i="11"/>
  <c r="AH8" i="10"/>
  <c r="I76" i="12"/>
  <c r="G75" i="12"/>
  <c r="AR16" i="12"/>
  <c r="BD7" i="12"/>
  <c r="AH134" i="16"/>
  <c r="AJ134" i="16"/>
  <c r="AU29" i="14"/>
  <c r="AV29" i="14"/>
  <c r="Y26" i="12"/>
  <c r="AH26" i="11"/>
  <c r="AH20" i="11" s="1"/>
  <c r="AH16" i="11" s="1"/>
  <c r="AA20" i="11"/>
  <c r="AA16" i="11" s="1"/>
  <c r="AH190" i="16"/>
  <c r="AJ190" i="16"/>
  <c r="X187" i="16"/>
  <c r="X185" i="16" s="1"/>
  <c r="N70" i="13"/>
  <c r="J70" i="14"/>
  <c r="N38" i="16"/>
  <c r="M38" i="16"/>
  <c r="BC13" i="16"/>
  <c r="Y80" i="12"/>
  <c r="AH80" i="11"/>
  <c r="AH69" i="11" s="1"/>
  <c r="AH65" i="11" s="1"/>
  <c r="AA69" i="11"/>
  <c r="AA65" i="11" s="1"/>
  <c r="AD21" i="12"/>
  <c r="AB20" i="12"/>
  <c r="AB16" i="12" s="1"/>
  <c r="AH240" i="16"/>
  <c r="AI240" i="16"/>
  <c r="AJ240" i="16"/>
  <c r="AH237" i="16"/>
  <c r="X235" i="16"/>
  <c r="AI237" i="16"/>
  <c r="X234" i="15"/>
  <c r="X232" i="15" s="1"/>
  <c r="AD239" i="14"/>
  <c r="AJ45" i="16"/>
  <c r="I55" i="14"/>
  <c r="AI166" i="14"/>
  <c r="AB166" i="15"/>
  <c r="J27" i="14"/>
  <c r="N27" i="13"/>
  <c r="AI132" i="16"/>
  <c r="AB23" i="16"/>
  <c r="AI23" i="15"/>
  <c r="AG124" i="13"/>
  <c r="AA40" i="14"/>
  <c r="AD248" i="12"/>
  <c r="AB243" i="12"/>
  <c r="G50" i="13"/>
  <c r="I48" i="12"/>
  <c r="M50" i="12"/>
  <c r="M48" i="12" s="1"/>
  <c r="L37" i="13"/>
  <c r="AG81" i="13"/>
  <c r="AE85" i="14"/>
  <c r="AJ85" i="13"/>
  <c r="AG115" i="14"/>
  <c r="AI36" i="14"/>
  <c r="AB36" i="15"/>
  <c r="AB229" i="14"/>
  <c r="AI229" i="13"/>
  <c r="Y215" i="13"/>
  <c r="AH215" i="12"/>
  <c r="AH211" i="12" s="1"/>
  <c r="AH210" i="12" s="1"/>
  <c r="AH209" i="12" s="1"/>
  <c r="AH207" i="12" s="1"/>
  <c r="AA211" i="12"/>
  <c r="AA210" i="12" s="1"/>
  <c r="AA209" i="12" s="1"/>
  <c r="Y229" i="15"/>
  <c r="AH229" i="14"/>
  <c r="L82" i="13"/>
  <c r="AJ186" i="12"/>
  <c r="AE186" i="13"/>
  <c r="AD70" i="14"/>
  <c r="AI26" i="13"/>
  <c r="AB26" i="14"/>
  <c r="AD245" i="15"/>
  <c r="AE174" i="13"/>
  <c r="AJ174" i="12"/>
  <c r="AJ172" i="12" s="1"/>
  <c r="AG172" i="12"/>
  <c r="AJ235" i="11"/>
  <c r="AJ234" i="11" s="1"/>
  <c r="AJ232" i="11" s="1"/>
  <c r="AJ259" i="11"/>
  <c r="AS23" i="11"/>
  <c r="G77" i="15"/>
  <c r="M77" i="14"/>
  <c r="AG17" i="15"/>
  <c r="AE84" i="15"/>
  <c r="AJ84" i="14"/>
  <c r="Y152" i="13"/>
  <c r="AA149" i="12"/>
  <c r="AA147" i="12" s="1"/>
  <c r="AH152" i="12"/>
  <c r="AH149" i="12" s="1"/>
  <c r="AH147" i="12" s="1"/>
  <c r="AE238" i="14"/>
  <c r="AJ238" i="13"/>
  <c r="J86" i="13"/>
  <c r="L85" i="12"/>
  <c r="N86" i="12"/>
  <c r="N85" i="12" s="1"/>
  <c r="AA27" i="13"/>
  <c r="AG228" i="12"/>
  <c r="AE227" i="12"/>
  <c r="AG95" i="13"/>
  <c r="AJ40" i="15"/>
  <c r="AE40" i="16"/>
  <c r="AG188" i="12"/>
  <c r="AE187" i="12"/>
  <c r="AE185" i="12" s="1"/>
  <c r="J24" i="14"/>
  <c r="N24" i="13"/>
  <c r="AD143" i="15"/>
  <c r="AG241" i="12"/>
  <c r="AE235" i="12"/>
  <c r="AE234" i="12" s="1"/>
  <c r="AE232" i="12" s="1"/>
  <c r="AG22" i="12"/>
  <c r="AE20" i="12"/>
  <c r="AE16" i="12" s="1"/>
  <c r="AE245" i="14"/>
  <c r="AJ245" i="13"/>
  <c r="L52" i="13"/>
  <c r="AD107" i="14"/>
  <c r="J105" i="13"/>
  <c r="L104" i="12"/>
  <c r="N105" i="12"/>
  <c r="N104" i="12" s="1"/>
  <c r="AI61" i="16"/>
  <c r="AA51" i="14"/>
  <c r="I97" i="13"/>
  <c r="G94" i="13"/>
  <c r="I44" i="14"/>
  <c r="G42" i="14"/>
  <c r="AE212" i="14"/>
  <c r="AJ212" i="13"/>
  <c r="G106" i="13"/>
  <c r="I104" i="12"/>
  <c r="BD19" i="12"/>
  <c r="M106" i="12"/>
  <c r="M104" i="12" s="1"/>
  <c r="I83" i="13"/>
  <c r="G81" i="13"/>
  <c r="AI22" i="16"/>
  <c r="AX22" i="14"/>
  <c r="AV22" i="14"/>
  <c r="AG59" i="13"/>
  <c r="I36" i="14"/>
  <c r="AJ236" i="16"/>
  <c r="AE106" i="13"/>
  <c r="AG105" i="12"/>
  <c r="AG104" i="12" s="1"/>
  <c r="AJ106" i="12"/>
  <c r="AJ105" i="12" s="1"/>
  <c r="AJ104" i="12" s="1"/>
  <c r="Y70" i="13"/>
  <c r="AH70" i="12"/>
  <c r="AE168" i="15"/>
  <c r="AJ168" i="14"/>
  <c r="F8" i="14"/>
  <c r="AE148" i="15"/>
  <c r="AJ148" i="14"/>
  <c r="AB197" i="14"/>
  <c r="AI197" i="13"/>
  <c r="I95" i="14"/>
  <c r="AB213" i="14"/>
  <c r="AI213" i="13"/>
  <c r="AB212" i="15"/>
  <c r="BP26" i="14"/>
  <c r="AI212" i="14"/>
  <c r="AG73" i="12"/>
  <c r="AE69" i="12"/>
  <c r="AE65" i="12" s="1"/>
  <c r="I86" i="12"/>
  <c r="G85" i="12"/>
  <c r="BO11" i="16"/>
  <c r="AH67" i="16"/>
  <c r="AG215" i="12"/>
  <c r="AE211" i="12"/>
  <c r="AE210" i="12" s="1"/>
  <c r="AE209" i="12" s="1"/>
  <c r="AE207" i="12" s="1"/>
  <c r="AG48" i="13"/>
  <c r="AB67" i="13"/>
  <c r="BP11" i="12"/>
  <c r="AI67" i="12"/>
  <c r="AE237" i="15"/>
  <c r="AJ237" i="14"/>
  <c r="L122" i="16"/>
  <c r="AE203" i="14"/>
  <c r="AG204" i="14"/>
  <c r="J74" i="14"/>
  <c r="N74" i="13"/>
  <c r="AG60" i="12"/>
  <c r="AE58" i="12"/>
  <c r="AE57" i="12" s="1"/>
  <c r="AD180" i="13"/>
  <c r="AB176" i="13"/>
  <c r="AJ92" i="16"/>
  <c r="J63" i="12"/>
  <c r="L65" i="12"/>
  <c r="AG70" i="13"/>
  <c r="Y238" i="13"/>
  <c r="AH238" i="12"/>
  <c r="AE54" i="13"/>
  <c r="AJ54" i="12"/>
  <c r="AI224" i="12"/>
  <c r="AB224" i="13"/>
  <c r="AA159" i="14"/>
  <c r="AH126" i="16"/>
  <c r="I64" i="12"/>
  <c r="J15" i="14"/>
  <c r="L10" i="13"/>
  <c r="N15" i="13"/>
  <c r="N10" i="13" s="1"/>
  <c r="AG173" i="14"/>
  <c r="Y196" i="14"/>
  <c r="AH196" i="13"/>
  <c r="BO26" i="13"/>
  <c r="L68" i="14"/>
  <c r="M67" i="16"/>
  <c r="AX32" i="10"/>
  <c r="AZ23" i="10"/>
  <c r="AZ32" i="10" s="1"/>
  <c r="AE177" i="13"/>
  <c r="AJ177" i="12"/>
  <c r="AJ142" i="12"/>
  <c r="AJ141" i="12" s="1"/>
  <c r="AG141" i="12"/>
  <c r="AE142" i="13"/>
  <c r="AG18" i="14"/>
  <c r="AD191" i="13"/>
  <c r="AE158" i="13"/>
  <c r="AJ158" i="12"/>
  <c r="AG19" i="13"/>
  <c r="AE93" i="15"/>
  <c r="AJ93" i="14"/>
  <c r="AW8" i="12"/>
  <c r="AY8" i="12" s="1"/>
  <c r="I25" i="12"/>
  <c r="G27" i="13"/>
  <c r="M27" i="12"/>
  <c r="AE51" i="15"/>
  <c r="AJ51" i="14"/>
  <c r="N63" i="11"/>
  <c r="AU8" i="11"/>
  <c r="AX16" i="12"/>
  <c r="AZ16" i="12" s="1"/>
  <c r="AV16" i="12"/>
  <c r="AE246" i="13"/>
  <c r="AJ246" i="12"/>
  <c r="AJ243" i="12" s="1"/>
  <c r="AG243" i="12"/>
  <c r="AB134" i="14"/>
  <c r="AI134" i="13"/>
  <c r="AG97" i="13"/>
  <c r="AI63" i="11" l="1"/>
  <c r="AI12" i="11" s="1"/>
  <c r="F28" i="16"/>
  <c r="AA43" i="11"/>
  <c r="AH110" i="11"/>
  <c r="AH43" i="11"/>
  <c r="AH14" i="11" s="1"/>
  <c r="V258" i="14"/>
  <c r="AR17" i="10"/>
  <c r="AU17" i="10" s="1"/>
  <c r="AB90" i="12"/>
  <c r="BN13" i="15"/>
  <c r="BH8" i="15" s="1"/>
  <c r="N128" i="11"/>
  <c r="M128" i="11"/>
  <c r="BN15" i="15"/>
  <c r="BH10" i="15" s="1"/>
  <c r="BN12" i="16"/>
  <c r="BN9" i="16" s="1"/>
  <c r="Y124" i="14"/>
  <c r="AH124" i="13"/>
  <c r="AH123" i="13" s="1"/>
  <c r="AA123" i="13"/>
  <c r="AD161" i="12"/>
  <c r="AB157" i="12"/>
  <c r="AB155" i="12" s="1"/>
  <c r="AE94" i="13"/>
  <c r="AJ94" i="12"/>
  <c r="AJ91" i="12" s="1"/>
  <c r="AG91" i="12"/>
  <c r="AA46" i="12"/>
  <c r="Y44" i="12"/>
  <c r="AD170" i="11"/>
  <c r="AR27" i="11" s="1"/>
  <c r="AJ63" i="11"/>
  <c r="AB117" i="13"/>
  <c r="AI117" i="12"/>
  <c r="AI114" i="12" s="1"/>
  <c r="AD114" i="12"/>
  <c r="AX30" i="11"/>
  <c r="AZ30" i="11" s="1"/>
  <c r="AV30" i="11"/>
  <c r="AG258" i="10"/>
  <c r="AS31" i="10" s="1"/>
  <c r="AV31" i="10" s="1"/>
  <c r="AG8" i="10"/>
  <c r="N28" i="11"/>
  <c r="N21" i="11" s="1"/>
  <c r="N19" i="11" s="1"/>
  <c r="N17" i="11" s="1"/>
  <c r="AF258" i="11" s="1"/>
  <c r="BQ33" i="11" s="1"/>
  <c r="AG223" i="12"/>
  <c r="AE222" i="12"/>
  <c r="AE220" i="12" s="1"/>
  <c r="X14" i="15"/>
  <c r="BN25" i="15"/>
  <c r="BH12" i="15" s="1"/>
  <c r="X112" i="16"/>
  <c r="AS25" i="11"/>
  <c r="AX25" i="11" s="1"/>
  <c r="AZ25" i="11" s="1"/>
  <c r="Y12" i="11"/>
  <c r="Y10" i="11" s="1"/>
  <c r="Y258" i="11" s="1"/>
  <c r="AE10" i="11"/>
  <c r="AE8" i="11" s="1"/>
  <c r="AA170" i="11"/>
  <c r="BO24" i="11" s="1"/>
  <c r="BO22" i="11" s="1"/>
  <c r="BI11" i="11" s="1"/>
  <c r="V10" i="16"/>
  <c r="V258" i="16" s="1"/>
  <c r="BN33" i="12"/>
  <c r="BH19" i="12" s="1"/>
  <c r="BH20" i="12" s="1"/>
  <c r="AG14" i="11"/>
  <c r="AI170" i="11"/>
  <c r="L36" i="12"/>
  <c r="J35" i="12"/>
  <c r="AB92" i="13"/>
  <c r="AD91" i="12"/>
  <c r="AI92" i="12"/>
  <c r="AI91" i="12" s="1"/>
  <c r="AA167" i="12"/>
  <c r="Y157" i="12"/>
  <c r="Y155" i="12" s="1"/>
  <c r="Y145" i="12" s="1"/>
  <c r="J47" i="13"/>
  <c r="N47" i="12"/>
  <c r="N45" i="12" s="1"/>
  <c r="L45" i="12"/>
  <c r="AA107" i="12"/>
  <c r="Y105" i="12"/>
  <c r="Y104" i="12" s="1"/>
  <c r="AB51" i="13"/>
  <c r="AI51" i="12"/>
  <c r="AI49" i="12" s="1"/>
  <c r="AD49" i="12"/>
  <c r="AG150" i="12"/>
  <c r="AE149" i="12"/>
  <c r="AE147" i="12" s="1"/>
  <c r="AX14" i="11"/>
  <c r="AZ14" i="11" s="1"/>
  <c r="AA177" i="12"/>
  <c r="Y176" i="12"/>
  <c r="AD116" i="14"/>
  <c r="AA58" i="12"/>
  <c r="AA57" i="12" s="1"/>
  <c r="AH59" i="12"/>
  <c r="AH58" i="12" s="1"/>
  <c r="AH57" i="12" s="1"/>
  <c r="Y59" i="13"/>
  <c r="BO17" i="11"/>
  <c r="BO15" i="11" s="1"/>
  <c r="BI10" i="11" s="1"/>
  <c r="AA145" i="11"/>
  <c r="AA52" i="12"/>
  <c r="Y49" i="12"/>
  <c r="AH90" i="11"/>
  <c r="AB106" i="13"/>
  <c r="AI106" i="12"/>
  <c r="AI105" i="12" s="1"/>
  <c r="AI104" i="12" s="1"/>
  <c r="AD105" i="12"/>
  <c r="AD104" i="12" s="1"/>
  <c r="X90" i="16"/>
  <c r="X63" i="16" s="1"/>
  <c r="AS24" i="11"/>
  <c r="AX24" i="11" s="1"/>
  <c r="AZ24" i="11" s="1"/>
  <c r="BH16" i="14"/>
  <c r="BH17" i="14" s="1"/>
  <c r="AQ25" i="15"/>
  <c r="L83" i="12"/>
  <c r="J81" i="12"/>
  <c r="J26" i="13"/>
  <c r="N26" i="12"/>
  <c r="N25" i="12" s="1"/>
  <c r="L25" i="12"/>
  <c r="AS8" i="12" s="1"/>
  <c r="AV8" i="12" s="1"/>
  <c r="AX8" i="12"/>
  <c r="AZ8" i="12" s="1"/>
  <c r="AA188" i="13"/>
  <c r="Y187" i="13"/>
  <c r="Y185" i="13" s="1"/>
  <c r="AI46" i="12"/>
  <c r="AI44" i="12" s="1"/>
  <c r="AB46" i="13"/>
  <c r="AD44" i="12"/>
  <c r="Y91" i="12"/>
  <c r="AA93" i="12"/>
  <c r="L71" i="13"/>
  <c r="J69" i="13"/>
  <c r="AG145" i="11"/>
  <c r="AG110" i="11" s="1"/>
  <c r="AS26" i="11" s="1"/>
  <c r="AX26" i="11" s="1"/>
  <c r="AZ26" i="11" s="1"/>
  <c r="BC22" i="15"/>
  <c r="W12" i="16"/>
  <c r="W10" i="16" s="1"/>
  <c r="W258" i="16" s="1"/>
  <c r="L23" i="12"/>
  <c r="J22" i="12"/>
  <c r="I58" i="12"/>
  <c r="G57" i="12"/>
  <c r="AG159" i="12"/>
  <c r="AE157" i="12"/>
  <c r="AE155" i="12" s="1"/>
  <c r="AD85" i="12"/>
  <c r="AB83" i="12"/>
  <c r="AA98" i="12"/>
  <c r="Y96" i="12"/>
  <c r="AB43" i="12"/>
  <c r="AB14" i="12" s="1"/>
  <c r="AA90" i="11"/>
  <c r="BO13" i="11" s="1"/>
  <c r="AA223" i="12"/>
  <c r="Y222" i="12"/>
  <c r="Y220" i="12" s="1"/>
  <c r="G60" i="12"/>
  <c r="I61" i="12"/>
  <c r="AJ145" i="11"/>
  <c r="AJ110" i="11" s="1"/>
  <c r="X110" i="15"/>
  <c r="AQ26" i="15" s="1"/>
  <c r="X145" i="16"/>
  <c r="BN16" i="16"/>
  <c r="C40" i="20" s="1"/>
  <c r="C39" i="20" s="1"/>
  <c r="V258" i="15"/>
  <c r="X8" i="14"/>
  <c r="A1" i="14" s="1"/>
  <c r="AJ14" i="11"/>
  <c r="AJ12" i="11" s="1"/>
  <c r="BN28" i="16"/>
  <c r="C52" i="20" s="1"/>
  <c r="X193" i="16"/>
  <c r="AQ28" i="16" s="1"/>
  <c r="AD193" i="11"/>
  <c r="AR28" i="11" s="1"/>
  <c r="AU28" i="11" s="1"/>
  <c r="BP28" i="11"/>
  <c r="C8" i="20"/>
  <c r="AQ16" i="16"/>
  <c r="BC7" i="16"/>
  <c r="AA180" i="14"/>
  <c r="G56" i="13"/>
  <c r="M56" i="12"/>
  <c r="M54" i="12" s="1"/>
  <c r="I54" i="12"/>
  <c r="G45" i="12"/>
  <c r="I46" i="12"/>
  <c r="AD199" i="12"/>
  <c r="AB195" i="12"/>
  <c r="AB194" i="12" s="1"/>
  <c r="AB193" i="12" s="1"/>
  <c r="AA38" i="12"/>
  <c r="Y35" i="12"/>
  <c r="G74" i="13"/>
  <c r="M74" i="12"/>
  <c r="M72" i="12" s="1"/>
  <c r="I72" i="12"/>
  <c r="M70" i="12"/>
  <c r="M69" i="12" s="1"/>
  <c r="I69" i="12"/>
  <c r="G70" i="13"/>
  <c r="I31" i="12"/>
  <c r="AW9" i="12" s="1"/>
  <c r="AY9" i="12" s="1"/>
  <c r="G29" i="12"/>
  <c r="G28" i="12" s="1"/>
  <c r="G37" i="13"/>
  <c r="M37" i="12"/>
  <c r="M35" i="12" s="1"/>
  <c r="I35" i="12"/>
  <c r="AB172" i="12"/>
  <c r="AD174" i="12"/>
  <c r="AG98" i="12"/>
  <c r="AE96" i="12"/>
  <c r="AE90" i="12" s="1"/>
  <c r="AG38" i="12"/>
  <c r="AE35" i="12"/>
  <c r="C54" i="20"/>
  <c r="BH14" i="16"/>
  <c r="X63" i="15"/>
  <c r="X12" i="15" s="1"/>
  <c r="AG52" i="12"/>
  <c r="AE49" i="12"/>
  <c r="AE43" i="12" s="1"/>
  <c r="BN7" i="14"/>
  <c r="BN32" i="14" s="1"/>
  <c r="J56" i="13"/>
  <c r="N56" i="12"/>
  <c r="N54" i="12" s="1"/>
  <c r="L54" i="12"/>
  <c r="AB37" i="13"/>
  <c r="AI37" i="12"/>
  <c r="AI35" i="12" s="1"/>
  <c r="AD35" i="12"/>
  <c r="AA228" i="13"/>
  <c r="Y227" i="13"/>
  <c r="AJ117" i="12"/>
  <c r="AJ114" i="12" s="1"/>
  <c r="AE117" i="13"/>
  <c r="AG114" i="12"/>
  <c r="BH16" i="13"/>
  <c r="BH17" i="13" s="1"/>
  <c r="AU24" i="11"/>
  <c r="AW24" i="11"/>
  <c r="AY24" i="11" s="1"/>
  <c r="AI8" i="10"/>
  <c r="BD20" i="13"/>
  <c r="I113" i="13"/>
  <c r="AR15" i="13" s="1"/>
  <c r="G115" i="14"/>
  <c r="M115" i="13"/>
  <c r="M113" i="13" s="1"/>
  <c r="AA112" i="11"/>
  <c r="AS9" i="11"/>
  <c r="AV9" i="11" s="1"/>
  <c r="J119" i="13"/>
  <c r="N119" i="12"/>
  <c r="N113" i="12" s="1"/>
  <c r="L113" i="12"/>
  <c r="AS15" i="12" s="1"/>
  <c r="AB10" i="11"/>
  <c r="AB8" i="11" s="1"/>
  <c r="Y1" i="9"/>
  <c r="AU26" i="10"/>
  <c r="AG63" i="11"/>
  <c r="AY32" i="10"/>
  <c r="AY35" i="10" s="1"/>
  <c r="AD10" i="10"/>
  <c r="AA8" i="10"/>
  <c r="U1" i="10" s="1"/>
  <c r="AA258" i="10"/>
  <c r="BO33" i="10" s="1"/>
  <c r="AV27" i="11"/>
  <c r="I73" i="14"/>
  <c r="AG151" i="14"/>
  <c r="G30" i="15"/>
  <c r="M30" i="14"/>
  <c r="X170" i="16"/>
  <c r="AQ27" i="16" s="1"/>
  <c r="AA94" i="16"/>
  <c r="AI110" i="11"/>
  <c r="I8" i="10"/>
  <c r="I126" i="10" s="1"/>
  <c r="I130" i="10" s="1"/>
  <c r="BD22" i="11"/>
  <c r="BN29" i="15"/>
  <c r="BH13" i="15" s="1"/>
  <c r="AQ30" i="15"/>
  <c r="AA80" i="12"/>
  <c r="Y69" i="12"/>
  <c r="Y65" i="12" s="1"/>
  <c r="G76" i="13"/>
  <c r="M76" i="12"/>
  <c r="M75" i="12" s="1"/>
  <c r="I75" i="12"/>
  <c r="Y204" i="13"/>
  <c r="AA203" i="12"/>
  <c r="AH204" i="12"/>
  <c r="AH203" i="12" s="1"/>
  <c r="AA173" i="12"/>
  <c r="Y172" i="12"/>
  <c r="AD236" i="12"/>
  <c r="AB235" i="12"/>
  <c r="AB234" i="12" s="1"/>
  <c r="AB232" i="12" s="1"/>
  <c r="L73" i="12"/>
  <c r="J72" i="12"/>
  <c r="AD228" i="13"/>
  <c r="AB227" i="13"/>
  <c r="AB59" i="13"/>
  <c r="AD58" i="12"/>
  <c r="AD57" i="12" s="1"/>
  <c r="AI59" i="12"/>
  <c r="AI58" i="12" s="1"/>
  <c r="AI57" i="12" s="1"/>
  <c r="J46" i="14"/>
  <c r="N46" i="13"/>
  <c r="AB149" i="12"/>
  <c r="AB147" i="12" s="1"/>
  <c r="AD152" i="12"/>
  <c r="L33" i="12"/>
  <c r="J32" i="12"/>
  <c r="AB75" i="13"/>
  <c r="AI75" i="12"/>
  <c r="AI69" i="12" s="1"/>
  <c r="AD69" i="12"/>
  <c r="AA193" i="11"/>
  <c r="BO28" i="11"/>
  <c r="BO25" i="11" s="1"/>
  <c r="BI12" i="11" s="1"/>
  <c r="AF259" i="12"/>
  <c r="AH259" i="12"/>
  <c r="U259" i="12"/>
  <c r="V259" i="12"/>
  <c r="X259" i="12"/>
  <c r="W259" i="12"/>
  <c r="T15" i="13"/>
  <c r="AA259" i="12"/>
  <c r="Y259" i="12"/>
  <c r="Z259" i="12"/>
  <c r="AC259" i="12"/>
  <c r="AB259" i="12"/>
  <c r="D8" i="16"/>
  <c r="D126" i="16" s="1"/>
  <c r="D130" i="16" s="1"/>
  <c r="AQ27" i="15"/>
  <c r="BN24" i="15"/>
  <c r="BN22" i="15" s="1"/>
  <c r="BH11" i="15" s="1"/>
  <c r="AG86" i="12"/>
  <c r="AE83" i="12"/>
  <c r="L95" i="12"/>
  <c r="J94" i="12"/>
  <c r="I79" i="13"/>
  <c r="G78" i="13"/>
  <c r="I78" i="13" s="1"/>
  <c r="M78" i="13" s="1"/>
  <c r="AQ31" i="13"/>
  <c r="BN33" i="13"/>
  <c r="BH19" i="13" s="1"/>
  <c r="AD215" i="12"/>
  <c r="AB211" i="12"/>
  <c r="AB210" i="12" s="1"/>
  <c r="AB209" i="12" s="1"/>
  <c r="AB207" i="12" s="1"/>
  <c r="N80" i="12"/>
  <c r="J80" i="13"/>
  <c r="AW32" i="10"/>
  <c r="L21" i="11"/>
  <c r="L19" i="11" s="1"/>
  <c r="M63" i="11"/>
  <c r="M21" i="11" s="1"/>
  <c r="M19" i="11" s="1"/>
  <c r="M17" i="11" s="1"/>
  <c r="M8" i="11" s="1"/>
  <c r="AH234" i="11"/>
  <c r="AH232" i="11" s="1"/>
  <c r="BP7" i="10"/>
  <c r="BP32" i="10" s="1"/>
  <c r="AQ9" i="16"/>
  <c r="F21" i="16"/>
  <c r="F19" i="16" s="1"/>
  <c r="AA14" i="11"/>
  <c r="BO12" i="11"/>
  <c r="BO9" i="11" s="1"/>
  <c r="AV28" i="11"/>
  <c r="AX28" i="11"/>
  <c r="AZ28" i="11" s="1"/>
  <c r="AG178" i="12"/>
  <c r="AE176" i="12"/>
  <c r="AE170" i="12" s="1"/>
  <c r="AE46" i="13"/>
  <c r="AJ46" i="12"/>
  <c r="AJ44" i="12" s="1"/>
  <c r="AG44" i="12"/>
  <c r="AD225" i="12"/>
  <c r="AB222" i="12"/>
  <c r="AB220" i="12" s="1"/>
  <c r="Y115" i="13"/>
  <c r="AH115" i="12"/>
  <c r="AH114" i="12" s="1"/>
  <c r="AA114" i="12"/>
  <c r="BO16" i="12" s="1"/>
  <c r="W8" i="15"/>
  <c r="L57" i="12"/>
  <c r="J58" i="13"/>
  <c r="N58" i="12"/>
  <c r="N57" i="12" s="1"/>
  <c r="I65" i="12"/>
  <c r="I63" i="12" s="1"/>
  <c r="G128" i="12"/>
  <c r="AD125" i="12"/>
  <c r="AB123" i="12"/>
  <c r="AB112" i="12" s="1"/>
  <c r="M68" i="12"/>
  <c r="M66" i="12" s="1"/>
  <c r="I66" i="12"/>
  <c r="G68" i="13"/>
  <c r="AA133" i="15"/>
  <c r="AG153" i="13"/>
  <c r="AI99" i="12"/>
  <c r="AI96" i="12" s="1"/>
  <c r="AB99" i="13"/>
  <c r="AD96" i="12"/>
  <c r="BN14" i="16"/>
  <c r="AQ24" i="16"/>
  <c r="AR30" i="11"/>
  <c r="AU30" i="11" s="1"/>
  <c r="AH63" i="11"/>
  <c r="AA234" i="11"/>
  <c r="AA232" i="11" s="1"/>
  <c r="BO29" i="11" s="1"/>
  <c r="BI13" i="11" s="1"/>
  <c r="AW16" i="12"/>
  <c r="AY16" i="12" s="1"/>
  <c r="AU16" i="12"/>
  <c r="G8" i="11"/>
  <c r="G126" i="11" s="1"/>
  <c r="G130" i="11" s="1"/>
  <c r="AS17" i="10"/>
  <c r="AV17" i="10" s="1"/>
  <c r="AV14" i="10"/>
  <c r="AI222" i="11"/>
  <c r="AI220" i="11" s="1"/>
  <c r="AI259" i="11"/>
  <c r="L53" i="12"/>
  <c r="J51" i="12"/>
  <c r="G51" i="12"/>
  <c r="I52" i="12"/>
  <c r="BD17" i="12" s="1"/>
  <c r="AA244" i="12"/>
  <c r="Y243" i="12"/>
  <c r="AR7" i="11"/>
  <c r="AU7" i="11" s="1"/>
  <c r="I21" i="11"/>
  <c r="I19" i="11" s="1"/>
  <c r="I17" i="11" s="1"/>
  <c r="G22" i="12"/>
  <c r="I23" i="12"/>
  <c r="AW17" i="11"/>
  <c r="AZ9" i="11"/>
  <c r="AA86" i="12"/>
  <c r="Y83" i="12"/>
  <c r="C36" i="20"/>
  <c r="C33" i="20" s="1"/>
  <c r="AV29" i="15"/>
  <c r="AU29" i="15"/>
  <c r="L49" i="12"/>
  <c r="J48" i="12"/>
  <c r="AD203" i="12"/>
  <c r="AB204" i="13"/>
  <c r="AI204" i="12"/>
  <c r="AI203" i="12" s="1"/>
  <c r="AA197" i="12"/>
  <c r="Y195" i="12"/>
  <c r="Y194" i="12" s="1"/>
  <c r="Y193" i="12" s="1"/>
  <c r="AR23" i="11"/>
  <c r="BP12" i="11"/>
  <c r="BP9" i="11" s="1"/>
  <c r="AD63" i="11"/>
  <c r="AD12" i="11" s="1"/>
  <c r="AD66" i="12"/>
  <c r="AB65" i="12"/>
  <c r="J55" i="14"/>
  <c r="N55" i="13"/>
  <c r="AI88" i="15"/>
  <c r="AB88" i="16"/>
  <c r="L61" i="14"/>
  <c r="AV24" i="11"/>
  <c r="J67" i="13"/>
  <c r="N67" i="12"/>
  <c r="N66" i="12" s="1"/>
  <c r="L66" i="12"/>
  <c r="J43" i="14"/>
  <c r="N43" i="13"/>
  <c r="AD207" i="11"/>
  <c r="AR29" i="11" s="1"/>
  <c r="AW29" i="11" s="1"/>
  <c r="AY29" i="11" s="1"/>
  <c r="BP27" i="11"/>
  <c r="AI50" i="14"/>
  <c r="AB50" i="15"/>
  <c r="X234" i="16"/>
  <c r="X232" i="16" s="1"/>
  <c r="AB21" i="13"/>
  <c r="AI21" i="12"/>
  <c r="AI20" i="12" s="1"/>
  <c r="AI16" i="12" s="1"/>
  <c r="AD20" i="12"/>
  <c r="AD16" i="12" s="1"/>
  <c r="C13" i="20"/>
  <c r="C10" i="20" s="1"/>
  <c r="C9" i="20" s="1"/>
  <c r="C26" i="20" s="1"/>
  <c r="BC10" i="16"/>
  <c r="BC9" i="16" s="1"/>
  <c r="BC8" i="16" s="1"/>
  <c r="BC22" i="16" s="1"/>
  <c r="L70" i="14"/>
  <c r="AA26" i="12"/>
  <c r="Y20" i="12"/>
  <c r="Y16" i="12" s="1"/>
  <c r="AU25" i="11"/>
  <c r="AW25" i="11"/>
  <c r="AY25" i="11" s="1"/>
  <c r="AG197" i="12"/>
  <c r="AE195" i="12"/>
  <c r="AE194" i="12" s="1"/>
  <c r="AE193" i="12" s="1"/>
  <c r="J30" i="13"/>
  <c r="N30" i="12"/>
  <c r="N29" i="12" s="1"/>
  <c r="L29" i="12"/>
  <c r="AB142" i="13"/>
  <c r="AI142" i="12"/>
  <c r="AI141" i="12" s="1"/>
  <c r="AD141" i="12"/>
  <c r="BP20" i="12" s="1"/>
  <c r="AG136" i="12"/>
  <c r="AE123" i="12"/>
  <c r="AE112" i="12" s="1"/>
  <c r="AA84" i="13"/>
  <c r="L8" i="10"/>
  <c r="L126" i="10" s="1"/>
  <c r="L130" i="10" s="1"/>
  <c r="AB97" i="14"/>
  <c r="AI97" i="13"/>
  <c r="AH106" i="13"/>
  <c r="Y106" i="14"/>
  <c r="AW31" i="12"/>
  <c r="AY31" i="12" s="1"/>
  <c r="AX31" i="12"/>
  <c r="AZ31" i="12" s="1"/>
  <c r="AQ32" i="12"/>
  <c r="AQ33" i="12" s="1"/>
  <c r="BP16" i="11"/>
  <c r="AD145" i="11"/>
  <c r="AI71" i="13"/>
  <c r="AB71" i="14"/>
  <c r="AA142" i="12"/>
  <c r="Y141" i="12"/>
  <c r="Y112" i="12" s="1"/>
  <c r="Y110" i="12" s="1"/>
  <c r="AA236" i="12"/>
  <c r="Y235" i="12"/>
  <c r="AR32" i="9"/>
  <c r="AU31" i="9"/>
  <c r="AD189" i="13"/>
  <c r="AQ14" i="15"/>
  <c r="AQ17" i="15" s="1"/>
  <c r="F17" i="15"/>
  <c r="AD112" i="11"/>
  <c r="BP17" i="11"/>
  <c r="N44" i="12"/>
  <c r="N42" i="12" s="1"/>
  <c r="J44" i="13"/>
  <c r="AX10" i="12"/>
  <c r="AZ10" i="12" s="1"/>
  <c r="L42" i="12"/>
  <c r="AS10" i="12" s="1"/>
  <c r="AV10" i="12" s="1"/>
  <c r="BN27" i="16"/>
  <c r="X207" i="16"/>
  <c r="AQ29" i="16" s="1"/>
  <c r="G33" i="13"/>
  <c r="I32" i="12"/>
  <c r="M33" i="12"/>
  <c r="M32" i="12" s="1"/>
  <c r="BD13" i="12"/>
  <c r="AU22" i="11"/>
  <c r="AW22" i="11"/>
  <c r="AY22" i="11" s="1"/>
  <c r="L62" i="13"/>
  <c r="J60" i="13"/>
  <c r="AD190" i="12"/>
  <c r="AB187" i="12"/>
  <c r="AB185" i="12" s="1"/>
  <c r="AB170" i="12" s="1"/>
  <c r="J75" i="12"/>
  <c r="L76" i="12"/>
  <c r="M12" i="13"/>
  <c r="M10" i="13" s="1"/>
  <c r="G12" i="14"/>
  <c r="I10" i="13"/>
  <c r="A1" i="13"/>
  <c r="F126" i="13"/>
  <c r="F130" i="13" s="1"/>
  <c r="X43" i="16"/>
  <c r="BJ7" i="10"/>
  <c r="BJ16" i="10" s="1"/>
  <c r="AG168" i="15"/>
  <c r="AE97" i="14"/>
  <c r="AJ97" i="13"/>
  <c r="AB191" i="14"/>
  <c r="AI191" i="13"/>
  <c r="AG177" i="13"/>
  <c r="AE173" i="15"/>
  <c r="AJ173" i="14"/>
  <c r="L15" i="14"/>
  <c r="J10" i="14"/>
  <c r="AG54" i="13"/>
  <c r="AE70" i="14"/>
  <c r="AJ70" i="13"/>
  <c r="L63" i="12"/>
  <c r="J65" i="13"/>
  <c r="N65" i="12"/>
  <c r="L74" i="14"/>
  <c r="N122" i="16"/>
  <c r="D35" i="20"/>
  <c r="G86" i="13"/>
  <c r="I85" i="12"/>
  <c r="M86" i="12"/>
  <c r="M85" i="12" s="1"/>
  <c r="AE73" i="13"/>
  <c r="AJ73" i="12"/>
  <c r="AJ69" i="12" s="1"/>
  <c r="AJ65" i="12" s="1"/>
  <c r="AG69" i="12"/>
  <c r="AG65" i="12" s="1"/>
  <c r="AD212" i="15"/>
  <c r="AZ22" i="14"/>
  <c r="G44" i="15"/>
  <c r="I42" i="14"/>
  <c r="AR10" i="14" s="1"/>
  <c r="AU10" i="14" s="1"/>
  <c r="AW10" i="14"/>
  <c r="AY10" i="14" s="1"/>
  <c r="M44" i="14"/>
  <c r="M42" i="14" s="1"/>
  <c r="AE188" i="13"/>
  <c r="AG187" i="12"/>
  <c r="AG185" i="12" s="1"/>
  <c r="AJ188" i="12"/>
  <c r="AJ187" i="12" s="1"/>
  <c r="AJ185" i="12" s="1"/>
  <c r="AG40" i="16"/>
  <c r="AG186" i="13"/>
  <c r="AA215" i="13"/>
  <c r="Y211" i="13"/>
  <c r="Y210" i="13" s="1"/>
  <c r="Y209" i="13" s="1"/>
  <c r="Y207" i="13" s="1"/>
  <c r="AD36" i="15"/>
  <c r="AE115" i="15"/>
  <c r="AJ115" i="14"/>
  <c r="AG85" i="14"/>
  <c r="AD23" i="16"/>
  <c r="AG246" i="13"/>
  <c r="AE243" i="13"/>
  <c r="AG51" i="15"/>
  <c r="M25" i="12"/>
  <c r="AR8" i="12"/>
  <c r="AE19" i="14"/>
  <c r="AJ19" i="13"/>
  <c r="AG142" i="13"/>
  <c r="AE141" i="13"/>
  <c r="AS16" i="13"/>
  <c r="Y159" i="15"/>
  <c r="AH159" i="14"/>
  <c r="AG237" i="15"/>
  <c r="AD67" i="13"/>
  <c r="AE215" i="13"/>
  <c r="AJ215" i="12"/>
  <c r="AJ211" i="12" s="1"/>
  <c r="AJ210" i="12" s="1"/>
  <c r="AJ209" i="12" s="1"/>
  <c r="AJ207" i="12" s="1"/>
  <c r="AG211" i="12"/>
  <c r="AG210" i="12" s="1"/>
  <c r="AG209" i="12" s="1"/>
  <c r="AG207" i="12" s="1"/>
  <c r="AS29" i="12" s="1"/>
  <c r="AX29" i="12" s="1"/>
  <c r="AZ29" i="12" s="1"/>
  <c r="AD213" i="14"/>
  <c r="BN33" i="14"/>
  <c r="BH19" i="14" s="1"/>
  <c r="AQ31" i="14"/>
  <c r="AA70" i="13"/>
  <c r="AG106" i="13"/>
  <c r="AE105" i="13"/>
  <c r="AE104" i="13" s="1"/>
  <c r="J52" i="14"/>
  <c r="N52" i="13"/>
  <c r="AG245" i="14"/>
  <c r="AB143" i="16"/>
  <c r="AI143" i="15"/>
  <c r="AJ95" i="13"/>
  <c r="AE95" i="14"/>
  <c r="Y27" i="14"/>
  <c r="AH27" i="13"/>
  <c r="AG238" i="14"/>
  <c r="AS22" i="15"/>
  <c r="AE17" i="16"/>
  <c r="AJ17" i="15"/>
  <c r="AB245" i="16"/>
  <c r="AI245" i="15"/>
  <c r="AB70" i="15"/>
  <c r="AI70" i="14"/>
  <c r="AE81" i="14"/>
  <c r="AJ81" i="13"/>
  <c r="AB248" i="13"/>
  <c r="AI248" i="12"/>
  <c r="AI243" i="12" s="1"/>
  <c r="AD243" i="12"/>
  <c r="Y40" i="15"/>
  <c r="AH40" i="14"/>
  <c r="L27" i="14"/>
  <c r="AG93" i="15"/>
  <c r="J68" i="15"/>
  <c r="N68" i="14"/>
  <c r="AD224" i="13"/>
  <c r="AB180" i="14"/>
  <c r="AI180" i="13"/>
  <c r="AI176" i="13" s="1"/>
  <c r="AD176" i="13"/>
  <c r="AE60" i="13"/>
  <c r="AJ60" i="12"/>
  <c r="AJ58" i="12" s="1"/>
  <c r="AJ57" i="12" s="1"/>
  <c r="AG58" i="12"/>
  <c r="AG57" i="12" s="1"/>
  <c r="AG203" i="14"/>
  <c r="AE204" i="15"/>
  <c r="AJ204" i="14"/>
  <c r="AJ203" i="14" s="1"/>
  <c r="AE48" i="14"/>
  <c r="AJ48" i="13"/>
  <c r="AG148" i="15"/>
  <c r="AE59" i="14"/>
  <c r="AJ59" i="13"/>
  <c r="AD134" i="14"/>
  <c r="G25" i="13"/>
  <c r="I27" i="13"/>
  <c r="AG158" i="13"/>
  <c r="AJ18" i="14"/>
  <c r="AE18" i="15"/>
  <c r="AA196" i="14"/>
  <c r="G64" i="13"/>
  <c r="BD14" i="12"/>
  <c r="M64" i="12"/>
  <c r="AA238" i="13"/>
  <c r="G95" i="15"/>
  <c r="M95" i="14"/>
  <c r="AD197" i="14"/>
  <c r="F126" i="14"/>
  <c r="F130" i="14" s="1"/>
  <c r="M36" i="14"/>
  <c r="G36" i="15"/>
  <c r="I81" i="13"/>
  <c r="G83" i="14"/>
  <c r="M83" i="13"/>
  <c r="M81" i="13" s="1"/>
  <c r="I106" i="13"/>
  <c r="G104" i="13"/>
  <c r="G97" i="14"/>
  <c r="M97" i="13"/>
  <c r="M94" i="13" s="1"/>
  <c r="BD18" i="13"/>
  <c r="I94" i="13"/>
  <c r="J104" i="13"/>
  <c r="L105" i="13"/>
  <c r="AB107" i="15"/>
  <c r="AI107" i="14"/>
  <c r="AE241" i="13"/>
  <c r="AJ241" i="12"/>
  <c r="AG235" i="12"/>
  <c r="AG234" i="12" s="1"/>
  <c r="AG232" i="12" s="1"/>
  <c r="AG259" i="12"/>
  <c r="L24" i="14"/>
  <c r="L86" i="13"/>
  <c r="J85" i="13"/>
  <c r="AA152" i="13"/>
  <c r="Y149" i="13"/>
  <c r="Y147" i="13" s="1"/>
  <c r="I77" i="15"/>
  <c r="AG174" i="13"/>
  <c r="AE172" i="13"/>
  <c r="AD26" i="14"/>
  <c r="J82" i="14"/>
  <c r="N82" i="13"/>
  <c r="AA207" i="12"/>
  <c r="BO27" i="12"/>
  <c r="AD229" i="14"/>
  <c r="G55" i="15"/>
  <c r="M55" i="14"/>
  <c r="AI239" i="14"/>
  <c r="AB239" i="15"/>
  <c r="AG212" i="14"/>
  <c r="AH51" i="14"/>
  <c r="Y51" i="15"/>
  <c r="AG20" i="12"/>
  <c r="AG16" i="12" s="1"/>
  <c r="AJ22" i="12"/>
  <c r="AJ20" i="12" s="1"/>
  <c r="AJ16" i="12" s="1"/>
  <c r="AE22" i="13"/>
  <c r="AG227" i="12"/>
  <c r="AE228" i="13"/>
  <c r="AJ228" i="12"/>
  <c r="AJ227" i="12" s="1"/>
  <c r="AG84" i="15"/>
  <c r="AX23" i="11"/>
  <c r="AV23" i="11"/>
  <c r="AA229" i="15"/>
  <c r="J37" i="14"/>
  <c r="N37" i="13"/>
  <c r="I50" i="13"/>
  <c r="G48" i="13"/>
  <c r="AE124" i="14"/>
  <c r="AJ124" i="13"/>
  <c r="AD166" i="15"/>
  <c r="V8" i="16" l="1"/>
  <c r="Y43" i="12"/>
  <c r="X110" i="16"/>
  <c r="AQ26" i="16" s="1"/>
  <c r="BP25" i="11"/>
  <c r="BJ12" i="11" s="1"/>
  <c r="AZ17" i="11"/>
  <c r="L128" i="12"/>
  <c r="AH12" i="11"/>
  <c r="AX17" i="11"/>
  <c r="BN8" i="15"/>
  <c r="AS32" i="10"/>
  <c r="AV32" i="10" s="1"/>
  <c r="AB145" i="12"/>
  <c r="M126" i="11"/>
  <c r="M130" i="11" s="1"/>
  <c r="Y8" i="11"/>
  <c r="AA63" i="11"/>
  <c r="AA12" i="11" s="1"/>
  <c r="BH20" i="14"/>
  <c r="AA110" i="11"/>
  <c r="AH10" i="11"/>
  <c r="AH8" i="11" s="1"/>
  <c r="Y14" i="12"/>
  <c r="AD90" i="12"/>
  <c r="BP24" i="11"/>
  <c r="BP22" i="11" s="1"/>
  <c r="BJ11" i="11" s="1"/>
  <c r="AE63" i="12"/>
  <c r="AB63" i="12"/>
  <c r="AB12" i="12" s="1"/>
  <c r="BH7" i="15"/>
  <c r="BH16" i="15" s="1"/>
  <c r="BH17" i="15" s="1"/>
  <c r="AG94" i="13"/>
  <c r="AE91" i="13"/>
  <c r="AA124" i="14"/>
  <c r="Y123" i="14"/>
  <c r="AD117" i="13"/>
  <c r="AB114" i="13"/>
  <c r="AB161" i="13"/>
  <c r="AI161" i="12"/>
  <c r="AI157" i="12" s="1"/>
  <c r="AI155" i="12" s="1"/>
  <c r="AD157" i="12"/>
  <c r="AD155" i="12" s="1"/>
  <c r="Y46" i="13"/>
  <c r="AA44" i="12"/>
  <c r="AH46" i="12"/>
  <c r="AH44" i="12" s="1"/>
  <c r="J28" i="12"/>
  <c r="J21" i="12" s="1"/>
  <c r="J19" i="12" s="1"/>
  <c r="J17" i="12" s="1"/>
  <c r="J8" i="12" s="1"/>
  <c r="J126" i="12" s="1"/>
  <c r="J130" i="12" s="1"/>
  <c r="AG12" i="11"/>
  <c r="AG10" i="11" s="1"/>
  <c r="AG258" i="11" s="1"/>
  <c r="AS31" i="11" s="1"/>
  <c r="AV31" i="11" s="1"/>
  <c r="AV25" i="11"/>
  <c r="AJ223" i="12"/>
  <c r="AJ222" i="12" s="1"/>
  <c r="AJ220" i="12" s="1"/>
  <c r="AE223" i="13"/>
  <c r="AG222" i="12"/>
  <c r="AG220" i="12" s="1"/>
  <c r="AS30" i="12" s="1"/>
  <c r="AX30" i="12" s="1"/>
  <c r="AZ30" i="12" s="1"/>
  <c r="AI43" i="12"/>
  <c r="AI14" i="12" s="1"/>
  <c r="Y170" i="12"/>
  <c r="AV26" i="11"/>
  <c r="AE145" i="12"/>
  <c r="AE110" i="12" s="1"/>
  <c r="AB85" i="13"/>
  <c r="AD83" i="12"/>
  <c r="AI85" i="12"/>
  <c r="AI83" i="12" s="1"/>
  <c r="G58" i="13"/>
  <c r="M58" i="12"/>
  <c r="M57" i="12" s="1"/>
  <c r="I57" i="12"/>
  <c r="J71" i="14"/>
  <c r="N71" i="13"/>
  <c r="N69" i="13" s="1"/>
  <c r="L69" i="13"/>
  <c r="AD46" i="13"/>
  <c r="AB44" i="13"/>
  <c r="AA59" i="13"/>
  <c r="Y58" i="13"/>
  <c r="Y57" i="13" s="1"/>
  <c r="AB116" i="15"/>
  <c r="AI116" i="14"/>
  <c r="AD51" i="13"/>
  <c r="AB49" i="13"/>
  <c r="N36" i="12"/>
  <c r="N35" i="12" s="1"/>
  <c r="J36" i="13"/>
  <c r="L35" i="12"/>
  <c r="AW28" i="11"/>
  <c r="AY28" i="11" s="1"/>
  <c r="AH223" i="12"/>
  <c r="AH222" i="12" s="1"/>
  <c r="AH220" i="12" s="1"/>
  <c r="AA222" i="12"/>
  <c r="AA220" i="12" s="1"/>
  <c r="BO30" i="12" s="1"/>
  <c r="BI14" i="12" s="1"/>
  <c r="Y223" i="13"/>
  <c r="AA91" i="12"/>
  <c r="Y93" i="13"/>
  <c r="AH93" i="12"/>
  <c r="AH91" i="12" s="1"/>
  <c r="J83" i="13"/>
  <c r="N83" i="12"/>
  <c r="N81" i="12" s="1"/>
  <c r="L81" i="12"/>
  <c r="Y52" i="13"/>
  <c r="AH52" i="12"/>
  <c r="AH49" i="12" s="1"/>
  <c r="AA49" i="12"/>
  <c r="AE150" i="13"/>
  <c r="AJ150" i="12"/>
  <c r="AJ149" i="12" s="1"/>
  <c r="AJ147" i="12" s="1"/>
  <c r="AG149" i="12"/>
  <c r="AG147" i="12" s="1"/>
  <c r="L47" i="13"/>
  <c r="J45" i="13"/>
  <c r="AI90" i="12"/>
  <c r="M61" i="12"/>
  <c r="M60" i="12" s="1"/>
  <c r="I60" i="12"/>
  <c r="G61" i="13"/>
  <c r="Y98" i="13"/>
  <c r="AA96" i="12"/>
  <c r="AH98" i="12"/>
  <c r="AH96" i="12" s="1"/>
  <c r="AE159" i="13"/>
  <c r="AJ159" i="12"/>
  <c r="AJ157" i="12" s="1"/>
  <c r="AJ155" i="12" s="1"/>
  <c r="AG157" i="12"/>
  <c r="AG155" i="12" s="1"/>
  <c r="J23" i="13"/>
  <c r="N23" i="12"/>
  <c r="N22" i="12" s="1"/>
  <c r="L22" i="12"/>
  <c r="AS7" i="12" s="1"/>
  <c r="AV7" i="12" s="1"/>
  <c r="AX7" i="12"/>
  <c r="AZ7" i="12" s="1"/>
  <c r="Y90" i="12"/>
  <c r="Y63" i="12" s="1"/>
  <c r="Y12" i="12" s="1"/>
  <c r="Y10" i="12" s="1"/>
  <c r="AD106" i="13"/>
  <c r="AB105" i="13"/>
  <c r="AB104" i="13" s="1"/>
  <c r="Y177" i="13"/>
  <c r="AH177" i="12"/>
  <c r="AH176" i="12" s="1"/>
  <c r="BO23" i="12"/>
  <c r="AA176" i="12"/>
  <c r="AD43" i="12"/>
  <c r="AD14" i="12" s="1"/>
  <c r="Y107" i="13"/>
  <c r="AH107" i="12"/>
  <c r="AH105" i="12" s="1"/>
  <c r="AH104" i="12" s="1"/>
  <c r="AA105" i="12"/>
  <c r="AA104" i="12" s="1"/>
  <c r="AD92" i="13"/>
  <c r="AB91" i="13"/>
  <c r="AJ10" i="11"/>
  <c r="AJ258" i="11" s="1"/>
  <c r="Y188" i="14"/>
  <c r="AA187" i="13"/>
  <c r="AA185" i="13" s="1"/>
  <c r="AH188" i="13"/>
  <c r="AH187" i="13" s="1"/>
  <c r="AH185" i="13" s="1"/>
  <c r="L26" i="13"/>
  <c r="J25" i="13"/>
  <c r="Y167" i="13"/>
  <c r="BO19" i="12"/>
  <c r="AH167" i="12"/>
  <c r="AH157" i="12" s="1"/>
  <c r="AH155" i="12" s="1"/>
  <c r="AH145" i="12" s="1"/>
  <c r="AA157" i="12"/>
  <c r="AA155" i="12" s="1"/>
  <c r="X10" i="15"/>
  <c r="X8" i="15" s="1"/>
  <c r="BN15" i="16"/>
  <c r="BH10" i="16" s="1"/>
  <c r="AE14" i="12"/>
  <c r="AI174" i="12"/>
  <c r="AI172" i="12" s="1"/>
  <c r="AB174" i="13"/>
  <c r="AD172" i="12"/>
  <c r="I37" i="13"/>
  <c r="G35" i="13"/>
  <c r="I70" i="13"/>
  <c r="G69" i="13"/>
  <c r="G46" i="13"/>
  <c r="M46" i="12"/>
  <c r="M45" i="12" s="1"/>
  <c r="I45" i="12"/>
  <c r="BD15" i="12"/>
  <c r="I56" i="13"/>
  <c r="G54" i="13"/>
  <c r="BN24" i="16"/>
  <c r="C48" i="20" s="1"/>
  <c r="C46" i="20" s="1"/>
  <c r="G21" i="12"/>
  <c r="G19" i="12" s="1"/>
  <c r="G17" i="12" s="1"/>
  <c r="G8" i="12" s="1"/>
  <c r="G126" i="12" s="1"/>
  <c r="G130" i="12" s="1"/>
  <c r="AE52" i="13"/>
  <c r="AJ52" i="12"/>
  <c r="AJ49" i="12" s="1"/>
  <c r="AJ43" i="12" s="1"/>
  <c r="AG49" i="12"/>
  <c r="AG43" i="12" s="1"/>
  <c r="AE38" i="13"/>
  <c r="AG35" i="12"/>
  <c r="AJ38" i="12"/>
  <c r="AJ35" i="12" s="1"/>
  <c r="I74" i="13"/>
  <c r="G72" i="13"/>
  <c r="AB199" i="13"/>
  <c r="AI199" i="12"/>
  <c r="AI195" i="12" s="1"/>
  <c r="AI194" i="12" s="1"/>
  <c r="AI193" i="12" s="1"/>
  <c r="AD195" i="12"/>
  <c r="AD194" i="12" s="1"/>
  <c r="Y180" i="15"/>
  <c r="AH180" i="14"/>
  <c r="AE98" i="13"/>
  <c r="AJ98" i="12"/>
  <c r="AJ96" i="12" s="1"/>
  <c r="AJ90" i="12" s="1"/>
  <c r="AG96" i="12"/>
  <c r="AG90" i="12" s="1"/>
  <c r="G31" i="13"/>
  <c r="M31" i="12"/>
  <c r="M29" i="12" s="1"/>
  <c r="M28" i="12" s="1"/>
  <c r="I29" i="12"/>
  <c r="I28" i="12" s="1"/>
  <c r="Y38" i="13"/>
  <c r="AH38" i="12"/>
  <c r="AH35" i="12" s="1"/>
  <c r="AA35" i="12"/>
  <c r="BH20" i="13"/>
  <c r="AH258" i="11"/>
  <c r="N8" i="11"/>
  <c r="N126" i="11" s="1"/>
  <c r="N130" i="11" s="1"/>
  <c r="AG117" i="13"/>
  <c r="AE114" i="13"/>
  <c r="BP14" i="12"/>
  <c r="BJ9" i="12" s="1"/>
  <c r="AR24" i="12"/>
  <c r="AD37" i="13"/>
  <c r="AB35" i="13"/>
  <c r="Y228" i="14"/>
  <c r="AH228" i="13"/>
  <c r="AH227" i="13" s="1"/>
  <c r="AA227" i="13"/>
  <c r="L56" i="13"/>
  <c r="J54" i="13"/>
  <c r="W8" i="16"/>
  <c r="I115" i="14"/>
  <c r="G113" i="14"/>
  <c r="AW15" i="13"/>
  <c r="AY15" i="13" s="1"/>
  <c r="AU15" i="13"/>
  <c r="AX15" i="12"/>
  <c r="AZ15" i="12" s="1"/>
  <c r="AV15" i="12"/>
  <c r="L119" i="13"/>
  <c r="J113" i="13"/>
  <c r="AB110" i="12"/>
  <c r="AB258" i="11"/>
  <c r="AZ35" i="10"/>
  <c r="AE258" i="11"/>
  <c r="AD8" i="10"/>
  <c r="AC1" i="10" s="1"/>
  <c r="AD258" i="10"/>
  <c r="BP33" i="10" s="1"/>
  <c r="AI10" i="11"/>
  <c r="AI258" i="11" s="1"/>
  <c r="AW14" i="12"/>
  <c r="AY14" i="12" s="1"/>
  <c r="AD110" i="11"/>
  <c r="AR26" i="11" s="1"/>
  <c r="AU26" i="11" s="1"/>
  <c r="M73" i="14"/>
  <c r="G73" i="15"/>
  <c r="AE151" i="15"/>
  <c r="AJ151" i="14"/>
  <c r="BN7" i="15"/>
  <c r="BN32" i="15" s="1"/>
  <c r="AH94" i="16"/>
  <c r="I30" i="15"/>
  <c r="K1" i="10"/>
  <c r="J5" i="10"/>
  <c r="AR14" i="11"/>
  <c r="AU14" i="11" s="1"/>
  <c r="BJ8" i="11"/>
  <c r="BP8" i="11"/>
  <c r="L75" i="12"/>
  <c r="J76" i="13"/>
  <c r="N76" i="12"/>
  <c r="N75" i="12" s="1"/>
  <c r="I33" i="13"/>
  <c r="G32" i="13"/>
  <c r="Y236" i="13"/>
  <c r="AH236" i="12"/>
  <c r="AH235" i="12" s="1"/>
  <c r="AA235" i="12"/>
  <c r="AD71" i="14"/>
  <c r="AD142" i="13"/>
  <c r="AB141" i="13"/>
  <c r="AD21" i="13"/>
  <c r="AB20" i="13"/>
  <c r="AB16" i="13" s="1"/>
  <c r="L67" i="13"/>
  <c r="J66" i="13"/>
  <c r="AB66" i="13"/>
  <c r="BP10" i="12"/>
  <c r="AR22" i="12"/>
  <c r="AI66" i="12"/>
  <c r="AI65" i="12" s="1"/>
  <c r="AD65" i="12"/>
  <c r="Y86" i="13"/>
  <c r="AH86" i="12"/>
  <c r="AH83" i="12" s="1"/>
  <c r="AA83" i="12"/>
  <c r="G23" i="13"/>
  <c r="BD12" i="12"/>
  <c r="M23" i="12"/>
  <c r="M22" i="12" s="1"/>
  <c r="I22" i="12"/>
  <c r="AR7" i="12" s="1"/>
  <c r="AU7" i="12" s="1"/>
  <c r="AW7" i="12"/>
  <c r="AY7" i="12" s="1"/>
  <c r="G52" i="13"/>
  <c r="I51" i="12"/>
  <c r="M52" i="12"/>
  <c r="M51" i="12" s="1"/>
  <c r="BH9" i="16"/>
  <c r="C38" i="20"/>
  <c r="J57" i="13"/>
  <c r="L58" i="13"/>
  <c r="AA115" i="13"/>
  <c r="Y114" i="13"/>
  <c r="AB225" i="13"/>
  <c r="AI225" i="12"/>
  <c r="AD259" i="12"/>
  <c r="BP31" i="12"/>
  <c r="BJ15" i="12" s="1"/>
  <c r="AD222" i="12"/>
  <c r="AD220" i="12" s="1"/>
  <c r="BP30" i="12" s="1"/>
  <c r="BJ14" i="12" s="1"/>
  <c r="BI8" i="11"/>
  <c r="BI7" i="11" s="1"/>
  <c r="BI16" i="11" s="1"/>
  <c r="BO8" i="11"/>
  <c r="BO7" i="11" s="1"/>
  <c r="BO32" i="11" s="1"/>
  <c r="AW31" i="13"/>
  <c r="AY31" i="13" s="1"/>
  <c r="AX31" i="13"/>
  <c r="AZ31" i="13" s="1"/>
  <c r="AQ32" i="13"/>
  <c r="AQ33" i="13" s="1"/>
  <c r="AD149" i="12"/>
  <c r="AD147" i="12" s="1"/>
  <c r="AB152" i="13"/>
  <c r="AI152" i="12"/>
  <c r="AI149" i="12" s="1"/>
  <c r="AI147" i="12" s="1"/>
  <c r="L46" i="14"/>
  <c r="AA204" i="13"/>
  <c r="Y203" i="13"/>
  <c r="AB190" i="13"/>
  <c r="AI190" i="12"/>
  <c r="AI187" i="12" s="1"/>
  <c r="AI185" i="12" s="1"/>
  <c r="AD187" i="12"/>
  <c r="AD185" i="12" s="1"/>
  <c r="AB189" i="14"/>
  <c r="AI189" i="13"/>
  <c r="AD97" i="14"/>
  <c r="Y84" i="14"/>
  <c r="AH84" i="13"/>
  <c r="L30" i="13"/>
  <c r="J29" i="13"/>
  <c r="J70" i="15"/>
  <c r="N70" i="14"/>
  <c r="N61" i="14"/>
  <c r="J61" i="15"/>
  <c r="AW23" i="11"/>
  <c r="AU23" i="11"/>
  <c r="AB203" i="13"/>
  <c r="AD204" i="13"/>
  <c r="Y244" i="13"/>
  <c r="AH244" i="12"/>
  <c r="AH243" i="12" s="1"/>
  <c r="AA243" i="12"/>
  <c r="AW27" i="11"/>
  <c r="AY27" i="11" s="1"/>
  <c r="AU27" i="11"/>
  <c r="AG46" i="13"/>
  <c r="AE44" i="13"/>
  <c r="L80" i="13"/>
  <c r="J78" i="13"/>
  <c r="L78" i="13" s="1"/>
  <c r="N78" i="13" s="1"/>
  <c r="N95" i="12"/>
  <c r="N94" i="12" s="1"/>
  <c r="L94" i="12"/>
  <c r="AX14" i="12" s="1"/>
  <c r="AZ14" i="12" s="1"/>
  <c r="J95" i="13"/>
  <c r="L32" i="12"/>
  <c r="L28" i="12" s="1"/>
  <c r="J33" i="13"/>
  <c r="N33" i="12"/>
  <c r="N32" i="12" s="1"/>
  <c r="N28" i="12" s="1"/>
  <c r="AX9" i="12"/>
  <c r="AZ9" i="12" s="1"/>
  <c r="AD59" i="13"/>
  <c r="AB58" i="13"/>
  <c r="AB57" i="13" s="1"/>
  <c r="N73" i="12"/>
  <c r="N72" i="12" s="1"/>
  <c r="J73" i="13"/>
  <c r="L72" i="12"/>
  <c r="AB236" i="13"/>
  <c r="AI236" i="12"/>
  <c r="AI235" i="12" s="1"/>
  <c r="AI234" i="12" s="1"/>
  <c r="AI232" i="12" s="1"/>
  <c r="AD235" i="12"/>
  <c r="AD234" i="12" s="1"/>
  <c r="AD232" i="12" s="1"/>
  <c r="BP29" i="12" s="1"/>
  <c r="BJ13" i="12" s="1"/>
  <c r="I76" i="13"/>
  <c r="G75" i="13"/>
  <c r="AW30" i="11"/>
  <c r="AY30" i="11" s="1"/>
  <c r="BP15" i="11"/>
  <c r="BJ10" i="11" s="1"/>
  <c r="Y234" i="12"/>
  <c r="Y232" i="12" s="1"/>
  <c r="BN13" i="16"/>
  <c r="C37" i="20" s="1"/>
  <c r="C32" i="20" s="1"/>
  <c r="AQ25" i="16"/>
  <c r="X14" i="16"/>
  <c r="X12" i="16" s="1"/>
  <c r="X10" i="16" s="1"/>
  <c r="X8" i="16" s="1"/>
  <c r="I12" i="14"/>
  <c r="G10" i="14"/>
  <c r="C51" i="20"/>
  <c r="C49" i="20" s="1"/>
  <c r="BN25" i="16"/>
  <c r="BH12" i="16" s="1"/>
  <c r="AU35" i="9"/>
  <c r="AV35" i="9"/>
  <c r="AU32" i="9"/>
  <c r="Y142" i="13"/>
  <c r="AA141" i="12"/>
  <c r="BO20" i="12" s="1"/>
  <c r="AH142" i="12"/>
  <c r="AH141" i="12" s="1"/>
  <c r="AH112" i="12" s="1"/>
  <c r="AA106" i="14"/>
  <c r="AD50" i="15"/>
  <c r="AD88" i="16"/>
  <c r="L55" i="14"/>
  <c r="J49" i="13"/>
  <c r="L48" i="12"/>
  <c r="N49" i="12"/>
  <c r="N48" i="12" s="1"/>
  <c r="AD99" i="13"/>
  <c r="AB96" i="13"/>
  <c r="AB90" i="13" s="1"/>
  <c r="I68" i="13"/>
  <c r="G66" i="13"/>
  <c r="AB125" i="13"/>
  <c r="AI125" i="12"/>
  <c r="AI123" i="12" s="1"/>
  <c r="AI112" i="12" s="1"/>
  <c r="AD123" i="12"/>
  <c r="G65" i="13"/>
  <c r="G63" i="13" s="1"/>
  <c r="M65" i="12"/>
  <c r="BD21" i="12"/>
  <c r="I128" i="12"/>
  <c r="AQ14" i="16"/>
  <c r="AQ17" i="16" s="1"/>
  <c r="A10" i="18"/>
  <c r="F17" i="16"/>
  <c r="AB215" i="13"/>
  <c r="AI215" i="12"/>
  <c r="AI211" i="12" s="1"/>
  <c r="AI210" i="12" s="1"/>
  <c r="AI209" i="12" s="1"/>
  <c r="AI207" i="12" s="1"/>
  <c r="AD211" i="12"/>
  <c r="AD210" i="12" s="1"/>
  <c r="AD209" i="12" s="1"/>
  <c r="M79" i="13"/>
  <c r="G79" i="14"/>
  <c r="Y259" i="13"/>
  <c r="AF259" i="13"/>
  <c r="V259" i="13"/>
  <c r="AC259" i="13"/>
  <c r="T15" i="14"/>
  <c r="W259" i="13"/>
  <c r="AA259" i="13"/>
  <c r="Z259" i="13"/>
  <c r="AH259" i="13"/>
  <c r="U259" i="13"/>
  <c r="X259" i="13"/>
  <c r="BP13" i="12"/>
  <c r="AR25" i="12"/>
  <c r="M63" i="12"/>
  <c r="AS32" i="11"/>
  <c r="AV32" i="11" s="1"/>
  <c r="BD7" i="13"/>
  <c r="AR16" i="13"/>
  <c r="J62" i="14"/>
  <c r="N62" i="13"/>
  <c r="N60" i="13" s="1"/>
  <c r="L60" i="13"/>
  <c r="AV29" i="16"/>
  <c r="AU29" i="16"/>
  <c r="L44" i="13"/>
  <c r="J42" i="13"/>
  <c r="F8" i="15"/>
  <c r="AJ136" i="12"/>
  <c r="AJ123" i="12" s="1"/>
  <c r="AJ112" i="12" s="1"/>
  <c r="AE136" i="13"/>
  <c r="AG123" i="12"/>
  <c r="AG112" i="12" s="1"/>
  <c r="AJ197" i="12"/>
  <c r="AJ195" i="12" s="1"/>
  <c r="AJ194" i="12" s="1"/>
  <c r="AJ193" i="12" s="1"/>
  <c r="AG195" i="12"/>
  <c r="AG194" i="12" s="1"/>
  <c r="AG193" i="12" s="1"/>
  <c r="AS28" i="12" s="1"/>
  <c r="AE197" i="13"/>
  <c r="Y26" i="13"/>
  <c r="AH26" i="12"/>
  <c r="AH20" i="12" s="1"/>
  <c r="AH16" i="12" s="1"/>
  <c r="AA20" i="12"/>
  <c r="AA16" i="12" s="1"/>
  <c r="BN29" i="16"/>
  <c r="AQ30" i="16"/>
  <c r="L43" i="14"/>
  <c r="Y197" i="13"/>
  <c r="AH197" i="12"/>
  <c r="AH195" i="12" s="1"/>
  <c r="AH194" i="12" s="1"/>
  <c r="AH193" i="12" s="1"/>
  <c r="AA195" i="12"/>
  <c r="AA194" i="12" s="1"/>
  <c r="J53" i="13"/>
  <c r="J128" i="13" s="1"/>
  <c r="N53" i="12"/>
  <c r="N51" i="12" s="1"/>
  <c r="L51" i="12"/>
  <c r="AE153" i="14"/>
  <c r="AJ153" i="13"/>
  <c r="Y133" i="16"/>
  <c r="AH133" i="15"/>
  <c r="AE178" i="13"/>
  <c r="AJ178" i="12"/>
  <c r="AJ176" i="12" s="1"/>
  <c r="AJ170" i="12" s="1"/>
  <c r="AG176" i="12"/>
  <c r="AG170" i="12" s="1"/>
  <c r="AS27" i="12" s="1"/>
  <c r="AX27" i="12" s="1"/>
  <c r="AZ27" i="12" s="1"/>
  <c r="AS14" i="11"/>
  <c r="L17" i="11"/>
  <c r="AE86" i="13"/>
  <c r="AJ86" i="12"/>
  <c r="AJ83" i="12" s="1"/>
  <c r="AJ63" i="12" s="1"/>
  <c r="AG83" i="12"/>
  <c r="AD75" i="13"/>
  <c r="AB69" i="13"/>
  <c r="AB228" i="14"/>
  <c r="AI228" i="13"/>
  <c r="AI227" i="13" s="1"/>
  <c r="AD227" i="13"/>
  <c r="Y173" i="13"/>
  <c r="AA172" i="12"/>
  <c r="AH173" i="12"/>
  <c r="AH172" i="12" s="1"/>
  <c r="Y80" i="13"/>
  <c r="AH80" i="12"/>
  <c r="AH69" i="12" s="1"/>
  <c r="AH65" i="12" s="1"/>
  <c r="AA69" i="12"/>
  <c r="AA65" i="12" s="1"/>
  <c r="AB229" i="15"/>
  <c r="AI229" i="14"/>
  <c r="L82" i="14"/>
  <c r="AA149" i="13"/>
  <c r="AA147" i="13" s="1"/>
  <c r="Y152" i="14"/>
  <c r="AH152" i="13"/>
  <c r="AH149" i="13" s="1"/>
  <c r="AH147" i="13" s="1"/>
  <c r="AG124" i="14"/>
  <c r="Y229" i="16"/>
  <c r="AH229" i="15"/>
  <c r="AZ23" i="11"/>
  <c r="AZ32" i="11" s="1"/>
  <c r="AX32" i="11"/>
  <c r="AE20" i="13"/>
  <c r="AE16" i="13" s="1"/>
  <c r="AG22" i="13"/>
  <c r="I55" i="15"/>
  <c r="AI166" i="15"/>
  <c r="AB166" i="16"/>
  <c r="AI26" i="14"/>
  <c r="AB26" i="15"/>
  <c r="I48" i="13"/>
  <c r="G50" i="14"/>
  <c r="M50" i="13"/>
  <c r="M48" i="13" s="1"/>
  <c r="AJ84" i="15"/>
  <c r="AE84" i="16"/>
  <c r="AE227" i="13"/>
  <c r="AG228" i="13"/>
  <c r="AS23" i="12"/>
  <c r="AA51" i="15"/>
  <c r="AD239" i="15"/>
  <c r="G77" i="16"/>
  <c r="M77" i="15"/>
  <c r="J86" i="14"/>
  <c r="L85" i="13"/>
  <c r="N86" i="13"/>
  <c r="N85" i="13" s="1"/>
  <c r="J24" i="15"/>
  <c r="N24" i="14"/>
  <c r="AJ235" i="12"/>
  <c r="AJ234" i="12" s="1"/>
  <c r="AJ232" i="12" s="1"/>
  <c r="AJ259" i="12"/>
  <c r="I64" i="13"/>
  <c r="AG18" i="15"/>
  <c r="AB134" i="15"/>
  <c r="AI134" i="14"/>
  <c r="AE148" i="16"/>
  <c r="AJ148" i="15"/>
  <c r="AG48" i="14"/>
  <c r="AG204" i="15"/>
  <c r="AE203" i="15"/>
  <c r="AG60" i="13"/>
  <c r="AE58" i="13"/>
  <c r="AE57" i="13" s="1"/>
  <c r="AG81" i="14"/>
  <c r="I8" i="11"/>
  <c r="I126" i="11" s="1"/>
  <c r="I130" i="11" s="1"/>
  <c r="AE238" i="15"/>
  <c r="AJ238" i="14"/>
  <c r="AA27" i="14"/>
  <c r="AE106" i="14"/>
  <c r="AG105" i="13"/>
  <c r="AG104" i="13" s="1"/>
  <c r="AJ106" i="13"/>
  <c r="AJ105" i="13" s="1"/>
  <c r="AJ104" i="13" s="1"/>
  <c r="AB213" i="15"/>
  <c r="AI213" i="14"/>
  <c r="AA159" i="15"/>
  <c r="AG19" i="14"/>
  <c r="AJ51" i="15"/>
  <c r="AE51" i="16"/>
  <c r="AE85" i="15"/>
  <c r="AJ85" i="14"/>
  <c r="AJ186" i="13"/>
  <c r="AE186" i="14"/>
  <c r="AG73" i="13"/>
  <c r="AE69" i="13"/>
  <c r="AE65" i="13" s="1"/>
  <c r="I86" i="13"/>
  <c r="G85" i="13"/>
  <c r="J63" i="13"/>
  <c r="L65" i="13"/>
  <c r="AG70" i="14"/>
  <c r="L37" i="14"/>
  <c r="AD107" i="15"/>
  <c r="G81" i="14"/>
  <c r="I83" i="14"/>
  <c r="AI197" i="14"/>
  <c r="AB197" i="15"/>
  <c r="I95" i="15"/>
  <c r="Y238" i="14"/>
  <c r="AH238" i="13"/>
  <c r="AD180" i="14"/>
  <c r="AB176" i="14"/>
  <c r="AE93" i="16"/>
  <c r="AJ93" i="15"/>
  <c r="AD70" i="15"/>
  <c r="AD245" i="16"/>
  <c r="AG95" i="14"/>
  <c r="AG215" i="13"/>
  <c r="AE211" i="13"/>
  <c r="AE210" i="13" s="1"/>
  <c r="AE209" i="13" s="1"/>
  <c r="AE207" i="13" s="1"/>
  <c r="AE237" i="16"/>
  <c r="AJ237" i="15"/>
  <c r="Y215" i="14"/>
  <c r="AH215" i="13"/>
  <c r="AH211" i="13" s="1"/>
  <c r="AH210" i="13" s="1"/>
  <c r="AH209" i="13" s="1"/>
  <c r="AH207" i="13" s="1"/>
  <c r="AA211" i="13"/>
  <c r="AA210" i="13" s="1"/>
  <c r="AA209" i="13" s="1"/>
  <c r="AJ40" i="16"/>
  <c r="N63" i="12"/>
  <c r="AG97" i="14"/>
  <c r="AE174" i="14"/>
  <c r="AJ174" i="13"/>
  <c r="AJ172" i="13" s="1"/>
  <c r="AG172" i="13"/>
  <c r="AE212" i="15"/>
  <c r="AJ212" i="14"/>
  <c r="AJ158" i="13"/>
  <c r="AE158" i="14"/>
  <c r="AG59" i="14"/>
  <c r="AI224" i="13"/>
  <c r="AB224" i="14"/>
  <c r="L68" i="15"/>
  <c r="AD248" i="13"/>
  <c r="AB243" i="13"/>
  <c r="AX22" i="15"/>
  <c r="AV22" i="15"/>
  <c r="AD143" i="16"/>
  <c r="Y70" i="14"/>
  <c r="AH70" i="13"/>
  <c r="AX16" i="13"/>
  <c r="AZ16" i="13" s="1"/>
  <c r="AV16" i="13"/>
  <c r="AU8" i="12"/>
  <c r="AE246" i="14"/>
  <c r="AJ246" i="13"/>
  <c r="AJ243" i="13" s="1"/>
  <c r="AG243" i="13"/>
  <c r="AI23" i="16"/>
  <c r="AG115" i="15"/>
  <c r="AE187" i="13"/>
  <c r="AE185" i="13" s="1"/>
  <c r="AG188" i="13"/>
  <c r="AE54" i="14"/>
  <c r="AJ54" i="13"/>
  <c r="J15" i="15"/>
  <c r="L10" i="14"/>
  <c r="N15" i="14"/>
  <c r="N10" i="14" s="1"/>
  <c r="AD191" i="14"/>
  <c r="AE168" i="16"/>
  <c r="AJ168" i="15"/>
  <c r="AG241" i="13"/>
  <c r="AG259" i="13" s="1"/>
  <c r="AE235" i="13"/>
  <c r="AE234" i="13" s="1"/>
  <c r="AE232" i="13" s="1"/>
  <c r="AE259" i="13"/>
  <c r="L104" i="13"/>
  <c r="J105" i="14"/>
  <c r="N105" i="13"/>
  <c r="N104" i="13" s="1"/>
  <c r="I97" i="14"/>
  <c r="G94" i="14"/>
  <c r="G106" i="14"/>
  <c r="I104" i="13"/>
  <c r="BD19" i="13"/>
  <c r="M106" i="13"/>
  <c r="M104" i="13" s="1"/>
  <c r="I36" i="15"/>
  <c r="BO26" i="14"/>
  <c r="Y196" i="15"/>
  <c r="AH196" i="14"/>
  <c r="G27" i="14"/>
  <c r="AW8" i="13"/>
  <c r="AY8" i="13" s="1"/>
  <c r="I25" i="13"/>
  <c r="M27" i="13"/>
  <c r="J27" i="15"/>
  <c r="N27" i="14"/>
  <c r="AA40" i="15"/>
  <c r="AG17" i="16"/>
  <c r="AE245" i="15"/>
  <c r="AJ245" i="14"/>
  <c r="L52" i="14"/>
  <c r="AW31" i="14"/>
  <c r="AY31" i="14" s="1"/>
  <c r="AX31" i="14"/>
  <c r="AZ31" i="14" s="1"/>
  <c r="AQ32" i="14"/>
  <c r="AB67" i="14"/>
  <c r="AI67" i="13"/>
  <c r="BP11" i="13"/>
  <c r="AJ142" i="13"/>
  <c r="AJ141" i="13" s="1"/>
  <c r="AG141" i="13"/>
  <c r="AE142" i="14"/>
  <c r="AI36" i="15"/>
  <c r="AB36" i="16"/>
  <c r="G42" i="15"/>
  <c r="I44" i="15"/>
  <c r="BP26" i="15"/>
  <c r="AB212" i="16"/>
  <c r="AI212" i="15"/>
  <c r="J74" i="15"/>
  <c r="N74" i="14"/>
  <c r="AG173" i="15"/>
  <c r="AE177" i="14"/>
  <c r="AJ177" i="13"/>
  <c r="BD10" i="12" l="1"/>
  <c r="BD9" i="12" s="1"/>
  <c r="BD8" i="12" s="1"/>
  <c r="AD170" i="12"/>
  <c r="M128" i="12"/>
  <c r="AI170" i="12"/>
  <c r="BO14" i="12"/>
  <c r="BI9" i="12" s="1"/>
  <c r="AA10" i="11"/>
  <c r="AA258" i="11" s="1"/>
  <c r="BO33" i="11" s="1"/>
  <c r="AA112" i="12"/>
  <c r="AS9" i="12"/>
  <c r="AV9" i="12" s="1"/>
  <c r="AE12" i="12"/>
  <c r="AE10" i="12" s="1"/>
  <c r="AE8" i="12" s="1"/>
  <c r="AH43" i="12"/>
  <c r="AH14" i="12" s="1"/>
  <c r="AG8" i="11"/>
  <c r="AI145" i="12"/>
  <c r="AA46" i="13"/>
  <c r="Y44" i="13"/>
  <c r="AD161" i="13"/>
  <c r="AB157" i="13"/>
  <c r="AB155" i="13" s="1"/>
  <c r="Y124" i="15"/>
  <c r="AH124" i="14"/>
  <c r="AH123" i="14" s="1"/>
  <c r="AA123" i="14"/>
  <c r="AA43" i="12"/>
  <c r="AA170" i="12"/>
  <c r="BO24" i="12" s="1"/>
  <c r="BO22" i="12" s="1"/>
  <c r="BI11" i="12" s="1"/>
  <c r="AB117" i="14"/>
  <c r="AI117" i="13"/>
  <c r="AI114" i="13" s="1"/>
  <c r="AD114" i="13"/>
  <c r="AE94" i="14"/>
  <c r="AJ94" i="13"/>
  <c r="AJ91" i="13" s="1"/>
  <c r="AG91" i="13"/>
  <c r="AI63" i="12"/>
  <c r="AI12" i="12" s="1"/>
  <c r="AG223" i="13"/>
  <c r="AE222" i="13"/>
  <c r="AE220" i="13" s="1"/>
  <c r="AJ8" i="11"/>
  <c r="AS24" i="12"/>
  <c r="AX24" i="12" s="1"/>
  <c r="AZ24" i="12" s="1"/>
  <c r="AJ14" i="12"/>
  <c r="AJ12" i="12" s="1"/>
  <c r="AJ145" i="12"/>
  <c r="AJ110" i="12" s="1"/>
  <c r="AH110" i="12"/>
  <c r="AA167" i="13"/>
  <c r="Y157" i="13"/>
  <c r="Y155" i="13" s="1"/>
  <c r="Y145" i="13" s="1"/>
  <c r="AA107" i="13"/>
  <c r="Y105" i="13"/>
  <c r="Y104" i="13" s="1"/>
  <c r="L23" i="13"/>
  <c r="J22" i="13"/>
  <c r="AA52" i="13"/>
  <c r="Y49" i="13"/>
  <c r="AH90" i="12"/>
  <c r="AH63" i="12" s="1"/>
  <c r="L36" i="13"/>
  <c r="J35" i="13"/>
  <c r="Y59" i="14"/>
  <c r="AH59" i="13"/>
  <c r="AH58" i="13" s="1"/>
  <c r="AH57" i="13" s="1"/>
  <c r="AA58" i="13"/>
  <c r="AA57" i="13" s="1"/>
  <c r="G57" i="13"/>
  <c r="I58" i="13"/>
  <c r="AH170" i="12"/>
  <c r="BO17" i="12"/>
  <c r="BO15" i="12" s="1"/>
  <c r="BI10" i="12" s="1"/>
  <c r="AA145" i="12"/>
  <c r="AA188" i="14"/>
  <c r="Y187" i="14"/>
  <c r="Y185" i="14" s="1"/>
  <c r="AB92" i="14"/>
  <c r="AD91" i="13"/>
  <c r="AI92" i="13"/>
  <c r="AI91" i="13" s="1"/>
  <c r="AA177" i="13"/>
  <c r="Y176" i="13"/>
  <c r="AG150" i="13"/>
  <c r="AE149" i="13"/>
  <c r="AE147" i="13" s="1"/>
  <c r="Y91" i="13"/>
  <c r="AA93" i="13"/>
  <c r="L71" i="14"/>
  <c r="J69" i="14"/>
  <c r="J26" i="14"/>
  <c r="N26" i="13"/>
  <c r="N25" i="13" s="1"/>
  <c r="L25" i="13"/>
  <c r="AS8" i="13" s="1"/>
  <c r="AV8" i="13" s="1"/>
  <c r="AX8" i="13"/>
  <c r="AZ8" i="13" s="1"/>
  <c r="AA98" i="13"/>
  <c r="Y96" i="13"/>
  <c r="J47" i="14"/>
  <c r="N47" i="13"/>
  <c r="N45" i="13" s="1"/>
  <c r="L45" i="13"/>
  <c r="AA90" i="12"/>
  <c r="BO13" i="12" s="1"/>
  <c r="AB43" i="13"/>
  <c r="AB14" i="13" s="1"/>
  <c r="AD116" i="15"/>
  <c r="AI46" i="13"/>
  <c r="AI44" i="13" s="1"/>
  <c r="AB46" i="14"/>
  <c r="AD44" i="13"/>
  <c r="AB106" i="14"/>
  <c r="AI106" i="13"/>
  <c r="AI105" i="13" s="1"/>
  <c r="AI104" i="13" s="1"/>
  <c r="AD105" i="13"/>
  <c r="AD104" i="13" s="1"/>
  <c r="AG159" i="13"/>
  <c r="AE157" i="13"/>
  <c r="AE155" i="13" s="1"/>
  <c r="G60" i="13"/>
  <c r="I61" i="13"/>
  <c r="AG145" i="12"/>
  <c r="AG110" i="12" s="1"/>
  <c r="AS26" i="12" s="1"/>
  <c r="AX26" i="12" s="1"/>
  <c r="AZ26" i="12" s="1"/>
  <c r="L83" i="13"/>
  <c r="J81" i="13"/>
  <c r="Y222" i="13"/>
  <c r="Y220" i="13" s="1"/>
  <c r="AA223" i="13"/>
  <c r="AB51" i="14"/>
  <c r="AI51" i="13"/>
  <c r="AI49" i="13" s="1"/>
  <c r="AD49" i="13"/>
  <c r="AD85" i="13"/>
  <c r="AB83" i="13"/>
  <c r="X258" i="15"/>
  <c r="AQ31" i="15" s="1"/>
  <c r="BN22" i="16"/>
  <c r="BH11" i="16" s="1"/>
  <c r="AG14" i="12"/>
  <c r="AS25" i="12"/>
  <c r="AV25" i="12" s="1"/>
  <c r="AD193" i="12"/>
  <c r="AR28" i="12" s="1"/>
  <c r="AU28" i="12" s="1"/>
  <c r="BP28" i="12"/>
  <c r="AR9" i="12"/>
  <c r="AU9" i="12" s="1"/>
  <c r="I21" i="12"/>
  <c r="I19" i="12" s="1"/>
  <c r="AA38" i="13"/>
  <c r="Y35" i="13"/>
  <c r="G74" i="14"/>
  <c r="M74" i="13"/>
  <c r="M72" i="13" s="1"/>
  <c r="I72" i="13"/>
  <c r="M70" i="13"/>
  <c r="M69" i="13" s="1"/>
  <c r="I69" i="13"/>
  <c r="G70" i="14"/>
  <c r="AA180" i="15"/>
  <c r="G56" i="14"/>
  <c r="M56" i="13"/>
  <c r="M54" i="13" s="1"/>
  <c r="I54" i="13"/>
  <c r="I46" i="13"/>
  <c r="G45" i="13"/>
  <c r="G37" i="14"/>
  <c r="M37" i="13"/>
  <c r="M35" i="13" s="1"/>
  <c r="I35" i="13"/>
  <c r="I31" i="13"/>
  <c r="G29" i="13"/>
  <c r="G28" i="13" s="1"/>
  <c r="AG38" i="13"/>
  <c r="AE35" i="13"/>
  <c r="AB172" i="13"/>
  <c r="AD174" i="13"/>
  <c r="BH8" i="16"/>
  <c r="M21" i="12"/>
  <c r="M19" i="12" s="1"/>
  <c r="M17" i="12" s="1"/>
  <c r="M8" i="12" s="1"/>
  <c r="N128" i="12"/>
  <c r="AW17" i="12"/>
  <c r="BN8" i="16"/>
  <c r="AG98" i="13"/>
  <c r="AE96" i="13"/>
  <c r="AE90" i="13" s="1"/>
  <c r="AD199" i="13"/>
  <c r="AB195" i="13"/>
  <c r="AB194" i="13" s="1"/>
  <c r="AB193" i="13" s="1"/>
  <c r="AG52" i="13"/>
  <c r="AE49" i="13"/>
  <c r="AE43" i="13" s="1"/>
  <c r="AV30" i="12"/>
  <c r="AG63" i="12"/>
  <c r="AA228" i="14"/>
  <c r="Y227" i="14"/>
  <c r="AB37" i="14"/>
  <c r="AI37" i="13"/>
  <c r="AI35" i="13" s="1"/>
  <c r="AD35" i="13"/>
  <c r="AE117" i="14"/>
  <c r="AJ117" i="13"/>
  <c r="AJ114" i="13" s="1"/>
  <c r="AG114" i="13"/>
  <c r="J56" i="14"/>
  <c r="N56" i="13"/>
  <c r="N54" i="13" s="1"/>
  <c r="L54" i="13"/>
  <c r="AU24" i="12"/>
  <c r="AW24" i="12"/>
  <c r="AY24" i="12" s="1"/>
  <c r="AY17" i="12"/>
  <c r="AR17" i="11"/>
  <c r="I113" i="14"/>
  <c r="AR15" i="14" s="1"/>
  <c r="BD20" i="14"/>
  <c r="M115" i="14"/>
  <c r="M113" i="14" s="1"/>
  <c r="G115" i="15"/>
  <c r="J119" i="14"/>
  <c r="N119" i="13"/>
  <c r="N113" i="13" s="1"/>
  <c r="L113" i="13"/>
  <c r="AS15" i="13" s="1"/>
  <c r="AZ17" i="12"/>
  <c r="AB10" i="12"/>
  <c r="AB8" i="12" s="1"/>
  <c r="X258" i="16"/>
  <c r="Y1" i="10"/>
  <c r="AR31" i="10"/>
  <c r="AR32" i="10" s="1"/>
  <c r="AW26" i="11"/>
  <c r="AY26" i="11" s="1"/>
  <c r="AI8" i="11"/>
  <c r="Y258" i="12"/>
  <c r="AA63" i="12"/>
  <c r="AA8" i="11"/>
  <c r="U1" i="11" s="1"/>
  <c r="AG151" i="15"/>
  <c r="AR30" i="12"/>
  <c r="AU30" i="12" s="1"/>
  <c r="N21" i="12"/>
  <c r="N19" i="12" s="1"/>
  <c r="N17" i="12" s="1"/>
  <c r="AF258" i="12" s="1"/>
  <c r="BQ33" i="12" s="1"/>
  <c r="C31" i="20"/>
  <c r="C30" i="20" s="1"/>
  <c r="AI110" i="12"/>
  <c r="AD10" i="11"/>
  <c r="I73" i="15"/>
  <c r="AV27" i="12"/>
  <c r="AX17" i="12"/>
  <c r="G30" i="16"/>
  <c r="M30" i="15"/>
  <c r="AD228" i="14"/>
  <c r="AB227" i="14"/>
  <c r="L8" i="11"/>
  <c r="AG178" i="13"/>
  <c r="AE176" i="13"/>
  <c r="AE170" i="13" s="1"/>
  <c r="BO28" i="12"/>
  <c r="BO25" i="12" s="1"/>
  <c r="BI12" i="12" s="1"/>
  <c r="AA193" i="12"/>
  <c r="J43" i="15"/>
  <c r="N43" i="14"/>
  <c r="L62" i="14"/>
  <c r="J60" i="14"/>
  <c r="AU25" i="12"/>
  <c r="AW25" i="12"/>
  <c r="AY25" i="12" s="1"/>
  <c r="AH259" i="14"/>
  <c r="W259" i="14"/>
  <c r="V259" i="14"/>
  <c r="T15" i="15"/>
  <c r="X259" i="14"/>
  <c r="AC259" i="14"/>
  <c r="U259" i="14"/>
  <c r="AA259" i="14"/>
  <c r="Y259" i="14"/>
  <c r="Z259" i="14"/>
  <c r="AF259" i="14"/>
  <c r="BP17" i="12"/>
  <c r="AD112" i="12"/>
  <c r="M68" i="13"/>
  <c r="M66" i="13" s="1"/>
  <c r="I66" i="13"/>
  <c r="G68" i="14"/>
  <c r="AI88" i="16"/>
  <c r="AA142" i="13"/>
  <c r="Y141" i="13"/>
  <c r="Y112" i="13" s="1"/>
  <c r="Y110" i="13" s="1"/>
  <c r="L73" i="13"/>
  <c r="J72" i="13"/>
  <c r="L95" i="13"/>
  <c r="J94" i="13"/>
  <c r="J80" i="14"/>
  <c r="N80" i="13"/>
  <c r="AA84" i="14"/>
  <c r="AB97" i="15"/>
  <c r="AI97" i="14"/>
  <c r="BP16" i="12"/>
  <c r="AD145" i="12"/>
  <c r="I23" i="13"/>
  <c r="G22" i="13"/>
  <c r="AW22" i="12"/>
  <c r="AY22" i="12" s="1"/>
  <c r="AU22" i="12"/>
  <c r="J67" i="14"/>
  <c r="N67" i="13"/>
  <c r="N66" i="13" s="1"/>
  <c r="L66" i="13"/>
  <c r="AB142" i="14"/>
  <c r="AI142" i="13"/>
  <c r="AI141" i="13" s="1"/>
  <c r="AD141" i="13"/>
  <c r="BP20" i="13" s="1"/>
  <c r="AB71" i="15"/>
  <c r="AI71" i="14"/>
  <c r="L21" i="12"/>
  <c r="L19" i="12" s="1"/>
  <c r="Y8" i="12"/>
  <c r="BJ7" i="11"/>
  <c r="BJ16" i="11" s="1"/>
  <c r="AV24" i="12"/>
  <c r="AA133" i="16"/>
  <c r="AA14" i="12"/>
  <c r="BO12" i="12"/>
  <c r="BO9" i="12" s="1"/>
  <c r="AX28" i="12"/>
  <c r="AZ28" i="12" s="1"/>
  <c r="AV28" i="12"/>
  <c r="J44" i="14"/>
  <c r="N44" i="13"/>
  <c r="N42" i="13" s="1"/>
  <c r="L42" i="13"/>
  <c r="AS10" i="13" s="1"/>
  <c r="AV10" i="13" s="1"/>
  <c r="AX10" i="13"/>
  <c r="AZ10" i="13" s="1"/>
  <c r="BP27" i="12"/>
  <c r="BP25" i="12" s="1"/>
  <c r="BJ12" i="12" s="1"/>
  <c r="AD207" i="12"/>
  <c r="AR29" i="12" s="1"/>
  <c r="AW29" i="12" s="1"/>
  <c r="AY29" i="12" s="1"/>
  <c r="I10" i="18"/>
  <c r="M10" i="18"/>
  <c r="E10" i="18"/>
  <c r="I65" i="13"/>
  <c r="I63" i="13" s="1"/>
  <c r="G128" i="13"/>
  <c r="J55" i="15"/>
  <c r="N55" i="14"/>
  <c r="AI50" i="15"/>
  <c r="AB50" i="16"/>
  <c r="G12" i="15"/>
  <c r="M12" i="14"/>
  <c r="M10" i="14" s="1"/>
  <c r="I10" i="14"/>
  <c r="G76" i="14"/>
  <c r="M76" i="13"/>
  <c r="M75" i="13" s="1"/>
  <c r="I75" i="13"/>
  <c r="AB59" i="14"/>
  <c r="AD58" i="13"/>
  <c r="AD57" i="13" s="1"/>
  <c r="AI59" i="13"/>
  <c r="AI58" i="13" s="1"/>
  <c r="AI57" i="13" s="1"/>
  <c r="L61" i="15"/>
  <c r="BP24" i="12"/>
  <c r="BP22" i="12" s="1"/>
  <c r="BJ11" i="12" s="1"/>
  <c r="AR27" i="12"/>
  <c r="AH204" i="13"/>
  <c r="AH203" i="13" s="1"/>
  <c r="Y204" i="14"/>
  <c r="AA203" i="13"/>
  <c r="AD152" i="13"/>
  <c r="AB149" i="13"/>
  <c r="AB147" i="13" s="1"/>
  <c r="AB145" i="13" s="1"/>
  <c r="AD225" i="13"/>
  <c r="AB222" i="13"/>
  <c r="AB220" i="13" s="1"/>
  <c r="AB259" i="13"/>
  <c r="I52" i="13"/>
  <c r="BD17" i="13" s="1"/>
  <c r="G51" i="13"/>
  <c r="AA86" i="13"/>
  <c r="Y83" i="13"/>
  <c r="AA236" i="13"/>
  <c r="Y235" i="13"/>
  <c r="G33" i="14"/>
  <c r="I32" i="13"/>
  <c r="M33" i="13"/>
  <c r="M32" i="13" s="1"/>
  <c r="BD13" i="13"/>
  <c r="AW9" i="13"/>
  <c r="AY9" i="13" s="1"/>
  <c r="BP7" i="11"/>
  <c r="BP32" i="11" s="1"/>
  <c r="AA80" i="13"/>
  <c r="Y69" i="13"/>
  <c r="Y65" i="13" s="1"/>
  <c r="AB75" i="14"/>
  <c r="AI75" i="13"/>
  <c r="AI69" i="13" s="1"/>
  <c r="AD69" i="13"/>
  <c r="AG153" i="14"/>
  <c r="AA197" i="13"/>
  <c r="Y195" i="13"/>
  <c r="Y194" i="13" s="1"/>
  <c r="Y193" i="13" s="1"/>
  <c r="BH13" i="16"/>
  <c r="C53" i="20"/>
  <c r="AG197" i="13"/>
  <c r="AE195" i="13"/>
  <c r="AE194" i="13" s="1"/>
  <c r="AE193" i="13" s="1"/>
  <c r="AG136" i="13"/>
  <c r="AE123" i="13"/>
  <c r="AE112" i="13" s="1"/>
  <c r="F8" i="16"/>
  <c r="AD125" i="13"/>
  <c r="AB123" i="13"/>
  <c r="AB112" i="13" s="1"/>
  <c r="AB99" i="14"/>
  <c r="AI99" i="13"/>
  <c r="AI96" i="13" s="1"/>
  <c r="AI90" i="13" s="1"/>
  <c r="AD96" i="13"/>
  <c r="AD236" i="13"/>
  <c r="AB235" i="13"/>
  <c r="AB234" i="13" s="1"/>
  <c r="AB232" i="13" s="1"/>
  <c r="J32" i="13"/>
  <c r="L33" i="13"/>
  <c r="AE46" i="14"/>
  <c r="AJ46" i="13"/>
  <c r="AJ44" i="13" s="1"/>
  <c r="AG44" i="13"/>
  <c r="AB204" i="14"/>
  <c r="AD203" i="13"/>
  <c r="AI204" i="13"/>
  <c r="AI203" i="13" s="1"/>
  <c r="L70" i="15"/>
  <c r="AI222" i="12"/>
  <c r="AI220" i="12" s="1"/>
  <c r="AI259" i="12"/>
  <c r="L57" i="13"/>
  <c r="N58" i="13"/>
  <c r="N57" i="13" s="1"/>
  <c r="J58" i="14"/>
  <c r="AR23" i="12"/>
  <c r="BP12" i="12"/>
  <c r="BP9" i="12" s="1"/>
  <c r="AD63" i="12"/>
  <c r="AD12" i="12" s="1"/>
  <c r="AD66" i="13"/>
  <c r="AB65" i="13"/>
  <c r="AB21" i="14"/>
  <c r="AI21" i="13"/>
  <c r="AI20" i="13" s="1"/>
  <c r="AI16" i="13" s="1"/>
  <c r="AD20" i="13"/>
  <c r="AD16" i="13" s="1"/>
  <c r="BD22" i="12"/>
  <c r="AH234" i="12"/>
  <c r="AH232" i="12" s="1"/>
  <c r="AA173" i="13"/>
  <c r="Y172" i="13"/>
  <c r="AG86" i="13"/>
  <c r="AE83" i="13"/>
  <c r="AS17" i="11"/>
  <c r="AV17" i="11" s="1"/>
  <c r="AV14" i="11"/>
  <c r="L53" i="13"/>
  <c r="J51" i="13"/>
  <c r="AA26" i="13"/>
  <c r="Y20" i="13"/>
  <c r="Y16" i="13" s="1"/>
  <c r="A1" i="15"/>
  <c r="F126" i="15"/>
  <c r="F130" i="15" s="1"/>
  <c r="AU16" i="13"/>
  <c r="AW16" i="13"/>
  <c r="AY16" i="13" s="1"/>
  <c r="G78" i="14"/>
  <c r="I78" i="14" s="1"/>
  <c r="M78" i="14" s="1"/>
  <c r="I79" i="14"/>
  <c r="AD215" i="13"/>
  <c r="AB211" i="13"/>
  <c r="AB210" i="13" s="1"/>
  <c r="AB209" i="13" s="1"/>
  <c r="AB207" i="13" s="1"/>
  <c r="L49" i="13"/>
  <c r="J48" i="13"/>
  <c r="AH106" i="14"/>
  <c r="Y106" i="15"/>
  <c r="AA244" i="13"/>
  <c r="Y243" i="13"/>
  <c r="AY23" i="11"/>
  <c r="J30" i="14"/>
  <c r="N30" i="13"/>
  <c r="N29" i="13" s="1"/>
  <c r="L29" i="13"/>
  <c r="AU31" i="10"/>
  <c r="AD189" i="14"/>
  <c r="AD190" i="13"/>
  <c r="AB187" i="13"/>
  <c r="AB185" i="13" s="1"/>
  <c r="AB170" i="13" s="1"/>
  <c r="J46" i="15"/>
  <c r="N46" i="14"/>
  <c r="Y115" i="14"/>
  <c r="AA114" i="13"/>
  <c r="BO16" i="13" s="1"/>
  <c r="AH115" i="13"/>
  <c r="AH114" i="13" s="1"/>
  <c r="L76" i="13"/>
  <c r="J75" i="13"/>
  <c r="AA234" i="12"/>
  <c r="AA232" i="12" s="1"/>
  <c r="BO29" i="12" s="1"/>
  <c r="BI13" i="12" s="1"/>
  <c r="AG177" i="14"/>
  <c r="AE141" i="14"/>
  <c r="AG142" i="14"/>
  <c r="AD67" i="14"/>
  <c r="AE173" i="16"/>
  <c r="AJ173" i="15"/>
  <c r="I42" i="15"/>
  <c r="AR10" i="15" s="1"/>
  <c r="AU10" i="15" s="1"/>
  <c r="G44" i="16"/>
  <c r="AW10" i="15"/>
  <c r="AY10" i="15" s="1"/>
  <c r="M44" i="15"/>
  <c r="M42" i="15" s="1"/>
  <c r="AG245" i="15"/>
  <c r="AJ17" i="16"/>
  <c r="AS22" i="16"/>
  <c r="Y40" i="16"/>
  <c r="AH40" i="15"/>
  <c r="L27" i="15"/>
  <c r="M25" i="13"/>
  <c r="AG168" i="16"/>
  <c r="AS16" i="14"/>
  <c r="AG54" i="14"/>
  <c r="AJ115" i="15"/>
  <c r="AE115" i="16"/>
  <c r="J68" i="16"/>
  <c r="N68" i="15"/>
  <c r="AG158" i="14"/>
  <c r="AE97" i="15"/>
  <c r="AJ97" i="14"/>
  <c r="AA215" i="14"/>
  <c r="Y211" i="14"/>
  <c r="Y210" i="14" s="1"/>
  <c r="Y209" i="14" s="1"/>
  <c r="Y207" i="14" s="1"/>
  <c r="AI245" i="16"/>
  <c r="AG93" i="16"/>
  <c r="I81" i="14"/>
  <c r="G83" i="15"/>
  <c r="M83" i="14"/>
  <c r="M81" i="14" s="1"/>
  <c r="AE73" i="14"/>
  <c r="AJ73" i="13"/>
  <c r="AJ69" i="13" s="1"/>
  <c r="AJ65" i="13" s="1"/>
  <c r="AG69" i="13"/>
  <c r="AG65" i="13" s="1"/>
  <c r="AD213" i="15"/>
  <c r="AE60" i="14"/>
  <c r="AJ60" i="13"/>
  <c r="AJ58" i="13" s="1"/>
  <c r="AJ57" i="13" s="1"/>
  <c r="AG58" i="13"/>
  <c r="AG57" i="13" s="1"/>
  <c r="AJ48" i="14"/>
  <c r="AE48" i="15"/>
  <c r="AE18" i="16"/>
  <c r="AJ18" i="15"/>
  <c r="L86" i="14"/>
  <c r="J85" i="14"/>
  <c r="I77" i="16"/>
  <c r="I50" i="14"/>
  <c r="G48" i="14"/>
  <c r="AD166" i="16"/>
  <c r="AA229" i="16"/>
  <c r="AA152" i="14"/>
  <c r="Y149" i="14"/>
  <c r="Y147" i="14" s="1"/>
  <c r="L74" i="15"/>
  <c r="AQ33" i="14"/>
  <c r="AR8" i="13"/>
  <c r="AA196" i="15"/>
  <c r="I106" i="14"/>
  <c r="G104" i="14"/>
  <c r="L105" i="14"/>
  <c r="J104" i="14"/>
  <c r="AJ241" i="13"/>
  <c r="AE241" i="14"/>
  <c r="AE259" i="14" s="1"/>
  <c r="AG235" i="13"/>
  <c r="AG234" i="13" s="1"/>
  <c r="AG232" i="13" s="1"/>
  <c r="AE188" i="14"/>
  <c r="AG187" i="13"/>
  <c r="AG185" i="13" s="1"/>
  <c r="AJ188" i="13"/>
  <c r="AJ187" i="13" s="1"/>
  <c r="AJ185" i="13" s="1"/>
  <c r="AI143" i="16"/>
  <c r="AB248" i="14"/>
  <c r="AI248" i="13"/>
  <c r="AI243" i="13" s="1"/>
  <c r="AD243" i="13"/>
  <c r="AD224" i="14"/>
  <c r="AG212" i="15"/>
  <c r="AG237" i="16"/>
  <c r="AE95" i="15"/>
  <c r="AJ95" i="14"/>
  <c r="AB70" i="16"/>
  <c r="AI70" i="15"/>
  <c r="G95" i="16"/>
  <c r="M95" i="15"/>
  <c r="J37" i="15"/>
  <c r="N37" i="14"/>
  <c r="L63" i="13"/>
  <c r="J65" i="14"/>
  <c r="N65" i="13"/>
  <c r="AG51" i="16"/>
  <c r="AE19" i="15"/>
  <c r="AJ19" i="14"/>
  <c r="L24" i="15"/>
  <c r="AB239" i="16"/>
  <c r="AI239" i="15"/>
  <c r="G36" i="16"/>
  <c r="M36" i="15"/>
  <c r="AB191" i="15"/>
  <c r="AI191" i="14"/>
  <c r="AA70" i="14"/>
  <c r="AE59" i="15"/>
  <c r="AJ59" i="14"/>
  <c r="AG174" i="14"/>
  <c r="AE172" i="14"/>
  <c r="BO27" i="13"/>
  <c r="AA207" i="13"/>
  <c r="AB180" i="15"/>
  <c r="AI180" i="14"/>
  <c r="AI176" i="14" s="1"/>
  <c r="AD176" i="14"/>
  <c r="AA238" i="14"/>
  <c r="AD197" i="15"/>
  <c r="G86" i="14"/>
  <c r="I85" i="13"/>
  <c r="M86" i="13"/>
  <c r="M85" i="13" s="1"/>
  <c r="AG85" i="15"/>
  <c r="AG106" i="14"/>
  <c r="AE105" i="14"/>
  <c r="AE104" i="14" s="1"/>
  <c r="AH27" i="14"/>
  <c r="Y27" i="15"/>
  <c r="AE204" i="16"/>
  <c r="AG203" i="15"/>
  <c r="AJ204" i="15"/>
  <c r="AJ203" i="15" s="1"/>
  <c r="AD134" i="15"/>
  <c r="G64" i="14"/>
  <c r="BD14" i="13"/>
  <c r="M64" i="13"/>
  <c r="AH51" i="15"/>
  <c r="Y51" i="16"/>
  <c r="AE228" i="14"/>
  <c r="AG227" i="13"/>
  <c r="AJ228" i="13"/>
  <c r="AJ227" i="13" s="1"/>
  <c r="AD26" i="15"/>
  <c r="AG20" i="13"/>
  <c r="AG16" i="13" s="1"/>
  <c r="AE22" i="14"/>
  <c r="AJ22" i="13"/>
  <c r="AJ20" i="13" s="1"/>
  <c r="AJ16" i="13" s="1"/>
  <c r="AE124" i="15"/>
  <c r="AJ124" i="14"/>
  <c r="J82" i="15"/>
  <c r="N82" i="14"/>
  <c r="AD229" i="15"/>
  <c r="AD212" i="16"/>
  <c r="AD36" i="16"/>
  <c r="J52" i="15"/>
  <c r="N52" i="14"/>
  <c r="AU17" i="11"/>
  <c r="G25" i="14"/>
  <c r="I27" i="14"/>
  <c r="G97" i="15"/>
  <c r="M97" i="14"/>
  <c r="M94" i="14" s="1"/>
  <c r="BD18" i="14"/>
  <c r="I94" i="14"/>
  <c r="L15" i="15"/>
  <c r="J10" i="15"/>
  <c r="AG246" i="14"/>
  <c r="AE243" i="14"/>
  <c r="AZ22" i="15"/>
  <c r="AE215" i="14"/>
  <c r="AJ215" i="13"/>
  <c r="AJ211" i="13" s="1"/>
  <c r="AJ210" i="13" s="1"/>
  <c r="AJ209" i="13" s="1"/>
  <c r="AJ207" i="13" s="1"/>
  <c r="AG211" i="13"/>
  <c r="AG210" i="13" s="1"/>
  <c r="AG209" i="13" s="1"/>
  <c r="AG207" i="13" s="1"/>
  <c r="AS29" i="13" s="1"/>
  <c r="AX29" i="13" s="1"/>
  <c r="AZ29" i="13" s="1"/>
  <c r="AI107" i="15"/>
  <c r="AB107" i="16"/>
  <c r="AE70" i="15"/>
  <c r="AJ70" i="14"/>
  <c r="AG186" i="14"/>
  <c r="AH159" i="15"/>
  <c r="Y159" i="16"/>
  <c r="AG238" i="15"/>
  <c r="AJ81" i="14"/>
  <c r="AE81" i="15"/>
  <c r="AG148" i="16"/>
  <c r="AX23" i="12"/>
  <c r="AV23" i="12"/>
  <c r="AG84" i="16"/>
  <c r="G55" i="16"/>
  <c r="M55" i="15"/>
  <c r="AA110" i="12" l="1"/>
  <c r="L128" i="13"/>
  <c r="AB63" i="13"/>
  <c r="M126" i="12"/>
  <c r="M130" i="12" s="1"/>
  <c r="BH7" i="16"/>
  <c r="AX25" i="12"/>
  <c r="AZ25" i="12" s="1"/>
  <c r="Y43" i="13"/>
  <c r="AW28" i="12"/>
  <c r="AY28" i="12" s="1"/>
  <c r="AD90" i="13"/>
  <c r="AA124" i="15"/>
  <c r="Y123" i="15"/>
  <c r="Y46" i="14"/>
  <c r="AH46" i="13"/>
  <c r="AH44" i="13" s="1"/>
  <c r="AA44" i="13"/>
  <c r="AD117" i="14"/>
  <c r="AB114" i="14"/>
  <c r="AB161" i="14"/>
  <c r="AI161" i="13"/>
  <c r="AI157" i="13" s="1"/>
  <c r="AI155" i="13" s="1"/>
  <c r="AD157" i="13"/>
  <c r="AD155" i="13" s="1"/>
  <c r="AG94" i="14"/>
  <c r="AE91" i="14"/>
  <c r="AH12" i="12"/>
  <c r="AH10" i="12" s="1"/>
  <c r="AH258" i="12" s="1"/>
  <c r="AJ223" i="13"/>
  <c r="AJ222" i="13" s="1"/>
  <c r="AJ220" i="13" s="1"/>
  <c r="AE223" i="14"/>
  <c r="AG222" i="13"/>
  <c r="AG220" i="13" s="1"/>
  <c r="AS30" i="13" s="1"/>
  <c r="AV30" i="13" s="1"/>
  <c r="AG12" i="12"/>
  <c r="AG10" i="12" s="1"/>
  <c r="AI43" i="13"/>
  <c r="AI14" i="13" s="1"/>
  <c r="AE258" i="12"/>
  <c r="Y90" i="13"/>
  <c r="AD43" i="13"/>
  <c r="AD14" i="13" s="1"/>
  <c r="AV26" i="12"/>
  <c r="AJ10" i="12"/>
  <c r="AJ258" i="12" s="1"/>
  <c r="AB44" i="14"/>
  <c r="AD46" i="14"/>
  <c r="Y93" i="14"/>
  <c r="AH93" i="13"/>
  <c r="AH91" i="13" s="1"/>
  <c r="AA91" i="13"/>
  <c r="AD92" i="14"/>
  <c r="AB91" i="14"/>
  <c r="Y52" i="14"/>
  <c r="AH52" i="13"/>
  <c r="AH49" i="13" s="1"/>
  <c r="AH43" i="13" s="1"/>
  <c r="AA49" i="13"/>
  <c r="Y107" i="14"/>
  <c r="AH107" i="13"/>
  <c r="AH105" i="13" s="1"/>
  <c r="AH104" i="13" s="1"/>
  <c r="AA105" i="13"/>
  <c r="AA104" i="13" s="1"/>
  <c r="Y170" i="13"/>
  <c r="AD51" i="14"/>
  <c r="AB49" i="14"/>
  <c r="J83" i="14"/>
  <c r="N83" i="13"/>
  <c r="N81" i="13" s="1"/>
  <c r="L81" i="13"/>
  <c r="AD106" i="14"/>
  <c r="AB105" i="14"/>
  <c r="AB104" i="14" s="1"/>
  <c r="L47" i="14"/>
  <c r="J45" i="14"/>
  <c r="AH177" i="13"/>
  <c r="AH176" i="13" s="1"/>
  <c r="BO23" i="13"/>
  <c r="Y177" i="14"/>
  <c r="AA176" i="13"/>
  <c r="J36" i="14"/>
  <c r="N36" i="13"/>
  <c r="N35" i="13" s="1"/>
  <c r="L35" i="13"/>
  <c r="AB85" i="14"/>
  <c r="AD83" i="13"/>
  <c r="AR24" i="13" s="1"/>
  <c r="AI85" i="13"/>
  <c r="AI83" i="13" s="1"/>
  <c r="AA222" i="13"/>
  <c r="AA220" i="13" s="1"/>
  <c r="BO30" i="13" s="1"/>
  <c r="BI14" i="13" s="1"/>
  <c r="AH223" i="13"/>
  <c r="AH222" i="13" s="1"/>
  <c r="AH220" i="13" s="1"/>
  <c r="Y223" i="14"/>
  <c r="AE159" i="14"/>
  <c r="AJ159" i="13"/>
  <c r="AJ157" i="13" s="1"/>
  <c r="AJ155" i="13" s="1"/>
  <c r="AG157" i="13"/>
  <c r="AG155" i="13" s="1"/>
  <c r="AE145" i="13"/>
  <c r="AE110" i="13" s="1"/>
  <c r="AH188" i="14"/>
  <c r="AH187" i="14" s="1"/>
  <c r="AH185" i="14" s="1"/>
  <c r="Y188" i="15"/>
  <c r="AA187" i="14"/>
  <c r="AA185" i="14" s="1"/>
  <c r="J23" i="14"/>
  <c r="N23" i="13"/>
  <c r="N22" i="13" s="1"/>
  <c r="AX7" i="13"/>
  <c r="AZ7" i="13" s="1"/>
  <c r="L22" i="13"/>
  <c r="AS7" i="13" s="1"/>
  <c r="AV7" i="13" s="1"/>
  <c r="Y167" i="14"/>
  <c r="BO19" i="13"/>
  <c r="AH167" i="13"/>
  <c r="AH157" i="13" s="1"/>
  <c r="AH155" i="13" s="1"/>
  <c r="AH145" i="13" s="1"/>
  <c r="AA157" i="13"/>
  <c r="AA155" i="13" s="1"/>
  <c r="J28" i="13"/>
  <c r="J21" i="13" s="1"/>
  <c r="J19" i="13" s="1"/>
  <c r="J17" i="13" s="1"/>
  <c r="J8" i="13" s="1"/>
  <c r="J126" i="13" s="1"/>
  <c r="J130" i="13" s="1"/>
  <c r="AE14" i="13"/>
  <c r="M61" i="13"/>
  <c r="M60" i="13" s="1"/>
  <c r="I60" i="13"/>
  <c r="G61" i="14"/>
  <c r="AB116" i="16"/>
  <c r="AI116" i="15"/>
  <c r="Y98" i="14"/>
  <c r="AA96" i="13"/>
  <c r="AH98" i="13"/>
  <c r="AH96" i="13" s="1"/>
  <c r="L26" i="14"/>
  <c r="J25" i="14"/>
  <c r="J71" i="15"/>
  <c r="N71" i="14"/>
  <c r="N69" i="14" s="1"/>
  <c r="L69" i="14"/>
  <c r="AE150" i="14"/>
  <c r="AJ150" i="13"/>
  <c r="AJ149" i="13" s="1"/>
  <c r="AJ147" i="13" s="1"/>
  <c r="AG149" i="13"/>
  <c r="AG147" i="13" s="1"/>
  <c r="G58" i="14"/>
  <c r="I57" i="13"/>
  <c r="M58" i="13"/>
  <c r="M57" i="13" s="1"/>
  <c r="Y58" i="14"/>
  <c r="Y57" i="14" s="1"/>
  <c r="AA59" i="14"/>
  <c r="BN33" i="15"/>
  <c r="BH19" i="15" s="1"/>
  <c r="BH20" i="15" s="1"/>
  <c r="BN7" i="16"/>
  <c r="BN32" i="16" s="1"/>
  <c r="G31" i="14"/>
  <c r="M31" i="13"/>
  <c r="M29" i="13" s="1"/>
  <c r="M28" i="13" s="1"/>
  <c r="I29" i="13"/>
  <c r="I28" i="13" s="1"/>
  <c r="AR9" i="13" s="1"/>
  <c r="AU9" i="13" s="1"/>
  <c r="Y180" i="16"/>
  <c r="AH180" i="15"/>
  <c r="Y14" i="13"/>
  <c r="AJ52" i="13"/>
  <c r="AJ49" i="13" s="1"/>
  <c r="AJ43" i="13" s="1"/>
  <c r="AE52" i="14"/>
  <c r="AG49" i="13"/>
  <c r="AG43" i="13" s="1"/>
  <c r="AJ98" i="13"/>
  <c r="AJ96" i="13" s="1"/>
  <c r="AJ90" i="13" s="1"/>
  <c r="AE98" i="14"/>
  <c r="AG96" i="13"/>
  <c r="AG90" i="13" s="1"/>
  <c r="I37" i="14"/>
  <c r="G35" i="14"/>
  <c r="G69" i="14"/>
  <c r="I70" i="14"/>
  <c r="Y38" i="14"/>
  <c r="AH38" i="13"/>
  <c r="AH35" i="13" s="1"/>
  <c r="AA35" i="13"/>
  <c r="AE38" i="14"/>
  <c r="AG35" i="13"/>
  <c r="AJ38" i="13"/>
  <c r="AJ35" i="13" s="1"/>
  <c r="I56" i="14"/>
  <c r="G54" i="14"/>
  <c r="I17" i="12"/>
  <c r="I8" i="12" s="1"/>
  <c r="I126" i="12" s="1"/>
  <c r="I130" i="12" s="1"/>
  <c r="AR14" i="12"/>
  <c r="AE63" i="13"/>
  <c r="AB199" i="14"/>
  <c r="AI199" i="13"/>
  <c r="AI195" i="13" s="1"/>
  <c r="AI194" i="13" s="1"/>
  <c r="AI193" i="13" s="1"/>
  <c r="AD195" i="13"/>
  <c r="AD194" i="13" s="1"/>
  <c r="AD172" i="13"/>
  <c r="AB174" i="14"/>
  <c r="AI174" i="13"/>
  <c r="AI172" i="13" s="1"/>
  <c r="BD15" i="13"/>
  <c r="M46" i="13"/>
  <c r="M45" i="13" s="1"/>
  <c r="I45" i="13"/>
  <c r="G46" i="14"/>
  <c r="I74" i="14"/>
  <c r="G72" i="14"/>
  <c r="BH16" i="16"/>
  <c r="BH17" i="16" s="1"/>
  <c r="AW30" i="12"/>
  <c r="AY30" i="12" s="1"/>
  <c r="N8" i="12"/>
  <c r="N126" i="12" s="1"/>
  <c r="N130" i="12" s="1"/>
  <c r="AD37" i="14"/>
  <c r="AB35" i="14"/>
  <c r="Y228" i="15"/>
  <c r="AH228" i="14"/>
  <c r="AH227" i="14" s="1"/>
  <c r="AA227" i="14"/>
  <c r="L56" i="14"/>
  <c r="J54" i="14"/>
  <c r="AG117" i="14"/>
  <c r="AE114" i="14"/>
  <c r="AW15" i="14"/>
  <c r="AY15" i="14" s="1"/>
  <c r="AU15" i="14"/>
  <c r="AB258" i="12"/>
  <c r="I115" i="15"/>
  <c r="G113" i="15"/>
  <c r="AV15" i="13"/>
  <c r="AX15" i="13"/>
  <c r="AZ15" i="13" s="1"/>
  <c r="L119" i="14"/>
  <c r="J113" i="14"/>
  <c r="AW14" i="13"/>
  <c r="AY14" i="13" s="1"/>
  <c r="AI10" i="12"/>
  <c r="AI258" i="12" s="1"/>
  <c r="AJ8" i="12"/>
  <c r="AW32" i="11"/>
  <c r="AY32" i="11"/>
  <c r="AY35" i="11" s="1"/>
  <c r="AD8" i="11"/>
  <c r="AC1" i="11" s="1"/>
  <c r="AD258" i="11"/>
  <c r="BP33" i="11" s="1"/>
  <c r="AB12" i="13"/>
  <c r="AA12" i="12"/>
  <c r="AA10" i="12" s="1"/>
  <c r="C56" i="20"/>
  <c r="C57" i="20" s="1"/>
  <c r="AB110" i="13"/>
  <c r="I30" i="16"/>
  <c r="M73" i="15"/>
  <c r="G73" i="16"/>
  <c r="AJ151" i="15"/>
  <c r="AE151" i="16"/>
  <c r="AD149" i="13"/>
  <c r="AD147" i="13" s="1"/>
  <c r="AI152" i="13"/>
  <c r="AI149" i="13" s="1"/>
  <c r="AI147" i="13" s="1"/>
  <c r="AB152" i="14"/>
  <c r="AU27" i="12"/>
  <c r="AW27" i="12"/>
  <c r="AY27" i="12" s="1"/>
  <c r="G10" i="15"/>
  <c r="I12" i="15"/>
  <c r="G65" i="14"/>
  <c r="G63" i="14" s="1"/>
  <c r="M65" i="13"/>
  <c r="I128" i="13"/>
  <c r="BD21" i="13"/>
  <c r="L17" i="12"/>
  <c r="AS14" i="12"/>
  <c r="AD142" i="14"/>
  <c r="AB141" i="14"/>
  <c r="Y84" i="15"/>
  <c r="AH84" i="14"/>
  <c r="N95" i="13"/>
  <c r="N94" i="13" s="1"/>
  <c r="J95" i="14"/>
  <c r="L94" i="13"/>
  <c r="Y142" i="14"/>
  <c r="AA141" i="13"/>
  <c r="BO20" i="13" s="1"/>
  <c r="AH142" i="13"/>
  <c r="AH141" i="13" s="1"/>
  <c r="AH112" i="13" s="1"/>
  <c r="AQ32" i="15"/>
  <c r="AQ33" i="15" s="1"/>
  <c r="AX31" i="15"/>
  <c r="AZ31" i="15" s="1"/>
  <c r="AW31" i="15"/>
  <c r="AY31" i="15" s="1"/>
  <c r="L43" i="15"/>
  <c r="AJ178" i="13"/>
  <c r="AJ176" i="13" s="1"/>
  <c r="AJ170" i="13" s="1"/>
  <c r="AE178" i="14"/>
  <c r="AG176" i="13"/>
  <c r="AG170" i="13" s="1"/>
  <c r="AS27" i="13" s="1"/>
  <c r="AX27" i="13" s="1"/>
  <c r="AZ27" i="13" s="1"/>
  <c r="AB228" i="15"/>
  <c r="AI228" i="14"/>
  <c r="AI227" i="14" s="1"/>
  <c r="AD227" i="14"/>
  <c r="G21" i="13"/>
  <c r="G19" i="13" s="1"/>
  <c r="G17" i="13" s="1"/>
  <c r="BJ8" i="12"/>
  <c r="BP8" i="12"/>
  <c r="AA115" i="14"/>
  <c r="Y114" i="14"/>
  <c r="AU23" i="12"/>
  <c r="AW23" i="12"/>
  <c r="AY23" i="12" s="1"/>
  <c r="A9" i="19"/>
  <c r="F126" i="16"/>
  <c r="F130" i="16" s="1"/>
  <c r="A1" i="16"/>
  <c r="AD75" i="14"/>
  <c r="AB69" i="14"/>
  <c r="L46" i="15"/>
  <c r="AA106" i="15"/>
  <c r="J49" i="14"/>
  <c r="L48" i="13"/>
  <c r="N49" i="13"/>
  <c r="N48" i="13" s="1"/>
  <c r="Y26" i="14"/>
  <c r="AH26" i="13"/>
  <c r="AH20" i="13" s="1"/>
  <c r="AH16" i="13" s="1"/>
  <c r="AA20" i="13"/>
  <c r="AA16" i="13" s="1"/>
  <c r="Y173" i="14"/>
  <c r="AA172" i="13"/>
  <c r="AA170" i="13" s="1"/>
  <c r="BO24" i="13" s="1"/>
  <c r="AH173" i="13"/>
  <c r="AH172" i="13" s="1"/>
  <c r="AD21" i="14"/>
  <c r="AB20" i="14"/>
  <c r="AB16" i="14" s="1"/>
  <c r="L58" i="14"/>
  <c r="J57" i="14"/>
  <c r="N70" i="15"/>
  <c r="J70" i="16"/>
  <c r="AB203" i="14"/>
  <c r="AD204" i="14"/>
  <c r="J33" i="14"/>
  <c r="L32" i="13"/>
  <c r="L28" i="13" s="1"/>
  <c r="N33" i="13"/>
  <c r="N32" i="13" s="1"/>
  <c r="AX9" i="13"/>
  <c r="AB125" i="14"/>
  <c r="AI125" i="13"/>
  <c r="AI123" i="13" s="1"/>
  <c r="AI112" i="13" s="1"/>
  <c r="AD123" i="13"/>
  <c r="AE197" i="14"/>
  <c r="AG195" i="13"/>
  <c r="AG194" i="13" s="1"/>
  <c r="AG193" i="13" s="1"/>
  <c r="AS28" i="13" s="1"/>
  <c r="AJ197" i="13"/>
  <c r="AJ195" i="13" s="1"/>
  <c r="AJ194" i="13" s="1"/>
  <c r="AJ193" i="13" s="1"/>
  <c r="Y197" i="14"/>
  <c r="AH197" i="13"/>
  <c r="AH195" i="13" s="1"/>
  <c r="AH194" i="13" s="1"/>
  <c r="AH193" i="13" s="1"/>
  <c r="AA195" i="13"/>
  <c r="AA194" i="13" s="1"/>
  <c r="Y236" i="14"/>
  <c r="AH236" i="13"/>
  <c r="AH235" i="13" s="1"/>
  <c r="AA235" i="13"/>
  <c r="G52" i="14"/>
  <c r="I51" i="13"/>
  <c r="M52" i="13"/>
  <c r="M51" i="13" s="1"/>
  <c r="N61" i="15"/>
  <c r="J61" i="16"/>
  <c r="L44" i="14"/>
  <c r="J42" i="14"/>
  <c r="L67" i="14"/>
  <c r="J66" i="14"/>
  <c r="G66" i="14"/>
  <c r="I68" i="14"/>
  <c r="AH259" i="15"/>
  <c r="U259" i="15"/>
  <c r="W259" i="15"/>
  <c r="X259" i="15"/>
  <c r="Z259" i="15"/>
  <c r="AC259" i="15"/>
  <c r="AF259" i="15"/>
  <c r="AA259" i="15"/>
  <c r="Y259" i="15"/>
  <c r="V259" i="15"/>
  <c r="T15" i="16"/>
  <c r="BP15" i="12"/>
  <c r="BJ10" i="12" s="1"/>
  <c r="AB189" i="15"/>
  <c r="AI189" i="14"/>
  <c r="AU35" i="10"/>
  <c r="AV35" i="10"/>
  <c r="AU32" i="10"/>
  <c r="L30" i="14"/>
  <c r="J29" i="14"/>
  <c r="AH244" i="13"/>
  <c r="AH243" i="13" s="1"/>
  <c r="AA243" i="13"/>
  <c r="Y244" i="14"/>
  <c r="M79" i="14"/>
  <c r="G79" i="15"/>
  <c r="AG46" i="14"/>
  <c r="AE44" i="14"/>
  <c r="AI236" i="13"/>
  <c r="AI235" i="13" s="1"/>
  <c r="AI234" i="13" s="1"/>
  <c r="AI232" i="13" s="1"/>
  <c r="AB236" i="14"/>
  <c r="AD235" i="13"/>
  <c r="AD234" i="13" s="1"/>
  <c r="AD232" i="13" s="1"/>
  <c r="Y80" i="14"/>
  <c r="AH80" i="13"/>
  <c r="AH69" i="13" s="1"/>
  <c r="AH65" i="13" s="1"/>
  <c r="AA69" i="13"/>
  <c r="AA65" i="13" s="1"/>
  <c r="AB225" i="14"/>
  <c r="AI225" i="13"/>
  <c r="AD222" i="13"/>
  <c r="AD220" i="13" s="1"/>
  <c r="BP30" i="13" s="1"/>
  <c r="BJ14" i="13" s="1"/>
  <c r="AD259" i="13"/>
  <c r="BP31" i="13"/>
  <c r="BJ15" i="13" s="1"/>
  <c r="Y203" i="14"/>
  <c r="AA204" i="14"/>
  <c r="AD59" i="14"/>
  <c r="AB58" i="14"/>
  <c r="AB57" i="14" s="1"/>
  <c r="AR16" i="14"/>
  <c r="BD7" i="14"/>
  <c r="L55" i="15"/>
  <c r="BO8" i="12"/>
  <c r="BO7" i="12" s="1"/>
  <c r="BO32" i="12" s="1"/>
  <c r="BI8" i="12"/>
  <c r="BI7" i="12" s="1"/>
  <c r="BI16" i="12" s="1"/>
  <c r="AD97" i="15"/>
  <c r="L80" i="14"/>
  <c r="J78" i="14"/>
  <c r="L78" i="14" s="1"/>
  <c r="N78" i="14" s="1"/>
  <c r="N73" i="13"/>
  <c r="N72" i="13" s="1"/>
  <c r="J73" i="14"/>
  <c r="L72" i="13"/>
  <c r="J62" i="15"/>
  <c r="N62" i="14"/>
  <c r="N60" i="14" s="1"/>
  <c r="L60" i="14"/>
  <c r="Y234" i="13"/>
  <c r="Y232" i="13" s="1"/>
  <c r="AD110" i="12"/>
  <c r="AR26" i="12" s="1"/>
  <c r="L75" i="13"/>
  <c r="J76" i="14"/>
  <c r="N76" i="13"/>
  <c r="N75" i="13" s="1"/>
  <c r="AB190" i="14"/>
  <c r="AI190" i="13"/>
  <c r="AI187" i="13" s="1"/>
  <c r="AI185" i="13" s="1"/>
  <c r="AD187" i="13"/>
  <c r="AD185" i="13" s="1"/>
  <c r="AD170" i="13" s="1"/>
  <c r="AB215" i="14"/>
  <c r="AI215" i="13"/>
  <c r="AI211" i="13" s="1"/>
  <c r="AI210" i="13" s="1"/>
  <c r="AI209" i="13" s="1"/>
  <c r="AI207" i="13" s="1"/>
  <c r="AD211" i="13"/>
  <c r="AD210" i="13" s="1"/>
  <c r="AD209" i="13" s="1"/>
  <c r="J53" i="14"/>
  <c r="N53" i="13"/>
  <c r="N51" i="13" s="1"/>
  <c r="L51" i="13"/>
  <c r="AE86" i="14"/>
  <c r="AJ86" i="13"/>
  <c r="AJ83" i="13" s="1"/>
  <c r="AJ63" i="13" s="1"/>
  <c r="AG83" i="13"/>
  <c r="AB66" i="14"/>
  <c r="AR22" i="13"/>
  <c r="BP10" i="13"/>
  <c r="AI66" i="13"/>
  <c r="AI65" i="13" s="1"/>
  <c r="AI63" i="13" s="1"/>
  <c r="AD65" i="13"/>
  <c r="AD99" i="14"/>
  <c r="AB96" i="14"/>
  <c r="AQ31" i="16"/>
  <c r="BN33" i="16"/>
  <c r="BH19" i="16" s="1"/>
  <c r="AJ136" i="13"/>
  <c r="AJ123" i="13" s="1"/>
  <c r="AJ112" i="13" s="1"/>
  <c r="AE136" i="14"/>
  <c r="AG123" i="13"/>
  <c r="AG112" i="13" s="1"/>
  <c r="AE153" i="15"/>
  <c r="AJ153" i="14"/>
  <c r="I33" i="14"/>
  <c r="G32" i="14"/>
  <c r="Y86" i="14"/>
  <c r="AH86" i="13"/>
  <c r="AH83" i="13" s="1"/>
  <c r="AA83" i="13"/>
  <c r="BO14" i="13" s="1"/>
  <c r="BI9" i="13" s="1"/>
  <c r="BP13" i="13"/>
  <c r="I76" i="14"/>
  <c r="G75" i="14"/>
  <c r="AD50" i="16"/>
  <c r="AH133" i="16"/>
  <c r="AD71" i="15"/>
  <c r="I22" i="13"/>
  <c r="AR7" i="13" s="1"/>
  <c r="AU7" i="13" s="1"/>
  <c r="G23" i="14"/>
  <c r="AW7" i="13"/>
  <c r="AY7" i="13" s="1"/>
  <c r="M23" i="13"/>
  <c r="M22" i="13" s="1"/>
  <c r="BD12" i="13"/>
  <c r="BD10" i="13" s="1"/>
  <c r="BD9" i="13" s="1"/>
  <c r="BD8" i="13" s="1"/>
  <c r="K1" i="11"/>
  <c r="J5" i="11"/>
  <c r="L126" i="11"/>
  <c r="L130" i="11" s="1"/>
  <c r="Y63" i="13"/>
  <c r="I55" i="16"/>
  <c r="AA159" i="16"/>
  <c r="AE246" i="15"/>
  <c r="AJ246" i="14"/>
  <c r="AJ243" i="14" s="1"/>
  <c r="AG243" i="14"/>
  <c r="I97" i="15"/>
  <c r="G94" i="15"/>
  <c r="L65" i="14"/>
  <c r="J63" i="14"/>
  <c r="J128" i="14"/>
  <c r="L37" i="15"/>
  <c r="AJ237" i="16"/>
  <c r="AB224" i="15"/>
  <c r="AI224" i="14"/>
  <c r="BO26" i="15"/>
  <c r="Y196" i="16"/>
  <c r="AH196" i="15"/>
  <c r="AA149" i="14"/>
  <c r="AA147" i="14" s="1"/>
  <c r="Y152" i="15"/>
  <c r="AH152" i="14"/>
  <c r="AH149" i="14" s="1"/>
  <c r="AH147" i="14" s="1"/>
  <c r="AI166" i="16"/>
  <c r="J86" i="15"/>
  <c r="L85" i="14"/>
  <c r="N86" i="14"/>
  <c r="N85" i="14" s="1"/>
  <c r="AG97" i="15"/>
  <c r="L68" i="16"/>
  <c r="AX22" i="16"/>
  <c r="AV22" i="16"/>
  <c r="G42" i="16"/>
  <c r="I44" i="16"/>
  <c r="I25" i="14"/>
  <c r="G27" i="15"/>
  <c r="AW8" i="14"/>
  <c r="AY8" i="14" s="1"/>
  <c r="M27" i="14"/>
  <c r="L82" i="15"/>
  <c r="AG124" i="15"/>
  <c r="AG228" i="14"/>
  <c r="AE227" i="14"/>
  <c r="I64" i="14"/>
  <c r="AG81" i="15"/>
  <c r="AE238" i="16"/>
  <c r="AJ238" i="15"/>
  <c r="AJ186" i="14"/>
  <c r="AE186" i="15"/>
  <c r="AI36" i="16"/>
  <c r="AS23" i="13"/>
  <c r="AI26" i="15"/>
  <c r="AB26" i="16"/>
  <c r="AE203" i="16"/>
  <c r="AG204" i="16"/>
  <c r="Y238" i="15"/>
  <c r="AH238" i="14"/>
  <c r="AD180" i="15"/>
  <c r="AB176" i="15"/>
  <c r="AE174" i="15"/>
  <c r="AJ174" i="14"/>
  <c r="AJ172" i="14" s="1"/>
  <c r="AG172" i="14"/>
  <c r="AD239" i="16"/>
  <c r="N63" i="13"/>
  <c r="I95" i="16"/>
  <c r="AD70" i="16"/>
  <c r="AE212" i="16"/>
  <c r="AJ212" i="15"/>
  <c r="AD248" i="14"/>
  <c r="AB243" i="14"/>
  <c r="AJ235" i="13"/>
  <c r="AJ234" i="13" s="1"/>
  <c r="AJ232" i="13" s="1"/>
  <c r="AJ259" i="13"/>
  <c r="G106" i="15"/>
  <c r="BD19" i="14"/>
  <c r="I104" i="14"/>
  <c r="M106" i="14"/>
  <c r="M104" i="14" s="1"/>
  <c r="AU8" i="13"/>
  <c r="AJ93" i="16"/>
  <c r="Y215" i="15"/>
  <c r="AH215" i="14"/>
  <c r="AH211" i="14" s="1"/>
  <c r="AH210" i="14" s="1"/>
  <c r="AH209" i="14" s="1"/>
  <c r="AH207" i="14" s="1"/>
  <c r="AA211" i="14"/>
  <c r="AA210" i="14" s="1"/>
  <c r="AA209" i="14" s="1"/>
  <c r="AJ168" i="16"/>
  <c r="AE245" i="16"/>
  <c r="AJ245" i="15"/>
  <c r="AJ142" i="14"/>
  <c r="AJ141" i="14" s="1"/>
  <c r="AG141" i="14"/>
  <c r="AE142" i="15"/>
  <c r="AZ23" i="12"/>
  <c r="AZ32" i="12" s="1"/>
  <c r="AX32" i="12"/>
  <c r="AG70" i="15"/>
  <c r="J15" i="16"/>
  <c r="L10" i="15"/>
  <c r="N15" i="15"/>
  <c r="N10" i="15" s="1"/>
  <c r="BP26" i="16"/>
  <c r="AI212" i="16"/>
  <c r="AE20" i="14"/>
  <c r="AE16" i="14" s="1"/>
  <c r="AG22" i="14"/>
  <c r="AA51" i="16"/>
  <c r="AB134" i="16"/>
  <c r="AI134" i="15"/>
  <c r="AA27" i="15"/>
  <c r="I36" i="16"/>
  <c r="AJ51" i="16"/>
  <c r="AG95" i="15"/>
  <c r="AG188" i="14"/>
  <c r="AE187" i="14"/>
  <c r="AE185" i="14" s="1"/>
  <c r="AG241" i="14"/>
  <c r="AE235" i="14"/>
  <c r="AE234" i="14" s="1"/>
  <c r="AE232" i="14" s="1"/>
  <c r="AH229" i="16"/>
  <c r="G50" i="15"/>
  <c r="I48" i="14"/>
  <c r="M50" i="14"/>
  <c r="M48" i="14" s="1"/>
  <c r="M77" i="16"/>
  <c r="AG73" i="14"/>
  <c r="AE69" i="14"/>
  <c r="AE65" i="14" s="1"/>
  <c r="G81" i="15"/>
  <c r="I83" i="15"/>
  <c r="AE158" i="15"/>
  <c r="AJ158" i="14"/>
  <c r="AG115" i="16"/>
  <c r="AJ54" i="14"/>
  <c r="AE54" i="15"/>
  <c r="J27" i="16"/>
  <c r="N27" i="15"/>
  <c r="AA40" i="16"/>
  <c r="AG173" i="16"/>
  <c r="AB67" i="15"/>
  <c r="BP11" i="14"/>
  <c r="AI67" i="14"/>
  <c r="AE177" i="15"/>
  <c r="AJ177" i="14"/>
  <c r="AJ84" i="16"/>
  <c r="O10" i="18"/>
  <c r="Q10" i="18" s="1"/>
  <c r="AJ148" i="16"/>
  <c r="AD107" i="16"/>
  <c r="AG215" i="14"/>
  <c r="AE211" i="14"/>
  <c r="AE210" i="14" s="1"/>
  <c r="AE209" i="14" s="1"/>
  <c r="AE207" i="14" s="1"/>
  <c r="L52" i="15"/>
  <c r="AB229" i="16"/>
  <c r="AI229" i="15"/>
  <c r="AE106" i="15"/>
  <c r="AG105" i="14"/>
  <c r="AG104" i="14" s="1"/>
  <c r="AJ106" i="14"/>
  <c r="AJ105" i="14" s="1"/>
  <c r="AJ104" i="14" s="1"/>
  <c r="AE85" i="16"/>
  <c r="AJ85" i="15"/>
  <c r="I86" i="14"/>
  <c r="G85" i="14"/>
  <c r="AB197" i="16"/>
  <c r="AI197" i="15"/>
  <c r="AG59" i="15"/>
  <c r="Y70" i="15"/>
  <c r="AH70" i="14"/>
  <c r="AD191" i="15"/>
  <c r="J24" i="16"/>
  <c r="N24" i="15"/>
  <c r="AG19" i="15"/>
  <c r="J105" i="15"/>
  <c r="L104" i="14"/>
  <c r="N105" i="14"/>
  <c r="N104" i="14" s="1"/>
  <c r="J74" i="16"/>
  <c r="N74" i="15"/>
  <c r="AG18" i="16"/>
  <c r="AG48" i="15"/>
  <c r="AG60" i="14"/>
  <c r="AE58" i="14"/>
  <c r="AE57" i="14" s="1"/>
  <c r="AB213" i="16"/>
  <c r="AI213" i="15"/>
  <c r="AX16" i="14"/>
  <c r="AZ16" i="14" s="1"/>
  <c r="AV16" i="14"/>
  <c r="AE12" i="13" l="1"/>
  <c r="N128" i="13"/>
  <c r="N28" i="13"/>
  <c r="BO22" i="13"/>
  <c r="BI11" i="13" s="1"/>
  <c r="AB43" i="14"/>
  <c r="AH8" i="12"/>
  <c r="BP14" i="13"/>
  <c r="BJ9" i="13" s="1"/>
  <c r="AR25" i="13"/>
  <c r="AA43" i="13"/>
  <c r="AA14" i="13" s="1"/>
  <c r="AI145" i="13"/>
  <c r="AI110" i="13" s="1"/>
  <c r="AB90" i="14"/>
  <c r="AE94" i="15"/>
  <c r="AJ94" i="14"/>
  <c r="AJ91" i="14" s="1"/>
  <c r="AG91" i="14"/>
  <c r="AA46" i="14"/>
  <c r="Y44" i="14"/>
  <c r="AJ145" i="13"/>
  <c r="AB117" i="15"/>
  <c r="AI117" i="14"/>
  <c r="AI114" i="14" s="1"/>
  <c r="AD114" i="14"/>
  <c r="AA258" i="12"/>
  <c r="BO33" i="12" s="1"/>
  <c r="Y124" i="16"/>
  <c r="AH124" i="15"/>
  <c r="AH123" i="15" s="1"/>
  <c r="AA123" i="15"/>
  <c r="AJ110" i="13"/>
  <c r="AD161" i="14"/>
  <c r="AB157" i="14"/>
  <c r="AB155" i="14" s="1"/>
  <c r="AH170" i="13"/>
  <c r="AE222" i="14"/>
  <c r="AE220" i="14" s="1"/>
  <c r="AG223" i="14"/>
  <c r="AH110" i="13"/>
  <c r="AG258" i="12"/>
  <c r="AS31" i="12" s="1"/>
  <c r="AG8" i="12"/>
  <c r="M128" i="13"/>
  <c r="AH14" i="13"/>
  <c r="AE10" i="13"/>
  <c r="AE8" i="13" s="1"/>
  <c r="AS24" i="13"/>
  <c r="AV24" i="13" s="1"/>
  <c r="AG14" i="13"/>
  <c r="Y59" i="15"/>
  <c r="AA58" i="14"/>
  <c r="AA57" i="14" s="1"/>
  <c r="AH59" i="14"/>
  <c r="AH58" i="14" s="1"/>
  <c r="AH57" i="14" s="1"/>
  <c r="I58" i="14"/>
  <c r="G57" i="14"/>
  <c r="J26" i="15"/>
  <c r="N26" i="14"/>
  <c r="N25" i="14" s="1"/>
  <c r="AX8" i="14"/>
  <c r="AZ8" i="14" s="1"/>
  <c r="L25" i="14"/>
  <c r="AS8" i="14" s="1"/>
  <c r="AV8" i="14" s="1"/>
  <c r="BO17" i="13"/>
  <c r="BO15" i="13" s="1"/>
  <c r="BI10" i="13" s="1"/>
  <c r="AA145" i="13"/>
  <c r="AD85" i="14"/>
  <c r="AB83" i="14"/>
  <c r="AB51" i="15"/>
  <c r="AI51" i="14"/>
  <c r="AI49" i="14" s="1"/>
  <c r="AD49" i="14"/>
  <c r="AB92" i="15"/>
  <c r="AD91" i="14"/>
  <c r="AI92" i="14"/>
  <c r="AI91" i="14" s="1"/>
  <c r="AI46" i="14"/>
  <c r="AI44" i="14" s="1"/>
  <c r="AB46" i="15"/>
  <c r="AD44" i="14"/>
  <c r="AX14" i="13"/>
  <c r="AZ14" i="13" s="1"/>
  <c r="AS25" i="13"/>
  <c r="AX25" i="13" s="1"/>
  <c r="AZ25" i="13" s="1"/>
  <c r="AG145" i="13"/>
  <c r="AG110" i="13" s="1"/>
  <c r="AS26" i="13" s="1"/>
  <c r="AA188" i="15"/>
  <c r="Y187" i="15"/>
  <c r="Y185" i="15" s="1"/>
  <c r="AA177" i="14"/>
  <c r="Y176" i="14"/>
  <c r="J47" i="15"/>
  <c r="N47" i="14"/>
  <c r="N45" i="14" s="1"/>
  <c r="L45" i="14"/>
  <c r="AA90" i="13"/>
  <c r="L71" i="15"/>
  <c r="J69" i="15"/>
  <c r="AD116" i="16"/>
  <c r="AG159" i="14"/>
  <c r="AE157" i="14"/>
  <c r="AE155" i="14" s="1"/>
  <c r="L83" i="14"/>
  <c r="J81" i="14"/>
  <c r="AA52" i="14"/>
  <c r="Y49" i="14"/>
  <c r="Y43" i="14" s="1"/>
  <c r="AH90" i="13"/>
  <c r="AH63" i="13" s="1"/>
  <c r="AG150" i="14"/>
  <c r="AE149" i="14"/>
  <c r="AE147" i="14" s="1"/>
  <c r="AA98" i="14"/>
  <c r="Y96" i="14"/>
  <c r="G60" i="14"/>
  <c r="I61" i="14"/>
  <c r="AA167" i="14"/>
  <c r="Y157" i="14"/>
  <c r="Y155" i="14" s="1"/>
  <c r="Y145" i="14" s="1"/>
  <c r="L23" i="14"/>
  <c r="J22" i="14"/>
  <c r="AA223" i="14"/>
  <c r="Y222" i="14"/>
  <c r="Y220" i="14" s="1"/>
  <c r="L36" i="14"/>
  <c r="J35" i="14"/>
  <c r="AB106" i="15"/>
  <c r="AI106" i="14"/>
  <c r="AI105" i="14" s="1"/>
  <c r="AI104" i="14" s="1"/>
  <c r="AD105" i="14"/>
  <c r="AD104" i="14" s="1"/>
  <c r="AA107" i="14"/>
  <c r="Y105" i="14"/>
  <c r="Y104" i="14" s="1"/>
  <c r="AA93" i="14"/>
  <c r="Y91" i="14"/>
  <c r="AJ14" i="13"/>
  <c r="AJ12" i="13" s="1"/>
  <c r="AD193" i="13"/>
  <c r="AR28" i="13" s="1"/>
  <c r="AU28" i="13" s="1"/>
  <c r="BP28" i="13"/>
  <c r="G56" i="15"/>
  <c r="M56" i="14"/>
  <c r="M54" i="14" s="1"/>
  <c r="I54" i="14"/>
  <c r="I69" i="14"/>
  <c r="M70" i="14"/>
  <c r="M69" i="14" s="1"/>
  <c r="G70" i="15"/>
  <c r="Y12" i="13"/>
  <c r="Y10" i="13" s="1"/>
  <c r="Y8" i="13" s="1"/>
  <c r="AD174" i="14"/>
  <c r="AB172" i="14"/>
  <c r="AD199" i="14"/>
  <c r="AB195" i="14"/>
  <c r="AB194" i="14" s="1"/>
  <c r="AB193" i="14" s="1"/>
  <c r="AU14" i="12"/>
  <c r="AR17" i="12"/>
  <c r="AU17" i="12" s="1"/>
  <c r="AG98" i="14"/>
  <c r="AE96" i="14"/>
  <c r="AE90" i="14" s="1"/>
  <c r="AG38" i="14"/>
  <c r="AE35" i="14"/>
  <c r="I31" i="14"/>
  <c r="AW9" i="14" s="1"/>
  <c r="AY9" i="14" s="1"/>
  <c r="G29" i="14"/>
  <c r="G28" i="14" s="1"/>
  <c r="G45" i="14"/>
  <c r="I46" i="14"/>
  <c r="AG52" i="14"/>
  <c r="AE49" i="14"/>
  <c r="AE43" i="14" s="1"/>
  <c r="AI170" i="13"/>
  <c r="G74" i="15"/>
  <c r="M74" i="14"/>
  <c r="M72" i="14" s="1"/>
  <c r="I72" i="14"/>
  <c r="AA38" i="14"/>
  <c r="Y35" i="14"/>
  <c r="G37" i="15"/>
  <c r="M37" i="14"/>
  <c r="M35" i="14" s="1"/>
  <c r="I35" i="14"/>
  <c r="AA180" i="16"/>
  <c r="BH20" i="16"/>
  <c r="AA112" i="13"/>
  <c r="AX30" i="13"/>
  <c r="AZ30" i="13" s="1"/>
  <c r="AA228" i="15"/>
  <c r="Y227" i="15"/>
  <c r="AB37" i="15"/>
  <c r="AI37" i="14"/>
  <c r="AI35" i="14" s="1"/>
  <c r="AD35" i="14"/>
  <c r="AJ117" i="14"/>
  <c r="AJ114" i="14" s="1"/>
  <c r="AE117" i="15"/>
  <c r="AG114" i="14"/>
  <c r="N56" i="14"/>
  <c r="N54" i="14" s="1"/>
  <c r="J56" i="15"/>
  <c r="L54" i="14"/>
  <c r="AU24" i="13"/>
  <c r="AW24" i="13"/>
  <c r="AY24" i="13" s="1"/>
  <c r="AI8" i="12"/>
  <c r="AB10" i="13"/>
  <c r="AB258" i="13" s="1"/>
  <c r="AY17" i="13"/>
  <c r="I113" i="15"/>
  <c r="AR15" i="15" s="1"/>
  <c r="G115" i="16"/>
  <c r="BD20" i="15"/>
  <c r="M115" i="15"/>
  <c r="M113" i="15" s="1"/>
  <c r="M63" i="13"/>
  <c r="M21" i="13" s="1"/>
  <c r="M19" i="13" s="1"/>
  <c r="M17" i="13" s="1"/>
  <c r="M8" i="13" s="1"/>
  <c r="J119" i="15"/>
  <c r="N119" i="14"/>
  <c r="N113" i="14" s="1"/>
  <c r="L113" i="14"/>
  <c r="AS15" i="14" s="1"/>
  <c r="AA8" i="12"/>
  <c r="U1" i="12" s="1"/>
  <c r="AZ35" i="11"/>
  <c r="AR31" i="11"/>
  <c r="AR32" i="11" s="1"/>
  <c r="AV27" i="13"/>
  <c r="Y1" i="11"/>
  <c r="AI12" i="13"/>
  <c r="I73" i="16"/>
  <c r="L21" i="13"/>
  <c r="L19" i="13" s="1"/>
  <c r="L17" i="13" s="1"/>
  <c r="AG151" i="16"/>
  <c r="M30" i="16"/>
  <c r="BD22" i="13"/>
  <c r="AG63" i="13"/>
  <c r="BP29" i="13"/>
  <c r="BJ13" i="13" s="1"/>
  <c r="AR30" i="13"/>
  <c r="AW30" i="13" s="1"/>
  <c r="AY30" i="13" s="1"/>
  <c r="AD236" i="14"/>
  <c r="AB235" i="14"/>
  <c r="AB234" i="14" s="1"/>
  <c r="AB232" i="14" s="1"/>
  <c r="J67" i="15"/>
  <c r="N67" i="14"/>
  <c r="N66" i="14" s="1"/>
  <c r="L66" i="14"/>
  <c r="J44" i="15"/>
  <c r="N44" i="14"/>
  <c r="N42" i="14" s="1"/>
  <c r="L42" i="14"/>
  <c r="AS10" i="14" s="1"/>
  <c r="AV10" i="14" s="1"/>
  <c r="AX10" i="14"/>
  <c r="AZ10" i="14" s="1"/>
  <c r="AA197" i="14"/>
  <c r="Y195" i="14"/>
  <c r="Y194" i="14" s="1"/>
  <c r="Y193" i="14" s="1"/>
  <c r="AD112" i="13"/>
  <c r="BP17" i="13"/>
  <c r="L49" i="14"/>
  <c r="J48" i="14"/>
  <c r="J46" i="16"/>
  <c r="N46" i="15"/>
  <c r="J43" i="16"/>
  <c r="N43" i="15"/>
  <c r="AS17" i="12"/>
  <c r="AV17" i="12" s="1"/>
  <c r="AV14" i="12"/>
  <c r="BP16" i="13"/>
  <c r="AD145" i="13"/>
  <c r="AH234" i="13"/>
  <c r="AH232" i="13" s="1"/>
  <c r="BP7" i="12"/>
  <c r="BP32" i="12" s="1"/>
  <c r="AD190" i="14"/>
  <c r="AB187" i="14"/>
  <c r="AB185" i="14" s="1"/>
  <c r="L73" i="14"/>
  <c r="J72" i="14"/>
  <c r="J55" i="16"/>
  <c r="N55" i="15"/>
  <c r="G22" i="14"/>
  <c r="I23" i="14"/>
  <c r="G33" i="15"/>
  <c r="I32" i="14"/>
  <c r="M33" i="14"/>
  <c r="M32" i="14" s="1"/>
  <c r="BD13" i="14"/>
  <c r="AG86" i="14"/>
  <c r="AE83" i="14"/>
  <c r="AU31" i="11"/>
  <c r="J80" i="15"/>
  <c r="N80" i="14"/>
  <c r="AD225" i="14"/>
  <c r="AB222" i="14"/>
  <c r="AB220" i="14" s="1"/>
  <c r="AB259" i="14"/>
  <c r="AJ46" i="14"/>
  <c r="AJ44" i="14" s="1"/>
  <c r="AE46" i="15"/>
  <c r="AG44" i="14"/>
  <c r="I79" i="15"/>
  <c r="G78" i="15"/>
  <c r="I78" i="15" s="1"/>
  <c r="M78" i="15" s="1"/>
  <c r="AG197" i="14"/>
  <c r="AE195" i="14"/>
  <c r="AE194" i="14" s="1"/>
  <c r="AE193" i="14" s="1"/>
  <c r="AZ9" i="13"/>
  <c r="AI204" i="14"/>
  <c r="AI203" i="14" s="1"/>
  <c r="AD203" i="14"/>
  <c r="AB204" i="15"/>
  <c r="AB21" i="15"/>
  <c r="AI21" i="14"/>
  <c r="AI20" i="14" s="1"/>
  <c r="AI16" i="14" s="1"/>
  <c r="AD20" i="14"/>
  <c r="AD16" i="14" s="1"/>
  <c r="BO12" i="13"/>
  <c r="BO9" i="13" s="1"/>
  <c r="Y115" i="15"/>
  <c r="AA114" i="14"/>
  <c r="BO16" i="14" s="1"/>
  <c r="AH115" i="14"/>
  <c r="AH114" i="14" s="1"/>
  <c r="AD228" i="15"/>
  <c r="AB227" i="15"/>
  <c r="AA142" i="14"/>
  <c r="Y141" i="14"/>
  <c r="Y112" i="14" s="1"/>
  <c r="AB142" i="15"/>
  <c r="AI142" i="14"/>
  <c r="AI141" i="14" s="1"/>
  <c r="AD141" i="14"/>
  <c r="BP20" i="14" s="1"/>
  <c r="I21" i="13"/>
  <c r="I19" i="13" s="1"/>
  <c r="AA234" i="13"/>
  <c r="AA232" i="13" s="1"/>
  <c r="BO29" i="13" s="1"/>
  <c r="BI13" i="13" s="1"/>
  <c r="AD207" i="13"/>
  <c r="AR29" i="13" s="1"/>
  <c r="AW29" i="13" s="1"/>
  <c r="AY29" i="13" s="1"/>
  <c r="BP27" i="13"/>
  <c r="AB71" i="16"/>
  <c r="AI71" i="15"/>
  <c r="AG136" i="14"/>
  <c r="AE123" i="14"/>
  <c r="AE112" i="14" s="1"/>
  <c r="L53" i="14"/>
  <c r="J51" i="14"/>
  <c r="AR27" i="13"/>
  <c r="BP24" i="13"/>
  <c r="BP22" i="13" s="1"/>
  <c r="BJ11" i="13" s="1"/>
  <c r="J75" i="14"/>
  <c r="L76" i="14"/>
  <c r="L62" i="15"/>
  <c r="J60" i="15"/>
  <c r="AU16" i="14"/>
  <c r="AW16" i="14"/>
  <c r="AY16" i="14" s="1"/>
  <c r="AI222" i="13"/>
  <c r="AI220" i="13" s="1"/>
  <c r="AI259" i="13"/>
  <c r="AA80" i="14"/>
  <c r="Y69" i="14"/>
  <c r="Y65" i="14" s="1"/>
  <c r="AD189" i="15"/>
  <c r="W259" i="16"/>
  <c r="X259" i="16"/>
  <c r="AC259" i="16"/>
  <c r="AF259" i="16"/>
  <c r="V259" i="16"/>
  <c r="Z259" i="16"/>
  <c r="U259" i="16"/>
  <c r="AH259" i="16"/>
  <c r="Y259" i="16"/>
  <c r="AA259" i="16"/>
  <c r="I52" i="14"/>
  <c r="G51" i="14"/>
  <c r="AA193" i="13"/>
  <c r="BO28" i="13"/>
  <c r="BO25" i="13" s="1"/>
  <c r="BI12" i="13" s="1"/>
  <c r="AX28" i="13"/>
  <c r="AZ28" i="13" s="1"/>
  <c r="AV28" i="13"/>
  <c r="AD125" i="14"/>
  <c r="AB123" i="14"/>
  <c r="AB112" i="14" s="1"/>
  <c r="L33" i="14"/>
  <c r="J32" i="14"/>
  <c r="J28" i="14" s="1"/>
  <c r="AA173" i="14"/>
  <c r="Y172" i="14"/>
  <c r="AB75" i="15"/>
  <c r="AI75" i="14"/>
  <c r="AI69" i="14" s="1"/>
  <c r="AD69" i="14"/>
  <c r="G8" i="13"/>
  <c r="G126" i="13" s="1"/>
  <c r="G130" i="13" s="1"/>
  <c r="M12" i="15"/>
  <c r="M10" i="15" s="1"/>
  <c r="I10" i="15"/>
  <c r="G12" i="16"/>
  <c r="AB149" i="14"/>
  <c r="AB147" i="14" s="1"/>
  <c r="AD152" i="14"/>
  <c r="AD10" i="12"/>
  <c r="AB14" i="14"/>
  <c r="G76" i="15"/>
  <c r="M76" i="14"/>
  <c r="M75" i="14" s="1"/>
  <c r="I75" i="14"/>
  <c r="AG153" i="15"/>
  <c r="AR23" i="13"/>
  <c r="AD63" i="13"/>
  <c r="AD12" i="13" s="1"/>
  <c r="AD66" i="14"/>
  <c r="AB65" i="14"/>
  <c r="AB63" i="14" s="1"/>
  <c r="AU26" i="12"/>
  <c r="AW26" i="12"/>
  <c r="AB59" i="15"/>
  <c r="AD58" i="14"/>
  <c r="AD57" i="14" s="1"/>
  <c r="AI59" i="14"/>
  <c r="AI58" i="14" s="1"/>
  <c r="AI57" i="14" s="1"/>
  <c r="AB99" i="15"/>
  <c r="AI99" i="14"/>
  <c r="AI96" i="14" s="1"/>
  <c r="AD96" i="14"/>
  <c r="AD90" i="14" s="1"/>
  <c r="AW22" i="13"/>
  <c r="AY22" i="13" s="1"/>
  <c r="AU22" i="13"/>
  <c r="AI50" i="16"/>
  <c r="AW25" i="13"/>
  <c r="AY25" i="13" s="1"/>
  <c r="AU25" i="13"/>
  <c r="AA86" i="14"/>
  <c r="Y83" i="14"/>
  <c r="AX31" i="16"/>
  <c r="AZ31" i="16" s="1"/>
  <c r="AQ32" i="16"/>
  <c r="AQ33" i="16" s="1"/>
  <c r="AW31" i="16"/>
  <c r="AY31" i="16" s="1"/>
  <c r="AD215" i="14"/>
  <c r="AB211" i="14"/>
  <c r="AB210" i="14" s="1"/>
  <c r="AB209" i="14" s="1"/>
  <c r="AB207" i="14" s="1"/>
  <c r="AB97" i="16"/>
  <c r="AI97" i="15"/>
  <c r="Y204" i="15"/>
  <c r="AH204" i="14"/>
  <c r="AH203" i="14" s="1"/>
  <c r="AA203" i="14"/>
  <c r="Y243" i="14"/>
  <c r="AA244" i="14"/>
  <c r="J30" i="15"/>
  <c r="N30" i="14"/>
  <c r="N29" i="14" s="1"/>
  <c r="L29" i="14"/>
  <c r="G68" i="15"/>
  <c r="I66" i="14"/>
  <c r="M68" i="14"/>
  <c r="M66" i="14" s="1"/>
  <c r="L61" i="16"/>
  <c r="AA236" i="14"/>
  <c r="Y235" i="14"/>
  <c r="L70" i="16"/>
  <c r="J58" i="15"/>
  <c r="N58" i="14"/>
  <c r="N57" i="14" s="1"/>
  <c r="L57" i="14"/>
  <c r="AA26" i="14"/>
  <c r="Y20" i="14"/>
  <c r="Y16" i="14" s="1"/>
  <c r="AH106" i="15"/>
  <c r="Y106" i="16"/>
  <c r="AG178" i="14"/>
  <c r="AE176" i="14"/>
  <c r="AE170" i="14" s="1"/>
  <c r="L95" i="14"/>
  <c r="J94" i="14"/>
  <c r="AA84" i="15"/>
  <c r="L8" i="12"/>
  <c r="I65" i="14"/>
  <c r="I63" i="14" s="1"/>
  <c r="G128" i="14"/>
  <c r="N21" i="13"/>
  <c r="N19" i="13" s="1"/>
  <c r="N17" i="13" s="1"/>
  <c r="BP12" i="13"/>
  <c r="BP9" i="13" s="1"/>
  <c r="BJ8" i="13" s="1"/>
  <c r="AS9" i="13"/>
  <c r="AV9" i="13" s="1"/>
  <c r="BJ7" i="12"/>
  <c r="BJ16" i="12" s="1"/>
  <c r="AD213" i="16"/>
  <c r="AJ48" i="15"/>
  <c r="AE48" i="16"/>
  <c r="M36" i="16"/>
  <c r="AD134" i="16"/>
  <c r="AG245" i="16"/>
  <c r="AD26" i="16"/>
  <c r="AE60" i="15"/>
  <c r="AJ60" i="14"/>
  <c r="AJ58" i="14" s="1"/>
  <c r="AJ57" i="14" s="1"/>
  <c r="AG58" i="14"/>
  <c r="AG57" i="14" s="1"/>
  <c r="AJ18" i="16"/>
  <c r="AE19" i="16"/>
  <c r="AJ19" i="15"/>
  <c r="AE59" i="16"/>
  <c r="AJ59" i="15"/>
  <c r="AH40" i="16"/>
  <c r="L27" i="16"/>
  <c r="AE188" i="15"/>
  <c r="AG187" i="14"/>
  <c r="AG185" i="14" s="1"/>
  <c r="AJ188" i="14"/>
  <c r="AJ187" i="14" s="1"/>
  <c r="AJ185" i="14" s="1"/>
  <c r="AE95" i="16"/>
  <c r="AJ95" i="15"/>
  <c r="AJ22" i="14"/>
  <c r="AJ20" i="14" s="1"/>
  <c r="AJ16" i="14" s="1"/>
  <c r="AE22" i="15"/>
  <c r="AG20" i="14"/>
  <c r="AG16" i="14" s="1"/>
  <c r="E50" i="20"/>
  <c r="AE141" i="15"/>
  <c r="AG142" i="15"/>
  <c r="AA215" i="15"/>
  <c r="Y211" i="15"/>
  <c r="Y210" i="15" s="1"/>
  <c r="Y209" i="15" s="1"/>
  <c r="Y207" i="15" s="1"/>
  <c r="AG212" i="16"/>
  <c r="M95" i="16"/>
  <c r="D18" i="20"/>
  <c r="AB180" i="16"/>
  <c r="AD176" i="15"/>
  <c r="AI180" i="15"/>
  <c r="AI176" i="15" s="1"/>
  <c r="AG203" i="16"/>
  <c r="AJ204" i="16"/>
  <c r="AJ203" i="16" s="1"/>
  <c r="AX23" i="13"/>
  <c r="AV23" i="13"/>
  <c r="AE81" i="16"/>
  <c r="AJ81" i="15"/>
  <c r="G64" i="15"/>
  <c r="BD14" i="14"/>
  <c r="M64" i="14"/>
  <c r="AE124" i="16"/>
  <c r="AJ124" i="15"/>
  <c r="AR8" i="14"/>
  <c r="I42" i="16"/>
  <c r="AR10" i="16" s="1"/>
  <c r="AU10" i="16" s="1"/>
  <c r="AW10" i="16"/>
  <c r="AY10" i="16" s="1"/>
  <c r="M44" i="16"/>
  <c r="M42" i="16" s="1"/>
  <c r="AZ22" i="16"/>
  <c r="AE97" i="16"/>
  <c r="AJ97" i="15"/>
  <c r="AA196" i="16"/>
  <c r="J65" i="15"/>
  <c r="L63" i="14"/>
  <c r="N65" i="14"/>
  <c r="AH159" i="16"/>
  <c r="AJ173" i="16"/>
  <c r="AE73" i="15"/>
  <c r="AJ73" i="14"/>
  <c r="AJ69" i="14" s="1"/>
  <c r="AJ65" i="14" s="1"/>
  <c r="AG69" i="14"/>
  <c r="AG65" i="14" s="1"/>
  <c r="L74" i="16"/>
  <c r="L24" i="16"/>
  <c r="AB191" i="16"/>
  <c r="AI191" i="15"/>
  <c r="G86" i="15"/>
  <c r="I85" i="14"/>
  <c r="M86" i="14"/>
  <c r="M85" i="14" s="1"/>
  <c r="AD229" i="16"/>
  <c r="AI107" i="16"/>
  <c r="AG177" i="15"/>
  <c r="AD67" i="15"/>
  <c r="AG54" i="15"/>
  <c r="L15" i="16"/>
  <c r="J10" i="16"/>
  <c r="AE70" i="16"/>
  <c r="AJ70" i="15"/>
  <c r="AI70" i="16"/>
  <c r="AI239" i="16"/>
  <c r="AA238" i="15"/>
  <c r="M25" i="14"/>
  <c r="G25" i="15"/>
  <c r="I27" i="15"/>
  <c r="L86" i="15"/>
  <c r="J85" i="15"/>
  <c r="Y149" i="15"/>
  <c r="Y147" i="15" s="1"/>
  <c r="AA152" i="15"/>
  <c r="M55" i="16"/>
  <c r="J104" i="15"/>
  <c r="L105" i="15"/>
  <c r="AG174" i="15"/>
  <c r="AE172" i="15"/>
  <c r="AE228" i="15"/>
  <c r="AG227" i="14"/>
  <c r="AJ228" i="14"/>
  <c r="AJ227" i="14" s="1"/>
  <c r="J82" i="16"/>
  <c r="N82" i="15"/>
  <c r="G97" i="16"/>
  <c r="M97" i="15"/>
  <c r="M94" i="15" s="1"/>
  <c r="BD18" i="15"/>
  <c r="I94" i="15"/>
  <c r="AG85" i="16"/>
  <c r="AE215" i="15"/>
  <c r="AJ215" i="14"/>
  <c r="AJ211" i="14" s="1"/>
  <c r="AJ210" i="14" s="1"/>
  <c r="AJ209" i="14" s="1"/>
  <c r="AJ207" i="14" s="1"/>
  <c r="AG211" i="14"/>
  <c r="AG210" i="14" s="1"/>
  <c r="AG209" i="14" s="1"/>
  <c r="AG207" i="14" s="1"/>
  <c r="AS29" i="14" s="1"/>
  <c r="AX29" i="14" s="1"/>
  <c r="AZ29" i="14" s="1"/>
  <c r="AJ115" i="16"/>
  <c r="AG158" i="15"/>
  <c r="I81" i="15"/>
  <c r="G83" i="16"/>
  <c r="M83" i="15"/>
  <c r="M81" i="15" s="1"/>
  <c r="G48" i="15"/>
  <c r="I50" i="15"/>
  <c r="AE241" i="15"/>
  <c r="AE259" i="15" s="1"/>
  <c r="AJ241" i="14"/>
  <c r="AG235" i="14"/>
  <c r="AG234" i="14" s="1"/>
  <c r="AG232" i="14" s="1"/>
  <c r="AG259" i="14"/>
  <c r="Y27" i="16"/>
  <c r="AH27" i="15"/>
  <c r="AH51" i="16"/>
  <c r="AS16" i="15"/>
  <c r="AA207" i="14"/>
  <c r="BO27" i="14"/>
  <c r="I106" i="15"/>
  <c r="G104" i="15"/>
  <c r="AB248" i="15"/>
  <c r="AI248" i="14"/>
  <c r="AI243" i="14" s="1"/>
  <c r="AD243" i="14"/>
  <c r="AA70" i="15"/>
  <c r="AD197" i="16"/>
  <c r="AG106" i="15"/>
  <c r="AE105" i="15"/>
  <c r="AE104" i="15" s="1"/>
  <c r="J52" i="16"/>
  <c r="N52" i="15"/>
  <c r="AG186" i="15"/>
  <c r="AG238" i="16"/>
  <c r="N68" i="16"/>
  <c r="AD224" i="15"/>
  <c r="J37" i="16"/>
  <c r="N37" i="15"/>
  <c r="AG246" i="15"/>
  <c r="AE243" i="15"/>
  <c r="AB145" i="14" l="1"/>
  <c r="AB110" i="14" s="1"/>
  <c r="Y14" i="14"/>
  <c r="BD17" i="14"/>
  <c r="AU30" i="13"/>
  <c r="AW28" i="13"/>
  <c r="AY28" i="13" s="1"/>
  <c r="AB170" i="14"/>
  <c r="AA110" i="13"/>
  <c r="BO13" i="13"/>
  <c r="BO8" i="13" s="1"/>
  <c r="BO7" i="13" s="1"/>
  <c r="BO32" i="13" s="1"/>
  <c r="AJ10" i="13"/>
  <c r="AJ258" i="13" s="1"/>
  <c r="AI90" i="14"/>
  <c r="AG94" i="15"/>
  <c r="AE91" i="15"/>
  <c r="AZ17" i="13"/>
  <c r="AE63" i="14"/>
  <c r="Y258" i="13"/>
  <c r="AA124" i="16"/>
  <c r="Y123" i="16"/>
  <c r="AD117" i="15"/>
  <c r="AB114" i="15"/>
  <c r="Y46" i="15"/>
  <c r="AH46" i="14"/>
  <c r="AH44" i="14" s="1"/>
  <c r="AA44" i="14"/>
  <c r="AW17" i="13"/>
  <c r="AX17" i="13"/>
  <c r="AB161" i="15"/>
  <c r="AI161" i="14"/>
  <c r="AI157" i="14" s="1"/>
  <c r="AI155" i="14" s="1"/>
  <c r="AD157" i="14"/>
  <c r="AD155" i="14" s="1"/>
  <c r="AG222" i="14"/>
  <c r="AG220" i="14" s="1"/>
  <c r="AS30" i="14" s="1"/>
  <c r="AX30" i="14" s="1"/>
  <c r="AZ30" i="14" s="1"/>
  <c r="AJ223" i="14"/>
  <c r="AJ222" i="14" s="1"/>
  <c r="AJ220" i="14" s="1"/>
  <c r="AE223" i="15"/>
  <c r="AV31" i="12"/>
  <c r="AS32" i="12"/>
  <c r="AV32" i="12" s="1"/>
  <c r="M126" i="13"/>
  <c r="M130" i="13" s="1"/>
  <c r="AE258" i="13"/>
  <c r="AE145" i="14"/>
  <c r="AE110" i="14" s="1"/>
  <c r="AV25" i="13"/>
  <c r="AX24" i="13"/>
  <c r="AZ24" i="13" s="1"/>
  <c r="AH12" i="13"/>
  <c r="AH10" i="13" s="1"/>
  <c r="AH258" i="13" s="1"/>
  <c r="AG12" i="13"/>
  <c r="AG10" i="13" s="1"/>
  <c r="AG8" i="13" s="1"/>
  <c r="AV26" i="13"/>
  <c r="AX26" i="13"/>
  <c r="AZ26" i="13" s="1"/>
  <c r="AA91" i="14"/>
  <c r="Y93" i="15"/>
  <c r="AH93" i="14"/>
  <c r="AH91" i="14" s="1"/>
  <c r="J83" i="15"/>
  <c r="N83" i="14"/>
  <c r="N81" i="14" s="1"/>
  <c r="L81" i="14"/>
  <c r="AI116" i="16"/>
  <c r="AB44" i="15"/>
  <c r="AD46" i="15"/>
  <c r="AD92" i="15"/>
  <c r="AB91" i="15"/>
  <c r="AD51" i="15"/>
  <c r="AB49" i="15"/>
  <c r="L26" i="15"/>
  <c r="J25" i="15"/>
  <c r="L128" i="14"/>
  <c r="Y110" i="14"/>
  <c r="AA63" i="13"/>
  <c r="AA12" i="13" s="1"/>
  <c r="AE14" i="14"/>
  <c r="AE12" i="14" s="1"/>
  <c r="AD106" i="15"/>
  <c r="AB105" i="15"/>
  <c r="AB104" i="15" s="1"/>
  <c r="Y223" i="15"/>
  <c r="AH223" i="14"/>
  <c r="AH222" i="14" s="1"/>
  <c r="AH220" i="14" s="1"/>
  <c r="AA222" i="14"/>
  <c r="AA220" i="14" s="1"/>
  <c r="BO30" i="14" s="1"/>
  <c r="BI14" i="14" s="1"/>
  <c r="Y167" i="15"/>
  <c r="BO19" i="14"/>
  <c r="AH167" i="14"/>
  <c r="AH157" i="14" s="1"/>
  <c r="AH155" i="14" s="1"/>
  <c r="AH145" i="14" s="1"/>
  <c r="AA157" i="14"/>
  <c r="AA155" i="14" s="1"/>
  <c r="Y98" i="15"/>
  <c r="AA96" i="14"/>
  <c r="AH98" i="14"/>
  <c r="AH96" i="14" s="1"/>
  <c r="Y177" i="15"/>
  <c r="AH177" i="14"/>
  <c r="AH176" i="14" s="1"/>
  <c r="BO23" i="14"/>
  <c r="AA176" i="14"/>
  <c r="Y58" i="15"/>
  <c r="Y57" i="15" s="1"/>
  <c r="AA59" i="15"/>
  <c r="BP25" i="13"/>
  <c r="BJ12" i="13" s="1"/>
  <c r="Y107" i="15"/>
  <c r="AH107" i="14"/>
  <c r="AH105" i="14" s="1"/>
  <c r="AH104" i="14" s="1"/>
  <c r="AA105" i="14"/>
  <c r="AA104" i="14" s="1"/>
  <c r="I60" i="14"/>
  <c r="G61" i="15"/>
  <c r="M61" i="14"/>
  <c r="M60" i="14" s="1"/>
  <c r="Y52" i="15"/>
  <c r="AH52" i="14"/>
  <c r="AH49" i="14" s="1"/>
  <c r="AA49" i="14"/>
  <c r="AA43" i="14" s="1"/>
  <c r="AE159" i="15"/>
  <c r="AJ159" i="14"/>
  <c r="AJ157" i="14" s="1"/>
  <c r="AJ155" i="14" s="1"/>
  <c r="AG157" i="14"/>
  <c r="AG155" i="14" s="1"/>
  <c r="J71" i="16"/>
  <c r="N71" i="15"/>
  <c r="N69" i="15" s="1"/>
  <c r="L69" i="15"/>
  <c r="AD43" i="14"/>
  <c r="AR25" i="14" s="1"/>
  <c r="AB85" i="15"/>
  <c r="AI85" i="14"/>
  <c r="AI83" i="14" s="1"/>
  <c r="AD83" i="14"/>
  <c r="AR24" i="14" s="1"/>
  <c r="M58" i="14"/>
  <c r="M57" i="14" s="1"/>
  <c r="I57" i="14"/>
  <c r="G58" i="15"/>
  <c r="Y170" i="14"/>
  <c r="Y90" i="14"/>
  <c r="Y63" i="14" s="1"/>
  <c r="J36" i="15"/>
  <c r="N36" i="14"/>
  <c r="N35" i="14" s="1"/>
  <c r="L35" i="14"/>
  <c r="J23" i="15"/>
  <c r="N23" i="14"/>
  <c r="N22" i="14" s="1"/>
  <c r="AX7" i="14"/>
  <c r="AZ7" i="14" s="1"/>
  <c r="L22" i="14"/>
  <c r="AS7" i="14" s="1"/>
  <c r="AV7" i="14" s="1"/>
  <c r="AE150" i="15"/>
  <c r="AJ150" i="14"/>
  <c r="AJ149" i="14" s="1"/>
  <c r="AJ147" i="14" s="1"/>
  <c r="AG149" i="14"/>
  <c r="AG147" i="14" s="1"/>
  <c r="L47" i="15"/>
  <c r="J45" i="15"/>
  <c r="AA187" i="15"/>
  <c r="AA185" i="15" s="1"/>
  <c r="AH188" i="15"/>
  <c r="AH187" i="15" s="1"/>
  <c r="AH185" i="15" s="1"/>
  <c r="Y188" i="16"/>
  <c r="AI43" i="14"/>
  <c r="AI14" i="14" s="1"/>
  <c r="Y38" i="15"/>
  <c r="AH38" i="14"/>
  <c r="AH35" i="14" s="1"/>
  <c r="AA35" i="14"/>
  <c r="I56" i="15"/>
  <c r="G54" i="15"/>
  <c r="I74" i="15"/>
  <c r="G72" i="15"/>
  <c r="AE52" i="15"/>
  <c r="AJ52" i="14"/>
  <c r="AJ49" i="14" s="1"/>
  <c r="AJ43" i="14" s="1"/>
  <c r="AG49" i="14"/>
  <c r="AE38" i="15"/>
  <c r="AG35" i="14"/>
  <c r="AJ38" i="14"/>
  <c r="AJ35" i="14" s="1"/>
  <c r="AJ98" i="14"/>
  <c r="AJ96" i="14" s="1"/>
  <c r="AJ90" i="14" s="1"/>
  <c r="AE98" i="15"/>
  <c r="AG96" i="14"/>
  <c r="AG90" i="14" s="1"/>
  <c r="AB199" i="15"/>
  <c r="AI199" i="14"/>
  <c r="AI195" i="14" s="1"/>
  <c r="AI194" i="14" s="1"/>
  <c r="AI193" i="14" s="1"/>
  <c r="AD195" i="14"/>
  <c r="AD194" i="14" s="1"/>
  <c r="I37" i="15"/>
  <c r="G35" i="15"/>
  <c r="I45" i="14"/>
  <c r="BD15" i="14"/>
  <c r="G46" i="15"/>
  <c r="M46" i="14"/>
  <c r="M45" i="14" s="1"/>
  <c r="AG43" i="14"/>
  <c r="AH180" i="16"/>
  <c r="G31" i="15"/>
  <c r="M31" i="14"/>
  <c r="M29" i="14" s="1"/>
  <c r="M28" i="14" s="1"/>
  <c r="I29" i="14"/>
  <c r="I28" i="14" s="1"/>
  <c r="AR9" i="14" s="1"/>
  <c r="AU9" i="14" s="1"/>
  <c r="AB174" i="15"/>
  <c r="AI174" i="14"/>
  <c r="AI172" i="14" s="1"/>
  <c r="AD172" i="14"/>
  <c r="G69" i="15"/>
  <c r="I70" i="15"/>
  <c r="L56" i="15"/>
  <c r="J54" i="15"/>
  <c r="AG117" i="15"/>
  <c r="AE114" i="15"/>
  <c r="AD37" i="15"/>
  <c r="AB35" i="15"/>
  <c r="Y228" i="16"/>
  <c r="AH228" i="15"/>
  <c r="AH227" i="15" s="1"/>
  <c r="AA227" i="15"/>
  <c r="AB8" i="13"/>
  <c r="I115" i="16"/>
  <c r="G113" i="16"/>
  <c r="AU15" i="15"/>
  <c r="AW15" i="15"/>
  <c r="AY15" i="15" s="1"/>
  <c r="AV15" i="14"/>
  <c r="AX15" i="14"/>
  <c r="AZ15" i="14" s="1"/>
  <c r="L119" i="15"/>
  <c r="J113" i="15"/>
  <c r="AI10" i="13"/>
  <c r="AI258" i="13" s="1"/>
  <c r="AF258" i="13"/>
  <c r="BQ33" i="13" s="1"/>
  <c r="AD8" i="12"/>
  <c r="Y1" i="12" s="1"/>
  <c r="AD258" i="12"/>
  <c r="BP8" i="13"/>
  <c r="AB12" i="14"/>
  <c r="J21" i="14"/>
  <c r="J19" i="14" s="1"/>
  <c r="J17" i="14" s="1"/>
  <c r="J8" i="14" s="1"/>
  <c r="J126" i="14" s="1"/>
  <c r="J130" i="14" s="1"/>
  <c r="Y234" i="14"/>
  <c r="Y232" i="14" s="1"/>
  <c r="AD110" i="13"/>
  <c r="AR26" i="13" s="1"/>
  <c r="AU26" i="13" s="1"/>
  <c r="AJ151" i="16"/>
  <c r="M73" i="16"/>
  <c r="L8" i="13"/>
  <c r="L126" i="13" s="1"/>
  <c r="L130" i="13" s="1"/>
  <c r="N76" i="14"/>
  <c r="N75" i="14" s="1"/>
  <c r="L75" i="14"/>
  <c r="J76" i="15"/>
  <c r="AA115" i="15"/>
  <c r="Y114" i="15"/>
  <c r="G21" i="14"/>
  <c r="G19" i="14" s="1"/>
  <c r="G17" i="14" s="1"/>
  <c r="I76" i="15"/>
  <c r="G75" i="15"/>
  <c r="I12" i="16"/>
  <c r="G10" i="16"/>
  <c r="N95" i="14"/>
  <c r="N94" i="14" s="1"/>
  <c r="L94" i="14"/>
  <c r="AX14" i="14" s="1"/>
  <c r="AZ14" i="14" s="1"/>
  <c r="J95" i="15"/>
  <c r="N70" i="16"/>
  <c r="AB215" i="15"/>
  <c r="AI215" i="14"/>
  <c r="AI211" i="14" s="1"/>
  <c r="AI210" i="14" s="1"/>
  <c r="AI209" i="14" s="1"/>
  <c r="AI207" i="14" s="1"/>
  <c r="AD211" i="14"/>
  <c r="AD210" i="14" s="1"/>
  <c r="AD209" i="14" s="1"/>
  <c r="AW23" i="13"/>
  <c r="AY23" i="13" s="1"/>
  <c r="AU23" i="13"/>
  <c r="AD75" i="15"/>
  <c r="AB69" i="15"/>
  <c r="L32" i="14"/>
  <c r="N33" i="14"/>
  <c r="N32" i="14" s="1"/>
  <c r="J33" i="15"/>
  <c r="AX9" i="14"/>
  <c r="I51" i="14"/>
  <c r="G52" i="15"/>
  <c r="M52" i="14"/>
  <c r="M51" i="14" s="1"/>
  <c r="Y80" i="15"/>
  <c r="AH80" i="14"/>
  <c r="AH69" i="14" s="1"/>
  <c r="AH65" i="14" s="1"/>
  <c r="AA69" i="14"/>
  <c r="AA65" i="14" s="1"/>
  <c r="J62" i="16"/>
  <c r="N62" i="15"/>
  <c r="N60" i="15" s="1"/>
  <c r="L60" i="15"/>
  <c r="AU27" i="13"/>
  <c r="AW27" i="13"/>
  <c r="AY27" i="13" s="1"/>
  <c r="AE136" i="15"/>
  <c r="AJ136" i="14"/>
  <c r="AJ123" i="14" s="1"/>
  <c r="AJ112" i="14" s="1"/>
  <c r="AG123" i="14"/>
  <c r="AG112" i="14" s="1"/>
  <c r="Y142" i="15"/>
  <c r="AA141" i="14"/>
  <c r="BO20" i="14" s="1"/>
  <c r="AH142" i="14"/>
  <c r="AH141" i="14" s="1"/>
  <c r="AH112" i="14" s="1"/>
  <c r="M79" i="15"/>
  <c r="G79" i="16"/>
  <c r="AG46" i="15"/>
  <c r="AE44" i="15"/>
  <c r="AB225" i="15"/>
  <c r="AI225" i="14"/>
  <c r="AD222" i="14"/>
  <c r="AD220" i="14" s="1"/>
  <c r="BP30" i="14" s="1"/>
  <c r="BJ14" i="14" s="1"/>
  <c r="AD259" i="14"/>
  <c r="BP31" i="14"/>
  <c r="BJ15" i="14" s="1"/>
  <c r="AU35" i="11"/>
  <c r="AV35" i="11"/>
  <c r="AU32" i="11"/>
  <c r="I22" i="14"/>
  <c r="M23" i="14"/>
  <c r="M22" i="14" s="1"/>
  <c r="AW7" i="14"/>
  <c r="AY7" i="14" s="1"/>
  <c r="BD12" i="14"/>
  <c r="G23" i="15"/>
  <c r="L55" i="16"/>
  <c r="AB190" i="15"/>
  <c r="AI190" i="14"/>
  <c r="AI187" i="14" s="1"/>
  <c r="AI185" i="14" s="1"/>
  <c r="AD187" i="14"/>
  <c r="AD185" i="14" s="1"/>
  <c r="BP15" i="13"/>
  <c r="BJ10" i="13" s="1"/>
  <c r="BJ7" i="13" s="1"/>
  <c r="L46" i="16"/>
  <c r="AB236" i="15"/>
  <c r="AI236" i="14"/>
  <c r="AI235" i="14" s="1"/>
  <c r="AI234" i="14" s="1"/>
  <c r="AI232" i="14" s="1"/>
  <c r="AD235" i="14"/>
  <c r="AD234" i="14" s="1"/>
  <c r="AD232" i="14" s="1"/>
  <c r="BP29" i="14" s="1"/>
  <c r="BJ13" i="14" s="1"/>
  <c r="N8" i="13"/>
  <c r="N126" i="13" s="1"/>
  <c r="N130" i="13" s="1"/>
  <c r="AW14" i="14"/>
  <c r="AY14" i="14" s="1"/>
  <c r="K1" i="12"/>
  <c r="L126" i="12"/>
  <c r="L130" i="12" s="1"/>
  <c r="J5" i="12"/>
  <c r="AA106" i="16"/>
  <c r="Y26" i="15"/>
  <c r="AH26" i="14"/>
  <c r="AH20" i="14" s="1"/>
  <c r="AH16" i="14" s="1"/>
  <c r="AA20" i="14"/>
  <c r="AA16" i="14" s="1"/>
  <c r="N61" i="16"/>
  <c r="I68" i="15"/>
  <c r="G66" i="15"/>
  <c r="Y244" i="15"/>
  <c r="AA243" i="14"/>
  <c r="AH244" i="14"/>
  <c r="AH243" i="14" s="1"/>
  <c r="AA204" i="15"/>
  <c r="Y203" i="15"/>
  <c r="AD99" i="15"/>
  <c r="AB96" i="15"/>
  <c r="AY26" i="12"/>
  <c r="AY32" i="12" s="1"/>
  <c r="AW32" i="12"/>
  <c r="AI152" i="14"/>
  <c r="AI149" i="14" s="1"/>
  <c r="AI147" i="14" s="1"/>
  <c r="AD149" i="14"/>
  <c r="AD147" i="14" s="1"/>
  <c r="AB152" i="15"/>
  <c r="AI189" i="15"/>
  <c r="AB189" i="16"/>
  <c r="AD71" i="16"/>
  <c r="AD204" i="15"/>
  <c r="AB203" i="15"/>
  <c r="I33" i="15"/>
  <c r="G32" i="15"/>
  <c r="J49" i="15"/>
  <c r="L48" i="14"/>
  <c r="N49" i="14"/>
  <c r="N48" i="14" s="1"/>
  <c r="Y197" i="15"/>
  <c r="AH197" i="14"/>
  <c r="AH195" i="14" s="1"/>
  <c r="AH194" i="14" s="1"/>
  <c r="AH193" i="14" s="1"/>
  <c r="AA195" i="14"/>
  <c r="AA194" i="14" s="1"/>
  <c r="L44" i="15"/>
  <c r="J42" i="15"/>
  <c r="AS14" i="13"/>
  <c r="G65" i="15"/>
  <c r="G63" i="15" s="1"/>
  <c r="M65" i="14"/>
  <c r="I128" i="14"/>
  <c r="BD21" i="14"/>
  <c r="Y84" i="16"/>
  <c r="AH84" i="15"/>
  <c r="AJ178" i="14"/>
  <c r="AJ176" i="14" s="1"/>
  <c r="AJ170" i="14" s="1"/>
  <c r="AE178" i="15"/>
  <c r="AG176" i="14"/>
  <c r="AG170" i="14" s="1"/>
  <c r="AS27" i="14" s="1"/>
  <c r="AX27" i="14" s="1"/>
  <c r="AZ27" i="14" s="1"/>
  <c r="L58" i="15"/>
  <c r="J57" i="15"/>
  <c r="Y236" i="15"/>
  <c r="AH236" i="14"/>
  <c r="AH235" i="14" s="1"/>
  <c r="AA235" i="14"/>
  <c r="L30" i="15"/>
  <c r="J29" i="15"/>
  <c r="AD97" i="16"/>
  <c r="Y86" i="15"/>
  <c r="AH86" i="14"/>
  <c r="AH83" i="14" s="1"/>
  <c r="AA83" i="14"/>
  <c r="AD59" i="15"/>
  <c r="AB58" i="15"/>
  <c r="AB57" i="15" s="1"/>
  <c r="AB66" i="15"/>
  <c r="AR22" i="14"/>
  <c r="BP10" i="14"/>
  <c r="AI66" i="14"/>
  <c r="AI65" i="14" s="1"/>
  <c r="AD65" i="14"/>
  <c r="AE153" i="16"/>
  <c r="AJ153" i="15"/>
  <c r="AR16" i="15"/>
  <c r="BD7" i="15"/>
  <c r="Y173" i="15"/>
  <c r="AA172" i="14"/>
  <c r="AH173" i="14"/>
  <c r="AH172" i="14" s="1"/>
  <c r="AH170" i="14" s="1"/>
  <c r="AB125" i="15"/>
  <c r="AI125" i="14"/>
  <c r="AI123" i="14" s="1"/>
  <c r="AI112" i="14" s="1"/>
  <c r="AD123" i="14"/>
  <c r="J53" i="15"/>
  <c r="J128" i="15" s="1"/>
  <c r="N53" i="14"/>
  <c r="N51" i="14" s="1"/>
  <c r="L51" i="14"/>
  <c r="AR14" i="13"/>
  <c r="I17" i="13"/>
  <c r="AD142" i="15"/>
  <c r="AB141" i="15"/>
  <c r="AB228" i="16"/>
  <c r="AI228" i="15"/>
  <c r="AI227" i="15" s="1"/>
  <c r="AD227" i="15"/>
  <c r="AD21" i="15"/>
  <c r="AB20" i="15"/>
  <c r="AB16" i="15" s="1"/>
  <c r="AJ197" i="14"/>
  <c r="AJ195" i="14" s="1"/>
  <c r="AJ194" i="14" s="1"/>
  <c r="AJ193" i="14" s="1"/>
  <c r="AG195" i="14"/>
  <c r="AG194" i="14" s="1"/>
  <c r="AG193" i="14" s="1"/>
  <c r="AS28" i="14" s="1"/>
  <c r="AE197" i="15"/>
  <c r="J78" i="15"/>
  <c r="L78" i="15" s="1"/>
  <c r="N78" i="15" s="1"/>
  <c r="L80" i="15"/>
  <c r="AE86" i="15"/>
  <c r="AJ86" i="14"/>
  <c r="AJ83" i="14" s="1"/>
  <c r="AJ63" i="14" s="1"/>
  <c r="AG83" i="14"/>
  <c r="N73" i="14"/>
  <c r="N72" i="14" s="1"/>
  <c r="J73" i="15"/>
  <c r="L72" i="14"/>
  <c r="L43" i="16"/>
  <c r="L67" i="15"/>
  <c r="J66" i="15"/>
  <c r="L52" i="16"/>
  <c r="AI197" i="16"/>
  <c r="G106" i="16"/>
  <c r="I104" i="15"/>
  <c r="BD19" i="15"/>
  <c r="M106" i="15"/>
  <c r="M104" i="15" s="1"/>
  <c r="AJ85" i="16"/>
  <c r="AE246" i="16"/>
  <c r="AJ246" i="15"/>
  <c r="AJ243" i="15" s="1"/>
  <c r="AG243" i="15"/>
  <c r="L37" i="16"/>
  <c r="AE106" i="16"/>
  <c r="AG105" i="15"/>
  <c r="AG104" i="15" s="1"/>
  <c r="AJ106" i="15"/>
  <c r="AJ105" i="15" s="1"/>
  <c r="AJ104" i="15" s="1"/>
  <c r="Y70" i="16"/>
  <c r="AH70" i="15"/>
  <c r="AD248" i="15"/>
  <c r="AB243" i="15"/>
  <c r="AA27" i="16"/>
  <c r="AG241" i="15"/>
  <c r="AG259" i="15" s="1"/>
  <c r="AE235" i="15"/>
  <c r="AE234" i="15" s="1"/>
  <c r="AE232" i="15" s="1"/>
  <c r="G81" i="16"/>
  <c r="I83" i="16"/>
  <c r="AG215" i="15"/>
  <c r="AE211" i="15"/>
  <c r="AE210" i="15" s="1"/>
  <c r="AE209" i="15" s="1"/>
  <c r="AE207" i="15" s="1"/>
  <c r="I97" i="16"/>
  <c r="G94" i="16"/>
  <c r="AG228" i="15"/>
  <c r="AE227" i="15"/>
  <c r="G27" i="16"/>
  <c r="AW8" i="15"/>
  <c r="AY8" i="15" s="1"/>
  <c r="I25" i="15"/>
  <c r="M27" i="15"/>
  <c r="AG60" i="15"/>
  <c r="AE58" i="15"/>
  <c r="AE57" i="15" s="1"/>
  <c r="AJ245" i="16"/>
  <c r="AI213" i="16"/>
  <c r="AI229" i="16"/>
  <c r="N24" i="16"/>
  <c r="AG73" i="15"/>
  <c r="AE69" i="15"/>
  <c r="AE65" i="15" s="1"/>
  <c r="BO26" i="16"/>
  <c r="AH196" i="16"/>
  <c r="AG124" i="16"/>
  <c r="AE186" i="16"/>
  <c r="AJ186" i="15"/>
  <c r="AX16" i="15"/>
  <c r="AZ16" i="15" s="1"/>
  <c r="AV16" i="15"/>
  <c r="AJ235" i="14"/>
  <c r="AJ234" i="14" s="1"/>
  <c r="AJ232" i="14" s="1"/>
  <c r="AJ259" i="14"/>
  <c r="AJ158" i="15"/>
  <c r="AE158" i="16"/>
  <c r="AA149" i="15"/>
  <c r="AA147" i="15" s="1"/>
  <c r="Y152" i="16"/>
  <c r="AH152" i="15"/>
  <c r="AH149" i="15" s="1"/>
  <c r="AH147" i="15" s="1"/>
  <c r="AG70" i="16"/>
  <c r="AB67" i="16"/>
  <c r="BP11" i="15"/>
  <c r="AI67" i="15"/>
  <c r="N74" i="16"/>
  <c r="N63" i="14"/>
  <c r="AJ142" i="15"/>
  <c r="AJ141" i="15" s="1"/>
  <c r="AE142" i="16"/>
  <c r="AG141" i="15"/>
  <c r="AG19" i="16"/>
  <c r="AI134" i="16"/>
  <c r="AJ238" i="16"/>
  <c r="AG97" i="16"/>
  <c r="Y215" i="16"/>
  <c r="AH215" i="15"/>
  <c r="AH211" i="15" s="1"/>
  <c r="AH210" i="15" s="1"/>
  <c r="AH209" i="15" s="1"/>
  <c r="AH207" i="15" s="1"/>
  <c r="AA211" i="15"/>
  <c r="AA210" i="15" s="1"/>
  <c r="AA209" i="15" s="1"/>
  <c r="AE20" i="15"/>
  <c r="AE16" i="15" s="1"/>
  <c r="AG22" i="15"/>
  <c r="AG95" i="16"/>
  <c r="N27" i="16"/>
  <c r="AG59" i="16"/>
  <c r="AI26" i="16"/>
  <c r="AE174" i="16"/>
  <c r="AJ174" i="15"/>
  <c r="AJ172" i="15" s="1"/>
  <c r="AG172" i="15"/>
  <c r="J86" i="16"/>
  <c r="L85" i="15"/>
  <c r="N86" i="15"/>
  <c r="N85" i="15" s="1"/>
  <c r="L10" i="16"/>
  <c r="N15" i="16"/>
  <c r="N10" i="16" s="1"/>
  <c r="AD191" i="16"/>
  <c r="AI224" i="15"/>
  <c r="AB224" i="16"/>
  <c r="G50" i="16"/>
  <c r="I48" i="15"/>
  <c r="M50" i="15"/>
  <c r="M48" i="15" s="1"/>
  <c r="L82" i="16"/>
  <c r="J105" i="16"/>
  <c r="L104" i="15"/>
  <c r="N105" i="15"/>
  <c r="N104" i="15" s="1"/>
  <c r="Y238" i="16"/>
  <c r="AH238" i="15"/>
  <c r="AJ54" i="15"/>
  <c r="AE54" i="16"/>
  <c r="AE177" i="16"/>
  <c r="AJ177" i="15"/>
  <c r="I86" i="15"/>
  <c r="G85" i="15"/>
  <c r="J63" i="15"/>
  <c r="L65" i="15"/>
  <c r="AU8" i="14"/>
  <c r="I64" i="15"/>
  <c r="AG81" i="16"/>
  <c r="AZ23" i="13"/>
  <c r="AX32" i="13"/>
  <c r="AD180" i="16"/>
  <c r="AB176" i="16"/>
  <c r="AJ212" i="16"/>
  <c r="AS23" i="14"/>
  <c r="AE187" i="15"/>
  <c r="AE185" i="15" s="1"/>
  <c r="AG188" i="15"/>
  <c r="AG48" i="16"/>
  <c r="BI8" i="13" l="1"/>
  <c r="BI7" i="13" s="1"/>
  <c r="BI16" i="13" s="1"/>
  <c r="BD10" i="14"/>
  <c r="BD9" i="14" s="1"/>
  <c r="BD8" i="14" s="1"/>
  <c r="Y12" i="14"/>
  <c r="L28" i="14"/>
  <c r="AS9" i="14" s="1"/>
  <c r="AV9" i="14" s="1"/>
  <c r="AA10" i="13"/>
  <c r="AA8" i="13" s="1"/>
  <c r="U1" i="13" s="1"/>
  <c r="AH43" i="14"/>
  <c r="AI63" i="14"/>
  <c r="AI12" i="14" s="1"/>
  <c r="AJ8" i="13"/>
  <c r="M128" i="14"/>
  <c r="AD161" i="15"/>
  <c r="AB157" i="15"/>
  <c r="AB155" i="15" s="1"/>
  <c r="AB117" i="16"/>
  <c r="AI117" i="15"/>
  <c r="AI114" i="15" s="1"/>
  <c r="AD114" i="15"/>
  <c r="AB90" i="15"/>
  <c r="AI145" i="14"/>
  <c r="AI110" i="14" s="1"/>
  <c r="AD170" i="14"/>
  <c r="BP24" i="14" s="1"/>
  <c r="BP22" i="14" s="1"/>
  <c r="BJ11" i="14" s="1"/>
  <c r="AA46" i="15"/>
  <c r="Y44" i="15"/>
  <c r="AH124" i="16"/>
  <c r="AH123" i="16" s="1"/>
  <c r="AA123" i="16"/>
  <c r="AE94" i="16"/>
  <c r="AJ94" i="15"/>
  <c r="AJ91" i="15" s="1"/>
  <c r="AG91" i="15"/>
  <c r="BP14" i="14"/>
  <c r="BJ9" i="14" s="1"/>
  <c r="Y10" i="14"/>
  <c r="Y8" i="14" s="1"/>
  <c r="BO14" i="14"/>
  <c r="BI9" i="14" s="1"/>
  <c r="AS25" i="14"/>
  <c r="AV25" i="14" s="1"/>
  <c r="N128" i="14"/>
  <c r="AE222" i="15"/>
  <c r="AE220" i="15" s="1"/>
  <c r="AG223" i="15"/>
  <c r="AE10" i="14"/>
  <c r="AE8" i="14" s="1"/>
  <c r="N28" i="14"/>
  <c r="N21" i="14" s="1"/>
  <c r="N19" i="14" s="1"/>
  <c r="N17" i="14" s="1"/>
  <c r="AH8" i="13"/>
  <c r="AG14" i="14"/>
  <c r="AB43" i="15"/>
  <c r="AB14" i="15" s="1"/>
  <c r="AJ145" i="14"/>
  <c r="AJ110" i="14" s="1"/>
  <c r="AG258" i="13"/>
  <c r="AS31" i="13" s="1"/>
  <c r="AS32" i="13" s="1"/>
  <c r="AV32" i="13" s="1"/>
  <c r="AZ32" i="13"/>
  <c r="L23" i="15"/>
  <c r="J22" i="15"/>
  <c r="AA170" i="14"/>
  <c r="BO24" i="14" s="1"/>
  <c r="BO22" i="14" s="1"/>
  <c r="BI11" i="14" s="1"/>
  <c r="AD14" i="14"/>
  <c r="AI170" i="14"/>
  <c r="AH110" i="14"/>
  <c r="AA188" i="16"/>
  <c r="Y187" i="16"/>
  <c r="Y185" i="16" s="1"/>
  <c r="J47" i="16"/>
  <c r="N47" i="15"/>
  <c r="N45" i="15" s="1"/>
  <c r="L45" i="15"/>
  <c r="AA52" i="15"/>
  <c r="Y49" i="15"/>
  <c r="Y222" i="15"/>
  <c r="Y220" i="15" s="1"/>
  <c r="AA223" i="15"/>
  <c r="AB51" i="16"/>
  <c r="AI51" i="15"/>
  <c r="AI49" i="15" s="1"/>
  <c r="AD49" i="15"/>
  <c r="AA90" i="14"/>
  <c r="AA63" i="14" s="1"/>
  <c r="AG150" i="15"/>
  <c r="AE149" i="15"/>
  <c r="AE147" i="15" s="1"/>
  <c r="AB46" i="16"/>
  <c r="AI46" i="15"/>
  <c r="AI44" i="15" s="1"/>
  <c r="AD44" i="15"/>
  <c r="Y91" i="15"/>
  <c r="AA93" i="15"/>
  <c r="AS24" i="14"/>
  <c r="AV24" i="14" s="1"/>
  <c r="AH14" i="14"/>
  <c r="BP13" i="14"/>
  <c r="AG145" i="14"/>
  <c r="AG110" i="14" s="1"/>
  <c r="AS26" i="14" s="1"/>
  <c r="I58" i="15"/>
  <c r="G57" i="15"/>
  <c r="AG159" i="15"/>
  <c r="AE157" i="15"/>
  <c r="AE155" i="15" s="1"/>
  <c r="Y59" i="16"/>
  <c r="AH59" i="15"/>
  <c r="AH58" i="15" s="1"/>
  <c r="AH57" i="15" s="1"/>
  <c r="AA58" i="15"/>
  <c r="AA57" i="15" s="1"/>
  <c r="AA98" i="15"/>
  <c r="Y96" i="15"/>
  <c r="AA167" i="15"/>
  <c r="Y157" i="15"/>
  <c r="Y155" i="15" s="1"/>
  <c r="Y145" i="15" s="1"/>
  <c r="L83" i="15"/>
  <c r="L128" i="15" s="1"/>
  <c r="J81" i="15"/>
  <c r="BJ16" i="13"/>
  <c r="AJ14" i="14"/>
  <c r="AJ12" i="14" s="1"/>
  <c r="L36" i="15"/>
  <c r="J35" i="15"/>
  <c r="AD85" i="15"/>
  <c r="AB83" i="15"/>
  <c r="L71" i="16"/>
  <c r="J69" i="16"/>
  <c r="I61" i="15"/>
  <c r="G60" i="15"/>
  <c r="AA107" i="15"/>
  <c r="Y105" i="15"/>
  <c r="Y104" i="15" s="1"/>
  <c r="AA177" i="15"/>
  <c r="Y176" i="15"/>
  <c r="BO17" i="14"/>
  <c r="BO15" i="14" s="1"/>
  <c r="BI10" i="14" s="1"/>
  <c r="AA145" i="14"/>
  <c r="AB106" i="16"/>
  <c r="AI106" i="15"/>
  <c r="AI105" i="15" s="1"/>
  <c r="AI104" i="15" s="1"/>
  <c r="AD105" i="15"/>
  <c r="AD104" i="15" s="1"/>
  <c r="J26" i="16"/>
  <c r="N26" i="15"/>
  <c r="N25" i="15" s="1"/>
  <c r="L25" i="15"/>
  <c r="AS8" i="15" s="1"/>
  <c r="AV8" i="15" s="1"/>
  <c r="AX8" i="15"/>
  <c r="AZ8" i="15" s="1"/>
  <c r="AB92" i="16"/>
  <c r="AD91" i="15"/>
  <c r="AI92" i="15"/>
  <c r="AI91" i="15" s="1"/>
  <c r="AH90" i="14"/>
  <c r="AH63" i="14" s="1"/>
  <c r="BP28" i="14"/>
  <c r="AD193" i="14"/>
  <c r="AR28" i="14" s="1"/>
  <c r="AU28" i="14" s="1"/>
  <c r="AD199" i="15"/>
  <c r="AB195" i="15"/>
  <c r="AB194" i="15" s="1"/>
  <c r="AB193" i="15" s="1"/>
  <c r="AA38" i="15"/>
  <c r="Y35" i="15"/>
  <c r="AG52" i="15"/>
  <c r="AE49" i="15"/>
  <c r="AE43" i="15" s="1"/>
  <c r="G56" i="16"/>
  <c r="M56" i="15"/>
  <c r="M54" i="15" s="1"/>
  <c r="I54" i="15"/>
  <c r="I31" i="15"/>
  <c r="AW9" i="15" s="1"/>
  <c r="AY9" i="15" s="1"/>
  <c r="G29" i="15"/>
  <c r="G37" i="16"/>
  <c r="M37" i="15"/>
  <c r="M35" i="15" s="1"/>
  <c r="I35" i="15"/>
  <c r="AG98" i="15"/>
  <c r="AE96" i="15"/>
  <c r="AE90" i="15" s="1"/>
  <c r="AG38" i="15"/>
  <c r="AE35" i="15"/>
  <c r="G28" i="15"/>
  <c r="I69" i="15"/>
  <c r="G70" i="16"/>
  <c r="M70" i="15"/>
  <c r="M69" i="15" s="1"/>
  <c r="AB172" i="15"/>
  <c r="AD174" i="15"/>
  <c r="G45" i="15"/>
  <c r="I46" i="15"/>
  <c r="G74" i="16"/>
  <c r="M74" i="15"/>
  <c r="M72" i="15" s="1"/>
  <c r="I72" i="15"/>
  <c r="AV30" i="14"/>
  <c r="AH234" i="14"/>
  <c r="AH232" i="14" s="1"/>
  <c r="AA228" i="16"/>
  <c r="Y227" i="16"/>
  <c r="AB37" i="16"/>
  <c r="AI37" i="15"/>
  <c r="AI35" i="15" s="1"/>
  <c r="AD35" i="15"/>
  <c r="AJ117" i="15"/>
  <c r="AJ114" i="15" s="1"/>
  <c r="AE117" i="16"/>
  <c r="AG114" i="15"/>
  <c r="N56" i="15"/>
  <c r="N54" i="15" s="1"/>
  <c r="J56" i="16"/>
  <c r="L54" i="15"/>
  <c r="M63" i="14"/>
  <c r="M21" i="14" s="1"/>
  <c r="M19" i="14" s="1"/>
  <c r="M17" i="14" s="1"/>
  <c r="M8" i="14" s="1"/>
  <c r="AU24" i="14"/>
  <c r="AW24" i="14"/>
  <c r="AY24" i="14" s="1"/>
  <c r="AW17" i="14"/>
  <c r="AI8" i="13"/>
  <c r="AY17" i="14"/>
  <c r="M115" i="16"/>
  <c r="M113" i="16" s="1"/>
  <c r="BD20" i="16"/>
  <c r="D24" i="20" s="1"/>
  <c r="I113" i="16"/>
  <c r="AR15" i="16" s="1"/>
  <c r="J119" i="16"/>
  <c r="N119" i="15"/>
  <c r="N113" i="15" s="1"/>
  <c r="L113" i="15"/>
  <c r="AS15" i="15" s="1"/>
  <c r="AB10" i="14"/>
  <c r="AB8" i="14" s="1"/>
  <c r="AV31" i="13"/>
  <c r="AR30" i="14"/>
  <c r="AW30" i="14" s="1"/>
  <c r="AY30" i="14" s="1"/>
  <c r="AW26" i="13"/>
  <c r="AY26" i="13" s="1"/>
  <c r="AY32" i="13" s="1"/>
  <c r="AZ35" i="13" s="1"/>
  <c r="AC1" i="12"/>
  <c r="AV27" i="14"/>
  <c r="L21" i="14"/>
  <c r="L19" i="14" s="1"/>
  <c r="L17" i="14" s="1"/>
  <c r="L8" i="14" s="1"/>
  <c r="AA234" i="14"/>
  <c r="AA232" i="14" s="1"/>
  <c r="BO29" i="14" s="1"/>
  <c r="BI13" i="14" s="1"/>
  <c r="AA112" i="14"/>
  <c r="AD10" i="13"/>
  <c r="AD258" i="13" s="1"/>
  <c r="BD22" i="14"/>
  <c r="J80" i="16"/>
  <c r="N80" i="15"/>
  <c r="I8" i="13"/>
  <c r="L53" i="15"/>
  <c r="J51" i="15"/>
  <c r="AD125" i="15"/>
  <c r="AB123" i="15"/>
  <c r="AB112" i="15" s="1"/>
  <c r="AG153" i="16"/>
  <c r="AW22" i="14"/>
  <c r="AY22" i="14" s="1"/>
  <c r="AU22" i="14"/>
  <c r="AI97" i="16"/>
  <c r="AV14" i="13"/>
  <c r="AS17" i="13"/>
  <c r="AV17" i="13" s="1"/>
  <c r="BO28" i="14"/>
  <c r="BO25" i="14" s="1"/>
  <c r="BI12" i="14" s="1"/>
  <c r="AA193" i="14"/>
  <c r="AA244" i="15"/>
  <c r="Y243" i="15"/>
  <c r="BP33" i="12"/>
  <c r="AR31" i="12"/>
  <c r="N46" i="16"/>
  <c r="I23" i="15"/>
  <c r="G22" i="15"/>
  <c r="AR7" i="14"/>
  <c r="AU7" i="14" s="1"/>
  <c r="I21" i="14"/>
  <c r="I19" i="14" s="1"/>
  <c r="I17" i="14" s="1"/>
  <c r="AD225" i="15"/>
  <c r="AB222" i="15"/>
  <c r="AB220" i="15" s="1"/>
  <c r="AB259" i="15"/>
  <c r="AG136" i="15"/>
  <c r="AE123" i="15"/>
  <c r="AE112" i="15" s="1"/>
  <c r="AA80" i="15"/>
  <c r="Y69" i="15"/>
  <c r="Y65" i="15" s="1"/>
  <c r="AX17" i="14"/>
  <c r="AZ9" i="14"/>
  <c r="AZ17" i="14" s="1"/>
  <c r="BP27" i="14"/>
  <c r="AD207" i="14"/>
  <c r="AR29" i="14" s="1"/>
  <c r="AW29" i="14" s="1"/>
  <c r="AY29" i="14" s="1"/>
  <c r="G8" i="14"/>
  <c r="G126" i="14" s="1"/>
  <c r="G130" i="14" s="1"/>
  <c r="BP7" i="13"/>
  <c r="BP32" i="13" s="1"/>
  <c r="J67" i="16"/>
  <c r="N67" i="15"/>
  <c r="N66" i="15" s="1"/>
  <c r="L66" i="15"/>
  <c r="L73" i="15"/>
  <c r="J72" i="15"/>
  <c r="AG86" i="15"/>
  <c r="AE83" i="15"/>
  <c r="AX28" i="14"/>
  <c r="AZ28" i="14" s="1"/>
  <c r="AV28" i="14"/>
  <c r="AB142" i="16"/>
  <c r="AI142" i="15"/>
  <c r="AI141" i="15" s="1"/>
  <c r="AD141" i="15"/>
  <c r="BP20" i="15" s="1"/>
  <c r="AA173" i="15"/>
  <c r="Y172" i="15"/>
  <c r="AB59" i="16"/>
  <c r="AD58" i="15"/>
  <c r="AD57" i="15" s="1"/>
  <c r="AI59" i="15"/>
  <c r="AI58" i="15" s="1"/>
  <c r="AI57" i="15" s="1"/>
  <c r="L57" i="15"/>
  <c r="J58" i="16"/>
  <c r="N58" i="15"/>
  <c r="N57" i="15" s="1"/>
  <c r="J44" i="16"/>
  <c r="N44" i="15"/>
  <c r="N42" i="15" s="1"/>
  <c r="AX10" i="15"/>
  <c r="AZ10" i="15" s="1"/>
  <c r="L42" i="15"/>
  <c r="AS10" i="15" s="1"/>
  <c r="AV10" i="15" s="1"/>
  <c r="G33" i="16"/>
  <c r="I32" i="15"/>
  <c r="M33" i="15"/>
  <c r="M32" i="15" s="1"/>
  <c r="BD13" i="15"/>
  <c r="AD189" i="16"/>
  <c r="AI99" i="15"/>
  <c r="AI96" i="15" s="1"/>
  <c r="AB99" i="16"/>
  <c r="AD96" i="15"/>
  <c r="AA26" i="15"/>
  <c r="Y20" i="15"/>
  <c r="Y16" i="15" s="1"/>
  <c r="N55" i="16"/>
  <c r="AI259" i="14"/>
  <c r="AI222" i="14"/>
  <c r="AI220" i="14" s="1"/>
  <c r="G78" i="16"/>
  <c r="I78" i="16" s="1"/>
  <c r="M78" i="16" s="1"/>
  <c r="I79" i="16"/>
  <c r="M79" i="16" s="1"/>
  <c r="AU25" i="14"/>
  <c r="AW25" i="14"/>
  <c r="AY25" i="14" s="1"/>
  <c r="AE195" i="15"/>
  <c r="AE194" i="15" s="1"/>
  <c r="AE193" i="15" s="1"/>
  <c r="AG197" i="15"/>
  <c r="AB21" i="16"/>
  <c r="AI21" i="15"/>
  <c r="AI20" i="15" s="1"/>
  <c r="AI16" i="15" s="1"/>
  <c r="AD20" i="15"/>
  <c r="AD16" i="15" s="1"/>
  <c r="AD112" i="14"/>
  <c r="BP17" i="14"/>
  <c r="AA86" i="15"/>
  <c r="Y83" i="15"/>
  <c r="J30" i="16"/>
  <c r="N30" i="15"/>
  <c r="N29" i="15" s="1"/>
  <c r="L29" i="15"/>
  <c r="AA197" i="15"/>
  <c r="Y195" i="15"/>
  <c r="Y194" i="15" s="1"/>
  <c r="Y193" i="15" s="1"/>
  <c r="BP16" i="14"/>
  <c r="AD145" i="14"/>
  <c r="I66" i="15"/>
  <c r="M68" i="15"/>
  <c r="M66" i="15" s="1"/>
  <c r="G68" i="16"/>
  <c r="AD236" i="15"/>
  <c r="AB235" i="15"/>
  <c r="AB234" i="15" s="1"/>
  <c r="AB232" i="15" s="1"/>
  <c r="AJ46" i="15"/>
  <c r="AJ44" i="15" s="1"/>
  <c r="AE46" i="16"/>
  <c r="AG44" i="15"/>
  <c r="G51" i="15"/>
  <c r="I52" i="15"/>
  <c r="AD215" i="15"/>
  <c r="AB211" i="15"/>
  <c r="AB210" i="15" s="1"/>
  <c r="AB209" i="15" s="1"/>
  <c r="AB207" i="15" s="1"/>
  <c r="L76" i="15"/>
  <c r="J75" i="15"/>
  <c r="AG63" i="14"/>
  <c r="N43" i="16"/>
  <c r="AD228" i="16"/>
  <c r="AB227" i="16"/>
  <c r="AU14" i="13"/>
  <c r="AR17" i="13"/>
  <c r="AU17" i="13" s="1"/>
  <c r="AW16" i="15"/>
  <c r="AY16" i="15" s="1"/>
  <c r="AU16" i="15"/>
  <c r="AR23" i="14"/>
  <c r="AD63" i="14"/>
  <c r="BP12" i="14"/>
  <c r="BP9" i="14" s="1"/>
  <c r="AD66" i="15"/>
  <c r="AB65" i="15"/>
  <c r="AA236" i="15"/>
  <c r="Y235" i="15"/>
  <c r="AG178" i="15"/>
  <c r="AE176" i="15"/>
  <c r="AE170" i="15" s="1"/>
  <c r="AA84" i="16"/>
  <c r="I65" i="15"/>
  <c r="I63" i="15" s="1"/>
  <c r="G128" i="15"/>
  <c r="L49" i="15"/>
  <c r="J48" i="15"/>
  <c r="AI204" i="15"/>
  <c r="AI203" i="15" s="1"/>
  <c r="AD203" i="15"/>
  <c r="AB204" i="16"/>
  <c r="AI71" i="16"/>
  <c r="AD152" i="15"/>
  <c r="AB149" i="15"/>
  <c r="AB147" i="15" s="1"/>
  <c r="AY35" i="12"/>
  <c r="AZ35" i="12"/>
  <c r="AH204" i="15"/>
  <c r="AH203" i="15" s="1"/>
  <c r="AA203" i="15"/>
  <c r="Y204" i="16"/>
  <c r="AA14" i="14"/>
  <c r="BO12" i="14"/>
  <c r="BO9" i="14" s="1"/>
  <c r="AH106" i="16"/>
  <c r="AD190" i="15"/>
  <c r="AB187" i="15"/>
  <c r="AB185" i="15" s="1"/>
  <c r="AA142" i="15"/>
  <c r="Y141" i="15"/>
  <c r="Y112" i="15" s="1"/>
  <c r="L62" i="16"/>
  <c r="J60" i="16"/>
  <c r="L33" i="15"/>
  <c r="J32" i="15"/>
  <c r="J28" i="15" s="1"/>
  <c r="AB75" i="16"/>
  <c r="AI75" i="15"/>
  <c r="AI69" i="15" s="1"/>
  <c r="AD69" i="15"/>
  <c r="J94" i="15"/>
  <c r="L95" i="15"/>
  <c r="M12" i="16"/>
  <c r="M10" i="16" s="1"/>
  <c r="I10" i="16"/>
  <c r="G76" i="16"/>
  <c r="M76" i="15"/>
  <c r="M75" i="15" s="1"/>
  <c r="I75" i="15"/>
  <c r="Y115" i="16"/>
  <c r="AA114" i="15"/>
  <c r="AH115" i="15"/>
  <c r="AH114" i="15" s="1"/>
  <c r="AJ19" i="16"/>
  <c r="AJ81" i="16"/>
  <c r="AA238" i="16"/>
  <c r="N82" i="16"/>
  <c r="I50" i="16"/>
  <c r="G48" i="16"/>
  <c r="AD224" i="16"/>
  <c r="AG142" i="16"/>
  <c r="AE141" i="16"/>
  <c r="AE188" i="16"/>
  <c r="AG187" i="15"/>
  <c r="AG185" i="15" s="1"/>
  <c r="AJ188" i="15"/>
  <c r="AJ187" i="15" s="1"/>
  <c r="AJ185" i="15" s="1"/>
  <c r="L105" i="16"/>
  <c r="J104" i="16"/>
  <c r="F8" i="20"/>
  <c r="AS16" i="16"/>
  <c r="AJ22" i="15"/>
  <c r="AJ20" i="15" s="1"/>
  <c r="AJ16" i="15" s="1"/>
  <c r="AE22" i="16"/>
  <c r="AG20" i="15"/>
  <c r="AG16" i="15" s="1"/>
  <c r="AA215" i="16"/>
  <c r="Y211" i="16"/>
  <c r="Y210" i="16" s="1"/>
  <c r="Y209" i="16" s="1"/>
  <c r="Y207" i="16" s="1"/>
  <c r="AD67" i="16"/>
  <c r="AJ70" i="16"/>
  <c r="M25" i="15"/>
  <c r="AA70" i="16"/>
  <c r="AG246" i="16"/>
  <c r="AE243" i="16"/>
  <c r="AJ48" i="16"/>
  <c r="AX23" i="14"/>
  <c r="AV23" i="14"/>
  <c r="AI180" i="16"/>
  <c r="AI176" i="16" s="1"/>
  <c r="AD176" i="16"/>
  <c r="G64" i="16"/>
  <c r="BD14" i="15"/>
  <c r="M64" i="15"/>
  <c r="AG186" i="16"/>
  <c r="AJ124" i="16"/>
  <c r="AE73" i="16"/>
  <c r="AJ73" i="15"/>
  <c r="AJ69" i="15" s="1"/>
  <c r="AJ65" i="15" s="1"/>
  <c r="AG69" i="15"/>
  <c r="AG65" i="15" s="1"/>
  <c r="AR8" i="15"/>
  <c r="M97" i="16"/>
  <c r="M94" i="16" s="1"/>
  <c r="D20" i="20"/>
  <c r="BD18" i="16"/>
  <c r="I94" i="16"/>
  <c r="AH27" i="16"/>
  <c r="AE105" i="16"/>
  <c r="AE104" i="16" s="1"/>
  <c r="AG106" i="16"/>
  <c r="N52" i="16"/>
  <c r="G86" i="16"/>
  <c r="I85" i="15"/>
  <c r="M86" i="15"/>
  <c r="M85" i="15" s="1"/>
  <c r="AI191" i="16"/>
  <c r="AG174" i="16"/>
  <c r="AE172" i="16"/>
  <c r="AJ59" i="16"/>
  <c r="BO27" i="15"/>
  <c r="AA207" i="15"/>
  <c r="Y149" i="16"/>
  <c r="Y147" i="16" s="1"/>
  <c r="AA152" i="16"/>
  <c r="AG158" i="16"/>
  <c r="D50" i="20"/>
  <c r="I81" i="16"/>
  <c r="M83" i="16"/>
  <c r="M81" i="16" s="1"/>
  <c r="I106" i="16"/>
  <c r="G104" i="16"/>
  <c r="J65" i="16"/>
  <c r="L63" i="15"/>
  <c r="N65" i="15"/>
  <c r="AG54" i="16"/>
  <c r="L86" i="16"/>
  <c r="J85" i="16"/>
  <c r="AJ95" i="16"/>
  <c r="AJ97" i="16"/>
  <c r="AG177" i="16"/>
  <c r="AE60" i="16"/>
  <c r="AJ60" i="15"/>
  <c r="AJ58" i="15" s="1"/>
  <c r="AJ57" i="15" s="1"/>
  <c r="AG58" i="15"/>
  <c r="AG57" i="15" s="1"/>
  <c r="G25" i="16"/>
  <c r="I27" i="16"/>
  <c r="AG227" i="15"/>
  <c r="AE228" i="16"/>
  <c r="AJ228" i="15"/>
  <c r="AJ227" i="15" s="1"/>
  <c r="AE215" i="16"/>
  <c r="AJ215" i="15"/>
  <c r="AJ211" i="15" s="1"/>
  <c r="AJ210" i="15" s="1"/>
  <c r="AJ209" i="15" s="1"/>
  <c r="AJ207" i="15" s="1"/>
  <c r="AG211" i="15"/>
  <c r="AG210" i="15" s="1"/>
  <c r="AG209" i="15" s="1"/>
  <c r="AG207" i="15" s="1"/>
  <c r="AS29" i="15" s="1"/>
  <c r="AX29" i="15" s="1"/>
  <c r="AZ29" i="15" s="1"/>
  <c r="AE241" i="16"/>
  <c r="AJ241" i="15"/>
  <c r="AJ235" i="15" s="1"/>
  <c r="AJ234" i="15" s="1"/>
  <c r="AJ232" i="15" s="1"/>
  <c r="AG235" i="15"/>
  <c r="AG234" i="15" s="1"/>
  <c r="AG232" i="15" s="1"/>
  <c r="AB248" i="16"/>
  <c r="AI248" i="15"/>
  <c r="AI243" i="15" s="1"/>
  <c r="AD243" i="15"/>
  <c r="N37" i="16"/>
  <c r="Y234" i="15" l="1"/>
  <c r="Y232" i="15" s="1"/>
  <c r="BD17" i="15"/>
  <c r="Y43" i="15"/>
  <c r="AG12" i="14"/>
  <c r="AG10" i="14" s="1"/>
  <c r="AG258" i="14" s="1"/>
  <c r="AS31" i="14" s="1"/>
  <c r="AW28" i="14"/>
  <c r="AY28" i="14" s="1"/>
  <c r="AA258" i="13"/>
  <c r="BO33" i="13" s="1"/>
  <c r="Y170" i="15"/>
  <c r="AB145" i="15"/>
  <c r="AB110" i="15" s="1"/>
  <c r="Y110" i="15"/>
  <c r="M126" i="14"/>
  <c r="M130" i="14" s="1"/>
  <c r="AR27" i="14"/>
  <c r="AU27" i="14" s="1"/>
  <c r="AD90" i="15"/>
  <c r="Y258" i="14"/>
  <c r="AB63" i="15"/>
  <c r="AB12" i="15" s="1"/>
  <c r="AF258" i="14"/>
  <c r="BQ33" i="14" s="1"/>
  <c r="N8" i="14"/>
  <c r="N126" i="14" s="1"/>
  <c r="N130" i="14" s="1"/>
  <c r="AI90" i="15"/>
  <c r="AG94" i="16"/>
  <c r="AE91" i="16"/>
  <c r="Y46" i="16"/>
  <c r="AH46" i="15"/>
  <c r="AH44" i="15" s="1"/>
  <c r="AA44" i="15"/>
  <c r="AB161" i="16"/>
  <c r="AI161" i="15"/>
  <c r="AI157" i="15" s="1"/>
  <c r="AI155" i="15" s="1"/>
  <c r="AD157" i="15"/>
  <c r="AD155" i="15" s="1"/>
  <c r="AD117" i="16"/>
  <c r="AB114" i="16"/>
  <c r="AJ223" i="15"/>
  <c r="AJ222" i="15" s="1"/>
  <c r="AG222" i="15"/>
  <c r="AG220" i="15" s="1"/>
  <c r="AS30" i="15" s="1"/>
  <c r="AX30" i="15" s="1"/>
  <c r="AZ30" i="15" s="1"/>
  <c r="AE223" i="16"/>
  <c r="AX25" i="14"/>
  <c r="AZ25" i="14" s="1"/>
  <c r="AJ220" i="15"/>
  <c r="BO13" i="14"/>
  <c r="BO8" i="14" s="1"/>
  <c r="BO7" i="14" s="1"/>
  <c r="BO32" i="14" s="1"/>
  <c r="AE258" i="14"/>
  <c r="AX24" i="14"/>
  <c r="AZ24" i="14" s="1"/>
  <c r="AD12" i="14"/>
  <c r="AJ10" i="14"/>
  <c r="AJ258" i="14" s="1"/>
  <c r="AH12" i="14"/>
  <c r="AH10" i="14" s="1"/>
  <c r="AH258" i="14" s="1"/>
  <c r="AV26" i="14"/>
  <c r="AX26" i="14"/>
  <c r="AZ26" i="14" s="1"/>
  <c r="AD92" i="16"/>
  <c r="AB91" i="16"/>
  <c r="L26" i="16"/>
  <c r="J25" i="16"/>
  <c r="AB85" i="16"/>
  <c r="AI85" i="15"/>
  <c r="AI83" i="15" s="1"/>
  <c r="AD83" i="15"/>
  <c r="AR24" i="15" s="1"/>
  <c r="Y167" i="16"/>
  <c r="BO19" i="15"/>
  <c r="AH167" i="15"/>
  <c r="AH157" i="15" s="1"/>
  <c r="AH155" i="15" s="1"/>
  <c r="AH145" i="15" s="1"/>
  <c r="AA157" i="15"/>
  <c r="AA155" i="15" s="1"/>
  <c r="Y93" i="16"/>
  <c r="AH93" i="15"/>
  <c r="AH91" i="15" s="1"/>
  <c r="AA91" i="15"/>
  <c r="AB44" i="16"/>
  <c r="AD46" i="16"/>
  <c r="Y223" i="16"/>
  <c r="AA222" i="15"/>
  <c r="AA220" i="15" s="1"/>
  <c r="BO30" i="15" s="1"/>
  <c r="BI14" i="15" s="1"/>
  <c r="AH223" i="15"/>
  <c r="AH222" i="15" s="1"/>
  <c r="AH220" i="15" s="1"/>
  <c r="AH188" i="16"/>
  <c r="AH187" i="16" s="1"/>
  <c r="AH185" i="16" s="1"/>
  <c r="AA187" i="16"/>
  <c r="AA185" i="16" s="1"/>
  <c r="AE63" i="15"/>
  <c r="AA110" i="14"/>
  <c r="Y107" i="16"/>
  <c r="AH107" i="15"/>
  <c r="AH105" i="15" s="1"/>
  <c r="AH104" i="15" s="1"/>
  <c r="AA105" i="15"/>
  <c r="AA104" i="15" s="1"/>
  <c r="Y58" i="16"/>
  <c r="Y57" i="16" s="1"/>
  <c r="AA59" i="16"/>
  <c r="M58" i="15"/>
  <c r="M57" i="15" s="1"/>
  <c r="I57" i="15"/>
  <c r="G58" i="16"/>
  <c r="Y90" i="15"/>
  <c r="Y63" i="15" s="1"/>
  <c r="AE145" i="15"/>
  <c r="AE110" i="15" s="1"/>
  <c r="AD43" i="15"/>
  <c r="AD14" i="15" s="1"/>
  <c r="AE14" i="15"/>
  <c r="N71" i="16"/>
  <c r="N69" i="16" s="1"/>
  <c r="L69" i="16"/>
  <c r="J36" i="16"/>
  <c r="N36" i="15"/>
  <c r="N35" i="15" s="1"/>
  <c r="L35" i="15"/>
  <c r="J83" i="16"/>
  <c r="N83" i="15"/>
  <c r="N81" i="15" s="1"/>
  <c r="L81" i="15"/>
  <c r="Y98" i="16"/>
  <c r="AA96" i="15"/>
  <c r="AH98" i="15"/>
  <c r="AH96" i="15" s="1"/>
  <c r="AE150" i="16"/>
  <c r="AJ150" i="15"/>
  <c r="AJ149" i="15" s="1"/>
  <c r="AJ147" i="15" s="1"/>
  <c r="AG149" i="15"/>
  <c r="AG147" i="15" s="1"/>
  <c r="AI43" i="15"/>
  <c r="AI14" i="15" s="1"/>
  <c r="L47" i="16"/>
  <c r="J45" i="16"/>
  <c r="J23" i="16"/>
  <c r="N23" i="15"/>
  <c r="N22" i="15" s="1"/>
  <c r="AX7" i="15"/>
  <c r="AZ7" i="15" s="1"/>
  <c r="L22" i="15"/>
  <c r="AS7" i="15" s="1"/>
  <c r="AV7" i="15" s="1"/>
  <c r="BP25" i="14"/>
  <c r="BJ12" i="14" s="1"/>
  <c r="AD106" i="16"/>
  <c r="AB105" i="16"/>
  <c r="AB104" i="16" s="1"/>
  <c r="BO23" i="15"/>
  <c r="Y177" i="16"/>
  <c r="AH177" i="15"/>
  <c r="AH176" i="15" s="1"/>
  <c r="AA176" i="15"/>
  <c r="I60" i="15"/>
  <c r="G61" i="16"/>
  <c r="M61" i="15"/>
  <c r="M60" i="15" s="1"/>
  <c r="AE159" i="16"/>
  <c r="AJ159" i="15"/>
  <c r="AJ157" i="15" s="1"/>
  <c r="AJ155" i="15" s="1"/>
  <c r="AG157" i="15"/>
  <c r="AG155" i="15" s="1"/>
  <c r="AD51" i="16"/>
  <c r="AB49" i="16"/>
  <c r="Y52" i="16"/>
  <c r="AH52" i="15"/>
  <c r="AH49" i="15" s="1"/>
  <c r="AA49" i="15"/>
  <c r="AA43" i="15" s="1"/>
  <c r="I74" i="16"/>
  <c r="G72" i="16"/>
  <c r="AE38" i="16"/>
  <c r="AJ38" i="15"/>
  <c r="AJ35" i="15" s="1"/>
  <c r="AG35" i="15"/>
  <c r="AB170" i="15"/>
  <c r="Y14" i="15"/>
  <c r="I45" i="15"/>
  <c r="M46" i="15"/>
  <c r="M45" i="15" s="1"/>
  <c r="BD15" i="15"/>
  <c r="G46" i="16"/>
  <c r="I37" i="16"/>
  <c r="G35" i="16"/>
  <c r="AE52" i="16"/>
  <c r="AJ52" i="15"/>
  <c r="AJ49" i="15" s="1"/>
  <c r="AJ43" i="15" s="1"/>
  <c r="AG49" i="15"/>
  <c r="AG43" i="15" s="1"/>
  <c r="Y38" i="16"/>
  <c r="AH38" i="15"/>
  <c r="AH35" i="15" s="1"/>
  <c r="AA35" i="15"/>
  <c r="I70" i="16"/>
  <c r="G69" i="16"/>
  <c r="AJ98" i="15"/>
  <c r="AJ96" i="15" s="1"/>
  <c r="AJ90" i="15" s="1"/>
  <c r="AE98" i="16"/>
  <c r="AG96" i="15"/>
  <c r="AG90" i="15" s="1"/>
  <c r="AD172" i="15"/>
  <c r="AI174" i="15"/>
  <c r="AI172" i="15" s="1"/>
  <c r="AB174" i="16"/>
  <c r="G31" i="16"/>
  <c r="M31" i="15"/>
  <c r="M29" i="15" s="1"/>
  <c r="M28" i="15" s="1"/>
  <c r="I29" i="15"/>
  <c r="I28" i="15" s="1"/>
  <c r="AR9" i="15" s="1"/>
  <c r="AU9" i="15" s="1"/>
  <c r="I56" i="16"/>
  <c r="G54" i="16"/>
  <c r="AB199" i="16"/>
  <c r="AI199" i="15"/>
  <c r="AI195" i="15" s="1"/>
  <c r="AI194" i="15" s="1"/>
  <c r="AI193" i="15" s="1"/>
  <c r="AD195" i="15"/>
  <c r="AD194" i="15" s="1"/>
  <c r="BP28" i="15" s="1"/>
  <c r="AG117" i="16"/>
  <c r="AE114" i="16"/>
  <c r="AD37" i="16"/>
  <c r="AB35" i="16"/>
  <c r="AH228" i="16"/>
  <c r="AH227" i="16" s="1"/>
  <c r="AA227" i="16"/>
  <c r="AW14" i="15"/>
  <c r="AY14" i="15" s="1"/>
  <c r="L56" i="16"/>
  <c r="J54" i="16"/>
  <c r="AI10" i="14"/>
  <c r="AI258" i="14" s="1"/>
  <c r="AW15" i="16"/>
  <c r="AY15" i="16" s="1"/>
  <c r="AU15" i="16"/>
  <c r="AX15" i="15"/>
  <c r="AZ15" i="15" s="1"/>
  <c r="AV15" i="15"/>
  <c r="L119" i="16"/>
  <c r="J113" i="16"/>
  <c r="AS14" i="14"/>
  <c r="AU30" i="14"/>
  <c r="AB258" i="14"/>
  <c r="AY35" i="13"/>
  <c r="AW32" i="13"/>
  <c r="J21" i="15"/>
  <c r="J19" i="15" s="1"/>
  <c r="J17" i="15" s="1"/>
  <c r="J8" i="15" s="1"/>
  <c r="J126" i="15" s="1"/>
  <c r="J130" i="15" s="1"/>
  <c r="AR14" i="14"/>
  <c r="AR17" i="14" s="1"/>
  <c r="AD8" i="13"/>
  <c r="AJ259" i="15"/>
  <c r="BJ8" i="14"/>
  <c r="BP8" i="14"/>
  <c r="I76" i="16"/>
  <c r="G75" i="16"/>
  <c r="AI152" i="15"/>
  <c r="AI149" i="15" s="1"/>
  <c r="AI147" i="15" s="1"/>
  <c r="AB152" i="16"/>
  <c r="AD149" i="15"/>
  <c r="AD147" i="15" s="1"/>
  <c r="AW23" i="14"/>
  <c r="AU23" i="14"/>
  <c r="AI228" i="16"/>
  <c r="AI227" i="16" s="1"/>
  <c r="AD227" i="16"/>
  <c r="J76" i="16"/>
  <c r="N76" i="15"/>
  <c r="N75" i="15" s="1"/>
  <c r="L75" i="15"/>
  <c r="Y197" i="16"/>
  <c r="AH197" i="15"/>
  <c r="AH195" i="15" s="1"/>
  <c r="AH194" i="15" s="1"/>
  <c r="AH193" i="15" s="1"/>
  <c r="AA195" i="15"/>
  <c r="AA194" i="15" s="1"/>
  <c r="L58" i="16"/>
  <c r="J57" i="16"/>
  <c r="L67" i="16"/>
  <c r="J66" i="16"/>
  <c r="AA243" i="15"/>
  <c r="AH244" i="15"/>
  <c r="AH243" i="15" s="1"/>
  <c r="Y244" i="16"/>
  <c r="AB125" i="16"/>
  <c r="AI125" i="15"/>
  <c r="AI123" i="15" s="1"/>
  <c r="AI112" i="15" s="1"/>
  <c r="AD123" i="15"/>
  <c r="I126" i="13"/>
  <c r="I130" i="13" s="1"/>
  <c r="J5" i="13"/>
  <c r="K1" i="13"/>
  <c r="Y26" i="16"/>
  <c r="AH26" i="15"/>
  <c r="AH20" i="15" s="1"/>
  <c r="AH16" i="15" s="1"/>
  <c r="AA20" i="15"/>
  <c r="AA16" i="15" s="1"/>
  <c r="AD59" i="16"/>
  <c r="AB58" i="16"/>
  <c r="AB57" i="16" s="1"/>
  <c r="L94" i="15"/>
  <c r="N95" i="15"/>
  <c r="N94" i="15" s="1"/>
  <c r="J95" i="16"/>
  <c r="AD75" i="16"/>
  <c r="AB69" i="16"/>
  <c r="N62" i="16"/>
  <c r="N60" i="16" s="1"/>
  <c r="L60" i="16"/>
  <c r="AB190" i="16"/>
  <c r="AI190" i="15"/>
  <c r="AI187" i="15" s="1"/>
  <c r="AI185" i="15" s="1"/>
  <c r="AD187" i="15"/>
  <c r="AD185" i="15" s="1"/>
  <c r="AD204" i="16"/>
  <c r="AB203" i="16"/>
  <c r="J49" i="16"/>
  <c r="L48" i="15"/>
  <c r="N49" i="15"/>
  <c r="N48" i="15" s="1"/>
  <c r="AH84" i="16"/>
  <c r="Y236" i="16"/>
  <c r="AH236" i="15"/>
  <c r="AH235" i="15" s="1"/>
  <c r="AA235" i="15"/>
  <c r="I51" i="15"/>
  <c r="G52" i="16"/>
  <c r="M52" i="15"/>
  <c r="M51" i="15" s="1"/>
  <c r="L30" i="16"/>
  <c r="J29" i="16"/>
  <c r="AJ197" i="15"/>
  <c r="AJ195" i="15" s="1"/>
  <c r="AJ194" i="15" s="1"/>
  <c r="AJ193" i="15" s="1"/>
  <c r="AG195" i="15"/>
  <c r="AG194" i="15" s="1"/>
  <c r="AG193" i="15" s="1"/>
  <c r="AS28" i="15" s="1"/>
  <c r="AE197" i="16"/>
  <c r="AD142" i="16"/>
  <c r="AB141" i="16"/>
  <c r="AE86" i="16"/>
  <c r="AJ86" i="15"/>
  <c r="AJ83" i="15" s="1"/>
  <c r="AG83" i="15"/>
  <c r="AJ136" i="15"/>
  <c r="AJ123" i="15" s="1"/>
  <c r="AJ112" i="15" s="1"/>
  <c r="AE136" i="16"/>
  <c r="AG123" i="15"/>
  <c r="AG112" i="15" s="1"/>
  <c r="AA12" i="14"/>
  <c r="AD110" i="14"/>
  <c r="AR26" i="14" s="1"/>
  <c r="AD99" i="16"/>
  <c r="AB96" i="16"/>
  <c r="I33" i="16"/>
  <c r="G32" i="16"/>
  <c r="L44" i="16"/>
  <c r="J42" i="16"/>
  <c r="Y173" i="16"/>
  <c r="AA172" i="15"/>
  <c r="AH173" i="15"/>
  <c r="AH172" i="15" s="1"/>
  <c r="AB225" i="16"/>
  <c r="AI225" i="15"/>
  <c r="AD222" i="15"/>
  <c r="AD220" i="15" s="1"/>
  <c r="BP30" i="15" s="1"/>
  <c r="BJ14" i="15" s="1"/>
  <c r="BP31" i="15"/>
  <c r="BJ15" i="15" s="1"/>
  <c r="AD259" i="15"/>
  <c r="I22" i="15"/>
  <c r="G23" i="16"/>
  <c r="M23" i="15"/>
  <c r="M22" i="15" s="1"/>
  <c r="BD12" i="15"/>
  <c r="BD10" i="15" s="1"/>
  <c r="BD9" i="15" s="1"/>
  <c r="BD8" i="15" s="1"/>
  <c r="AW7" i="15"/>
  <c r="AY7" i="15" s="1"/>
  <c r="AJ153" i="16"/>
  <c r="J53" i="16"/>
  <c r="J128" i="16" s="1"/>
  <c r="N53" i="15"/>
  <c r="N51" i="15" s="1"/>
  <c r="L51" i="15"/>
  <c r="J78" i="16"/>
  <c r="L78" i="16" s="1"/>
  <c r="N78" i="16" s="1"/>
  <c r="L80" i="16"/>
  <c r="N80" i="16" s="1"/>
  <c r="AA204" i="16"/>
  <c r="Y203" i="16"/>
  <c r="AB215" i="16"/>
  <c r="AI215" i="15"/>
  <c r="AI211" i="15" s="1"/>
  <c r="AI210" i="15" s="1"/>
  <c r="AI209" i="15" s="1"/>
  <c r="AI207" i="15" s="1"/>
  <c r="AD211" i="15"/>
  <c r="AD210" i="15" s="1"/>
  <c r="AD209" i="15" s="1"/>
  <c r="AG46" i="16"/>
  <c r="AE44" i="16"/>
  <c r="G66" i="16"/>
  <c r="I68" i="16"/>
  <c r="AD21" i="16"/>
  <c r="AB20" i="16"/>
  <c r="AB16" i="16" s="1"/>
  <c r="AA115" i="16"/>
  <c r="Y114" i="16"/>
  <c r="D8" i="20"/>
  <c r="AR16" i="16"/>
  <c r="BD7" i="16"/>
  <c r="L32" i="15"/>
  <c r="N33" i="15"/>
  <c r="N32" i="15" s="1"/>
  <c r="N28" i="15" s="1"/>
  <c r="J33" i="16"/>
  <c r="AX9" i="15"/>
  <c r="AZ9" i="15" s="1"/>
  <c r="Y142" i="16"/>
  <c r="AH142" i="15"/>
  <c r="AH141" i="15" s="1"/>
  <c r="AH112" i="15" s="1"/>
  <c r="AA141" i="15"/>
  <c r="BO20" i="15" s="1"/>
  <c r="G65" i="16"/>
  <c r="G63" i="16" s="1"/>
  <c r="M65" i="15"/>
  <c r="I128" i="15"/>
  <c r="BD21" i="15"/>
  <c r="AJ178" i="15"/>
  <c r="AJ176" i="15" s="1"/>
  <c r="AJ170" i="15" s="1"/>
  <c r="AE178" i="16"/>
  <c r="AG176" i="15"/>
  <c r="AG170" i="15" s="1"/>
  <c r="AS27" i="15" s="1"/>
  <c r="AV27" i="15" s="1"/>
  <c r="AB66" i="16"/>
  <c r="BP10" i="15"/>
  <c r="AR22" i="15"/>
  <c r="AI66" i="15"/>
  <c r="AI65" i="15" s="1"/>
  <c r="AD65" i="15"/>
  <c r="AI236" i="15"/>
  <c r="AI235" i="15" s="1"/>
  <c r="AI234" i="15" s="1"/>
  <c r="AI232" i="15" s="1"/>
  <c r="AB236" i="16"/>
  <c r="AD235" i="15"/>
  <c r="AD234" i="15" s="1"/>
  <c r="AD232" i="15" s="1"/>
  <c r="Y86" i="16"/>
  <c r="AH86" i="15"/>
  <c r="AH83" i="15" s="1"/>
  <c r="AA83" i="15"/>
  <c r="AW27" i="14"/>
  <c r="AY27" i="14" s="1"/>
  <c r="AI189" i="16"/>
  <c r="N73" i="15"/>
  <c r="N72" i="15" s="1"/>
  <c r="J73" i="16"/>
  <c r="L72" i="15"/>
  <c r="Y80" i="16"/>
  <c r="AH80" i="15"/>
  <c r="AH69" i="15" s="1"/>
  <c r="AH65" i="15" s="1"/>
  <c r="AA69" i="15"/>
  <c r="AA65" i="15" s="1"/>
  <c r="AR32" i="12"/>
  <c r="AU31" i="12"/>
  <c r="BP15" i="14"/>
  <c r="BJ10" i="14" s="1"/>
  <c r="BO16" i="15"/>
  <c r="G21" i="15"/>
  <c r="G19" i="15" s="1"/>
  <c r="G17" i="15" s="1"/>
  <c r="AG241" i="16"/>
  <c r="AE235" i="16"/>
  <c r="AE234" i="16" s="1"/>
  <c r="AE232" i="16" s="1"/>
  <c r="AE259" i="16"/>
  <c r="I25" i="16"/>
  <c r="AW8" i="16"/>
  <c r="AY8" i="16" s="1"/>
  <c r="M27" i="16"/>
  <c r="AG60" i="16"/>
  <c r="AE58" i="16"/>
  <c r="AE57" i="16" s="1"/>
  <c r="AH70" i="16"/>
  <c r="AS23" i="15"/>
  <c r="R8" i="20"/>
  <c r="R26" i="20" s="1"/>
  <c r="R57" i="20" s="1"/>
  <c r="F26" i="20"/>
  <c r="F57" i="20" s="1"/>
  <c r="G8" i="20" s="1"/>
  <c r="G26" i="20" s="1"/>
  <c r="G57" i="20" s="1"/>
  <c r="H8" i="20" s="1"/>
  <c r="H26" i="20" s="1"/>
  <c r="H57" i="20" s="1"/>
  <c r="I8" i="20" s="1"/>
  <c r="I26" i="20" s="1"/>
  <c r="I57" i="20" s="1"/>
  <c r="J8" i="20" s="1"/>
  <c r="J26" i="20" s="1"/>
  <c r="J57" i="20" s="1"/>
  <c r="K8" i="20" s="1"/>
  <c r="K26" i="20" s="1"/>
  <c r="K57" i="20" s="1"/>
  <c r="L8" i="20" s="1"/>
  <c r="L26" i="20" s="1"/>
  <c r="L57" i="20" s="1"/>
  <c r="M8" i="20" s="1"/>
  <c r="M26" i="20" s="1"/>
  <c r="M57" i="20" s="1"/>
  <c r="N8" i="20" s="1"/>
  <c r="N26" i="20" s="1"/>
  <c r="N57" i="20" s="1"/>
  <c r="O8" i="20" s="1"/>
  <c r="O26" i="20" s="1"/>
  <c r="O57" i="20" s="1"/>
  <c r="P8" i="20" s="1"/>
  <c r="P26" i="20" s="1"/>
  <c r="P57" i="20" s="1"/>
  <c r="Q8" i="20" s="1"/>
  <c r="Q26" i="20" s="1"/>
  <c r="Q57" i="20" s="1"/>
  <c r="L104" i="16"/>
  <c r="N105" i="16"/>
  <c r="N104" i="16" s="1"/>
  <c r="AG141" i="16"/>
  <c r="AJ142" i="16"/>
  <c r="AJ141" i="16" s="1"/>
  <c r="AI224" i="16"/>
  <c r="AJ177" i="16"/>
  <c r="AJ54" i="16"/>
  <c r="J63" i="16"/>
  <c r="L65" i="16"/>
  <c r="I104" i="16"/>
  <c r="BD19" i="16"/>
  <c r="D23" i="20" s="1"/>
  <c r="M106" i="16"/>
  <c r="M104" i="16" s="1"/>
  <c r="AA149" i="16"/>
  <c r="AA147" i="16" s="1"/>
  <c r="AH152" i="16"/>
  <c r="AH149" i="16" s="1"/>
  <c r="AH147" i="16" s="1"/>
  <c r="I86" i="16"/>
  <c r="G85" i="16"/>
  <c r="AE187" i="16"/>
  <c r="AE185" i="16" s="1"/>
  <c r="AG188" i="16"/>
  <c r="AU8" i="15"/>
  <c r="I48" i="16"/>
  <c r="M50" i="16"/>
  <c r="M48" i="16" s="1"/>
  <c r="AH238" i="16"/>
  <c r="I64" i="16"/>
  <c r="AG215" i="16"/>
  <c r="AE211" i="16"/>
  <c r="AE210" i="16" s="1"/>
  <c r="AE209" i="16" s="1"/>
  <c r="AE207" i="16" s="1"/>
  <c r="AG73" i="16"/>
  <c r="AE69" i="16"/>
  <c r="AE65" i="16" s="1"/>
  <c r="AJ246" i="16"/>
  <c r="AJ243" i="16" s="1"/>
  <c r="AG243" i="16"/>
  <c r="AI67" i="16"/>
  <c r="BP11" i="16"/>
  <c r="AH215" i="16"/>
  <c r="AH211" i="16" s="1"/>
  <c r="AH210" i="16" s="1"/>
  <c r="AH209" i="16" s="1"/>
  <c r="AH207" i="16" s="1"/>
  <c r="AA211" i="16"/>
  <c r="AA210" i="16" s="1"/>
  <c r="AA209" i="16" s="1"/>
  <c r="AX16" i="16"/>
  <c r="AZ16" i="16" s="1"/>
  <c r="AV16" i="16"/>
  <c r="AD248" i="16"/>
  <c r="AB243" i="16"/>
  <c r="AG228" i="16"/>
  <c r="AE227" i="16"/>
  <c r="L85" i="16"/>
  <c r="N86" i="16"/>
  <c r="N85" i="16" s="1"/>
  <c r="N63" i="15"/>
  <c r="AJ158" i="16"/>
  <c r="AJ174" i="16"/>
  <c r="AJ172" i="16" s="1"/>
  <c r="AG172" i="16"/>
  <c r="AG105" i="16"/>
  <c r="AG104" i="16" s="1"/>
  <c r="AJ106" i="16"/>
  <c r="AJ105" i="16" s="1"/>
  <c r="AJ104" i="16" s="1"/>
  <c r="AJ186" i="16"/>
  <c r="AZ23" i="14"/>
  <c r="L126" i="14"/>
  <c r="L130" i="14" s="1"/>
  <c r="I8" i="14"/>
  <c r="I126" i="14" s="1"/>
  <c r="I130" i="14" s="1"/>
  <c r="AE20" i="16"/>
  <c r="AE16" i="16" s="1"/>
  <c r="AG22" i="16"/>
  <c r="AI145" i="15" l="1"/>
  <c r="AI110" i="15" s="1"/>
  <c r="BI8" i="14"/>
  <c r="BI7" i="14" s="1"/>
  <c r="BI16" i="14" s="1"/>
  <c r="AS25" i="15"/>
  <c r="AV25" i="15" s="1"/>
  <c r="AI63" i="15"/>
  <c r="AI12" i="15" s="1"/>
  <c r="AA46" i="16"/>
  <c r="Y44" i="16"/>
  <c r="AD161" i="16"/>
  <c r="AB157" i="16"/>
  <c r="AB155" i="16" s="1"/>
  <c r="AD170" i="15"/>
  <c r="BP24" i="15" s="1"/>
  <c r="BP22" i="15" s="1"/>
  <c r="BJ11" i="15" s="1"/>
  <c r="AH43" i="15"/>
  <c r="AI117" i="16"/>
  <c r="AI114" i="16" s="1"/>
  <c r="AD114" i="16"/>
  <c r="AJ94" i="16"/>
  <c r="AJ91" i="16" s="1"/>
  <c r="AG91" i="16"/>
  <c r="AE222" i="16"/>
  <c r="AE220" i="16" s="1"/>
  <c r="AG223" i="16"/>
  <c r="AB90" i="16"/>
  <c r="AY17" i="15"/>
  <c r="AR25" i="15"/>
  <c r="AW25" i="15" s="1"/>
  <c r="AY25" i="15" s="1"/>
  <c r="AA10" i="14"/>
  <c r="AA8" i="14" s="1"/>
  <c r="U1" i="14" s="1"/>
  <c r="BP14" i="15"/>
  <c r="BJ9" i="15" s="1"/>
  <c r="AA170" i="15"/>
  <c r="BO24" i="15" s="1"/>
  <c r="BO22" i="15" s="1"/>
  <c r="BI11" i="15" s="1"/>
  <c r="AJ63" i="15"/>
  <c r="AH110" i="15"/>
  <c r="AX14" i="15"/>
  <c r="AZ14" i="15" s="1"/>
  <c r="AZ17" i="15" s="1"/>
  <c r="N128" i="15"/>
  <c r="AU14" i="14"/>
  <c r="M128" i="15"/>
  <c r="BP13" i="15"/>
  <c r="AH14" i="15"/>
  <c r="AG8" i="14"/>
  <c r="AG14" i="15"/>
  <c r="AJ14" i="15"/>
  <c r="AS24" i="15"/>
  <c r="AV24" i="15" s="1"/>
  <c r="AJ8" i="14"/>
  <c r="AE12" i="15"/>
  <c r="AE10" i="15" s="1"/>
  <c r="AE8" i="15" s="1"/>
  <c r="AH8" i="14"/>
  <c r="AX32" i="14"/>
  <c r="AZ32" i="14"/>
  <c r="AJ145" i="15"/>
  <c r="AJ110" i="15" s="1"/>
  <c r="AI51" i="16"/>
  <c r="AI49" i="16" s="1"/>
  <c r="AD49" i="16"/>
  <c r="AI106" i="16"/>
  <c r="AI105" i="16" s="1"/>
  <c r="AI104" i="16" s="1"/>
  <c r="AD105" i="16"/>
  <c r="AD104" i="16" s="1"/>
  <c r="AA98" i="16"/>
  <c r="Y96" i="16"/>
  <c r="BO17" i="15"/>
  <c r="BO15" i="15" s="1"/>
  <c r="BI10" i="15" s="1"/>
  <c r="AA145" i="15"/>
  <c r="N26" i="16"/>
  <c r="N25" i="16" s="1"/>
  <c r="AX8" i="16"/>
  <c r="AZ8" i="16" s="1"/>
  <c r="L25" i="16"/>
  <c r="AS8" i="16" s="1"/>
  <c r="AV8" i="16" s="1"/>
  <c r="I61" i="16"/>
  <c r="G60" i="16"/>
  <c r="AA177" i="16"/>
  <c r="Y176" i="16"/>
  <c r="N47" i="16"/>
  <c r="N45" i="16" s="1"/>
  <c r="L45" i="16"/>
  <c r="AG150" i="16"/>
  <c r="AE149" i="16"/>
  <c r="AE147" i="16" s="1"/>
  <c r="AA58" i="16"/>
  <c r="AA57" i="16" s="1"/>
  <c r="AH59" i="16"/>
  <c r="AH58" i="16" s="1"/>
  <c r="AH57" i="16" s="1"/>
  <c r="AA107" i="16"/>
  <c r="Y105" i="16"/>
  <c r="Y104" i="16" s="1"/>
  <c r="AA90" i="15"/>
  <c r="BO13" i="15" s="1"/>
  <c r="AA52" i="16"/>
  <c r="Y49" i="16"/>
  <c r="Y43" i="16" s="1"/>
  <c r="L36" i="16"/>
  <c r="J35" i="16"/>
  <c r="I58" i="16"/>
  <c r="G57" i="16"/>
  <c r="AA223" i="16"/>
  <c r="Y222" i="16"/>
  <c r="Y220" i="16" s="1"/>
  <c r="AH90" i="15"/>
  <c r="AH63" i="15" s="1"/>
  <c r="AD85" i="16"/>
  <c r="AB83" i="16"/>
  <c r="AD91" i="16"/>
  <c r="AI92" i="16"/>
  <c r="AI91" i="16" s="1"/>
  <c r="BO14" i="15"/>
  <c r="BI9" i="15" s="1"/>
  <c r="L28" i="15"/>
  <c r="AS9" i="15" s="1"/>
  <c r="AV9" i="15" s="1"/>
  <c r="AH170" i="15"/>
  <c r="AB43" i="16"/>
  <c r="AB14" i="16" s="1"/>
  <c r="AG159" i="16"/>
  <c r="AE157" i="16"/>
  <c r="AE155" i="16" s="1"/>
  <c r="L23" i="16"/>
  <c r="J22" i="16"/>
  <c r="AG145" i="15"/>
  <c r="AG110" i="15" s="1"/>
  <c r="AS26" i="15" s="1"/>
  <c r="L83" i="16"/>
  <c r="J81" i="16"/>
  <c r="AI46" i="16"/>
  <c r="AI44" i="16" s="1"/>
  <c r="AD44" i="16"/>
  <c r="AA93" i="16"/>
  <c r="Y91" i="16"/>
  <c r="AA167" i="16"/>
  <c r="Y157" i="16"/>
  <c r="Y155" i="16" s="1"/>
  <c r="Y145" i="16" s="1"/>
  <c r="AA38" i="16"/>
  <c r="Y35" i="16"/>
  <c r="Y12" i="15"/>
  <c r="Y10" i="15" s="1"/>
  <c r="Y258" i="15" s="1"/>
  <c r="AD193" i="15"/>
  <c r="AR28" i="15" s="1"/>
  <c r="AW28" i="15" s="1"/>
  <c r="AY28" i="15" s="1"/>
  <c r="AD199" i="16"/>
  <c r="AB195" i="16"/>
  <c r="AB194" i="16" s="1"/>
  <c r="AB193" i="16" s="1"/>
  <c r="M70" i="16"/>
  <c r="M69" i="16" s="1"/>
  <c r="I69" i="16"/>
  <c r="M37" i="16"/>
  <c r="M35" i="16" s="1"/>
  <c r="I35" i="16"/>
  <c r="AG38" i="16"/>
  <c r="AE35" i="16"/>
  <c r="AI170" i="15"/>
  <c r="I31" i="16"/>
  <c r="AW9" i="16" s="1"/>
  <c r="AY9" i="16" s="1"/>
  <c r="G29" i="16"/>
  <c r="G28" i="16" s="1"/>
  <c r="AG98" i="16"/>
  <c r="AE96" i="16"/>
  <c r="AE90" i="16" s="1"/>
  <c r="I46" i="16"/>
  <c r="G45" i="16"/>
  <c r="M56" i="16"/>
  <c r="M54" i="16" s="1"/>
  <c r="I54" i="16"/>
  <c r="AB172" i="16"/>
  <c r="AD174" i="16"/>
  <c r="AG52" i="16"/>
  <c r="AE49" i="16"/>
  <c r="AE43" i="16" s="1"/>
  <c r="M74" i="16"/>
  <c r="M72" i="16" s="1"/>
  <c r="I72" i="16"/>
  <c r="AI37" i="16"/>
  <c r="AI35" i="16" s="1"/>
  <c r="AD35" i="16"/>
  <c r="AU24" i="15"/>
  <c r="AW24" i="15"/>
  <c r="AY24" i="15" s="1"/>
  <c r="AJ117" i="16"/>
  <c r="AJ114" i="16" s="1"/>
  <c r="AG114" i="16"/>
  <c r="N56" i="16"/>
  <c r="N54" i="16" s="1"/>
  <c r="L54" i="16"/>
  <c r="AB10" i="15"/>
  <c r="AB258" i="15" s="1"/>
  <c r="AI8" i="14"/>
  <c r="N119" i="16"/>
  <c r="N113" i="16" s="1"/>
  <c r="L113" i="16"/>
  <c r="AS15" i="16" s="1"/>
  <c r="AV14" i="14"/>
  <c r="AS17" i="14"/>
  <c r="AV17" i="14" s="1"/>
  <c r="AV30" i="15"/>
  <c r="AX27" i="15"/>
  <c r="AZ27" i="15" s="1"/>
  <c r="AD10" i="14"/>
  <c r="AD258" i="14" s="1"/>
  <c r="AR23" i="15"/>
  <c r="AU23" i="15" s="1"/>
  <c r="AA234" i="15"/>
  <c r="AA232" i="15" s="1"/>
  <c r="BO29" i="15" s="1"/>
  <c r="BI13" i="15" s="1"/>
  <c r="AA112" i="15"/>
  <c r="AR31" i="13"/>
  <c r="BP33" i="13"/>
  <c r="AG63" i="15"/>
  <c r="AC1" i="13"/>
  <c r="Y1" i="13"/>
  <c r="BD22" i="15"/>
  <c r="K1" i="14"/>
  <c r="J5" i="14"/>
  <c r="BP29" i="15"/>
  <c r="BJ13" i="15" s="1"/>
  <c r="AR30" i="15"/>
  <c r="AW30" i="15" s="1"/>
  <c r="AY30" i="15" s="1"/>
  <c r="AA80" i="16"/>
  <c r="Y69" i="16"/>
  <c r="Y65" i="16" s="1"/>
  <c r="AD236" i="16"/>
  <c r="AB235" i="16"/>
  <c r="AB234" i="16" s="1"/>
  <c r="AB232" i="16" s="1"/>
  <c r="AW22" i="15"/>
  <c r="AY22" i="15" s="1"/>
  <c r="AU22" i="15"/>
  <c r="AG178" i="16"/>
  <c r="AE176" i="16"/>
  <c r="AE170" i="16" s="1"/>
  <c r="AA142" i="16"/>
  <c r="Y141" i="16"/>
  <c r="Y112" i="16" s="1"/>
  <c r="M68" i="16"/>
  <c r="M66" i="16" s="1"/>
  <c r="I66" i="16"/>
  <c r="BP27" i="15"/>
  <c r="BP25" i="15" s="1"/>
  <c r="BJ12" i="15" s="1"/>
  <c r="AD207" i="15"/>
  <c r="AR29" i="15" s="1"/>
  <c r="AW29" i="15" s="1"/>
  <c r="AY29" i="15" s="1"/>
  <c r="AH204" i="16"/>
  <c r="AH203" i="16" s="1"/>
  <c r="AA203" i="16"/>
  <c r="AR7" i="15"/>
  <c r="AU7" i="15" s="1"/>
  <c r="I21" i="15"/>
  <c r="I19" i="15" s="1"/>
  <c r="AI259" i="15"/>
  <c r="AI222" i="15"/>
  <c r="AI220" i="15" s="1"/>
  <c r="AA173" i="16"/>
  <c r="Y172" i="16"/>
  <c r="I32" i="16"/>
  <c r="M33" i="16"/>
  <c r="M32" i="16" s="1"/>
  <c r="BD13" i="16"/>
  <c r="D13" i="20" s="1"/>
  <c r="AW26" i="14"/>
  <c r="AY26" i="14" s="1"/>
  <c r="AU26" i="14"/>
  <c r="AI142" i="16"/>
  <c r="AI141" i="16" s="1"/>
  <c r="AD141" i="16"/>
  <c r="BP20" i="16" s="1"/>
  <c r="E44" i="20" s="1"/>
  <c r="AV28" i="15"/>
  <c r="AX28" i="15"/>
  <c r="AZ28" i="15" s="1"/>
  <c r="AD203" i="16"/>
  <c r="AI204" i="16"/>
  <c r="AI203" i="16" s="1"/>
  <c r="J94" i="16"/>
  <c r="L95" i="16"/>
  <c r="L57" i="16"/>
  <c r="N58" i="16"/>
  <c r="N57" i="16" s="1"/>
  <c r="M76" i="16"/>
  <c r="M75" i="16" s="1"/>
  <c r="I75" i="16"/>
  <c r="AV31" i="14"/>
  <c r="AS32" i="14"/>
  <c r="AV32" i="14" s="1"/>
  <c r="N21" i="15"/>
  <c r="N19" i="15" s="1"/>
  <c r="N17" i="15" s="1"/>
  <c r="AH234" i="15"/>
  <c r="AH232" i="15" s="1"/>
  <c r="G8" i="15"/>
  <c r="G126" i="15" s="1"/>
  <c r="G130" i="15" s="1"/>
  <c r="L73" i="16"/>
  <c r="J72" i="16"/>
  <c r="AA86" i="16"/>
  <c r="Y83" i="16"/>
  <c r="AD63" i="15"/>
  <c r="AD12" i="15" s="1"/>
  <c r="BP12" i="15"/>
  <c r="BP9" i="15" s="1"/>
  <c r="AD66" i="16"/>
  <c r="AB65" i="16"/>
  <c r="J32" i="16"/>
  <c r="L33" i="16"/>
  <c r="AU16" i="16"/>
  <c r="AW16" i="16"/>
  <c r="AY16" i="16" s="1"/>
  <c r="AD215" i="16"/>
  <c r="AB211" i="16"/>
  <c r="AB210" i="16" s="1"/>
  <c r="AB209" i="16" s="1"/>
  <c r="AB207" i="16" s="1"/>
  <c r="N44" i="16"/>
  <c r="N42" i="16" s="1"/>
  <c r="AX10" i="16"/>
  <c r="AZ10" i="16" s="1"/>
  <c r="L42" i="16"/>
  <c r="AS10" i="16" s="1"/>
  <c r="AV10" i="16" s="1"/>
  <c r="AI99" i="16"/>
  <c r="AI96" i="16" s="1"/>
  <c r="AD96" i="16"/>
  <c r="AG136" i="16"/>
  <c r="AE123" i="16"/>
  <c r="AE112" i="16" s="1"/>
  <c r="AG86" i="16"/>
  <c r="AE83" i="16"/>
  <c r="L49" i="16"/>
  <c r="J48" i="16"/>
  <c r="AD58" i="16"/>
  <c r="AD57" i="16" s="1"/>
  <c r="AI59" i="16"/>
  <c r="AI58" i="16" s="1"/>
  <c r="AI57" i="16" s="1"/>
  <c r="Y243" i="16"/>
  <c r="AA244" i="16"/>
  <c r="N67" i="16"/>
  <c r="N66" i="16" s="1"/>
  <c r="L66" i="16"/>
  <c r="J75" i="16"/>
  <c r="L76" i="16"/>
  <c r="AY23" i="14"/>
  <c r="AD152" i="16"/>
  <c r="AB149" i="16"/>
  <c r="AB147" i="16" s="1"/>
  <c r="BJ7" i="14"/>
  <c r="BJ16" i="14" s="1"/>
  <c r="AI21" i="16"/>
  <c r="AI20" i="16" s="1"/>
  <c r="AI16" i="16" s="1"/>
  <c r="AD20" i="16"/>
  <c r="AD16" i="16" s="1"/>
  <c r="AJ46" i="16"/>
  <c r="AJ44" i="16" s="1"/>
  <c r="AG44" i="16"/>
  <c r="G22" i="16"/>
  <c r="I23" i="16"/>
  <c r="AG197" i="16"/>
  <c r="AE195" i="16"/>
  <c r="AE194" i="16" s="1"/>
  <c r="AE193" i="16" s="1"/>
  <c r="N30" i="16"/>
  <c r="N29" i="16" s="1"/>
  <c r="L29" i="16"/>
  <c r="AD190" i="16"/>
  <c r="AB187" i="16"/>
  <c r="AB185" i="16" s="1"/>
  <c r="AI75" i="16"/>
  <c r="AI69" i="16" s="1"/>
  <c r="AD69" i="16"/>
  <c r="AA14" i="15"/>
  <c r="BO12" i="15"/>
  <c r="BO9" i="15" s="1"/>
  <c r="BP17" i="15"/>
  <c r="AD112" i="15"/>
  <c r="AA197" i="16"/>
  <c r="Y195" i="16"/>
  <c r="Y194" i="16" s="1"/>
  <c r="Y193" i="16" s="1"/>
  <c r="AU35" i="12"/>
  <c r="AU32" i="12"/>
  <c r="AV35" i="12"/>
  <c r="I65" i="16"/>
  <c r="G128" i="16"/>
  <c r="AH115" i="16"/>
  <c r="AH114" i="16" s="1"/>
  <c r="AA114" i="16"/>
  <c r="BO16" i="16" s="1"/>
  <c r="L53" i="16"/>
  <c r="J51" i="16"/>
  <c r="AD225" i="16"/>
  <c r="AB222" i="16"/>
  <c r="AB220" i="16" s="1"/>
  <c r="AB259" i="16"/>
  <c r="G51" i="16"/>
  <c r="I52" i="16"/>
  <c r="AA236" i="16"/>
  <c r="Y235" i="16"/>
  <c r="AA26" i="16"/>
  <c r="Y20" i="16"/>
  <c r="Y16" i="16" s="1"/>
  <c r="AD125" i="16"/>
  <c r="AB123" i="16"/>
  <c r="AB112" i="16" s="1"/>
  <c r="BO28" i="15"/>
  <c r="BO25" i="15" s="1"/>
  <c r="BI12" i="15" s="1"/>
  <c r="AA193" i="15"/>
  <c r="BP16" i="15"/>
  <c r="AD145" i="15"/>
  <c r="M63" i="15"/>
  <c r="M21" i="15" s="1"/>
  <c r="M19" i="15" s="1"/>
  <c r="M17" i="15" s="1"/>
  <c r="BP7" i="14"/>
  <c r="BP32" i="14" s="1"/>
  <c r="AG227" i="16"/>
  <c r="AJ228" i="16"/>
  <c r="AJ227" i="16" s="1"/>
  <c r="I85" i="16"/>
  <c r="M86" i="16"/>
  <c r="M85" i="16" s="1"/>
  <c r="M25" i="16"/>
  <c r="AR8" i="16"/>
  <c r="AI248" i="16"/>
  <c r="AI243" i="16" s="1"/>
  <c r="AD243" i="16"/>
  <c r="AJ22" i="16"/>
  <c r="AJ20" i="16" s="1"/>
  <c r="AJ16" i="16" s="1"/>
  <c r="AG20" i="16"/>
  <c r="AG16" i="16" s="1"/>
  <c r="AX23" i="15"/>
  <c r="AV23" i="15"/>
  <c r="E35" i="20"/>
  <c r="AJ215" i="16"/>
  <c r="AJ211" i="16" s="1"/>
  <c r="AJ210" i="16" s="1"/>
  <c r="AJ209" i="16" s="1"/>
  <c r="AJ207" i="16" s="1"/>
  <c r="AG211" i="16"/>
  <c r="AG210" i="16" s="1"/>
  <c r="AG209" i="16" s="1"/>
  <c r="AG207" i="16" s="1"/>
  <c r="AS29" i="16" s="1"/>
  <c r="AX29" i="16" s="1"/>
  <c r="AZ29" i="16" s="1"/>
  <c r="BD14" i="16"/>
  <c r="M64" i="16"/>
  <c r="AJ60" i="16"/>
  <c r="AJ58" i="16" s="1"/>
  <c r="AJ57" i="16" s="1"/>
  <c r="AG58" i="16"/>
  <c r="AG57" i="16" s="1"/>
  <c r="AJ241" i="16"/>
  <c r="AG235" i="16"/>
  <c r="AG234" i="16" s="1"/>
  <c r="AG232" i="16" s="1"/>
  <c r="AG259" i="16"/>
  <c r="AU17" i="14"/>
  <c r="AA207" i="16"/>
  <c r="BO27" i="16"/>
  <c r="AJ73" i="16"/>
  <c r="AJ69" i="16" s="1"/>
  <c r="AJ65" i="16" s="1"/>
  <c r="AG69" i="16"/>
  <c r="AG65" i="16" s="1"/>
  <c r="AG187" i="16"/>
  <c r="AG185" i="16" s="1"/>
  <c r="AJ188" i="16"/>
  <c r="AJ187" i="16" s="1"/>
  <c r="AJ185" i="16" s="1"/>
  <c r="L63" i="16"/>
  <c r="N65" i="16"/>
  <c r="AR27" i="15" l="1"/>
  <c r="AX17" i="15"/>
  <c r="L21" i="15"/>
  <c r="L19" i="15" s="1"/>
  <c r="AW17" i="15"/>
  <c r="AA63" i="15"/>
  <c r="AA258" i="14"/>
  <c r="BO33" i="14" s="1"/>
  <c r="AU28" i="15"/>
  <c r="Y90" i="16"/>
  <c r="Y63" i="16" s="1"/>
  <c r="AU25" i="15"/>
  <c r="AX25" i="15"/>
  <c r="AZ25" i="15" s="1"/>
  <c r="AI90" i="16"/>
  <c r="Y170" i="16"/>
  <c r="AI161" i="16"/>
  <c r="AI157" i="16" s="1"/>
  <c r="AI155" i="16" s="1"/>
  <c r="AD157" i="16"/>
  <c r="AD155" i="16" s="1"/>
  <c r="L128" i="16"/>
  <c r="AB63" i="16"/>
  <c r="AB12" i="16" s="1"/>
  <c r="AX9" i="16"/>
  <c r="AZ9" i="16" s="1"/>
  <c r="AB145" i="16"/>
  <c r="AB110" i="16" s="1"/>
  <c r="AH46" i="16"/>
  <c r="AH44" i="16" s="1"/>
  <c r="AA44" i="16"/>
  <c r="J28" i="16"/>
  <c r="J21" i="16" s="1"/>
  <c r="J19" i="16" s="1"/>
  <c r="J17" i="16" s="1"/>
  <c r="J8" i="16" s="1"/>
  <c r="J126" i="16" s="1"/>
  <c r="J130" i="16" s="1"/>
  <c r="BD17" i="16"/>
  <c r="D17" i="20" s="1"/>
  <c r="AD90" i="16"/>
  <c r="AJ223" i="16"/>
  <c r="AJ222" i="16" s="1"/>
  <c r="AJ220" i="16" s="1"/>
  <c r="AG222" i="16"/>
  <c r="AG220" i="16" s="1"/>
  <c r="AS30" i="16" s="1"/>
  <c r="AX30" i="16" s="1"/>
  <c r="AZ30" i="16" s="1"/>
  <c r="AJ12" i="15"/>
  <c r="AJ10" i="15" s="1"/>
  <c r="AJ258" i="15" s="1"/>
  <c r="AH12" i="15"/>
  <c r="AH10" i="15" s="1"/>
  <c r="AH8" i="15" s="1"/>
  <c r="Y110" i="16"/>
  <c r="AX24" i="15"/>
  <c r="AZ24" i="15" s="1"/>
  <c r="AG12" i="15"/>
  <c r="AG10" i="15" s="1"/>
  <c r="AG258" i="15" s="1"/>
  <c r="AS31" i="15" s="1"/>
  <c r="AV31" i="15" s="1"/>
  <c r="Y8" i="15"/>
  <c r="AX26" i="15"/>
  <c r="AZ26" i="15" s="1"/>
  <c r="AV26" i="15"/>
  <c r="AE258" i="15"/>
  <c r="N23" i="16"/>
  <c r="N22" i="16" s="1"/>
  <c r="AX7" i="16"/>
  <c r="AZ7" i="16" s="1"/>
  <c r="L22" i="16"/>
  <c r="AS7" i="16" s="1"/>
  <c r="AV7" i="16" s="1"/>
  <c r="AI85" i="16"/>
  <c r="AI83" i="16" s="1"/>
  <c r="AD83" i="16"/>
  <c r="AR24" i="16" s="1"/>
  <c r="AH107" i="16"/>
  <c r="AH105" i="16" s="1"/>
  <c r="AH104" i="16" s="1"/>
  <c r="AA105" i="16"/>
  <c r="AA104" i="16" s="1"/>
  <c r="AJ150" i="16"/>
  <c r="AJ149" i="16" s="1"/>
  <c r="AJ147" i="16" s="1"/>
  <c r="AG149" i="16"/>
  <c r="AG147" i="16" s="1"/>
  <c r="BO23" i="16"/>
  <c r="D47" i="20" s="1"/>
  <c r="AH177" i="16"/>
  <c r="AH176" i="16" s="1"/>
  <c r="AA176" i="16"/>
  <c r="AH93" i="16"/>
  <c r="AH91" i="16" s="1"/>
  <c r="AA91" i="16"/>
  <c r="N83" i="16"/>
  <c r="N81" i="16" s="1"/>
  <c r="L81" i="16"/>
  <c r="M58" i="16"/>
  <c r="M57" i="16" s="1"/>
  <c r="I57" i="16"/>
  <c r="AH52" i="16"/>
  <c r="AH49" i="16" s="1"/>
  <c r="AA49" i="16"/>
  <c r="AA43" i="16" s="1"/>
  <c r="AE14" i="16"/>
  <c r="AJ159" i="16"/>
  <c r="AJ157" i="16" s="1"/>
  <c r="AJ155" i="16" s="1"/>
  <c r="AG157" i="16"/>
  <c r="AG155" i="16" s="1"/>
  <c r="M61" i="16"/>
  <c r="M60" i="16" s="1"/>
  <c r="I60" i="16"/>
  <c r="AD43" i="16"/>
  <c r="AA110" i="15"/>
  <c r="AH167" i="16"/>
  <c r="AH157" i="16" s="1"/>
  <c r="AH155" i="16" s="1"/>
  <c r="AH145" i="16" s="1"/>
  <c r="BO19" i="16"/>
  <c r="D43" i="20" s="1"/>
  <c r="AA157" i="16"/>
  <c r="AA155" i="16" s="1"/>
  <c r="AH223" i="16"/>
  <c r="AH222" i="16" s="1"/>
  <c r="AH220" i="16" s="1"/>
  <c r="AA222" i="16"/>
  <c r="AA220" i="16" s="1"/>
  <c r="BO30" i="16" s="1"/>
  <c r="N36" i="16"/>
  <c r="N35" i="16" s="1"/>
  <c r="L35" i="16"/>
  <c r="AE145" i="16"/>
  <c r="AE110" i="16" s="1"/>
  <c r="AA96" i="16"/>
  <c r="AH98" i="16"/>
  <c r="AH96" i="16" s="1"/>
  <c r="AI43" i="16"/>
  <c r="AI14" i="16" s="1"/>
  <c r="G21" i="16"/>
  <c r="G19" i="16" s="1"/>
  <c r="G17" i="16" s="1"/>
  <c r="G8" i="16" s="1"/>
  <c r="G126" i="16" s="1"/>
  <c r="G130" i="16" s="1"/>
  <c r="AJ38" i="16"/>
  <c r="AJ35" i="16" s="1"/>
  <c r="AG35" i="16"/>
  <c r="AH38" i="16"/>
  <c r="AH35" i="16" s="1"/>
  <c r="AA35" i="16"/>
  <c r="AD172" i="16"/>
  <c r="AI174" i="16"/>
  <c r="AI172" i="16" s="1"/>
  <c r="AI199" i="16"/>
  <c r="AI195" i="16" s="1"/>
  <c r="AI194" i="16" s="1"/>
  <c r="AI193" i="16" s="1"/>
  <c r="AD195" i="16"/>
  <c r="AD194" i="16" s="1"/>
  <c r="AJ98" i="16"/>
  <c r="AJ96" i="16" s="1"/>
  <c r="AJ90" i="16" s="1"/>
  <c r="AG96" i="16"/>
  <c r="AG90" i="16" s="1"/>
  <c r="Y14" i="16"/>
  <c r="AB170" i="16"/>
  <c r="AE63" i="16"/>
  <c r="AI10" i="15"/>
  <c r="AI8" i="15" s="1"/>
  <c r="AJ52" i="16"/>
  <c r="AJ49" i="16" s="1"/>
  <c r="AJ43" i="16" s="1"/>
  <c r="AG49" i="16"/>
  <c r="AG43" i="16" s="1"/>
  <c r="M46" i="16"/>
  <c r="M45" i="16" s="1"/>
  <c r="I45" i="16"/>
  <c r="BD15" i="16"/>
  <c r="D15" i="20" s="1"/>
  <c r="M31" i="16"/>
  <c r="M29" i="16" s="1"/>
  <c r="M28" i="16" s="1"/>
  <c r="I29" i="16"/>
  <c r="I28" i="16" s="1"/>
  <c r="AR9" i="16" s="1"/>
  <c r="AU9" i="16" s="1"/>
  <c r="AB8" i="15"/>
  <c r="M8" i="15"/>
  <c r="M126" i="15" s="1"/>
  <c r="M130" i="15" s="1"/>
  <c r="AW23" i="15"/>
  <c r="AY23" i="15" s="1"/>
  <c r="AV15" i="16"/>
  <c r="AX15" i="16"/>
  <c r="AZ15" i="16" s="1"/>
  <c r="AU30" i="15"/>
  <c r="AD8" i="14"/>
  <c r="Y1" i="14" s="1"/>
  <c r="AF258" i="15"/>
  <c r="BQ33" i="15" s="1"/>
  <c r="AD14" i="16"/>
  <c r="Y234" i="16"/>
  <c r="Y232" i="16" s="1"/>
  <c r="AA12" i="15"/>
  <c r="AY32" i="14"/>
  <c r="AZ35" i="14" s="1"/>
  <c r="AU31" i="13"/>
  <c r="AR32" i="13"/>
  <c r="AD110" i="15"/>
  <c r="AR26" i="15" s="1"/>
  <c r="AW26" i="15" s="1"/>
  <c r="AY26" i="15" s="1"/>
  <c r="N8" i="15"/>
  <c r="N126" i="15" s="1"/>
  <c r="N130" i="15" s="1"/>
  <c r="I51" i="16"/>
  <c r="M52" i="16"/>
  <c r="M51" i="16" s="1"/>
  <c r="AR31" i="14"/>
  <c r="BP33" i="14"/>
  <c r="AI225" i="16"/>
  <c r="BP31" i="16"/>
  <c r="AD222" i="16"/>
  <c r="AD220" i="16" s="1"/>
  <c r="BP30" i="16" s="1"/>
  <c r="E54" i="20" s="1"/>
  <c r="AD259" i="16"/>
  <c r="BI8" i="15"/>
  <c r="BI7" i="15" s="1"/>
  <c r="BI16" i="15" s="1"/>
  <c r="BO8" i="15"/>
  <c r="BO7" i="15" s="1"/>
  <c r="BO32" i="15" s="1"/>
  <c r="L75" i="16"/>
  <c r="N76" i="16"/>
  <c r="N75" i="16" s="1"/>
  <c r="AH244" i="16"/>
  <c r="AH243" i="16" s="1"/>
  <c r="AA243" i="16"/>
  <c r="AI66" i="16"/>
  <c r="AI65" i="16" s="1"/>
  <c r="BP10" i="16"/>
  <c r="E34" i="20" s="1"/>
  <c r="AR22" i="16"/>
  <c r="AD65" i="16"/>
  <c r="AH86" i="16"/>
  <c r="AH83" i="16" s="1"/>
  <c r="AA83" i="16"/>
  <c r="AA172" i="16"/>
  <c r="AH173" i="16"/>
  <c r="AH172" i="16" s="1"/>
  <c r="AH170" i="16" s="1"/>
  <c r="AH142" i="16"/>
  <c r="AH141" i="16" s="1"/>
  <c r="AH112" i="16" s="1"/>
  <c r="AA141" i="16"/>
  <c r="BO20" i="16" s="1"/>
  <c r="D44" i="20" s="1"/>
  <c r="AH80" i="16"/>
  <c r="AH69" i="16" s="1"/>
  <c r="AH65" i="16" s="1"/>
  <c r="AA69" i="16"/>
  <c r="AA65" i="16" s="1"/>
  <c r="M65" i="16"/>
  <c r="I128" i="16"/>
  <c r="BD21" i="16"/>
  <c r="D25" i="20" s="1"/>
  <c r="AI215" i="16"/>
  <c r="AI211" i="16" s="1"/>
  <c r="AI210" i="16" s="1"/>
  <c r="AI209" i="16" s="1"/>
  <c r="AI207" i="16" s="1"/>
  <c r="AD211" i="16"/>
  <c r="AD210" i="16" s="1"/>
  <c r="AD209" i="16" s="1"/>
  <c r="N73" i="16"/>
  <c r="N72" i="16" s="1"/>
  <c r="L72" i="16"/>
  <c r="AI125" i="16"/>
  <c r="AI123" i="16" s="1"/>
  <c r="AI112" i="16" s="1"/>
  <c r="AD123" i="16"/>
  <c r="AU27" i="15"/>
  <c r="AW27" i="15"/>
  <c r="AY27" i="15" s="1"/>
  <c r="AH26" i="16"/>
  <c r="AH20" i="16" s="1"/>
  <c r="AH16" i="16" s="1"/>
  <c r="AA20" i="16"/>
  <c r="AA16" i="16" s="1"/>
  <c r="AH236" i="16"/>
  <c r="AH235" i="16" s="1"/>
  <c r="AA235" i="16"/>
  <c r="AJ136" i="16"/>
  <c r="AJ123" i="16" s="1"/>
  <c r="AJ112" i="16" s="1"/>
  <c r="AG123" i="16"/>
  <c r="AG112" i="16" s="1"/>
  <c r="L94" i="16"/>
  <c r="N95" i="16"/>
  <c r="N94" i="16" s="1"/>
  <c r="AR14" i="15"/>
  <c r="I17" i="15"/>
  <c r="AW14" i="16"/>
  <c r="AY14" i="16" s="1"/>
  <c r="I63" i="16"/>
  <c r="BP15" i="15"/>
  <c r="BJ10" i="15" s="1"/>
  <c r="AW32" i="14"/>
  <c r="N53" i="16"/>
  <c r="N51" i="16" s="1"/>
  <c r="L51" i="16"/>
  <c r="AJ178" i="16"/>
  <c r="AJ176" i="16" s="1"/>
  <c r="AJ170" i="16" s="1"/>
  <c r="AG176" i="16"/>
  <c r="AG170" i="16" s="1"/>
  <c r="AS27" i="16" s="1"/>
  <c r="AI236" i="16"/>
  <c r="AI235" i="16" s="1"/>
  <c r="AI234" i="16" s="1"/>
  <c r="AI232" i="16" s="1"/>
  <c r="AD235" i="16"/>
  <c r="AD234" i="16" s="1"/>
  <c r="AD232" i="16" s="1"/>
  <c r="I22" i="16"/>
  <c r="AR7" i="16" s="1"/>
  <c r="AU7" i="16" s="1"/>
  <c r="M23" i="16"/>
  <c r="M22" i="16" s="1"/>
  <c r="BD12" i="16"/>
  <c r="D12" i="20" s="1"/>
  <c r="AW7" i="16"/>
  <c r="AY7" i="16" s="1"/>
  <c r="AH197" i="16"/>
  <c r="AH195" i="16" s="1"/>
  <c r="AH194" i="16" s="1"/>
  <c r="AH193" i="16" s="1"/>
  <c r="AA195" i="16"/>
  <c r="AA194" i="16" s="1"/>
  <c r="AI190" i="16"/>
  <c r="AI187" i="16" s="1"/>
  <c r="AI185" i="16" s="1"/>
  <c r="AD187" i="16"/>
  <c r="AD185" i="16" s="1"/>
  <c r="AJ197" i="16"/>
  <c r="AJ195" i="16" s="1"/>
  <c r="AJ194" i="16" s="1"/>
  <c r="AJ193" i="16" s="1"/>
  <c r="AG195" i="16"/>
  <c r="AG194" i="16" s="1"/>
  <c r="AG193" i="16" s="1"/>
  <c r="AS28" i="16" s="1"/>
  <c r="AI152" i="16"/>
  <c r="AI149" i="16" s="1"/>
  <c r="AI147" i="16" s="1"/>
  <c r="AI145" i="16" s="1"/>
  <c r="AD149" i="16"/>
  <c r="AD147" i="16" s="1"/>
  <c r="L48" i="16"/>
  <c r="N49" i="16"/>
  <c r="N48" i="16" s="1"/>
  <c r="AJ86" i="16"/>
  <c r="AJ83" i="16" s="1"/>
  <c r="AG83" i="16"/>
  <c r="N33" i="16"/>
  <c r="N32" i="16" s="1"/>
  <c r="L32" i="16"/>
  <c r="L28" i="16" s="1"/>
  <c r="BP8" i="15"/>
  <c r="BJ8" i="15"/>
  <c r="L17" i="15"/>
  <c r="AS14" i="15"/>
  <c r="D51" i="20"/>
  <c r="N63" i="16"/>
  <c r="AZ23" i="15"/>
  <c r="AS23" i="16"/>
  <c r="D40" i="20"/>
  <c r="AJ235" i="16"/>
  <c r="AJ234" i="16" s="1"/>
  <c r="AJ232" i="16" s="1"/>
  <c r="AJ259" i="16"/>
  <c r="D14" i="20"/>
  <c r="AU8" i="16"/>
  <c r="AI170" i="16" l="1"/>
  <c r="AX32" i="15"/>
  <c r="AA10" i="15"/>
  <c r="AA8" i="15" s="1"/>
  <c r="U1" i="15" s="1"/>
  <c r="AH258" i="15"/>
  <c r="AH43" i="16"/>
  <c r="AH14" i="16" s="1"/>
  <c r="AJ63" i="16"/>
  <c r="AR25" i="16"/>
  <c r="AI258" i="15"/>
  <c r="AD170" i="16"/>
  <c r="BP24" i="16" s="1"/>
  <c r="M128" i="16"/>
  <c r="N28" i="16"/>
  <c r="AH110" i="16"/>
  <c r="AZ32" i="15"/>
  <c r="BP14" i="16"/>
  <c r="BJ9" i="16" s="1"/>
  <c r="AE12" i="16"/>
  <c r="AE10" i="16" s="1"/>
  <c r="AE8" i="16" s="1"/>
  <c r="BJ14" i="16"/>
  <c r="BO14" i="16"/>
  <c r="BI9" i="16" s="1"/>
  <c r="AA170" i="16"/>
  <c r="BO24" i="16" s="1"/>
  <c r="D48" i="20" s="1"/>
  <c r="D46" i="20" s="1"/>
  <c r="BP13" i="16"/>
  <c r="E37" i="20" s="1"/>
  <c r="AS24" i="16"/>
  <c r="AX24" i="16" s="1"/>
  <c r="AZ24" i="16" s="1"/>
  <c r="AJ8" i="15"/>
  <c r="AJ14" i="16"/>
  <c r="AJ12" i="16" s="1"/>
  <c r="AJ145" i="16"/>
  <c r="AJ110" i="16" s="1"/>
  <c r="AS32" i="15"/>
  <c r="AV32" i="15" s="1"/>
  <c r="BO17" i="16"/>
  <c r="D41" i="20" s="1"/>
  <c r="D39" i="20" s="1"/>
  <c r="AA145" i="16"/>
  <c r="AI63" i="16"/>
  <c r="AI12" i="16" s="1"/>
  <c r="BI14" i="16"/>
  <c r="D54" i="20"/>
  <c r="AA90" i="16"/>
  <c r="BO13" i="16" s="1"/>
  <c r="D37" i="20" s="1"/>
  <c r="AX14" i="16"/>
  <c r="AZ14" i="16" s="1"/>
  <c r="AZ17" i="16" s="1"/>
  <c r="AG8" i="15"/>
  <c r="AH90" i="16"/>
  <c r="AH63" i="16" s="1"/>
  <c r="AG145" i="16"/>
  <c r="AG110" i="16" s="1"/>
  <c r="AS26" i="16" s="1"/>
  <c r="AS25" i="16"/>
  <c r="AX25" i="16" s="1"/>
  <c r="AZ25" i="16" s="1"/>
  <c r="AG14" i="16"/>
  <c r="BP28" i="16"/>
  <c r="E52" i="20" s="1"/>
  <c r="AD193" i="16"/>
  <c r="AR28" i="16" s="1"/>
  <c r="AW28" i="16" s="1"/>
  <c r="AY28" i="16" s="1"/>
  <c r="Y12" i="16"/>
  <c r="Y10" i="16" s="1"/>
  <c r="Y8" i="16" s="1"/>
  <c r="AB10" i="16"/>
  <c r="AB258" i="16" s="1"/>
  <c r="AH234" i="16"/>
  <c r="AH232" i="16" s="1"/>
  <c r="D10" i="20"/>
  <c r="D9" i="20" s="1"/>
  <c r="D26" i="20" s="1"/>
  <c r="AW24" i="16"/>
  <c r="AY24" i="16" s="1"/>
  <c r="AU24" i="16"/>
  <c r="M63" i="16"/>
  <c r="M21" i="16" s="1"/>
  <c r="M19" i="16" s="1"/>
  <c r="M17" i="16" s="1"/>
  <c r="M8" i="16" s="1"/>
  <c r="AC1" i="14"/>
  <c r="AA112" i="16"/>
  <c r="N128" i="16"/>
  <c r="AV30" i="16"/>
  <c r="AY32" i="15"/>
  <c r="AY35" i="15" s="1"/>
  <c r="AY35" i="14"/>
  <c r="BJ7" i="15"/>
  <c r="BJ16" i="15" s="1"/>
  <c r="AU26" i="15"/>
  <c r="AD10" i="15"/>
  <c r="AD258" i="15" s="1"/>
  <c r="BP7" i="15"/>
  <c r="BP32" i="15" s="1"/>
  <c r="AA234" i="16"/>
  <c r="AA232" i="16" s="1"/>
  <c r="BO29" i="16" s="1"/>
  <c r="BI13" i="16" s="1"/>
  <c r="AU35" i="13"/>
  <c r="AV35" i="13"/>
  <c r="AU32" i="13"/>
  <c r="BD10" i="16"/>
  <c r="BD9" i="16" s="1"/>
  <c r="BD8" i="16" s="1"/>
  <c r="BD22" i="16" s="1"/>
  <c r="AW32" i="15"/>
  <c r="I21" i="16"/>
  <c r="AV27" i="16"/>
  <c r="AX27" i="16"/>
  <c r="AZ27" i="16" s="1"/>
  <c r="AS9" i="16"/>
  <c r="AV9" i="16" s="1"/>
  <c r="L21" i="16"/>
  <c r="L19" i="16" s="1"/>
  <c r="BP29" i="16"/>
  <c r="AR30" i="16"/>
  <c r="AW30" i="16" s="1"/>
  <c r="AY30" i="16" s="1"/>
  <c r="AV24" i="16"/>
  <c r="BP16" i="16"/>
  <c r="AD145" i="16"/>
  <c r="I8" i="15"/>
  <c r="I126" i="15" s="1"/>
  <c r="I130" i="15" s="1"/>
  <c r="AU25" i="16"/>
  <c r="AW25" i="16"/>
  <c r="AY25" i="16" s="1"/>
  <c r="BO12" i="16"/>
  <c r="AA14" i="16"/>
  <c r="AD112" i="16"/>
  <c r="BP17" i="16"/>
  <c r="E41" i="20" s="1"/>
  <c r="BP27" i="16"/>
  <c r="AD207" i="16"/>
  <c r="AR29" i="16" s="1"/>
  <c r="AW29" i="16" s="1"/>
  <c r="AY29" i="16" s="1"/>
  <c r="AD63" i="16"/>
  <c r="AD12" i="16" s="1"/>
  <c r="AR23" i="16"/>
  <c r="E55" i="20"/>
  <c r="BJ15" i="16"/>
  <c r="L8" i="15"/>
  <c r="AU31" i="14"/>
  <c r="AR32" i="14"/>
  <c r="AG63" i="16"/>
  <c r="AV14" i="15"/>
  <c r="AS17" i="15"/>
  <c r="AV17" i="15" s="1"/>
  <c r="AX28" i="16"/>
  <c r="AZ28" i="16" s="1"/>
  <c r="AV28" i="16"/>
  <c r="BO28" i="16"/>
  <c r="AA193" i="16"/>
  <c r="AU14" i="15"/>
  <c r="AR17" i="15"/>
  <c r="AU17" i="15" s="1"/>
  <c r="AW22" i="16"/>
  <c r="AY22" i="16" s="1"/>
  <c r="AU22" i="16"/>
  <c r="AI222" i="16"/>
  <c r="AI220" i="16" s="1"/>
  <c r="AI259" i="16"/>
  <c r="N21" i="16"/>
  <c r="N19" i="16" s="1"/>
  <c r="N17" i="16" s="1"/>
  <c r="BP12" i="16"/>
  <c r="AY17" i="16"/>
  <c r="AI110" i="16"/>
  <c r="AX23" i="16"/>
  <c r="AV23" i="16"/>
  <c r="I19" i="16" l="1"/>
  <c r="D38" i="20"/>
  <c r="AR27" i="16"/>
  <c r="AA258" i="15"/>
  <c r="BO33" i="15" s="1"/>
  <c r="BO15" i="16"/>
  <c r="BI10" i="16" s="1"/>
  <c r="BO22" i="16"/>
  <c r="BI11" i="16" s="1"/>
  <c r="AA63" i="16"/>
  <c r="AA12" i="16" s="1"/>
  <c r="AA110" i="16"/>
  <c r="E38" i="20"/>
  <c r="M126" i="16"/>
  <c r="M130" i="16" s="1"/>
  <c r="AW17" i="16"/>
  <c r="AB8" i="16"/>
  <c r="AV25" i="16"/>
  <c r="AG12" i="16"/>
  <c r="AG10" i="16" s="1"/>
  <c r="AG8" i="16" s="1"/>
  <c r="F9" i="19" s="1"/>
  <c r="Y258" i="16"/>
  <c r="AH12" i="16"/>
  <c r="AH10" i="16" s="1"/>
  <c r="AH8" i="16" s="1"/>
  <c r="AJ10" i="16"/>
  <c r="AJ258" i="16" s="1"/>
  <c r="AV26" i="16"/>
  <c r="AX26" i="16"/>
  <c r="AZ26" i="16" s="1"/>
  <c r="AX17" i="16"/>
  <c r="AU28" i="16"/>
  <c r="AU30" i="16"/>
  <c r="D53" i="20"/>
  <c r="AZ35" i="15"/>
  <c r="AF258" i="16"/>
  <c r="BQ33" i="16" s="1"/>
  <c r="AE258" i="16"/>
  <c r="AD110" i="16"/>
  <c r="AR26" i="16" s="1"/>
  <c r="AU26" i="16" s="1"/>
  <c r="AD8" i="15"/>
  <c r="AI10" i="16"/>
  <c r="AI258" i="16" s="1"/>
  <c r="N8" i="16"/>
  <c r="N126" i="16" s="1"/>
  <c r="N130" i="16" s="1"/>
  <c r="AR14" i="16"/>
  <c r="I17" i="16"/>
  <c r="I8" i="16" s="1"/>
  <c r="I126" i="16" s="1"/>
  <c r="I130" i="16" s="1"/>
  <c r="B10" i="18"/>
  <c r="D52" i="20"/>
  <c r="D49" i="20" s="1"/>
  <c r="BO25" i="16"/>
  <c r="BI12" i="16" s="1"/>
  <c r="AR31" i="15"/>
  <c r="BP33" i="15"/>
  <c r="AU27" i="16"/>
  <c r="AW27" i="16"/>
  <c r="AY27" i="16" s="1"/>
  <c r="E53" i="20"/>
  <c r="BJ13" i="16"/>
  <c r="K1" i="15"/>
  <c r="J5" i="15"/>
  <c r="L126" i="15"/>
  <c r="L130" i="15" s="1"/>
  <c r="E40" i="20"/>
  <c r="E39" i="20" s="1"/>
  <c r="BP15" i="16"/>
  <c r="BJ10" i="16" s="1"/>
  <c r="AW23" i="16"/>
  <c r="AU23" i="16"/>
  <c r="E36" i="20"/>
  <c r="E33" i="20" s="1"/>
  <c r="E32" i="20" s="1"/>
  <c r="BP9" i="16"/>
  <c r="AU35" i="14"/>
  <c r="AV35" i="14"/>
  <c r="AU32" i="14"/>
  <c r="BP25" i="16"/>
  <c r="BJ12" i="16" s="1"/>
  <c r="E51" i="20"/>
  <c r="E49" i="20" s="1"/>
  <c r="D36" i="20"/>
  <c r="D33" i="20" s="1"/>
  <c r="D32" i="20" s="1"/>
  <c r="D31" i="20" s="1"/>
  <c r="D30" i="20" s="1"/>
  <c r="BO9" i="16"/>
  <c r="E48" i="20"/>
  <c r="E46" i="20" s="1"/>
  <c r="BP22" i="16"/>
  <c r="BJ11" i="16" s="1"/>
  <c r="AS14" i="16"/>
  <c r="L17" i="16"/>
  <c r="AZ23" i="16"/>
  <c r="AA10" i="16" l="1"/>
  <c r="AA258" i="16" s="1"/>
  <c r="BO33" i="16" s="1"/>
  <c r="E31" i="20"/>
  <c r="E30" i="20" s="1"/>
  <c r="E56" i="20" s="1"/>
  <c r="E57" i="20" s="1"/>
  <c r="AH258" i="16"/>
  <c r="AJ8" i="16"/>
  <c r="AZ32" i="16"/>
  <c r="AX32" i="16"/>
  <c r="AG258" i="16"/>
  <c r="AS31" i="16" s="1"/>
  <c r="AV31" i="16" s="1"/>
  <c r="AW26" i="16"/>
  <c r="AY26" i="16" s="1"/>
  <c r="AD10" i="16"/>
  <c r="AD8" i="16" s="1"/>
  <c r="AC1" i="16" s="1"/>
  <c r="AC1" i="15"/>
  <c r="Y1" i="15"/>
  <c r="AI8" i="16"/>
  <c r="D56" i="20"/>
  <c r="D57" i="20" s="1"/>
  <c r="R10" i="18"/>
  <c r="F10" i="18"/>
  <c r="N10" i="18"/>
  <c r="J10" i="18"/>
  <c r="AU14" i="16"/>
  <c r="AR17" i="16"/>
  <c r="AU17" i="16" s="1"/>
  <c r="B9" i="19"/>
  <c r="L8" i="16"/>
  <c r="BI8" i="16"/>
  <c r="BI7" i="16" s="1"/>
  <c r="BI16" i="16" s="1"/>
  <c r="BO8" i="16"/>
  <c r="BO7" i="16" s="1"/>
  <c r="BO32" i="16" s="1"/>
  <c r="AR32" i="15"/>
  <c r="AU31" i="15"/>
  <c r="AS17" i="16"/>
  <c r="AV17" i="16" s="1"/>
  <c r="AV14" i="16"/>
  <c r="BJ8" i="16"/>
  <c r="BJ7" i="16" s="1"/>
  <c r="BJ16" i="16" s="1"/>
  <c r="BP8" i="16"/>
  <c r="BP7" i="16" s="1"/>
  <c r="BP32" i="16" s="1"/>
  <c r="AY23" i="16"/>
  <c r="AA8" i="16" l="1"/>
  <c r="E9" i="19" s="1"/>
  <c r="AS32" i="16"/>
  <c r="AV32" i="16" s="1"/>
  <c r="AW32" i="16"/>
  <c r="AD258" i="16"/>
  <c r="BP33" i="16" s="1"/>
  <c r="AY32" i="16"/>
  <c r="AY35" i="16" s="1"/>
  <c r="AV35" i="15"/>
  <c r="AU32" i="15"/>
  <c r="AU35" i="15"/>
  <c r="K1" i="16"/>
  <c r="J5" i="16"/>
  <c r="C9" i="19"/>
  <c r="L126" i="16"/>
  <c r="L130" i="16" s="1"/>
  <c r="Y1" i="16" l="1"/>
  <c r="U1" i="16"/>
  <c r="AR31" i="16"/>
  <c r="AR32" i="16" s="1"/>
  <c r="AZ35" i="16"/>
  <c r="G9" i="19"/>
  <c r="I9" i="19"/>
  <c r="AU31" i="16"/>
  <c r="D9" i="19"/>
  <c r="H9" i="19"/>
  <c r="J9" i="19"/>
  <c r="AU35" i="16" l="1"/>
  <c r="AU32" i="16"/>
  <c r="AV35" i="16"/>
</calcChain>
</file>

<file path=xl/comments1.xml><?xml version="1.0" encoding="utf-8"?>
<comments xmlns="http://schemas.openxmlformats.org/spreadsheetml/2006/main">
  <authors>
    <author>Carlos Norvey Bolivar</author>
    <author>ATABORDAA</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 ref="B42" authorId="1">
      <text>
        <r>
          <rPr>
            <b/>
            <sz val="8"/>
            <color indexed="10"/>
            <rFont val="Tahoma"/>
            <family val="2"/>
          </rPr>
          <t>Las actividades de Promoción y Prevención se manejaran en su respectivo régimen</t>
        </r>
      </text>
    </comment>
  </commentList>
</comments>
</file>

<file path=xl/comments10.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11.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12.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2.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3.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4.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5.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6.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7.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8.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9.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sharedStrings.xml><?xml version="1.0" encoding="utf-8"?>
<sst xmlns="http://schemas.openxmlformats.org/spreadsheetml/2006/main" count="3272" uniqueCount="618">
  <si>
    <t>MUNICIPIO:</t>
  </si>
  <si>
    <t>Monto adeudado producto del desarrollo de los compromisos adquiridos por el valor equivalente a los bienes recibidos, servicios prestados y demás exigibles pendientes de pago.</t>
  </si>
  <si>
    <t>NO AGREGARLE NI LINEAS NI COLUMNAS, ESTO IMPIDE LA CONSOLIDACION AUTOMÁTICA</t>
  </si>
  <si>
    <t>El presupuesto inicial se digita en la Hoja ENERO: Columnas C ( Ingresos ) y U (Gastos)</t>
  </si>
  <si>
    <t>NO HACER CORRECIONES SOBRE MESES ANTERIORES. SE HACEN EN EL MES QUE CURSA</t>
  </si>
  <si>
    <t>Si ejecuta mover, su archivo se quedará sin el mes que esta trabajando dejándolo incompleto.</t>
  </si>
  <si>
    <t>Resumen:</t>
  </si>
  <si>
    <t>DIRECCION SECCIONAL DE SALUD DE ANTIOQUIA</t>
  </si>
  <si>
    <t xml:space="preserve">  ANALISIS DE LA SITUACION PRESUPUESTAL</t>
  </si>
  <si>
    <t>EJECUCION PRESUPUESTAL DE INGRESOS</t>
  </si>
  <si>
    <t>ENERO</t>
  </si>
  <si>
    <t>EJECUCION PRESUPUESTAL DE GASTOS</t>
  </si>
  <si>
    <t>MUNICIPIO</t>
  </si>
  <si>
    <t>INGRESOS</t>
  </si>
  <si>
    <t xml:space="preserve"> </t>
  </si>
  <si>
    <t xml:space="preserve">PRESUPUESTO </t>
  </si>
  <si>
    <t>RECONOC.</t>
  </si>
  <si>
    <t>RECAUDADO</t>
  </si>
  <si>
    <t>PORCENTAJE</t>
  </si>
  <si>
    <t>RUBRO</t>
  </si>
  <si>
    <t>DESCRIPCION</t>
  </si>
  <si>
    <t>PRESUPUESTO</t>
  </si>
  <si>
    <t>RECAUDO</t>
  </si>
  <si>
    <t>INGRESOS POR EJECUTAR</t>
  </si>
  <si>
    <t>PAGOS</t>
  </si>
  <si>
    <t>GASTOS POR EJECUTAR</t>
  </si>
  <si>
    <t>CONCEPTOS</t>
  </si>
  <si>
    <t>A</t>
  </si>
  <si>
    <t>ESPERADO A</t>
  </si>
  <si>
    <t>EJECUTADO</t>
  </si>
  <si>
    <t>RECONOCIMIENTOS</t>
  </si>
  <si>
    <t>RECAUDOS</t>
  </si>
  <si>
    <t>SITUACION</t>
  </si>
  <si>
    <t>FUENTE</t>
  </si>
  <si>
    <t>CONCEPTO</t>
  </si>
  <si>
    <t>INICIAL</t>
  </si>
  <si>
    <t>MODIFICAC</t>
  </si>
  <si>
    <t>ADICIONES</t>
  </si>
  <si>
    <t>DEFINITIVO</t>
  </si>
  <si>
    <t>MES ANTERIOR</t>
  </si>
  <si>
    <t>DEL MES</t>
  </si>
  <si>
    <t>TOTAL</t>
  </si>
  <si>
    <t>RECONOC</t>
  </si>
  <si>
    <t>MODIFICACIONES</t>
  </si>
  <si>
    <t>APROPIACION.</t>
  </si>
  <si>
    <t>COMPROMISOS</t>
  </si>
  <si>
    <t>OBLIGACIONES</t>
  </si>
  <si>
    <t>Definitivo</t>
  </si>
  <si>
    <t>Reconocido</t>
  </si>
  <si>
    <t>Recaudos del mes</t>
  </si>
  <si>
    <t>Compromisos</t>
  </si>
  <si>
    <t>Obligaciones</t>
  </si>
  <si>
    <t>Pagos del mes</t>
  </si>
  <si>
    <t>GASTOS</t>
  </si>
  <si>
    <t>Régimen Contributivo</t>
  </si>
  <si>
    <t>I. DISPONIBILIDAD INICIAL</t>
  </si>
  <si>
    <t>GASTOS DE FUNCIONAMIENTO</t>
  </si>
  <si>
    <t>DISPONIBILIDAD INICIAL</t>
  </si>
  <si>
    <t>Régimen Subsidiado</t>
  </si>
  <si>
    <t>INGRESOS CORRIENTES</t>
  </si>
  <si>
    <t xml:space="preserve">   GASTOS DE PERSONAL DE PLANTA</t>
  </si>
  <si>
    <t xml:space="preserve">   GASTOS DE PERSONAL</t>
  </si>
  <si>
    <t>GASTOS DE PERSONAL</t>
  </si>
  <si>
    <t>Atención Población Vinculada</t>
  </si>
  <si>
    <t>SERVICIOS PERSONALES INDIRECTOS</t>
  </si>
  <si>
    <t xml:space="preserve">   Servicios personales asociados a la nómina</t>
  </si>
  <si>
    <t>Gastos de Administración</t>
  </si>
  <si>
    <t>Prevención y Promoción</t>
  </si>
  <si>
    <t xml:space="preserve">   GASTOS GENERALES</t>
  </si>
  <si>
    <t xml:space="preserve">   TRANSFERENCIAS CORRIENTES</t>
  </si>
  <si>
    <t>Servicios Personales Asociados a Nómina</t>
  </si>
  <si>
    <t>Sueldos del Personal de nómina</t>
  </si>
  <si>
    <t>INVERSION</t>
  </si>
  <si>
    <t>INGRESOS  CORRIENTES</t>
  </si>
  <si>
    <t>Horas Extras,Dominic.,Festivos y Rec. Nocturnos</t>
  </si>
  <si>
    <t>Otras Rentas Propias</t>
  </si>
  <si>
    <t>DEUDA PUBLICA</t>
  </si>
  <si>
    <t>Prima Técnica</t>
  </si>
  <si>
    <t>Recursos del Capital</t>
  </si>
  <si>
    <t>FOSYGA</t>
  </si>
  <si>
    <t>CUENTAS POR PAGAR VIGENCIAS ANTERIORES</t>
  </si>
  <si>
    <t>VENTA DE SERVICIOS</t>
  </si>
  <si>
    <t>Otros</t>
  </si>
  <si>
    <t>Disponibilidad Inicial</t>
  </si>
  <si>
    <t>III. TOTAL GASTOS</t>
  </si>
  <si>
    <t xml:space="preserve">   Adquisión de bienes</t>
  </si>
  <si>
    <t>1010104-1</t>
  </si>
  <si>
    <t>TOTAL PRESUPUESTO INGRESOS</t>
  </si>
  <si>
    <t>IV=(I+II-III) DISPONIBILIDAD FINAL</t>
  </si>
  <si>
    <t xml:space="preserve">   Mantenimiento</t>
  </si>
  <si>
    <t>Venta de Servicios de Salud</t>
  </si>
  <si>
    <t>1010104-2</t>
  </si>
  <si>
    <t>EPS - REGIMEN CONTRIBUTIVO</t>
  </si>
  <si>
    <t>1010104-3</t>
  </si>
  <si>
    <t>PAGADO</t>
  </si>
  <si>
    <t>Otros ingresos corrientes</t>
  </si>
  <si>
    <t xml:space="preserve">   Servicios públicos</t>
  </si>
  <si>
    <t>1130101-1</t>
  </si>
  <si>
    <t>1010104-4</t>
  </si>
  <si>
    <t>SITUACION PROY</t>
  </si>
  <si>
    <t>INGRESOS DE CAPITAL</t>
  </si>
  <si>
    <t xml:space="preserve">   Otros</t>
  </si>
  <si>
    <t>1130101-2</t>
  </si>
  <si>
    <t>1010104-5</t>
  </si>
  <si>
    <t>ARS - REGIMEN SUBSIDIADO</t>
  </si>
  <si>
    <t>1010104-8</t>
  </si>
  <si>
    <t>Sueldos</t>
  </si>
  <si>
    <t xml:space="preserve">   Pago directo de pensionados o jubilados</t>
  </si>
  <si>
    <t>1130102-1</t>
  </si>
  <si>
    <t>1010104-9</t>
  </si>
  <si>
    <t>Otros Servicios Pers. Asoc. a Nómina</t>
  </si>
  <si>
    <t>II. TOTAL DE INGRESOS</t>
  </si>
  <si>
    <t xml:space="preserve">   Otras transferencias corrientes</t>
  </si>
  <si>
    <t>1130102-2</t>
  </si>
  <si>
    <t>1010104-10</t>
  </si>
  <si>
    <t>Servicios Personales Indirectos</t>
  </si>
  <si>
    <t>SUBSIDIO A LA OFERTA- ATENCION PERSONAS POBRES NO CUBIERTOS CON SUBSIDIO A LA DEMANDA</t>
  </si>
  <si>
    <t>1010104-11</t>
  </si>
  <si>
    <t>Contribuciones Inherentes a la Nómina</t>
  </si>
  <si>
    <t>1130103-1</t>
  </si>
  <si>
    <t>Prestación de Servicios de salud  1er Nivel</t>
  </si>
  <si>
    <t>1010104-12</t>
  </si>
  <si>
    <t>Gastos Generales</t>
  </si>
  <si>
    <t>1130103-1-1</t>
  </si>
  <si>
    <t>1010104-13</t>
  </si>
  <si>
    <t>Bonificación Especial por Recreación</t>
  </si>
  <si>
    <t>Transferencias Corrientes</t>
  </si>
  <si>
    <t>1130103-1-2</t>
  </si>
  <si>
    <t>1010104-14</t>
  </si>
  <si>
    <t>Insumos Hospitalarios</t>
  </si>
  <si>
    <t>1130103-2</t>
  </si>
  <si>
    <t>Prestación de Servicios de salud  2o. Nivel</t>
  </si>
  <si>
    <t>Vigencias Anteriores</t>
  </si>
  <si>
    <t>Gastos Operación Ccial</t>
  </si>
  <si>
    <t>CUENTAS POR PAGAR (Vigencias anteriores)</t>
  </si>
  <si>
    <t>1130103-2-1</t>
  </si>
  <si>
    <t>Servicio Deuda, Invers. y Progr. Espec.</t>
  </si>
  <si>
    <t>DISPONIBILIDAD FINAL</t>
  </si>
  <si>
    <t>1130103-2-2</t>
  </si>
  <si>
    <t>Disponibilidad Final</t>
  </si>
  <si>
    <t>TOTAL GASTOS</t>
  </si>
  <si>
    <t>1130103-3</t>
  </si>
  <si>
    <t>Prestación de Servicios de salud  3o. Nivel</t>
  </si>
  <si>
    <t>1010200-1</t>
  </si>
  <si>
    <t xml:space="preserve">TOTAL </t>
  </si>
  <si>
    <t>1130103-3-1</t>
  </si>
  <si>
    <t>1010200-2</t>
  </si>
  <si>
    <t>Personal Supernumerario</t>
  </si>
  <si>
    <t>1130103-3-2</t>
  </si>
  <si>
    <t>1010200-3</t>
  </si>
  <si>
    <t>Honorarios de la Junta Directiva</t>
  </si>
  <si>
    <t xml:space="preserve">  RESULTADO DE EJECUCION</t>
  </si>
  <si>
    <t>CAUSACION (RECONOC-OBLIG)</t>
  </si>
  <si>
    <t>CAJA      (RECAUDOS-OBLIG)</t>
  </si>
  <si>
    <t>CAUSACION</t>
  </si>
  <si>
    <t>CAJA</t>
  </si>
  <si>
    <t>1010200-4</t>
  </si>
  <si>
    <t>Otros Honorarios (Servicios de Cooperativa)</t>
  </si>
  <si>
    <t>PROYECTADA A DIC31</t>
  </si>
  <si>
    <t>1010200-6</t>
  </si>
  <si>
    <t>Certificación, Habilitación y Acreditación</t>
  </si>
  <si>
    <t>( * ) POR SER LINEAL, ESTA PROYECCION NO ES LA REALIDAD, DEBE SER CALCULADA POR LA INSTITUCION PARA CADA RUBRO UTILIZANDO UN FLUJO DE FONDOS MES A MES</t>
  </si>
  <si>
    <t>SUBSIDIO A LA OFERTA- ACTIVIDADES NO POS-S</t>
  </si>
  <si>
    <t>Contribuciones Inherentes nómina al Sector Privado</t>
  </si>
  <si>
    <t>1130106-1</t>
  </si>
  <si>
    <t>Contribuciones - Sin Situación de Fondos</t>
  </si>
  <si>
    <t>1130106-2</t>
  </si>
  <si>
    <t>1010301-1</t>
  </si>
  <si>
    <t>MINSALUD-FOSYGA-RECLAMACIONES ECAT</t>
  </si>
  <si>
    <t>1010301-2</t>
  </si>
  <si>
    <t>1130107-1</t>
  </si>
  <si>
    <t>1010301-3</t>
  </si>
  <si>
    <t>1130107-2</t>
  </si>
  <si>
    <t>1010301-4</t>
  </si>
  <si>
    <t>MINSALUD-FOSYGA -TRAUMA MAYOR Y DESPLAZADOS</t>
  </si>
  <si>
    <t>Contribuciones - Otros</t>
  </si>
  <si>
    <t>1010302-1</t>
  </si>
  <si>
    <t>1010302-2</t>
  </si>
  <si>
    <t>EPS - PLANES COMPLEMENTARIOS</t>
  </si>
  <si>
    <t>1010302-3</t>
  </si>
  <si>
    <t>1130109-1</t>
  </si>
  <si>
    <t>1010302-4</t>
  </si>
  <si>
    <t>1130109-2</t>
  </si>
  <si>
    <t>1010302-5</t>
  </si>
  <si>
    <t>EMPRESAS MEDICINA PREPAGADA</t>
  </si>
  <si>
    <t>1130110-1</t>
  </si>
  <si>
    <t>1130110-2</t>
  </si>
  <si>
    <t>Contribuciones Inherentes nómina del Sector Publico</t>
  </si>
  <si>
    <t>IPS PRIVADAS</t>
  </si>
  <si>
    <t>1130111-1</t>
  </si>
  <si>
    <t>1010402-1</t>
  </si>
  <si>
    <t>1130111-2</t>
  </si>
  <si>
    <t>1010402-2</t>
  </si>
  <si>
    <t>IPS PUBLICAS</t>
  </si>
  <si>
    <t>1130112-1</t>
  </si>
  <si>
    <t>1130112-2</t>
  </si>
  <si>
    <t>Gastos de Operación</t>
  </si>
  <si>
    <t>COMPAÑIAS DE SEGUROS  - ACCIDENTES DE TRANSITO (SOAT)</t>
  </si>
  <si>
    <t>1130113-1</t>
  </si>
  <si>
    <t>1130113-2</t>
  </si>
  <si>
    <t xml:space="preserve">COMPAÑIAS DE SEGUROS  - PLANES DE SALUD  </t>
  </si>
  <si>
    <t>1130114-1</t>
  </si>
  <si>
    <t>1130114-2</t>
  </si>
  <si>
    <t>ENTIDADES DE REGIMEN ESPECIAL (Magisterio, Fuerza Pca.)</t>
  </si>
  <si>
    <t>1020104-1</t>
  </si>
  <si>
    <t>1130115-1</t>
  </si>
  <si>
    <t>1020104-2</t>
  </si>
  <si>
    <t>1130115-2</t>
  </si>
  <si>
    <t>1020104-3</t>
  </si>
  <si>
    <t>ADMINISTRADORAS DE RIESGOS PROFESIONALES</t>
  </si>
  <si>
    <t>1020104-4</t>
  </si>
  <si>
    <t>1130116-1</t>
  </si>
  <si>
    <t>1020104-5</t>
  </si>
  <si>
    <t>1130116-2</t>
  </si>
  <si>
    <t>1020104-8</t>
  </si>
  <si>
    <t>CUOTAS DE RECUPERACION</t>
  </si>
  <si>
    <t>1020104-9</t>
  </si>
  <si>
    <t>1130117-1</t>
  </si>
  <si>
    <t>1020104-10</t>
  </si>
  <si>
    <t>1130117-2</t>
  </si>
  <si>
    <t>1020104-12</t>
  </si>
  <si>
    <t>PARTICULARES   (Venta de Contado)</t>
  </si>
  <si>
    <t>1020104-13</t>
  </si>
  <si>
    <t>1130118-1</t>
  </si>
  <si>
    <t>1020104-14</t>
  </si>
  <si>
    <t>1130118-2</t>
  </si>
  <si>
    <t>Digitar nombre de Nuevo Rubro. Si lo Requiere</t>
  </si>
  <si>
    <t>1020200-1</t>
  </si>
  <si>
    <t>1020200-2</t>
  </si>
  <si>
    <t>1020200-4</t>
  </si>
  <si>
    <t>1020301-1</t>
  </si>
  <si>
    <t>1020301-2</t>
  </si>
  <si>
    <t>1020301-3</t>
  </si>
  <si>
    <t>1020301-4</t>
  </si>
  <si>
    <t>1020302-1</t>
  </si>
  <si>
    <t>1020302-2</t>
  </si>
  <si>
    <t>1020302-3</t>
  </si>
  <si>
    <t>1020302-4</t>
  </si>
  <si>
    <t>11303-1</t>
  </si>
  <si>
    <t>1020302-5</t>
  </si>
  <si>
    <t>11303-2</t>
  </si>
  <si>
    <t>11303-3</t>
  </si>
  <si>
    <t>11303-4</t>
  </si>
  <si>
    <t>11303-5</t>
  </si>
  <si>
    <t>1020402-1</t>
  </si>
  <si>
    <t>1020402-2</t>
  </si>
  <si>
    <t>2100-1</t>
  </si>
  <si>
    <t>2200-1</t>
  </si>
  <si>
    <t>GASTOS GENERALES</t>
  </si>
  <si>
    <t>Adquisición de bienes</t>
  </si>
  <si>
    <t>2010100-1</t>
  </si>
  <si>
    <t>Compra de Equipos</t>
  </si>
  <si>
    <t>TOTAL INGRESOS DIFERENTES A CUENTAS POR COBRAR</t>
  </si>
  <si>
    <t>2010100-2</t>
  </si>
  <si>
    <t>Materiales</t>
  </si>
  <si>
    <t>TOTAL INGRESOS DE VIGENCIAS ANTERIORES</t>
  </si>
  <si>
    <t>2010100-3</t>
  </si>
  <si>
    <t>Salud Ocupacional</t>
  </si>
  <si>
    <t xml:space="preserve">TOTAL PRESUPUESTO DE INGRESOS </t>
  </si>
  <si>
    <t>2010100-4</t>
  </si>
  <si>
    <t>2010100-5</t>
  </si>
  <si>
    <t>2010100-6</t>
  </si>
  <si>
    <t>Adquisición de Servicios</t>
  </si>
  <si>
    <t>2010200-1</t>
  </si>
  <si>
    <t>Seguros</t>
  </si>
  <si>
    <t>2010200-2</t>
  </si>
  <si>
    <t>Impresos y Publicaciones</t>
  </si>
  <si>
    <t>2010200-3</t>
  </si>
  <si>
    <t xml:space="preserve">Servicios Públicos </t>
  </si>
  <si>
    <t>2010200-4</t>
  </si>
  <si>
    <t>Comunicaciones y Transportes</t>
  </si>
  <si>
    <t>2010200-5</t>
  </si>
  <si>
    <t>Viáticos y Gastos de Viaje</t>
  </si>
  <si>
    <t>2010200-6</t>
  </si>
  <si>
    <t>Arrendamientos</t>
  </si>
  <si>
    <t>2010200-7</t>
  </si>
  <si>
    <t>Vigilancia y Aseo</t>
  </si>
  <si>
    <t>2010200-8</t>
  </si>
  <si>
    <t>Bienestar Social</t>
  </si>
  <si>
    <t>2010200-9</t>
  </si>
  <si>
    <t>Capacitación, estimulos, incentivos, programa de calidad</t>
  </si>
  <si>
    <t>2010200-10</t>
  </si>
  <si>
    <t>2010200-11</t>
  </si>
  <si>
    <t>Gastos financieros</t>
  </si>
  <si>
    <t>2010200-12</t>
  </si>
  <si>
    <t>2010200-13</t>
  </si>
  <si>
    <t>2010020-14</t>
  </si>
  <si>
    <t>2010200-15</t>
  </si>
  <si>
    <t>Impuestos y Multas</t>
  </si>
  <si>
    <t>2010300-1</t>
  </si>
  <si>
    <t>Impuestos (Predial, Vehiculos, Otros)</t>
  </si>
  <si>
    <t>Mantenimiento Hospitalario</t>
  </si>
  <si>
    <t>2020102-1</t>
  </si>
  <si>
    <t>2020102-2</t>
  </si>
  <si>
    <t>2020102-3</t>
  </si>
  <si>
    <t>2020202-1</t>
  </si>
  <si>
    <t>2020202-2</t>
  </si>
  <si>
    <t>2020202-3</t>
  </si>
  <si>
    <t>2020202-4</t>
  </si>
  <si>
    <t>2020202-5</t>
  </si>
  <si>
    <t>2020202-6</t>
  </si>
  <si>
    <t>Plan Integral de Manejo de Residuos Sólidos Hospitalarios</t>
  </si>
  <si>
    <t>2020202-7</t>
  </si>
  <si>
    <t>Servicios de Laboratorio contratados con terceros</t>
  </si>
  <si>
    <t>2020202-8</t>
  </si>
  <si>
    <t>Servicios de Rayos X e Imaginología contratado con terceros</t>
  </si>
  <si>
    <t>2020202-9</t>
  </si>
  <si>
    <t>TRANSFERENCIAS CORRIENTES</t>
  </si>
  <si>
    <t>Transferencias al Sector Público</t>
  </si>
  <si>
    <t>Entidades Públicas (Contraloria, Supersalud,…)</t>
  </si>
  <si>
    <t>Transf. Previsión y Seguridad Social</t>
  </si>
  <si>
    <t>Pensiones y Jubilaciones (Pago Directo)</t>
  </si>
  <si>
    <t>Cesantías Pago Directo (Pago Directo)</t>
  </si>
  <si>
    <t>Bonos, Cuotas de Bonos y cuotas partes jubilatorias</t>
  </si>
  <si>
    <t>Intereses a las cesantias</t>
  </si>
  <si>
    <t>Otras Transferencias</t>
  </si>
  <si>
    <t>Sentencias y Conciliaciones</t>
  </si>
  <si>
    <t>Destinatarios de otras transferencias</t>
  </si>
  <si>
    <t>3300200-1</t>
  </si>
  <si>
    <t>3300200-2</t>
  </si>
  <si>
    <t>3300200-3</t>
  </si>
  <si>
    <t>GASTOS  DE PRESTACION DE SERVICIOS</t>
  </si>
  <si>
    <t>Insumos y Suministros Hospitalarios</t>
  </si>
  <si>
    <t>Compra de Bienes para la Prestacion de servicios</t>
  </si>
  <si>
    <t>4100100-1</t>
  </si>
  <si>
    <t>4100100-2</t>
  </si>
  <si>
    <t>4100100-3</t>
  </si>
  <si>
    <t>4100100-4</t>
  </si>
  <si>
    <t>4100100-5</t>
  </si>
  <si>
    <t>Gastos Complementarios e Intermedios</t>
  </si>
  <si>
    <t>4100200-1</t>
  </si>
  <si>
    <t>B</t>
  </si>
  <si>
    <t>GASTOS DE OPERACION COMERCIAL</t>
  </si>
  <si>
    <t>Insumos y Suministros para Venta al Público</t>
  </si>
  <si>
    <t>Compra de Bienes para la venta</t>
  </si>
  <si>
    <t>5100100-1</t>
  </si>
  <si>
    <t>5100100-2</t>
  </si>
  <si>
    <t>5100100-3</t>
  </si>
  <si>
    <t>5100100-4</t>
  </si>
  <si>
    <t>5100100-5</t>
  </si>
  <si>
    <t>5100100-6</t>
  </si>
  <si>
    <t>C</t>
  </si>
  <si>
    <t xml:space="preserve">SERVICIO DE LA DEUDA </t>
  </si>
  <si>
    <t>SERVICIO DE LA DEUDA INTERNA</t>
  </si>
  <si>
    <t>Amortización deuda Pública Interna</t>
  </si>
  <si>
    <t>Intereses Comisiones y gastos de la Deuda Pública</t>
  </si>
  <si>
    <t>SERVICIO DE LA DEUDA EXTERNA</t>
  </si>
  <si>
    <t>Amortización deuda Pública Externa</t>
  </si>
  <si>
    <t>D</t>
  </si>
  <si>
    <t>Programas de Inversión</t>
  </si>
  <si>
    <t>Formación Bruta del Capital</t>
  </si>
  <si>
    <t>8001000-1</t>
  </si>
  <si>
    <t>8001000-2</t>
  </si>
  <si>
    <t>8001000-3</t>
  </si>
  <si>
    <t>8001000-4</t>
  </si>
  <si>
    <t>8001000-7</t>
  </si>
  <si>
    <t>Subprogr.Construc. Remodelac. Adecuación y Apliac.5</t>
  </si>
  <si>
    <t>Gastos Operativos de Inversion   (Programas Especiales)</t>
  </si>
  <si>
    <t>8002100-1</t>
  </si>
  <si>
    <t>Fondo de la Vivienda</t>
  </si>
  <si>
    <t>8002100-2</t>
  </si>
  <si>
    <t>8002100-3</t>
  </si>
  <si>
    <t>8002100-4</t>
  </si>
  <si>
    <t>8002100-5</t>
  </si>
  <si>
    <t>8002100-6</t>
  </si>
  <si>
    <t>8002100-7</t>
  </si>
  <si>
    <t>E</t>
  </si>
  <si>
    <t>TOTAL VIGENCIAS ANTERIORES</t>
  </si>
  <si>
    <t>FEBRERO</t>
  </si>
  <si>
    <t>MARZO</t>
  </si>
  <si>
    <t>RECAUDOS ACUMULADOS DEL AÑO</t>
  </si>
  <si>
    <t>PAGOS ACUMULADOS DEL AÑO</t>
  </si>
  <si>
    <t>ABRIL</t>
  </si>
  <si>
    <t>MAYO</t>
  </si>
  <si>
    <t>JUNIO</t>
  </si>
  <si>
    <t>JULIO</t>
  </si>
  <si>
    <t>AGOSTO</t>
  </si>
  <si>
    <t>SEPTIEMBRE</t>
  </si>
  <si>
    <t>OCTUBRE</t>
  </si>
  <si>
    <t>NOVIEMBRE</t>
  </si>
  <si>
    <t>DICIEMBRE</t>
  </si>
  <si>
    <t>TRIMESTRE 1</t>
  </si>
  <si>
    <t>TRIMESTRE 2</t>
  </si>
  <si>
    <t>TRIMESTRE 3</t>
  </si>
  <si>
    <t>TRIMESTRE 4</t>
  </si>
  <si>
    <t>Recaudos Reales</t>
  </si>
  <si>
    <t>Total Recaudos acumulados del año</t>
  </si>
  <si>
    <t>Pagos Reales</t>
  </si>
  <si>
    <t>Total Pagos acumulados del año</t>
  </si>
  <si>
    <r>
      <t xml:space="preserve">MARQUE </t>
    </r>
    <r>
      <rPr>
        <b/>
        <sz val="16"/>
        <color indexed="10"/>
        <rFont val="Arial"/>
        <family val="2"/>
      </rPr>
      <t>1</t>
    </r>
    <r>
      <rPr>
        <b/>
        <sz val="12"/>
        <color indexed="62"/>
        <rFont val="Arial"/>
        <family val="2"/>
      </rPr>
      <t xml:space="preserve"> EN EL RECUADRO DEL TRIMESTRE A CONSOLIDAR</t>
    </r>
  </si>
  <si>
    <t>1130108-1</t>
  </si>
  <si>
    <t>1130108-2</t>
  </si>
  <si>
    <t>MES</t>
  </si>
  <si>
    <t>AÑO</t>
  </si>
  <si>
    <t>VIGENCIA</t>
  </si>
  <si>
    <t>GASTOS DE OPERACIÓN, COMERCIALIZACION Y PRESTACION DE SERVICIOS</t>
  </si>
  <si>
    <t xml:space="preserve">Aprovechamientos </t>
  </si>
  <si>
    <t>CREDITO INTERNO</t>
  </si>
  <si>
    <t>CREDITO EXTERNO</t>
  </si>
  <si>
    <t>RENDIMIENTOS FINANCIEROS</t>
  </si>
  <si>
    <t>VENTA DE ACTIVOS</t>
  </si>
  <si>
    <t>DONACIONES</t>
  </si>
  <si>
    <t>1130119-1</t>
  </si>
  <si>
    <t>1130119-2</t>
  </si>
  <si>
    <t>INFORMACION DE INGRESOS CONSOLIDAR INFORME DEL DECRETO 2193</t>
  </si>
  <si>
    <t>INFORMACION DE GASTOS CONSOLIDAR INFORME DECRETO 2193</t>
  </si>
  <si>
    <t xml:space="preserve">Prima de Navidad </t>
  </si>
  <si>
    <t>Prima Vida Cara</t>
  </si>
  <si>
    <t>Prima de Vacaciones</t>
  </si>
  <si>
    <t>Prima Clima</t>
  </si>
  <si>
    <t>Prima de Servicios</t>
  </si>
  <si>
    <t>Bonific. por Servicios Prestados (Convencional)</t>
  </si>
  <si>
    <t>Auxilio de Transporte</t>
  </si>
  <si>
    <t>Subsidio de Alimentación</t>
  </si>
  <si>
    <t>Gastos de Representación</t>
  </si>
  <si>
    <t xml:space="preserve"> Indemnizaciones por Vacaciones o Supresión de Cargos por Reestructuración</t>
  </si>
  <si>
    <t>Aportes a E.P.S.- Sin sit. Fondos</t>
  </si>
  <si>
    <t>Aportes Fondos Pensionales - Sin Sit. Fondos</t>
  </si>
  <si>
    <t xml:space="preserve">Aportes a Fondos de Cesantia - Sin Sit. de Fondos </t>
  </si>
  <si>
    <t>Aportes a E.P.S.- Con sit. Fondos</t>
  </si>
  <si>
    <t>Aportes Fondos Pensionales - Con Sit. Fondos</t>
  </si>
  <si>
    <t xml:space="preserve">Aportes a Fondos de Cesantia - Con Sit. de Fondos </t>
  </si>
  <si>
    <t>Aporte a Caja Compensación Familiar</t>
  </si>
  <si>
    <t>S.E.N.A.</t>
  </si>
  <si>
    <t>I.C.B.F.</t>
  </si>
  <si>
    <t>Indemnizaciones por Vacaciones o Supresión de Cargos por Reestructuración</t>
  </si>
  <si>
    <t>Compra de Equipo e Instr. Mco. y Laborat.</t>
  </si>
  <si>
    <t>COHAN</t>
  </si>
  <si>
    <t>AESA</t>
  </si>
  <si>
    <t xml:space="preserve">OTRAS </t>
  </si>
  <si>
    <t>Productos Farmaceuticos</t>
  </si>
  <si>
    <t>Material Médico Quirúrgico</t>
  </si>
  <si>
    <t>Material de Laboratorio</t>
  </si>
  <si>
    <t>Material para Odontologia</t>
  </si>
  <si>
    <t>Material para Rayos X</t>
  </si>
  <si>
    <t>Alimentación</t>
  </si>
  <si>
    <t>Material aseo personal, etc.</t>
  </si>
  <si>
    <t>INGRESOS DE EXPLOTACION</t>
  </si>
  <si>
    <t>Venta de servicios de salud</t>
  </si>
  <si>
    <t>Régimen subsidiado</t>
  </si>
  <si>
    <t>Régimen contributivo</t>
  </si>
  <si>
    <t>Atencion a poblacion  pobre en lo no cubierto con subsidios a la demanda</t>
  </si>
  <si>
    <t>SOAT</t>
  </si>
  <si>
    <t>Plan de intervenciones colectivas</t>
  </si>
  <si>
    <t>Otras ventas de servicios de salud</t>
  </si>
  <si>
    <t>Aportes de la nación, dpto, distrito o municipio, no ligados a la venta de servicios</t>
  </si>
  <si>
    <t>Ingresos de capital</t>
  </si>
  <si>
    <t>Cuentas por cobrar Vigencias Anteriores</t>
  </si>
  <si>
    <t>Gastos del personal de planta</t>
  </si>
  <si>
    <t>Servicios personales indirectos</t>
  </si>
  <si>
    <t>Sueldos del personal de nómina</t>
  </si>
  <si>
    <t>Horas extras. Dominicales y festivos</t>
  </si>
  <si>
    <t>Otros conceptos de servicios personales asociados a la nómina</t>
  </si>
  <si>
    <t>Contribuciones inherentes a la nómina</t>
  </si>
  <si>
    <t>Impuestos y multas</t>
  </si>
  <si>
    <t>GASTOS DE OPERACIÓN COMERCIAL Y PRESTACION DE SERVICIOS</t>
  </si>
  <si>
    <t>Medicamentos</t>
  </si>
  <si>
    <t>De comercialización (Compra de B y S distintos de medicamentos)</t>
  </si>
  <si>
    <t>De prestación de servicios  (Compra de B y S distintos de medicamentos)</t>
  </si>
  <si>
    <t xml:space="preserve">   Adquisición de servicios (Diferentes a mantenimiento)</t>
  </si>
  <si>
    <t>GASTOS DE COMERCIALIZACION</t>
  </si>
  <si>
    <t>Remuneración y Honorarios por Servicios Técnicos y Profesionales</t>
  </si>
  <si>
    <t>8002100-8</t>
  </si>
  <si>
    <t>8002100-9</t>
  </si>
  <si>
    <t>8002100-10</t>
  </si>
  <si>
    <t>8002100-11</t>
  </si>
  <si>
    <t>8002100-12</t>
  </si>
  <si>
    <t>Programas Especial 10</t>
  </si>
  <si>
    <t>Programas Especial 11</t>
  </si>
  <si>
    <t>Pago a otras IPS</t>
  </si>
  <si>
    <t>* En el caso de los recursos del SGP Aportes Patronales debe registrarse mes a mes la 1/12 del total asignado al respectivo Municipio por el CONPES</t>
  </si>
  <si>
    <t xml:space="preserve">* Para los recursos de la Disponibilidad inicial su reconocimiento debe ser siempre igual al presupuesto definitivo por corresponder a recursos disponibles a diciembre 31 del año anterior. </t>
  </si>
  <si>
    <t>Para los compromisos con cargo al SGP APORTES PATRONALES registrar mensualmente el valor total correspondiente al aporte patronal de las respectivas autoliquidaciónes</t>
  </si>
  <si>
    <t>* Desembolsos de Caja o Bancos, tanto como pago a compromisos como anticipos realizados</t>
  </si>
  <si>
    <t>* La diferencia entre el total consignado y el total autoliquidado, en caso de ser positiva, corresponde a valores que quedan a favor en cada fondo EPS o EPS-S</t>
  </si>
  <si>
    <t>DEPARTAMENTO</t>
  </si>
  <si>
    <t>CONVENIOS (EMPRESTITO)</t>
  </si>
  <si>
    <t>11303-6</t>
  </si>
  <si>
    <t>RECOMENDACIONES</t>
  </si>
  <si>
    <t>VARIACIONES</t>
  </si>
  <si>
    <t>Programas Especial 05</t>
  </si>
  <si>
    <t>Programas Especial 06</t>
  </si>
  <si>
    <t>Programas Especial 07</t>
  </si>
  <si>
    <t>Programas Especial 08</t>
  </si>
  <si>
    <t>Programas Especial 09</t>
  </si>
  <si>
    <t>* Para los aportes patronales pagados con recursos del SGP APORTES PATRONALES registre mes a mes el valor total consignado por  MINHACIENDA a los respectivos fondos, EPS y EPS-S.</t>
  </si>
  <si>
    <t>Pagos otras IPS</t>
  </si>
  <si>
    <t>2020202-10</t>
  </si>
  <si>
    <t>Servicios Públicos</t>
  </si>
  <si>
    <t>SECRETARIA SECCIONAL DE SALUD DE ANTIOQUIA</t>
  </si>
  <si>
    <t>APROPIACION</t>
  </si>
  <si>
    <t>TRASLADOS</t>
  </si>
  <si>
    <t>Para enviar la información a la S.S.S.A. debe sacar copia del mes utilizando el comando Edición, así:</t>
  </si>
  <si>
    <t>Las modificaciones al presupuesto ( Rebajas y Traslados) se digitan en las columnas P y AL, en el mes en que se producen, no lo intente en las columnas D y V, porque daña las referencias.  A las rebajas y a los contracréditos se les antepone el signo menos (-).  Las adiciones las digita en la columna Q y AM   tampoco lo intente en las columnas E y W porque también destruye las referencias.</t>
  </si>
  <si>
    <t>A partir del mes de febrero solamente se trabaja en las columnas H, K, P y Q en ingresos y en las columnas Z, AC, AF,AL y AM para los gastos.</t>
  </si>
  <si>
    <t>PARA LA VALIDACION DE LOS REPORTES TRIMESTRALES, LA EJECUCION DEBE ESTAR DILIGENCIADA SOLAMENTE HASTA EL MES DEL CORTE</t>
  </si>
  <si>
    <t>LA INSTITUCION DEBE LLEVAR LAS TARJETAS POR CADA RUBRO U APROPIACION Y ALLI REGISTRAR LA OPERACION PRESUPUESTAL EN EL MOMENTO EN QUE SE PRODUZCA</t>
  </si>
  <si>
    <t>AL FINALIZAR EL MES SE TOTALIZARAN LOS RECONOCIMIENTOS Y  RECAUDOS POR CADA RUBRO DE INGRESOS Y LOS COMPROMISOS OBLIGACIONES Y PAGOS POR CADA APROPIACION DEL GASTO. ESOS TOTALES SERAN LOS QUE SE LLEVAN AL INFORME DE EJECUCION</t>
  </si>
  <si>
    <t xml:space="preserve">Con este comando puede crear una copia en otro libro. </t>
  </si>
  <si>
    <t>Edición - Mover o Copiar Hoja - Crear copia, en libro nuevo</t>
  </si>
  <si>
    <r>
      <t xml:space="preserve">Edición (Clic)    Mover o Copiar Hoja...(Clic)    Al Libro = Nuevo Libro (Clic)    Activar la opción </t>
    </r>
    <r>
      <rPr>
        <b/>
        <sz val="9"/>
        <color indexed="10"/>
        <rFont val="Arial"/>
        <family val="2"/>
      </rPr>
      <t>Crear una</t>
    </r>
    <r>
      <rPr>
        <sz val="9"/>
        <color indexed="10"/>
        <rFont val="Arial"/>
        <family val="2"/>
      </rPr>
      <t xml:space="preserve"> Copia (Click)- Enter. Una vez ejecutada esta orden se renombra el libro creado</t>
    </r>
  </si>
  <si>
    <t>CONCEPTOS BASICOS</t>
  </si>
  <si>
    <t>*  Registrar los valores facturados en cada rubro de la vigencia  y el total de CxC de vigencias anteriores por cada concepto.</t>
  </si>
  <si>
    <t>* Registrar mes a mes los valores recaudados por cada concepto y que correspondan a facturacion de servicios de la vigencia actual y las anteriores</t>
  </si>
  <si>
    <t>* En el caso de los recursos del SGP Aportes Patronales debe registrarse mes a mes como recaudo la 1/12 del total asignado al respectivo Municipio por el CONPES.</t>
  </si>
  <si>
    <t xml:space="preserve">* Para los recursos de Disponibilidad inicial su recaudo debe ser siempre igual a presupuesto definitivo por corresponder a recursos disponibles a Dic-31 del año anterior. </t>
  </si>
  <si>
    <t>* Registrarlas deudas producto del desarrollo de compromisos adquiridos por el valor equivalente a bienes recibidos, servicios prestados y demás exigibles causados en el mes en la columna "DEL MES" y el acumulado durante el período transcurrido en la columna "TOTAL"</t>
  </si>
  <si>
    <t>Acto realizado por los órganos que en desarrollo de la capacidad de contratar y de comprometer el presupuesto a nombre de la persona jurídica de la cual hagan parte, se encuentren en el proceso de llevar a cabo el objeto establecido en los mismos.</t>
  </si>
  <si>
    <t>CUANDO SE NECESITA HACER CORRECCIONES A VALORES, NUNCA CORTE EL DATO, PORQUE CORTA LA REFERENCIA DE LAS FORMULAS.</t>
  </si>
  <si>
    <t>PRESUPUESTO TOTAL INSTITUCIÓN (DEFINITIVO)</t>
  </si>
  <si>
    <t>PRESUPUESTO TOTAL INSTITUCIÓN (RECONOCIMIENTOS)</t>
  </si>
  <si>
    <t>VALOR ASIGNADO</t>
  </si>
  <si>
    <t>% ASIGNADO RESPECTO AL TOTAL DE INGRESOS DEFINITIVO</t>
  </si>
  <si>
    <t>VALOR COMPROMETIDO</t>
  </si>
  <si>
    <t>% EJECUTADO RESPECTO AL TOTAL DE INGRESOS DEFINITIVOS</t>
  </si>
  <si>
    <t xml:space="preserve">VALOR EJECUTADO (OBLIGADO) </t>
  </si>
  <si>
    <t>VALOR PAGADO</t>
  </si>
  <si>
    <t>% PAGADO RESPECTO AL TOTAL DE INGRESOS DEFINITIVOS</t>
  </si>
  <si>
    <t>Adquisicion de Bienes</t>
  </si>
  <si>
    <t>Adquisicion de servicios</t>
  </si>
  <si>
    <t>% ASIGNADO RESPECTO AL TOTAL DE INGRESOS RECONOCIDOS</t>
  </si>
  <si>
    <t>% EJECUTADO RESPECTO AL TOTAL DE INGRESOS RECONOCIDOS</t>
  </si>
  <si>
    <t>% COMPROMETIDO RESPECTO AL TOTAL DE INGRESOS DEFINITIVOS</t>
  </si>
  <si>
    <t>% COMPROMETIDO RESPECTO AL TOTAL DE INGRESOS RECONOCIDOS</t>
  </si>
  <si>
    <t>% PAGADO RESPECTO AL TOTAL DE INGRESOS RECONOCIDOS</t>
  </si>
  <si>
    <t>EQUILIBRIO</t>
  </si>
  <si>
    <t>Con reconocimientos</t>
  </si>
  <si>
    <t>Con recaudos</t>
  </si>
  <si>
    <t>F = A/D</t>
  </si>
  <si>
    <t>G = B/D</t>
  </si>
  <si>
    <t xml:space="preserve">RECUERDE QUE DEBE CUMPLIRSE QUE: </t>
  </si>
  <si>
    <t>RECONOCIDO&gt;=COMPROMISO</t>
  </si>
  <si>
    <t>Total Reconocimientos al finalizar el trimestre reportado</t>
  </si>
  <si>
    <t>Total Compromisos al finalizar el trimestre reportado</t>
  </si>
  <si>
    <t>Total Obligaciones al finalizar el trimestre reportado</t>
  </si>
  <si>
    <t>RECAUDO / COMPROMISO &gt;= 1,00</t>
  </si>
  <si>
    <t>RECONOCIDO / COMPROMISO &gt;= 1,00</t>
  </si>
  <si>
    <t>% RECAUDO DE LO RECONOCIDO</t>
  </si>
  <si>
    <t>DEFICIT / EXCEDENTE PRESUPUESTAL</t>
  </si>
  <si>
    <t>H = A-D</t>
  </si>
  <si>
    <t>G = B-D</t>
  </si>
  <si>
    <t>SALUD PUBLICA - PLAN DE INTERVENCIONES COLECTIVAS</t>
  </si>
  <si>
    <t>RECAUDOS&gt;=COMPROMISO</t>
  </si>
  <si>
    <t>INSTITUCION:</t>
  </si>
  <si>
    <r>
      <t xml:space="preserve">Traslados entre rubros, tanto positivos como negativos </t>
    </r>
    <r>
      <rPr>
        <sz val="9"/>
        <rFont val="Bookman Old Style"/>
        <family val="1"/>
      </rPr>
      <t xml:space="preserve">
(No hacen variar el total general presupuestado)</t>
    </r>
  </si>
  <si>
    <r>
      <t xml:space="preserve">Incrementos o disminuciones al presupuesto general. </t>
    </r>
    <r>
      <rPr>
        <sz val="9"/>
        <rFont val="Bookman Old Style"/>
        <family val="1"/>
      </rPr>
      <t xml:space="preserve"> 
(Admite valores positivos y negativos.)</t>
    </r>
  </si>
  <si>
    <r>
      <t>Traslados entre apropiaciones, tanto positivos como negativos</t>
    </r>
    <r>
      <rPr>
        <sz val="9"/>
        <rFont val="Bookman Old Style"/>
        <family val="1"/>
      </rPr>
      <t xml:space="preserve"> 
(No hacen variar el total general presupuestado)</t>
    </r>
  </si>
  <si>
    <r>
      <t>Incrementos o disminuciones al presupuesto general.</t>
    </r>
    <r>
      <rPr>
        <sz val="9"/>
        <rFont val="Bookman Old Style"/>
        <family val="1"/>
      </rPr>
      <t xml:space="preserve">  
(Admite valores positivos y negativos.)</t>
    </r>
  </si>
  <si>
    <r>
      <rPr>
        <b/>
        <sz val="13"/>
        <rFont val="Arial"/>
        <family val="2"/>
      </rPr>
      <t xml:space="preserve">RECONOCIMIENTO </t>
    </r>
    <r>
      <rPr>
        <b/>
        <sz val="8"/>
        <rFont val="Arial"/>
        <family val="2"/>
      </rPr>
      <t xml:space="preserve">
</t>
    </r>
    <r>
      <rPr>
        <b/>
        <sz val="10"/>
        <rFont val="Arial"/>
        <family val="2"/>
      </rPr>
      <t>(Facturación real del contrato firmado)</t>
    </r>
  </si>
  <si>
    <r>
      <t xml:space="preserve">COMPROMISOS 
</t>
    </r>
    <r>
      <rPr>
        <b/>
        <sz val="10"/>
        <rFont val="Arial"/>
        <family val="2"/>
      </rPr>
      <t>(REGISTROS PRESUPUESTALES)</t>
    </r>
  </si>
  <si>
    <r>
      <t xml:space="preserve">OBLIGACIONES 
</t>
    </r>
    <r>
      <rPr>
        <b/>
        <sz val="10"/>
        <rFont val="Arial"/>
        <family val="2"/>
      </rPr>
      <t>(BIENES RECIBIDOS O SERVICIOS PRESTADOS)</t>
    </r>
  </si>
  <si>
    <r>
      <t xml:space="preserve">Incrementos o disminuciones al presupuesto general.  </t>
    </r>
    <r>
      <rPr>
        <sz val="9"/>
        <rFont val="Bookman Old Style"/>
        <family val="1"/>
      </rPr>
      <t xml:space="preserve">
(Admite valores positivos y negativos.)</t>
    </r>
  </si>
  <si>
    <r>
      <t xml:space="preserve">Traslados entre apropiaciones, tanto positivos como negativos </t>
    </r>
    <r>
      <rPr>
        <sz val="9"/>
        <rFont val="Bookman Old Style"/>
        <family val="1"/>
      </rPr>
      <t xml:space="preserve">
(No hacen variar el total general presupuestado)</t>
    </r>
  </si>
  <si>
    <t>Traslados entre rubros, tanto positivos como negativos 
(No hacen variar el total general presupuestado)</t>
  </si>
  <si>
    <t>Incrementos o disminuciones al presupuesto general.  
(Admite valores positivos y negativos.)</t>
  </si>
  <si>
    <t>DIGITAR AQUÍ LOS NOMBRES DEL MUNICIPIO Y DE LA INSTITUCION PARA LA IDENTIFICACION DEL ARCHIVO</t>
  </si>
  <si>
    <t xml:space="preserve">Aporte a ARL. - Sin Sit. de Fondos </t>
  </si>
  <si>
    <t>Aporte a ARL. - Con Sit. de Fondos</t>
  </si>
  <si>
    <t>Aporte a ARL. - Sin Sit. de Fondos</t>
  </si>
  <si>
    <t>Convenios con la Nacion ligados a venta de servicios de salud</t>
  </si>
  <si>
    <t>Convenios con el Departamento ligados a venta de servicios de salud</t>
  </si>
  <si>
    <t>Convenios con el Municipio ligados a venta de servicios de salud</t>
  </si>
  <si>
    <t>Total Definitivo al finalizar el trimestre reportado</t>
  </si>
  <si>
    <t>Aportes de la Nación no ligados a la venta de servicios</t>
  </si>
  <si>
    <t>Aportes del Departamento no ligados a la venta de servicios</t>
  </si>
  <si>
    <t>Aportes del Municipio no ligados a la venta de servicios</t>
  </si>
  <si>
    <t>Aportes PatronalesDepartamento / Municipio</t>
  </si>
  <si>
    <t>Servicios personales asociados a la nómina</t>
  </si>
  <si>
    <t xml:space="preserve">  GASTOS DE PERSONAL</t>
  </si>
  <si>
    <t xml:space="preserve">  GASTOS GENERALES</t>
  </si>
  <si>
    <t>GASTOS DE OPERACIÓN, COMERCIALIZACION Y 
PRESTACION DE SERVICIOS</t>
  </si>
  <si>
    <t>De comercialización (Compra de B y S para la venta distintos de medicamentos)</t>
  </si>
  <si>
    <t>De prestación de servicios  (Compra de B y S para prestacion de servicios distintos de medicamentos)</t>
  </si>
  <si>
    <t>TOTAL DE INGRESOS</t>
  </si>
  <si>
    <t>SEGUIMIENTO EJECUCION PRESUPUESTAL - VIGENCIA 2015</t>
  </si>
  <si>
    <t>EVALUACION RECURSOS DE MANTENIMIENTO HOSPITALARIO VIGENCIA 2015</t>
  </si>
  <si>
    <t>1130103-4</t>
  </si>
  <si>
    <t>1130103-5</t>
  </si>
  <si>
    <t>1130103-6</t>
  </si>
  <si>
    <t xml:space="preserve"> Aportes Patronales  1o. Nivel</t>
  </si>
  <si>
    <t xml:space="preserve"> Aportes Patronales  2o. Nivel</t>
  </si>
  <si>
    <t xml:space="preserve"> Aportes Patronales  3er. Nivel</t>
  </si>
  <si>
    <t>CONVENIOS CON LA NACION LIGADOS A LA VENTA DE SERVICIOS</t>
  </si>
  <si>
    <t>CONVENIOS CON EL DEPARTAMENTO LIGADOS A LA VENTA SERVICIOS</t>
  </si>
  <si>
    <t>CONVENIOS CON EL MUNICIPIO LIGADOS A LA VENTA DE SERVICIOS</t>
  </si>
  <si>
    <t>OTROS CONVENIOS LIGADOS A LA VENTA DE SERVICIOS</t>
  </si>
  <si>
    <t>RECURSOS PARA PROGRAMA DE SANEAMIENTO FINANCIERO</t>
  </si>
  <si>
    <t>11303-7</t>
  </si>
  <si>
    <t>11303-8</t>
  </si>
  <si>
    <t>Vigencia Anterior</t>
  </si>
  <si>
    <t>11304-1</t>
  </si>
  <si>
    <t>ARRENDAMIENTO Y ALQUILER DE BIENES MUEBLES E INMUEBLES</t>
  </si>
  <si>
    <t>11304-2</t>
  </si>
  <si>
    <t>COMERCIALIZACIÓN DE MERCANCÍAS</t>
  </si>
  <si>
    <t>11304-3</t>
  </si>
  <si>
    <t>11304-4</t>
  </si>
  <si>
    <t>11304-5</t>
  </si>
  <si>
    <t>11304-6</t>
  </si>
  <si>
    <t>11304-7</t>
  </si>
  <si>
    <t>NACION</t>
  </si>
  <si>
    <t>APORTES PATRONALES - MUNICIPIO / DEPARTAMENTO</t>
  </si>
  <si>
    <t>Otras Ventas de Servicios de Salud</t>
  </si>
  <si>
    <t>Aportes (No ligados a la venta de servicios de salud)</t>
  </si>
  <si>
    <t>FLUJO DE CAJA PARA EL INFORME TRIMESTRAL DEL SIHO - DECRETO 2193/2004</t>
  </si>
  <si>
    <t>Programa de Saneamiento Fiscal y Financiero</t>
  </si>
  <si>
    <t>OTROS INGRESOS DE CAPITAL</t>
  </si>
  <si>
    <t>TITIRIBI</t>
  </si>
  <si>
    <t>ESE HOSPITAL SAN JUAN DE DIOS</t>
  </si>
  <si>
    <t>Subprogr.Diseño Proyecto plan maestro, remodelacion y adec.primer piso</t>
  </si>
  <si>
    <t>Subprogr.Adquisicion de ambulancia</t>
  </si>
  <si>
    <t>Subprogr.Actualizacion software hacia NICSP y Adquisicion de Historias clinicas</t>
  </si>
  <si>
    <t>Subprogr. Implementacion Normas Internacionales de Contabilidad Publica</t>
  </si>
  <si>
    <t>Programas Especial 01 Convenio APS Municipio</t>
  </si>
  <si>
    <t>Programas Especial 02 Convenios APS  Departamento</t>
  </si>
  <si>
    <t>Programas Especial 04 Convenio Puestos de Salud</t>
  </si>
  <si>
    <t>Combustible</t>
  </si>
  <si>
    <t xml:space="preserve">SANEAMIENTO APORTES PATRONALES </t>
  </si>
  <si>
    <t>Subprogr.Construc. Remodelac. Adecuación y Apliac.4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</si>
</sst>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_ ;[Red]\-#,##0\ "/>
    <numFmt numFmtId="166" formatCode="\X"/>
    <numFmt numFmtId="167" formatCode="&quot;$&quot;#,##0.00"/>
  </numFmts>
  <fonts count="58" x14ac:knownFonts="1">
    <font>
      <sz val="10"/>
      <name val="Arial"/>
    </font>
    <font>
      <sz val="8"/>
      <name val="Arial"/>
      <family val="2"/>
    </font>
    <font>
      <b/>
      <sz val="9"/>
      <color indexed="10"/>
      <name val="Arial"/>
      <family val="2"/>
    </font>
    <font>
      <sz val="9"/>
      <name val="Arial"/>
      <family val="2"/>
    </font>
    <font>
      <sz val="10"/>
      <name val="Arial"/>
      <family val="2"/>
    </font>
    <font>
      <b/>
      <sz val="12"/>
      <color indexed="12"/>
      <name val="Arial"/>
      <family val="2"/>
    </font>
    <font>
      <sz val="12"/>
      <name val="Arial"/>
      <family val="2"/>
    </font>
    <font>
      <b/>
      <sz val="10"/>
      <name val="Arial"/>
      <family val="2"/>
    </font>
    <font>
      <b/>
      <sz val="14"/>
      <name val="Arial"/>
      <family val="2"/>
    </font>
    <font>
      <b/>
      <sz val="9"/>
      <name val="Arial"/>
      <family val="2"/>
    </font>
    <font>
      <b/>
      <sz val="9"/>
      <color indexed="8"/>
      <name val="Arial"/>
      <family val="2"/>
    </font>
    <font>
      <sz val="9"/>
      <color indexed="10"/>
      <name val="Arial"/>
      <family val="2"/>
    </font>
    <font>
      <sz val="10"/>
      <color indexed="8"/>
      <name val="Arial"/>
      <family val="2"/>
    </font>
    <font>
      <sz val="10"/>
      <color indexed="9"/>
      <name val="Arial"/>
      <family val="2"/>
    </font>
    <font>
      <b/>
      <sz val="12"/>
      <name val="Arial"/>
      <family val="2"/>
    </font>
    <font>
      <b/>
      <sz val="8"/>
      <name val="Arial"/>
      <family val="2"/>
    </font>
    <font>
      <b/>
      <sz val="11"/>
      <color indexed="17"/>
      <name val="Arial"/>
      <family val="2"/>
    </font>
    <font>
      <b/>
      <sz val="11"/>
      <name val="Arial"/>
      <family val="2"/>
    </font>
    <font>
      <sz val="11"/>
      <name val="Arial"/>
      <family val="2"/>
    </font>
    <font>
      <b/>
      <sz val="12"/>
      <color indexed="10"/>
      <name val="Arial"/>
      <family val="2"/>
    </font>
    <font>
      <b/>
      <sz val="20"/>
      <color indexed="21"/>
      <name val="Arial"/>
      <family val="2"/>
    </font>
    <font>
      <sz val="10"/>
      <name val="Tahoma"/>
      <family val="2"/>
    </font>
    <font>
      <sz val="12"/>
      <name val="Tahoma"/>
      <family val="2"/>
    </font>
    <font>
      <b/>
      <sz val="16"/>
      <color indexed="10"/>
      <name val="Arial"/>
      <family val="2"/>
    </font>
    <font>
      <b/>
      <sz val="12"/>
      <color indexed="62"/>
      <name val="Arial"/>
      <family val="2"/>
    </font>
    <font>
      <b/>
      <sz val="12"/>
      <color indexed="12"/>
      <name val="Arial"/>
      <family val="2"/>
    </font>
    <font>
      <b/>
      <sz val="10"/>
      <color indexed="17"/>
      <name val="Arial"/>
      <family val="2"/>
    </font>
    <font>
      <b/>
      <sz val="16"/>
      <name val="Arial"/>
      <family val="2"/>
    </font>
    <font>
      <b/>
      <sz val="15"/>
      <name val="Arial"/>
      <family val="2"/>
    </font>
    <font>
      <b/>
      <sz val="12"/>
      <color indexed="36"/>
      <name val="Arial"/>
      <family val="2"/>
    </font>
    <font>
      <b/>
      <sz val="13"/>
      <name val="Arial"/>
      <family val="2"/>
    </font>
    <font>
      <b/>
      <sz val="18"/>
      <color indexed="17"/>
      <name val="Arial"/>
      <family val="2"/>
    </font>
    <font>
      <b/>
      <sz val="12"/>
      <color indexed="17"/>
      <name val="Arial"/>
      <family val="2"/>
    </font>
    <font>
      <b/>
      <sz val="13"/>
      <color indexed="17"/>
      <name val="Arial"/>
      <family val="2"/>
    </font>
    <font>
      <b/>
      <sz val="17"/>
      <name val="Arial"/>
      <family val="2"/>
    </font>
    <font>
      <b/>
      <sz val="28"/>
      <name val="Arial Rounded MT Bold"/>
      <family val="2"/>
    </font>
    <font>
      <b/>
      <sz val="20"/>
      <color indexed="36"/>
      <name val="Arial"/>
      <family val="2"/>
    </font>
    <font>
      <b/>
      <sz val="24"/>
      <color indexed="53"/>
      <name val="Arial"/>
      <family val="2"/>
    </font>
    <font>
      <b/>
      <sz val="18"/>
      <color indexed="10"/>
      <name val="Arial"/>
      <family val="2"/>
    </font>
    <font>
      <b/>
      <sz val="20"/>
      <color indexed="10"/>
      <name val="Arial"/>
      <family val="2"/>
    </font>
    <font>
      <b/>
      <sz val="8"/>
      <color indexed="10"/>
      <name val="Tahoma"/>
      <family val="2"/>
    </font>
    <font>
      <b/>
      <sz val="13"/>
      <color indexed="10"/>
      <name val="Arial"/>
      <family val="2"/>
    </font>
    <font>
      <sz val="9"/>
      <name val="Arial Unicode MS"/>
      <family val="2"/>
    </font>
    <font>
      <sz val="9"/>
      <name val="Bookman Old Style"/>
      <family val="1"/>
    </font>
    <font>
      <b/>
      <sz val="11"/>
      <color indexed="81"/>
      <name val="Tahoma"/>
      <family val="2"/>
    </font>
    <font>
      <b/>
      <sz val="9"/>
      <name val="Bookman Old Style"/>
      <family val="1"/>
    </font>
    <font>
      <sz val="14"/>
      <name val="Arial"/>
      <family val="2"/>
    </font>
    <font>
      <b/>
      <sz val="16"/>
      <name val="Microsoft Sans Serif"/>
      <family val="2"/>
    </font>
    <font>
      <b/>
      <sz val="14"/>
      <name val="Arial Rounded MT Bold"/>
      <family val="2"/>
    </font>
    <font>
      <sz val="7"/>
      <name val="Arial"/>
      <family val="2"/>
    </font>
    <font>
      <b/>
      <sz val="18"/>
      <name val="Arial"/>
      <family val="2"/>
    </font>
    <font>
      <i/>
      <sz val="8"/>
      <name val="Arial"/>
      <family val="2"/>
    </font>
    <font>
      <sz val="17"/>
      <name val="Arial"/>
      <family val="2"/>
    </font>
    <font>
      <b/>
      <sz val="10"/>
      <name val="Tahoma"/>
      <family val="2"/>
    </font>
    <font>
      <b/>
      <sz val="12"/>
      <color indexed="8"/>
      <name val="Arial"/>
      <family val="2"/>
    </font>
    <font>
      <b/>
      <sz val="11"/>
      <color indexed="8"/>
      <name val="Arial"/>
      <family val="2"/>
    </font>
    <font>
      <sz val="11"/>
      <color indexed="8"/>
      <name val="Arial"/>
      <family val="2"/>
    </font>
    <font>
      <sz val="9"/>
      <color rgb="FFFF0000"/>
      <name val="Arial"/>
      <family val="2"/>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indexed="47"/>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s>
  <borders count="84">
    <border>
      <left/>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17"/>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ck">
        <color indexed="17"/>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double">
        <color indexed="21"/>
      </left>
      <right/>
      <top style="thin">
        <color indexed="64"/>
      </top>
      <bottom style="thin">
        <color indexed="64"/>
      </bottom>
      <diagonal/>
    </border>
    <border>
      <left/>
      <right style="thin">
        <color indexed="64"/>
      </right>
      <top style="thin">
        <color indexed="64"/>
      </top>
      <bottom/>
      <diagonal/>
    </border>
    <border>
      <left/>
      <right style="thick">
        <color indexed="17"/>
      </right>
      <top style="medium">
        <color indexed="64"/>
      </top>
      <bottom style="thin">
        <color indexed="64"/>
      </bottom>
      <diagonal/>
    </border>
    <border>
      <left style="thick">
        <color indexed="17"/>
      </left>
      <right/>
      <top style="thick">
        <color indexed="17"/>
      </top>
      <bottom/>
      <diagonal/>
    </border>
    <border>
      <left style="thick">
        <color indexed="17"/>
      </left>
      <right/>
      <top/>
      <bottom/>
      <diagonal/>
    </border>
    <border>
      <left/>
      <right style="thick">
        <color indexed="17"/>
      </right>
      <top style="thick">
        <color indexed="17"/>
      </top>
      <bottom/>
      <diagonal/>
    </border>
    <border>
      <left/>
      <right style="thick">
        <color indexed="17"/>
      </right>
      <top/>
      <bottom/>
      <diagonal/>
    </border>
    <border>
      <left/>
      <right style="medium">
        <color indexed="64"/>
      </right>
      <top style="thin">
        <color indexed="64"/>
      </top>
      <bottom style="medium">
        <color indexed="64"/>
      </bottom>
      <diagonal/>
    </border>
  </borders>
  <cellStyleXfs count="4">
    <xf numFmtId="0" fontId="0" fillId="0" borderId="0"/>
    <xf numFmtId="0" fontId="4" fillId="0" borderId="0" applyFont="0" applyFill="0" applyBorder="0" applyAlignment="0" applyProtection="0"/>
    <xf numFmtId="0" fontId="4" fillId="0" borderId="0"/>
    <xf numFmtId="9" fontId="4" fillId="0" borderId="0" applyFont="0" applyFill="0" applyBorder="0" applyAlignment="0" applyProtection="0"/>
  </cellStyleXfs>
  <cellXfs count="995">
    <xf numFmtId="0" fontId="0" fillId="0" borderId="0" xfId="0"/>
    <xf numFmtId="0" fontId="4" fillId="2" borderId="0" xfId="0" applyFont="1" applyFill="1" applyProtection="1"/>
    <xf numFmtId="3" fontId="13" fillId="2" borderId="1" xfId="0" applyNumberFormat="1" applyFont="1" applyFill="1" applyBorder="1" applyProtection="1"/>
    <xf numFmtId="3" fontId="4" fillId="2" borderId="2" xfId="0" applyNumberFormat="1" applyFont="1" applyFill="1" applyBorder="1" applyAlignment="1" applyProtection="1">
      <alignment horizontal="centerContinuous"/>
    </xf>
    <xf numFmtId="3" fontId="4" fillId="2" borderId="3" xfId="0" applyNumberFormat="1" applyFont="1" applyFill="1" applyBorder="1" applyAlignment="1" applyProtection="1">
      <alignment horizontal="centerContinuous"/>
    </xf>
    <xf numFmtId="3" fontId="4" fillId="2" borderId="4" xfId="0" applyNumberFormat="1" applyFont="1" applyFill="1" applyBorder="1" applyAlignment="1" applyProtection="1">
      <alignment horizontal="center"/>
    </xf>
    <xf numFmtId="0" fontId="14" fillId="2" borderId="0" xfId="0" applyFont="1" applyFill="1" applyAlignment="1" applyProtection="1">
      <alignment horizontal="centerContinuous" vertical="center"/>
    </xf>
    <xf numFmtId="3" fontId="14" fillId="2" borderId="0" xfId="0" applyNumberFormat="1" applyFont="1" applyFill="1" applyAlignment="1" applyProtection="1">
      <alignment vertical="center"/>
    </xf>
    <xf numFmtId="3" fontId="15" fillId="2" borderId="0" xfId="0" applyNumberFormat="1" applyFont="1" applyFill="1" applyProtection="1"/>
    <xf numFmtId="3" fontId="4" fillId="2" borderId="0" xfId="0" applyNumberFormat="1" applyFont="1" applyFill="1" applyAlignment="1" applyProtection="1">
      <alignment vertical="center"/>
    </xf>
    <xf numFmtId="0" fontId="4" fillId="2" borderId="0" xfId="0" applyFont="1" applyFill="1" applyAlignment="1" applyProtection="1">
      <alignment vertical="center"/>
    </xf>
    <xf numFmtId="3" fontId="4" fillId="2" borderId="5" xfId="0" applyNumberFormat="1" applyFont="1" applyFill="1" applyBorder="1" applyAlignment="1" applyProtection="1">
      <alignment horizontal="left" vertical="center"/>
    </xf>
    <xf numFmtId="3" fontId="4" fillId="2" borderId="6" xfId="0" applyNumberFormat="1" applyFont="1" applyFill="1" applyBorder="1" applyAlignment="1" applyProtection="1">
      <alignment vertical="center"/>
    </xf>
    <xf numFmtId="3" fontId="4" fillId="2" borderId="0" xfId="0" applyNumberFormat="1" applyFont="1" applyFill="1" applyBorder="1" applyAlignment="1" applyProtection="1">
      <alignment vertical="center"/>
    </xf>
    <xf numFmtId="3" fontId="4" fillId="2" borderId="5" xfId="0" applyNumberFormat="1" applyFont="1" applyFill="1" applyBorder="1" applyAlignment="1" applyProtection="1">
      <alignment horizontal="left" vertical="justify"/>
    </xf>
    <xf numFmtId="3" fontId="3" fillId="2" borderId="7" xfId="0" applyNumberFormat="1" applyFont="1" applyFill="1" applyBorder="1" applyAlignment="1" applyProtection="1">
      <alignment horizontal="right" vertical="center"/>
    </xf>
    <xf numFmtId="3" fontId="3" fillId="2" borderId="8" xfId="0" applyNumberFormat="1" applyFont="1" applyFill="1" applyBorder="1" applyAlignment="1" applyProtection="1">
      <alignment horizontal="right" vertical="center"/>
    </xf>
    <xf numFmtId="3" fontId="3" fillId="2" borderId="9" xfId="0" applyNumberFormat="1" applyFont="1" applyFill="1" applyBorder="1" applyAlignment="1" applyProtection="1">
      <alignment horizontal="right" vertical="center"/>
    </xf>
    <xf numFmtId="3" fontId="3" fillId="2" borderId="10" xfId="0" applyNumberFormat="1" applyFont="1" applyFill="1" applyBorder="1" applyAlignment="1" applyProtection="1">
      <alignment horizontal="right" vertical="center"/>
    </xf>
    <xf numFmtId="3" fontId="3" fillId="2" borderId="11" xfId="0" applyNumberFormat="1" applyFont="1" applyFill="1" applyBorder="1" applyAlignment="1" applyProtection="1">
      <alignment horizontal="right" vertical="center"/>
    </xf>
    <xf numFmtId="3" fontId="4" fillId="2" borderId="4" xfId="0" applyNumberFormat="1" applyFont="1" applyFill="1" applyBorder="1" applyAlignment="1" applyProtection="1">
      <alignment vertical="center"/>
    </xf>
    <xf numFmtId="3" fontId="4" fillId="2" borderId="4" xfId="0" applyNumberFormat="1" applyFont="1" applyFill="1" applyBorder="1" applyAlignment="1" applyProtection="1">
      <alignment horizontal="center" vertical="center"/>
    </xf>
    <xf numFmtId="0" fontId="4" fillId="2" borderId="12" xfId="0" applyFont="1" applyFill="1" applyBorder="1" applyAlignment="1" applyProtection="1">
      <alignment horizontal="left" vertical="center"/>
    </xf>
    <xf numFmtId="0" fontId="4" fillId="2" borderId="13" xfId="0" applyFont="1" applyFill="1" applyBorder="1" applyAlignment="1" applyProtection="1">
      <alignment horizontal="left" vertical="center"/>
    </xf>
    <xf numFmtId="3" fontId="4" fillId="2" borderId="14" xfId="0" applyNumberFormat="1" applyFont="1" applyFill="1" applyBorder="1" applyAlignment="1" applyProtection="1">
      <alignment horizontal="left" vertical="center"/>
    </xf>
    <xf numFmtId="3" fontId="3" fillId="2" borderId="7" xfId="0" applyNumberFormat="1" applyFont="1" applyFill="1" applyBorder="1" applyAlignment="1" applyProtection="1">
      <alignment vertical="center"/>
    </xf>
    <xf numFmtId="3" fontId="3" fillId="2" borderId="8" xfId="0" applyNumberFormat="1" applyFont="1" applyFill="1" applyBorder="1" applyAlignment="1" applyProtection="1">
      <alignment vertical="center"/>
    </xf>
    <xf numFmtId="3" fontId="3" fillId="2" borderId="9" xfId="0" applyNumberFormat="1" applyFont="1" applyFill="1" applyBorder="1" applyAlignment="1" applyProtection="1">
      <alignment vertical="center"/>
    </xf>
    <xf numFmtId="3" fontId="3" fillId="2" borderId="10" xfId="0" applyNumberFormat="1" applyFont="1" applyFill="1" applyBorder="1" applyAlignment="1" applyProtection="1">
      <alignment vertical="center"/>
    </xf>
    <xf numFmtId="3" fontId="3" fillId="2" borderId="11"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3" fontId="4" fillId="2" borderId="0" xfId="0" applyNumberFormat="1" applyFont="1" applyFill="1" applyProtection="1"/>
    <xf numFmtId="3" fontId="3" fillId="0" borderId="11" xfId="0" applyNumberFormat="1" applyFont="1" applyFill="1" applyBorder="1" applyAlignment="1" applyProtection="1">
      <alignment vertical="center"/>
    </xf>
    <xf numFmtId="3" fontId="3" fillId="0" borderId="8" xfId="0" applyNumberFormat="1" applyFont="1" applyFill="1" applyBorder="1" applyAlignment="1" applyProtection="1">
      <alignment vertical="center"/>
    </xf>
    <xf numFmtId="0" fontId="0" fillId="0" borderId="0" xfId="0" applyFill="1"/>
    <xf numFmtId="0" fontId="2" fillId="0" borderId="0" xfId="0" applyFont="1" applyAlignment="1" applyProtection="1"/>
    <xf numFmtId="0" fontId="2" fillId="0" borderId="0" xfId="0" applyFont="1" applyProtection="1"/>
    <xf numFmtId="0" fontId="3" fillId="0" borderId="0" xfId="0" applyFont="1" applyAlignment="1" applyProtection="1"/>
    <xf numFmtId="0" fontId="3" fillId="0" borderId="0" xfId="0" applyFont="1" applyProtection="1"/>
    <xf numFmtId="0" fontId="4" fillId="0" borderId="0" xfId="0" applyFont="1" applyProtection="1"/>
    <xf numFmtId="3" fontId="17" fillId="3" borderId="15" xfId="0" applyNumberFormat="1" applyFont="1" applyFill="1" applyBorder="1" applyProtection="1"/>
    <xf numFmtId="3" fontId="15" fillId="2" borderId="16" xfId="0" applyNumberFormat="1" applyFont="1" applyFill="1" applyBorder="1" applyAlignment="1" applyProtection="1">
      <alignment horizontal="center" vertical="center"/>
    </xf>
    <xf numFmtId="3" fontId="15" fillId="2" borderId="17" xfId="0" applyNumberFormat="1" applyFont="1" applyFill="1" applyBorder="1" applyAlignment="1" applyProtection="1">
      <alignment horizontal="center" vertical="center"/>
    </xf>
    <xf numFmtId="3" fontId="15" fillId="2" borderId="11" xfId="0" applyNumberFormat="1" applyFont="1" applyFill="1" applyBorder="1" applyAlignment="1" applyProtection="1">
      <alignment horizontal="right" vertical="center"/>
    </xf>
    <xf numFmtId="3" fontId="15" fillId="2" borderId="7" xfId="0" applyNumberFormat="1" applyFont="1" applyFill="1" applyBorder="1" applyAlignment="1" applyProtection="1">
      <alignment horizontal="right" vertical="center"/>
    </xf>
    <xf numFmtId="3" fontId="15" fillId="2" borderId="8" xfId="0" applyNumberFormat="1" applyFont="1" applyFill="1" applyBorder="1" applyAlignment="1" applyProtection="1">
      <alignment horizontal="right" vertical="center"/>
    </xf>
    <xf numFmtId="3" fontId="4" fillId="2" borderId="8" xfId="0" applyNumberFormat="1" applyFont="1" applyFill="1" applyBorder="1" applyAlignment="1" applyProtection="1">
      <alignment vertical="center"/>
    </xf>
    <xf numFmtId="3" fontId="14" fillId="2" borderId="13" xfId="0" applyNumberFormat="1" applyFont="1" applyFill="1" applyBorder="1" applyAlignment="1" applyProtection="1">
      <alignment vertical="center"/>
    </xf>
    <xf numFmtId="3" fontId="14" fillId="2" borderId="12" xfId="0" applyNumberFormat="1" applyFont="1" applyFill="1" applyBorder="1" applyAlignment="1" applyProtection="1">
      <alignment vertical="center"/>
    </xf>
    <xf numFmtId="3" fontId="14" fillId="2" borderId="0" xfId="0" applyNumberFormat="1" applyFont="1" applyFill="1" applyBorder="1" applyAlignment="1" applyProtection="1">
      <alignment vertical="center"/>
    </xf>
    <xf numFmtId="3" fontId="14" fillId="2" borderId="17" xfId="0" applyNumberFormat="1" applyFont="1" applyFill="1" applyBorder="1" applyAlignment="1" applyProtection="1">
      <alignment horizontal="center" vertical="center"/>
    </xf>
    <xf numFmtId="0" fontId="6" fillId="2" borderId="18" xfId="0" applyFont="1" applyFill="1" applyBorder="1" applyAlignment="1" applyProtection="1">
      <alignment horizontal="center" vertical="center"/>
    </xf>
    <xf numFmtId="0" fontId="6" fillId="2" borderId="19" xfId="0" applyFont="1" applyFill="1" applyBorder="1" applyAlignment="1" applyProtection="1">
      <alignment horizontal="center" vertical="center"/>
    </xf>
    <xf numFmtId="3" fontId="17" fillId="3" borderId="20" xfId="0" applyNumberFormat="1" applyFont="1" applyFill="1" applyBorder="1" applyProtection="1"/>
    <xf numFmtId="3" fontId="17" fillId="2" borderId="18" xfId="0" applyNumberFormat="1" applyFont="1" applyFill="1" applyBorder="1" applyProtection="1"/>
    <xf numFmtId="3" fontId="17" fillId="2" borderId="21" xfId="0" applyNumberFormat="1" applyFont="1" applyFill="1" applyBorder="1" applyProtection="1"/>
    <xf numFmtId="3" fontId="17" fillId="2" borderId="22" xfId="0" applyNumberFormat="1" applyFont="1" applyFill="1" applyBorder="1" applyProtection="1"/>
    <xf numFmtId="3" fontId="17" fillId="2" borderId="0" xfId="0" applyNumberFormat="1" applyFont="1" applyFill="1" applyBorder="1" applyProtection="1"/>
    <xf numFmtId="0" fontId="17" fillId="3" borderId="18" xfId="0" applyFont="1" applyFill="1" applyBorder="1" applyAlignment="1" applyProtection="1">
      <alignment wrapText="1"/>
    </xf>
    <xf numFmtId="3" fontId="17" fillId="3" borderId="21" xfId="0" applyNumberFormat="1" applyFont="1" applyFill="1" applyBorder="1" applyAlignment="1" applyProtection="1">
      <alignment horizontal="right"/>
    </xf>
    <xf numFmtId="3" fontId="17" fillId="3" borderId="22" xfId="0" applyNumberFormat="1" applyFont="1" applyFill="1" applyBorder="1" applyAlignment="1" applyProtection="1">
      <alignment horizontal="right"/>
    </xf>
    <xf numFmtId="0" fontId="17" fillId="2" borderId="23" xfId="0" applyFont="1" applyFill="1" applyBorder="1" applyAlignment="1" applyProtection="1">
      <alignment wrapText="1"/>
    </xf>
    <xf numFmtId="3" fontId="17" fillId="2" borderId="18" xfId="0" applyNumberFormat="1" applyFont="1" applyFill="1" applyBorder="1" applyAlignment="1" applyProtection="1">
      <alignment horizontal="right"/>
    </xf>
    <xf numFmtId="3" fontId="17" fillId="2" borderId="21" xfId="0" applyNumberFormat="1" applyFont="1" applyFill="1" applyBorder="1" applyAlignment="1" applyProtection="1">
      <alignment horizontal="right"/>
    </xf>
    <xf numFmtId="3" fontId="17" fillId="2" borderId="22" xfId="0" applyNumberFormat="1" applyFont="1" applyFill="1" applyBorder="1" applyAlignment="1" applyProtection="1">
      <alignment horizontal="right"/>
    </xf>
    <xf numFmtId="3" fontId="17" fillId="2" borderId="11" xfId="0" applyNumberFormat="1" applyFont="1" applyFill="1" applyBorder="1" applyProtection="1"/>
    <xf numFmtId="3" fontId="17" fillId="2" borderId="7" xfId="0" applyNumberFormat="1" applyFont="1" applyFill="1" applyBorder="1" applyProtection="1"/>
    <xf numFmtId="3" fontId="17" fillId="2" borderId="8" xfId="0" applyNumberFormat="1" applyFont="1" applyFill="1" applyBorder="1" applyProtection="1"/>
    <xf numFmtId="0" fontId="4" fillId="3" borderId="11" xfId="0" applyFont="1" applyFill="1" applyBorder="1" applyAlignment="1" applyProtection="1">
      <alignment wrapText="1"/>
    </xf>
    <xf numFmtId="3" fontId="18" fillId="2" borderId="7" xfId="0" applyNumberFormat="1" applyFont="1" applyFill="1" applyBorder="1" applyAlignment="1" applyProtection="1">
      <alignment horizontal="right" wrapText="1"/>
    </xf>
    <xf numFmtId="3" fontId="18" fillId="2" borderId="8" xfId="0" applyNumberFormat="1" applyFont="1" applyFill="1" applyBorder="1" applyAlignment="1" applyProtection="1">
      <alignment horizontal="right" wrapText="1"/>
    </xf>
    <xf numFmtId="0" fontId="4" fillId="2" borderId="24" xfId="0" applyFont="1" applyFill="1" applyBorder="1" applyAlignment="1" applyProtection="1">
      <alignment wrapText="1"/>
    </xf>
    <xf numFmtId="3" fontId="18" fillId="2" borderId="11" xfId="0" applyNumberFormat="1" applyFont="1" applyFill="1" applyBorder="1" applyAlignment="1" applyProtection="1">
      <alignment horizontal="right" wrapText="1"/>
    </xf>
    <xf numFmtId="3" fontId="18" fillId="2" borderId="11" xfId="0" applyNumberFormat="1" applyFont="1" applyFill="1" applyBorder="1" applyAlignment="1" applyProtection="1">
      <alignment vertical="center"/>
    </xf>
    <xf numFmtId="3" fontId="18" fillId="2" borderId="7" xfId="0" applyNumberFormat="1" applyFont="1" applyFill="1" applyBorder="1" applyAlignment="1" applyProtection="1">
      <alignment vertical="center"/>
    </xf>
    <xf numFmtId="3" fontId="18" fillId="2" borderId="8" xfId="0" applyNumberFormat="1" applyFont="1" applyFill="1" applyBorder="1" applyAlignment="1" applyProtection="1">
      <alignment vertical="center"/>
    </xf>
    <xf numFmtId="3" fontId="18" fillId="2" borderId="0" xfId="0" applyNumberFormat="1" applyFont="1" applyFill="1" applyBorder="1" applyAlignment="1" applyProtection="1">
      <alignment vertical="center"/>
    </xf>
    <xf numFmtId="0" fontId="4" fillId="3" borderId="11" xfId="0" applyFont="1" applyFill="1" applyBorder="1" applyAlignment="1" applyProtection="1">
      <alignment horizontal="left" wrapText="1" indent="1"/>
    </xf>
    <xf numFmtId="3" fontId="18" fillId="2" borderId="7" xfId="0" applyNumberFormat="1" applyFont="1" applyFill="1" applyBorder="1" applyAlignment="1" applyProtection="1">
      <alignment horizontal="right" vertical="center" wrapText="1"/>
    </xf>
    <xf numFmtId="3" fontId="18" fillId="2" borderId="8" xfId="0" applyNumberFormat="1" applyFont="1" applyFill="1" applyBorder="1" applyAlignment="1" applyProtection="1">
      <alignment horizontal="right" vertical="center" wrapText="1"/>
    </xf>
    <xf numFmtId="3" fontId="18" fillId="2" borderId="11" xfId="0" applyNumberFormat="1" applyFont="1" applyFill="1" applyBorder="1" applyAlignment="1" applyProtection="1">
      <alignment horizontal="right" vertical="center" wrapText="1"/>
    </xf>
    <xf numFmtId="3" fontId="18" fillId="2" borderId="7" xfId="0" applyNumberFormat="1" applyFont="1" applyFill="1" applyBorder="1" applyAlignment="1" applyProtection="1">
      <alignment horizontal="right"/>
    </xf>
    <xf numFmtId="3" fontId="18" fillId="2" borderId="8" xfId="0" applyNumberFormat="1" applyFont="1" applyFill="1" applyBorder="1" applyAlignment="1" applyProtection="1">
      <alignment horizontal="right"/>
    </xf>
    <xf numFmtId="3" fontId="18" fillId="2" borderId="11" xfId="0" applyNumberFormat="1" applyFont="1" applyFill="1" applyBorder="1" applyAlignment="1" applyProtection="1">
      <alignment horizontal="right"/>
    </xf>
    <xf numFmtId="3" fontId="18" fillId="2" borderId="7" xfId="0" applyNumberFormat="1" applyFont="1" applyFill="1" applyBorder="1" applyAlignment="1" applyProtection="1">
      <alignment horizontal="right" vertical="center"/>
    </xf>
    <xf numFmtId="3" fontId="18" fillId="2" borderId="8" xfId="0" applyNumberFormat="1" applyFont="1" applyFill="1" applyBorder="1" applyAlignment="1" applyProtection="1">
      <alignment horizontal="right" vertical="center"/>
    </xf>
    <xf numFmtId="3" fontId="18" fillId="2" borderId="11" xfId="0" applyNumberFormat="1" applyFont="1" applyFill="1" applyBorder="1" applyAlignment="1" applyProtection="1">
      <alignment horizontal="right" vertical="center"/>
    </xf>
    <xf numFmtId="3" fontId="17" fillId="2" borderId="11" xfId="0" applyNumberFormat="1" applyFont="1" applyFill="1" applyBorder="1" applyAlignment="1" applyProtection="1">
      <alignment vertical="center"/>
    </xf>
    <xf numFmtId="3" fontId="17" fillId="2" borderId="7" xfId="0" applyNumberFormat="1" applyFont="1" applyFill="1" applyBorder="1" applyAlignment="1" applyProtection="1">
      <alignment vertical="center"/>
    </xf>
    <xf numFmtId="3" fontId="17" fillId="2" borderId="8" xfId="0" applyNumberFormat="1" applyFont="1" applyFill="1" applyBorder="1" applyAlignment="1" applyProtection="1">
      <alignment vertical="center"/>
    </xf>
    <xf numFmtId="3" fontId="17" fillId="2" borderId="0" xfId="0" applyNumberFormat="1" applyFont="1" applyFill="1" applyBorder="1" applyAlignment="1" applyProtection="1">
      <alignment vertical="center"/>
    </xf>
    <xf numFmtId="0" fontId="17" fillId="3" borderId="11" xfId="0" applyFont="1" applyFill="1" applyBorder="1" applyAlignment="1" applyProtection="1">
      <alignment wrapText="1"/>
    </xf>
    <xf numFmtId="3" fontId="18" fillId="2" borderId="11" xfId="0" applyNumberFormat="1" applyFont="1" applyFill="1" applyBorder="1" applyProtection="1"/>
    <xf numFmtId="3" fontId="18" fillId="2" borderId="7" xfId="0" applyNumberFormat="1" applyFont="1" applyFill="1" applyBorder="1" applyProtection="1"/>
    <xf numFmtId="3" fontId="18" fillId="2" borderId="8" xfId="0" applyNumberFormat="1" applyFont="1" applyFill="1" applyBorder="1" applyProtection="1"/>
    <xf numFmtId="3" fontId="18" fillId="2" borderId="0" xfId="0" applyNumberFormat="1" applyFont="1" applyFill="1" applyBorder="1" applyProtection="1"/>
    <xf numFmtId="3" fontId="17" fillId="3" borderId="7" xfId="0" applyNumberFormat="1" applyFont="1" applyFill="1" applyBorder="1" applyAlignment="1" applyProtection="1">
      <alignment horizontal="right"/>
    </xf>
    <xf numFmtId="3" fontId="17" fillId="3" borderId="8" xfId="0" applyNumberFormat="1" applyFont="1" applyFill="1" applyBorder="1" applyAlignment="1" applyProtection="1">
      <alignment horizontal="right"/>
    </xf>
    <xf numFmtId="0" fontId="17" fillId="3" borderId="19" xfId="0" applyFont="1" applyFill="1" applyBorder="1" applyAlignment="1" applyProtection="1">
      <alignment wrapText="1"/>
    </xf>
    <xf numFmtId="3" fontId="17" fillId="3" borderId="16" xfId="0" applyNumberFormat="1" applyFont="1" applyFill="1" applyBorder="1" applyAlignment="1" applyProtection="1">
      <alignment horizontal="right"/>
    </xf>
    <xf numFmtId="3" fontId="17" fillId="3" borderId="17" xfId="0" applyNumberFormat="1" applyFont="1" applyFill="1" applyBorder="1" applyAlignment="1" applyProtection="1">
      <alignment horizontal="right"/>
    </xf>
    <xf numFmtId="0" fontId="15" fillId="2" borderId="24" xfId="0" applyFont="1" applyFill="1" applyBorder="1" applyAlignment="1" applyProtection="1">
      <alignment wrapText="1"/>
    </xf>
    <xf numFmtId="0" fontId="7" fillId="2" borderId="25" xfId="0" applyFont="1" applyFill="1" applyBorder="1" applyAlignment="1" applyProtection="1">
      <alignment wrapText="1"/>
    </xf>
    <xf numFmtId="3" fontId="7" fillId="2" borderId="19" xfId="0" applyNumberFormat="1" applyFont="1" applyFill="1" applyBorder="1" applyProtection="1"/>
    <xf numFmtId="3" fontId="7" fillId="2" borderId="16" xfId="0" applyNumberFormat="1" applyFont="1" applyFill="1" applyBorder="1" applyProtection="1"/>
    <xf numFmtId="3" fontId="7" fillId="2" borderId="17" xfId="0" applyNumberFormat="1" applyFont="1" applyFill="1" applyBorder="1" applyProtection="1"/>
    <xf numFmtId="3" fontId="17" fillId="2" borderId="11" xfId="0" applyNumberFormat="1" applyFont="1" applyFill="1" applyBorder="1" applyAlignment="1" applyProtection="1">
      <alignment horizontal="right"/>
    </xf>
    <xf numFmtId="3" fontId="17" fillId="2" borderId="7" xfId="0" applyNumberFormat="1" applyFont="1" applyFill="1" applyBorder="1" applyAlignment="1" applyProtection="1">
      <alignment horizontal="right"/>
    </xf>
    <xf numFmtId="3" fontId="17" fillId="2" borderId="8" xfId="0" applyNumberFormat="1" applyFont="1" applyFill="1" applyBorder="1" applyAlignment="1" applyProtection="1">
      <alignment horizontal="right"/>
    </xf>
    <xf numFmtId="0" fontId="4" fillId="2" borderId="24" xfId="0" applyFont="1" applyFill="1" applyBorder="1" applyAlignment="1" applyProtection="1">
      <alignment vertical="center" wrapText="1"/>
    </xf>
    <xf numFmtId="0" fontId="17" fillId="2" borderId="24" xfId="0" applyFont="1" applyFill="1" applyBorder="1" applyAlignment="1" applyProtection="1">
      <alignment wrapText="1"/>
    </xf>
    <xf numFmtId="0" fontId="17" fillId="2" borderId="25" xfId="0" applyFont="1" applyFill="1" applyBorder="1" applyAlignment="1" applyProtection="1">
      <alignment wrapText="1"/>
    </xf>
    <xf numFmtId="3" fontId="17" fillId="2" borderId="19" xfId="0" applyNumberFormat="1" applyFont="1" applyFill="1" applyBorder="1" applyAlignment="1" applyProtection="1">
      <alignment horizontal="right"/>
    </xf>
    <xf numFmtId="3" fontId="17" fillId="2" borderId="16" xfId="0" applyNumberFormat="1" applyFont="1" applyFill="1" applyBorder="1" applyAlignment="1" applyProtection="1">
      <alignment horizontal="right"/>
    </xf>
    <xf numFmtId="3" fontId="17" fillId="2" borderId="17" xfId="0" applyNumberFormat="1" applyFont="1" applyFill="1" applyBorder="1" applyAlignment="1" applyProtection="1">
      <alignment horizontal="right"/>
    </xf>
    <xf numFmtId="3" fontId="9" fillId="2" borderId="26" xfId="0" applyNumberFormat="1" applyFont="1" applyFill="1" applyBorder="1" applyAlignment="1" applyProtection="1">
      <alignment vertical="center"/>
    </xf>
    <xf numFmtId="3" fontId="9" fillId="2" borderId="27" xfId="0" applyNumberFormat="1" applyFont="1" applyFill="1" applyBorder="1" applyAlignment="1" applyProtection="1">
      <alignment vertical="center"/>
    </xf>
    <xf numFmtId="3" fontId="17" fillId="3" borderId="28" xfId="0" applyNumberFormat="1" applyFont="1" applyFill="1" applyBorder="1" applyAlignment="1" applyProtection="1">
      <alignment horizontal="right"/>
    </xf>
    <xf numFmtId="3" fontId="17" fillId="2" borderId="29" xfId="0" applyNumberFormat="1" applyFont="1" applyFill="1" applyBorder="1" applyAlignment="1" applyProtection="1">
      <alignment horizontal="right"/>
    </xf>
    <xf numFmtId="3" fontId="17" fillId="2" borderId="30" xfId="0" applyNumberFormat="1" applyFont="1" applyFill="1" applyBorder="1" applyAlignment="1" applyProtection="1">
      <alignment horizontal="right"/>
    </xf>
    <xf numFmtId="3" fontId="3" fillId="2" borderId="0" xfId="0" applyNumberFormat="1" applyFont="1" applyFill="1" applyProtection="1"/>
    <xf numFmtId="3" fontId="15" fillId="2" borderId="6" xfId="0" applyNumberFormat="1" applyFont="1" applyFill="1" applyBorder="1" applyAlignment="1" applyProtection="1">
      <alignment horizontal="center" vertical="center"/>
    </xf>
    <xf numFmtId="3" fontId="15" fillId="2" borderId="31" xfId="0" applyNumberFormat="1" applyFont="1" applyFill="1" applyBorder="1" applyAlignment="1" applyProtection="1">
      <alignment horizontal="center" vertical="center"/>
    </xf>
    <xf numFmtId="3" fontId="3" fillId="2" borderId="16" xfId="0" applyNumberFormat="1" applyFont="1" applyFill="1" applyBorder="1" applyAlignment="1" applyProtection="1">
      <alignment horizontal="right" vertical="center"/>
    </xf>
    <xf numFmtId="3" fontId="9" fillId="2" borderId="7" xfId="0" applyNumberFormat="1" applyFont="1" applyFill="1" applyBorder="1" applyAlignment="1" applyProtection="1">
      <alignment vertical="center"/>
    </xf>
    <xf numFmtId="3" fontId="9" fillId="2" borderId="32" xfId="0" applyNumberFormat="1" applyFont="1" applyFill="1" applyBorder="1" applyAlignment="1" applyProtection="1">
      <alignment vertical="center"/>
    </xf>
    <xf numFmtId="3" fontId="9" fillId="2" borderId="33" xfId="0" applyNumberFormat="1" applyFont="1" applyFill="1" applyBorder="1" applyAlignment="1" applyProtection="1">
      <alignment vertical="center"/>
    </xf>
    <xf numFmtId="3" fontId="3" fillId="2" borderId="19" xfId="0" applyNumberFormat="1" applyFont="1" applyFill="1" applyBorder="1" applyAlignment="1" applyProtection="1">
      <alignment horizontal="right" vertical="center"/>
    </xf>
    <xf numFmtId="3" fontId="3" fillId="2" borderId="17" xfId="0" applyNumberFormat="1" applyFont="1" applyFill="1" applyBorder="1" applyAlignment="1" applyProtection="1">
      <alignment horizontal="right" vertical="center"/>
    </xf>
    <xf numFmtId="3" fontId="3" fillId="2" borderId="34" xfId="0" applyNumberFormat="1" applyFont="1" applyFill="1" applyBorder="1" applyAlignment="1" applyProtection="1">
      <alignment horizontal="right" vertical="center"/>
    </xf>
    <xf numFmtId="3" fontId="15" fillId="2" borderId="35" xfId="0" applyNumberFormat="1" applyFont="1" applyFill="1" applyBorder="1" applyAlignment="1" applyProtection="1">
      <alignment horizontal="center" vertical="center"/>
    </xf>
    <xf numFmtId="3" fontId="9" fillId="2" borderId="11" xfId="0" applyNumberFormat="1" applyFont="1" applyFill="1" applyBorder="1" applyAlignment="1" applyProtection="1">
      <alignment vertical="center"/>
    </xf>
    <xf numFmtId="3" fontId="9" fillId="2" borderId="10" xfId="0" applyNumberFormat="1" applyFont="1" applyFill="1" applyBorder="1" applyAlignment="1" applyProtection="1">
      <alignment vertical="center"/>
    </xf>
    <xf numFmtId="3" fontId="9" fillId="2" borderId="8" xfId="0" applyNumberFormat="1" applyFont="1" applyFill="1" applyBorder="1" applyAlignment="1" applyProtection="1">
      <alignment vertical="center"/>
    </xf>
    <xf numFmtId="3" fontId="9" fillId="0" borderId="7" xfId="0" applyNumberFormat="1" applyFont="1" applyFill="1" applyBorder="1" applyAlignment="1" applyProtection="1">
      <alignment vertical="center"/>
    </xf>
    <xf numFmtId="3" fontId="9" fillId="2" borderId="9" xfId="0" applyNumberFormat="1" applyFont="1" applyFill="1" applyBorder="1" applyAlignment="1" applyProtection="1">
      <alignment vertical="center"/>
    </xf>
    <xf numFmtId="3" fontId="3" fillId="2" borderId="36" xfId="0" applyNumberFormat="1" applyFont="1" applyFill="1" applyBorder="1" applyAlignment="1" applyProtection="1">
      <alignment vertical="center"/>
    </xf>
    <xf numFmtId="165" fontId="3" fillId="2" borderId="24" xfId="0" applyNumberFormat="1" applyFont="1" applyFill="1" applyBorder="1" applyAlignment="1" applyProtection="1">
      <alignment horizontal="left" vertical="center" indent="3"/>
    </xf>
    <xf numFmtId="49" fontId="3" fillId="2" borderId="24" xfId="0" applyNumberFormat="1" applyFont="1" applyFill="1" applyBorder="1" applyAlignment="1" applyProtection="1">
      <alignment horizontal="left" vertical="center" indent="3"/>
    </xf>
    <xf numFmtId="165" fontId="3" fillId="2" borderId="24" xfId="0" applyNumberFormat="1" applyFont="1" applyFill="1" applyBorder="1" applyAlignment="1" applyProtection="1">
      <alignment horizontal="left" wrapText="1" indent="3"/>
    </xf>
    <xf numFmtId="0" fontId="4" fillId="2" borderId="24" xfId="0" applyFont="1" applyFill="1" applyBorder="1" applyAlignment="1" applyProtection="1">
      <alignment horizontal="left" wrapText="1" indent="1"/>
    </xf>
    <xf numFmtId="0" fontId="4" fillId="2" borderId="24" xfId="0" applyFont="1" applyFill="1" applyBorder="1" applyAlignment="1" applyProtection="1">
      <alignment horizontal="left" vertical="center" wrapText="1" indent="2"/>
    </xf>
    <xf numFmtId="0" fontId="4" fillId="2" borderId="24" xfId="0" applyFont="1" applyFill="1" applyBorder="1" applyAlignment="1" applyProtection="1">
      <alignment horizontal="left" wrapText="1" indent="2"/>
    </xf>
    <xf numFmtId="0" fontId="7" fillId="2" borderId="24" xfId="0" applyFont="1" applyFill="1" applyBorder="1" applyAlignment="1" applyProtection="1">
      <alignment wrapText="1"/>
    </xf>
    <xf numFmtId="166" fontId="35" fillId="4" borderId="7" xfId="0" applyNumberFormat="1" applyFont="1" applyFill="1" applyBorder="1" applyAlignment="1" applyProtection="1">
      <alignment horizontal="center" vertical="center"/>
      <protection locked="0"/>
    </xf>
    <xf numFmtId="3" fontId="3" fillId="0" borderId="7" xfId="0" applyNumberFormat="1" applyFont="1" applyFill="1" applyBorder="1" applyAlignment="1" applyProtection="1">
      <alignment vertical="center"/>
    </xf>
    <xf numFmtId="3" fontId="1" fillId="2" borderId="8" xfId="0" applyNumberFormat="1" applyFont="1" applyFill="1" applyBorder="1" applyAlignment="1" applyProtection="1">
      <alignment vertical="center"/>
    </xf>
    <xf numFmtId="3" fontId="1" fillId="2" borderId="11" xfId="0" applyNumberFormat="1" applyFont="1" applyFill="1" applyBorder="1" applyAlignment="1" applyProtection="1">
      <alignment horizontal="right" vertical="center"/>
    </xf>
    <xf numFmtId="3" fontId="1" fillId="2" borderId="8" xfId="0" applyNumberFormat="1" applyFont="1" applyFill="1" applyBorder="1" applyAlignment="1" applyProtection="1">
      <alignment horizontal="right" vertical="center"/>
    </xf>
    <xf numFmtId="0" fontId="3" fillId="0" borderId="37" xfId="0" quotePrefix="1" applyFont="1" applyBorder="1" applyAlignment="1" applyProtection="1">
      <alignment horizontal="left"/>
    </xf>
    <xf numFmtId="0" fontId="3" fillId="0" borderId="0" xfId="0" applyFont="1" applyBorder="1" applyAlignment="1" applyProtection="1"/>
    <xf numFmtId="0" fontId="3" fillId="0" borderId="38" xfId="0" applyFont="1" applyBorder="1" applyAlignment="1" applyProtection="1"/>
    <xf numFmtId="0" fontId="3" fillId="0" borderId="37" xfId="0" applyFont="1" applyBorder="1" applyAlignment="1" applyProtection="1"/>
    <xf numFmtId="0" fontId="3" fillId="0" borderId="39" xfId="0" quotePrefix="1" applyFont="1" applyBorder="1" applyAlignment="1" applyProtection="1">
      <alignment horizontal="left"/>
    </xf>
    <xf numFmtId="0" fontId="3" fillId="0" borderId="12" xfId="0" applyFont="1" applyBorder="1" applyAlignment="1" applyProtection="1"/>
    <xf numFmtId="0" fontId="3" fillId="0" borderId="13" xfId="0" applyFont="1" applyBorder="1" applyAlignment="1" applyProtection="1"/>
    <xf numFmtId="0" fontId="3" fillId="0" borderId="40" xfId="0" applyFont="1" applyBorder="1" applyAlignment="1" applyProtection="1"/>
    <xf numFmtId="0" fontId="3" fillId="0" borderId="14" xfId="0" applyFont="1" applyBorder="1" applyAlignment="1" applyProtection="1"/>
    <xf numFmtId="0" fontId="3" fillId="0" borderId="41" xfId="0" applyFont="1" applyBorder="1" applyAlignment="1" applyProtection="1"/>
    <xf numFmtId="0" fontId="2" fillId="0" borderId="37" xfId="0" applyFont="1" applyBorder="1" applyAlignment="1" applyProtection="1"/>
    <xf numFmtId="0" fontId="10" fillId="0" borderId="37" xfId="0" applyFont="1" applyBorder="1" applyAlignment="1" applyProtection="1"/>
    <xf numFmtId="3" fontId="15" fillId="2" borderId="42" xfId="0" applyNumberFormat="1" applyFont="1" applyFill="1" applyBorder="1" applyAlignment="1" applyProtection="1">
      <alignment horizontal="center" vertical="center"/>
    </xf>
    <xf numFmtId="3" fontId="15" fillId="2" borderId="43" xfId="0" applyNumberFormat="1" applyFont="1" applyFill="1" applyBorder="1" applyAlignment="1" applyProtection="1">
      <alignment horizontal="center" vertical="center"/>
    </xf>
    <xf numFmtId="3" fontId="15" fillId="2" borderId="0" xfId="0" applyNumberFormat="1" applyFont="1" applyFill="1" applyBorder="1" applyAlignment="1" applyProtection="1">
      <alignment horizontal="center" vertical="center"/>
    </xf>
    <xf numFmtId="3" fontId="15" fillId="2" borderId="44" xfId="0" applyNumberFormat="1" applyFont="1" applyFill="1" applyBorder="1" applyAlignment="1" applyProtection="1">
      <alignment horizontal="center" vertical="center"/>
    </xf>
    <xf numFmtId="3" fontId="15" fillId="2" borderId="45" xfId="0" applyNumberFormat="1" applyFont="1" applyFill="1" applyBorder="1" applyAlignment="1" applyProtection="1">
      <alignment horizontal="center" vertical="center"/>
    </xf>
    <xf numFmtId="3" fontId="15" fillId="2" borderId="46" xfId="0" applyNumberFormat="1" applyFont="1" applyFill="1" applyBorder="1" applyAlignment="1" applyProtection="1">
      <alignment horizontal="center" vertical="center"/>
    </xf>
    <xf numFmtId="3" fontId="15" fillId="2" borderId="47"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vertical="center"/>
    </xf>
    <xf numFmtId="3" fontId="15" fillId="2" borderId="48" xfId="0" applyNumberFormat="1" applyFont="1" applyFill="1" applyBorder="1" applyAlignment="1" applyProtection="1">
      <alignment horizontal="center" vertical="center"/>
    </xf>
    <xf numFmtId="3" fontId="15" fillId="2" borderId="2" xfId="0" applyNumberFormat="1" applyFont="1" applyFill="1" applyBorder="1" applyAlignment="1" applyProtection="1">
      <alignment horizontal="center" vertical="center"/>
    </xf>
    <xf numFmtId="3" fontId="15" fillId="2" borderId="3" xfId="0" applyNumberFormat="1" applyFont="1" applyFill="1" applyBorder="1" applyAlignment="1" applyProtection="1">
      <alignment horizontal="center" vertical="center"/>
    </xf>
    <xf numFmtId="3" fontId="15" fillId="2" borderId="38" xfId="0" applyNumberFormat="1" applyFont="1" applyFill="1" applyBorder="1" applyAlignment="1" applyProtection="1">
      <alignment horizontal="center" vertical="center"/>
    </xf>
    <xf numFmtId="3" fontId="3" fillId="2" borderId="24" xfId="0" applyNumberFormat="1" applyFont="1" applyFill="1" applyBorder="1" applyAlignment="1" applyProtection="1">
      <alignment vertical="center"/>
    </xf>
    <xf numFmtId="3" fontId="3" fillId="2" borderId="48" xfId="0" applyNumberFormat="1" applyFont="1" applyFill="1" applyBorder="1" applyAlignment="1" applyProtection="1">
      <alignment vertical="center"/>
    </xf>
    <xf numFmtId="3" fontId="3" fillId="2" borderId="24" xfId="0" applyNumberFormat="1" applyFont="1" applyFill="1" applyBorder="1" applyAlignment="1" applyProtection="1">
      <alignment horizontal="right" vertical="center"/>
    </xf>
    <xf numFmtId="3" fontId="3" fillId="2" borderId="48" xfId="0" applyNumberFormat="1" applyFont="1" applyFill="1" applyBorder="1" applyAlignment="1" applyProtection="1">
      <alignment horizontal="right" vertical="center"/>
    </xf>
    <xf numFmtId="3" fontId="15" fillId="2" borderId="18" xfId="0" applyNumberFormat="1" applyFont="1" applyFill="1" applyBorder="1" applyAlignment="1" applyProtection="1">
      <alignment horizontal="right" vertical="center"/>
    </xf>
    <xf numFmtId="3" fontId="15" fillId="2" borderId="22" xfId="0" applyNumberFormat="1" applyFont="1" applyFill="1" applyBorder="1" applyAlignment="1" applyProtection="1">
      <alignment horizontal="right" vertical="center"/>
    </xf>
    <xf numFmtId="0" fontId="3" fillId="0" borderId="0" xfId="0" quotePrefix="1" applyFont="1" applyBorder="1" applyAlignment="1" applyProtection="1">
      <alignment horizontal="left"/>
    </xf>
    <xf numFmtId="0" fontId="5" fillId="0" borderId="40" xfId="0" applyFont="1" applyBorder="1" applyAlignment="1" applyProtection="1"/>
    <xf numFmtId="0" fontId="5" fillId="0" borderId="14" xfId="0" applyFont="1" applyBorder="1" applyAlignment="1" applyProtection="1"/>
    <xf numFmtId="0" fontId="5" fillId="0" borderId="37" xfId="0" applyFont="1" applyBorder="1" applyAlignment="1" applyProtection="1"/>
    <xf numFmtId="3" fontId="15" fillId="2" borderId="32" xfId="0" applyNumberFormat="1" applyFont="1" applyFill="1" applyBorder="1" applyAlignment="1" applyProtection="1">
      <alignment horizontal="center" vertical="center"/>
    </xf>
    <xf numFmtId="3" fontId="15" fillId="2" borderId="27" xfId="0" applyNumberFormat="1" applyFont="1" applyFill="1" applyBorder="1" applyAlignment="1" applyProtection="1">
      <alignment horizontal="center" vertical="center"/>
    </xf>
    <xf numFmtId="3" fontId="15" fillId="2" borderId="14" xfId="0" applyNumberFormat="1" applyFont="1" applyFill="1" applyBorder="1" applyAlignment="1" applyProtection="1">
      <alignment horizontal="center" vertical="center"/>
    </xf>
    <xf numFmtId="3" fontId="15" fillId="2" borderId="41" xfId="0" applyNumberFormat="1" applyFont="1" applyFill="1" applyBorder="1" applyAlignment="1" applyProtection="1">
      <alignment horizontal="center" vertical="center"/>
    </xf>
    <xf numFmtId="3" fontId="15" fillId="2" borderId="40" xfId="0" applyNumberFormat="1" applyFont="1" applyFill="1" applyBorder="1" applyAlignment="1" applyProtection="1">
      <alignment horizontal="center" vertical="center"/>
    </xf>
    <xf numFmtId="3" fontId="18" fillId="0" borderId="7" xfId="0" applyNumberFormat="1" applyFont="1" applyFill="1" applyBorder="1" applyAlignment="1" applyProtection="1">
      <alignment horizontal="right" vertical="center" wrapText="1"/>
    </xf>
    <xf numFmtId="3" fontId="18" fillId="0" borderId="7" xfId="0" applyNumberFormat="1" applyFont="1" applyFill="1" applyBorder="1" applyAlignment="1" applyProtection="1">
      <alignment horizontal="right"/>
    </xf>
    <xf numFmtId="3" fontId="18" fillId="0" borderId="7" xfId="0" applyNumberFormat="1" applyFont="1" applyFill="1" applyBorder="1" applyAlignment="1" applyProtection="1">
      <alignment horizontal="right" vertical="center"/>
    </xf>
    <xf numFmtId="3" fontId="3" fillId="2" borderId="44" xfId="0" applyNumberFormat="1" applyFont="1" applyFill="1" applyBorder="1" applyAlignment="1" applyProtection="1">
      <alignment vertical="center"/>
    </xf>
    <xf numFmtId="3" fontId="3" fillId="2" borderId="36" xfId="0" applyNumberFormat="1" applyFont="1" applyFill="1" applyBorder="1" applyAlignment="1" applyProtection="1">
      <alignment horizontal="right" vertical="center"/>
    </xf>
    <xf numFmtId="3" fontId="3" fillId="2" borderId="30" xfId="0" applyNumberFormat="1" applyFont="1" applyFill="1" applyBorder="1" applyAlignment="1" applyProtection="1">
      <alignment horizontal="right" vertical="center"/>
    </xf>
    <xf numFmtId="3" fontId="3" fillId="2" borderId="19" xfId="0" applyNumberFormat="1" applyFont="1" applyFill="1" applyBorder="1" applyAlignment="1" applyProtection="1">
      <alignment vertical="center"/>
    </xf>
    <xf numFmtId="3" fontId="18" fillId="0" borderId="10" xfId="0" applyNumberFormat="1" applyFont="1" applyFill="1" applyBorder="1" applyAlignment="1" applyProtection="1">
      <alignment horizontal="right" vertical="center" wrapText="1"/>
    </xf>
    <xf numFmtId="3" fontId="14" fillId="0" borderId="17" xfId="0" applyNumberFormat="1" applyFont="1" applyFill="1" applyBorder="1" applyAlignment="1" applyProtection="1">
      <alignment horizontal="center" vertical="center"/>
    </xf>
    <xf numFmtId="3" fontId="17" fillId="0" borderId="49" xfId="0" applyNumberFormat="1" applyFont="1" applyFill="1" applyBorder="1" applyAlignment="1" applyProtection="1">
      <alignment horizontal="right"/>
    </xf>
    <xf numFmtId="3" fontId="18" fillId="0" borderId="10" xfId="0" applyNumberFormat="1" applyFont="1" applyFill="1" applyBorder="1" applyAlignment="1" applyProtection="1">
      <alignment horizontal="right" wrapText="1"/>
    </xf>
    <xf numFmtId="3" fontId="18" fillId="0" borderId="10" xfId="0" applyNumberFormat="1" applyFont="1" applyFill="1" applyBorder="1" applyAlignment="1" applyProtection="1">
      <alignment horizontal="right"/>
    </xf>
    <xf numFmtId="3" fontId="18" fillId="0" borderId="10" xfId="0" applyNumberFormat="1" applyFont="1" applyFill="1" applyBorder="1" applyAlignment="1" applyProtection="1">
      <alignment horizontal="right" vertical="center"/>
    </xf>
    <xf numFmtId="3" fontId="17" fillId="0" borderId="10" xfId="0" applyNumberFormat="1" applyFont="1" applyFill="1" applyBorder="1" applyAlignment="1" applyProtection="1">
      <alignment horizontal="right"/>
    </xf>
    <xf numFmtId="0" fontId="4" fillId="0" borderId="24" xfId="0" applyFont="1" applyFill="1" applyBorder="1" applyAlignment="1" applyProtection="1">
      <alignment horizontal="left" wrapText="1" indent="1"/>
    </xf>
    <xf numFmtId="3" fontId="15" fillId="2" borderId="44" xfId="0" applyNumberFormat="1" applyFont="1" applyFill="1" applyBorder="1" applyAlignment="1" applyProtection="1">
      <alignment horizontal="center" vertical="center"/>
      <protection locked="0"/>
    </xf>
    <xf numFmtId="3" fontId="9" fillId="2" borderId="9" xfId="0" applyNumberFormat="1" applyFont="1" applyFill="1" applyBorder="1" applyAlignment="1" applyProtection="1">
      <alignment vertical="center"/>
      <protection locked="0"/>
    </xf>
    <xf numFmtId="3" fontId="9" fillId="2" borderId="7" xfId="0" applyNumberFormat="1" applyFont="1" applyFill="1" applyBorder="1" applyAlignment="1" applyProtection="1">
      <alignment vertical="center"/>
      <protection locked="0"/>
    </xf>
    <xf numFmtId="3" fontId="3" fillId="0" borderId="7" xfId="0" applyNumberFormat="1" applyFont="1" applyFill="1" applyBorder="1" applyAlignment="1" applyProtection="1">
      <alignment vertical="center"/>
      <protection locked="0"/>
    </xf>
    <xf numFmtId="3" fontId="15" fillId="2" borderId="2" xfId="0" applyNumberFormat="1" applyFont="1" applyFill="1" applyBorder="1" applyAlignment="1" applyProtection="1">
      <alignment horizontal="center" vertical="center"/>
      <protection locked="0"/>
    </xf>
    <xf numFmtId="3" fontId="15" fillId="2" borderId="0" xfId="0" applyNumberFormat="1" applyFont="1" applyFill="1" applyBorder="1" applyAlignment="1" applyProtection="1">
      <alignment horizontal="center" vertical="center"/>
      <protection locked="0"/>
    </xf>
    <xf numFmtId="3" fontId="3" fillId="2" borderId="9" xfId="0" applyNumberFormat="1" applyFont="1" applyFill="1" applyBorder="1" applyAlignment="1" applyProtection="1">
      <alignment vertical="center"/>
      <protection locked="0"/>
    </xf>
    <xf numFmtId="3" fontId="3" fillId="0" borderId="9" xfId="0" applyNumberFormat="1" applyFont="1" applyFill="1" applyBorder="1" applyAlignment="1" applyProtection="1">
      <alignment vertical="center"/>
      <protection locked="0"/>
    </xf>
    <xf numFmtId="0" fontId="4" fillId="0" borderId="37" xfId="0" applyFont="1" applyBorder="1" applyAlignment="1" applyProtection="1"/>
    <xf numFmtId="0" fontId="12" fillId="0" borderId="37" xfId="0" applyFont="1" applyBorder="1" applyAlignment="1" applyProtection="1"/>
    <xf numFmtId="0" fontId="4" fillId="0" borderId="37" xfId="0" applyNumberFormat="1" applyFont="1" applyBorder="1" applyAlignment="1" applyProtection="1">
      <alignment horizontal="justify" vertical="top"/>
    </xf>
    <xf numFmtId="0" fontId="4" fillId="0" borderId="0" xfId="0" applyNumberFormat="1" applyFont="1" applyBorder="1" applyAlignment="1" applyProtection="1">
      <alignment horizontal="justify" vertical="top"/>
    </xf>
    <xf numFmtId="0" fontId="4" fillId="0" borderId="38" xfId="0" applyNumberFormat="1" applyFont="1" applyBorder="1" applyAlignment="1" applyProtection="1">
      <alignment horizontal="justify" vertical="top"/>
    </xf>
    <xf numFmtId="0" fontId="3" fillId="0" borderId="39" xfId="0" applyFont="1" applyBorder="1" applyAlignment="1" applyProtection="1"/>
    <xf numFmtId="0" fontId="3" fillId="0" borderId="0" xfId="0" applyFont="1" applyBorder="1" applyProtection="1"/>
    <xf numFmtId="3" fontId="9" fillId="0" borderId="9" xfId="0" applyNumberFormat="1" applyFont="1" applyFill="1" applyBorder="1" applyAlignment="1" applyProtection="1">
      <alignment vertical="center"/>
    </xf>
    <xf numFmtId="3" fontId="9" fillId="0" borderId="8" xfId="0" applyNumberFormat="1" applyFont="1" applyFill="1" applyBorder="1" applyAlignment="1" applyProtection="1">
      <alignment vertical="center"/>
    </xf>
    <xf numFmtId="3" fontId="9" fillId="0" borderId="11" xfId="0" applyNumberFormat="1" applyFont="1" applyFill="1" applyBorder="1" applyAlignment="1" applyProtection="1">
      <alignment vertical="center"/>
    </xf>
    <xf numFmtId="3" fontId="9" fillId="0" borderId="10" xfId="0" applyNumberFormat="1" applyFont="1" applyFill="1" applyBorder="1" applyAlignment="1" applyProtection="1">
      <alignment vertical="center"/>
    </xf>
    <xf numFmtId="3" fontId="1" fillId="2" borderId="11" xfId="0" applyNumberFormat="1" applyFont="1" applyFill="1" applyBorder="1" applyAlignment="1" applyProtection="1">
      <alignment vertical="center"/>
    </xf>
    <xf numFmtId="0" fontId="0" fillId="0" borderId="39" xfId="0" applyBorder="1" applyProtection="1"/>
    <xf numFmtId="0" fontId="0" fillId="0" borderId="12" xfId="0" applyBorder="1" applyProtection="1"/>
    <xf numFmtId="0" fontId="0" fillId="0" borderId="13" xfId="0" applyBorder="1" applyProtection="1"/>
    <xf numFmtId="0" fontId="46" fillId="0" borderId="0" xfId="0" applyFont="1" applyBorder="1" applyAlignment="1" applyProtection="1">
      <alignment horizontal="center" vertical="center"/>
    </xf>
    <xf numFmtId="0" fontId="46" fillId="0" borderId="37" xfId="0" applyFont="1" applyBorder="1" applyAlignment="1" applyProtection="1">
      <alignment horizontal="center" vertical="center"/>
    </xf>
    <xf numFmtId="0" fontId="46" fillId="0" borderId="37" xfId="0" applyFont="1" applyBorder="1" applyAlignment="1" applyProtection="1">
      <alignment horizontal="center"/>
    </xf>
    <xf numFmtId="0" fontId="4" fillId="0" borderId="0" xfId="2"/>
    <xf numFmtId="167" fontId="7" fillId="0" borderId="7" xfId="2" applyNumberFormat="1" applyFont="1" applyFill="1" applyBorder="1" applyAlignment="1">
      <alignment horizontal="center" vertical="center" wrapText="1"/>
    </xf>
    <xf numFmtId="10" fontId="4" fillId="3" borderId="7" xfId="3" applyNumberFormat="1" applyFont="1" applyFill="1" applyBorder="1" applyAlignment="1" applyProtection="1">
      <alignment horizontal="center" vertical="center" wrapText="1"/>
    </xf>
    <xf numFmtId="10" fontId="7" fillId="3" borderId="7" xfId="3" applyNumberFormat="1" applyFont="1" applyFill="1" applyBorder="1" applyAlignment="1" applyProtection="1">
      <alignment horizontal="center" vertical="center" wrapText="1"/>
    </xf>
    <xf numFmtId="0" fontId="4" fillId="0" borderId="0" xfId="2" applyAlignment="1">
      <alignment horizontal="center"/>
    </xf>
    <xf numFmtId="3" fontId="4" fillId="0" borderId="7" xfId="2" applyNumberFormat="1" applyFont="1" applyFill="1" applyBorder="1" applyAlignment="1" applyProtection="1">
      <alignment horizontal="center" vertical="center" wrapText="1"/>
    </xf>
    <xf numFmtId="0" fontId="6" fillId="0" borderId="0" xfId="0" applyFont="1" applyFill="1" applyAlignment="1"/>
    <xf numFmtId="0" fontId="0" fillId="0" borderId="0" xfId="0" applyFill="1" applyAlignment="1">
      <alignment horizontal="center"/>
    </xf>
    <xf numFmtId="0" fontId="0" fillId="0" borderId="0" xfId="0" applyFill="1" applyAlignment="1">
      <alignment vertical="center" wrapText="1"/>
    </xf>
    <xf numFmtId="0" fontId="0" fillId="0" borderId="0" xfId="0" applyAlignment="1">
      <alignment horizontal="center"/>
    </xf>
    <xf numFmtId="3" fontId="29" fillId="0" borderId="0" xfId="0" applyNumberFormat="1" applyFont="1" applyFill="1" applyBorder="1" applyAlignment="1" applyProtection="1">
      <alignment horizontal="center" vertical="center"/>
    </xf>
    <xf numFmtId="0" fontId="0" fillId="0" borderId="0" xfId="0" applyFill="1" applyProtection="1"/>
    <xf numFmtId="0" fontId="0" fillId="0" borderId="0" xfId="0" applyFill="1" applyAlignment="1" applyProtection="1">
      <alignment horizontal="center"/>
    </xf>
    <xf numFmtId="0" fontId="0" fillId="0" borderId="0" xfId="0" applyFill="1" applyAlignment="1" applyProtection="1">
      <alignment horizontal="center" vertical="center"/>
    </xf>
    <xf numFmtId="3" fontId="0" fillId="0" borderId="0" xfId="0" applyNumberFormat="1" applyFill="1" applyAlignment="1" applyProtection="1">
      <alignment vertical="center" wrapText="1"/>
    </xf>
    <xf numFmtId="0" fontId="0" fillId="0" borderId="0" xfId="0" applyFill="1" applyAlignment="1" applyProtection="1">
      <alignment horizontal="center" vertical="center" wrapText="1"/>
    </xf>
    <xf numFmtId="3" fontId="7" fillId="7" borderId="7" xfId="0" applyNumberFormat="1" applyFont="1" applyFill="1" applyBorder="1" applyAlignment="1" applyProtection="1">
      <alignment horizontal="center" vertical="center" wrapText="1"/>
    </xf>
    <xf numFmtId="167" fontId="7" fillId="7" borderId="7" xfId="0" applyNumberFormat="1" applyFont="1" applyFill="1" applyBorder="1" applyAlignment="1" applyProtection="1">
      <alignment horizontal="center" vertical="center" wrapText="1"/>
    </xf>
    <xf numFmtId="3" fontId="0" fillId="7" borderId="7" xfId="0" applyNumberFormat="1" applyFill="1" applyBorder="1" applyAlignment="1" applyProtection="1">
      <alignment horizontal="center" vertical="center" wrapText="1"/>
    </xf>
    <xf numFmtId="0" fontId="0" fillId="7" borderId="7" xfId="0" applyFill="1" applyBorder="1" applyAlignment="1" applyProtection="1">
      <alignment horizontal="center" vertical="center" wrapText="1"/>
    </xf>
    <xf numFmtId="0" fontId="0" fillId="7" borderId="7" xfId="0" applyFill="1" applyBorder="1" applyAlignment="1" applyProtection="1">
      <alignment horizontal="center"/>
    </xf>
    <xf numFmtId="9" fontId="0" fillId="0" borderId="7" xfId="3" applyFont="1" applyFill="1" applyBorder="1" applyAlignment="1" applyProtection="1">
      <alignment horizontal="center" vertical="center" wrapText="1"/>
    </xf>
    <xf numFmtId="2" fontId="0" fillId="0" borderId="7" xfId="0" applyNumberFormat="1" applyFill="1" applyBorder="1" applyAlignment="1" applyProtection="1">
      <alignment horizontal="center" vertical="center" wrapText="1"/>
    </xf>
    <xf numFmtId="0" fontId="0" fillId="0" borderId="0" xfId="0" applyProtection="1"/>
    <xf numFmtId="1" fontId="28" fillId="5" borderId="50" xfId="0" applyNumberFormat="1" applyFont="1" applyFill="1" applyBorder="1" applyAlignment="1" applyProtection="1">
      <alignment horizontal="center" vertical="center"/>
    </xf>
    <xf numFmtId="0" fontId="31" fillId="5" borderId="40" xfId="0" applyFont="1" applyFill="1" applyBorder="1" applyAlignment="1" applyProtection="1">
      <alignment horizontal="centerContinuous" vertical="center" wrapText="1"/>
      <protection hidden="1"/>
    </xf>
    <xf numFmtId="0" fontId="16" fillId="5" borderId="14" xfId="0" applyFont="1" applyFill="1" applyBorder="1" applyAlignment="1" applyProtection="1">
      <alignment horizontal="centerContinuous" vertical="center" wrapText="1"/>
      <protection hidden="1"/>
    </xf>
    <xf numFmtId="0" fontId="32" fillId="5" borderId="32" xfId="0" applyFont="1" applyFill="1" applyBorder="1" applyAlignment="1" applyProtection="1">
      <alignment horizontal="center" vertical="center" wrapText="1"/>
      <protection hidden="1"/>
    </xf>
    <xf numFmtId="0" fontId="32" fillId="5" borderId="26" xfId="0" applyFont="1" applyFill="1" applyBorder="1" applyAlignment="1" applyProtection="1">
      <alignment horizontal="center" vertical="center" wrapText="1"/>
      <protection hidden="1"/>
    </xf>
    <xf numFmtId="0" fontId="8" fillId="5" borderId="51" xfId="0" applyFont="1" applyFill="1" applyBorder="1" applyAlignment="1" applyProtection="1">
      <alignment vertical="center" wrapText="1"/>
      <protection hidden="1"/>
    </xf>
    <xf numFmtId="3" fontId="17" fillId="0" borderId="18" xfId="0" applyNumberFormat="1" applyFont="1" applyFill="1" applyBorder="1" applyAlignment="1" applyProtection="1">
      <alignment vertical="center"/>
      <protection hidden="1"/>
    </xf>
    <xf numFmtId="0" fontId="28" fillId="5" borderId="30" xfId="0" applyFont="1" applyFill="1" applyBorder="1" applyAlignment="1" applyProtection="1">
      <alignment vertical="center" wrapText="1"/>
      <protection hidden="1"/>
    </xf>
    <xf numFmtId="0" fontId="14" fillId="5" borderId="30" xfId="0" applyFont="1" applyFill="1" applyBorder="1" applyAlignment="1" applyProtection="1">
      <alignment horizontal="left" vertical="center" wrapText="1"/>
      <protection hidden="1"/>
    </xf>
    <xf numFmtId="3" fontId="18" fillId="0" borderId="11" xfId="0" applyNumberFormat="1" applyFont="1" applyFill="1" applyBorder="1" applyAlignment="1" applyProtection="1">
      <alignment vertical="center"/>
      <protection hidden="1"/>
    </xf>
    <xf numFmtId="3" fontId="18" fillId="0" borderId="7" xfId="0" applyNumberFormat="1" applyFont="1" applyFill="1" applyBorder="1" applyAlignment="1" applyProtection="1">
      <alignment vertical="center"/>
      <protection hidden="1"/>
    </xf>
    <xf numFmtId="0" fontId="14" fillId="5" borderId="52" xfId="0" applyFont="1" applyFill="1" applyBorder="1" applyAlignment="1" applyProtection="1">
      <alignment horizontal="left" vertical="center" wrapText="1"/>
      <protection hidden="1"/>
    </xf>
    <xf numFmtId="0" fontId="17" fillId="5" borderId="0" xfId="0" applyFont="1" applyFill="1" applyBorder="1" applyAlignment="1" applyProtection="1">
      <alignment vertical="center" wrapText="1"/>
      <protection hidden="1"/>
    </xf>
    <xf numFmtId="3" fontId="17" fillId="5" borderId="0" xfId="0" applyNumberFormat="1" applyFont="1" applyFill="1" applyBorder="1" applyAlignment="1" applyProtection="1">
      <alignment vertical="center"/>
      <protection hidden="1"/>
    </xf>
    <xf numFmtId="3" fontId="18" fillId="0" borderId="11" xfId="0" applyNumberFormat="1" applyFont="1" applyFill="1" applyBorder="1" applyAlignment="1" applyProtection="1">
      <alignment horizontal="right" vertical="center" wrapText="1"/>
      <protection hidden="1"/>
    </xf>
    <xf numFmtId="3" fontId="18" fillId="0" borderId="7" xfId="0" applyNumberFormat="1" applyFont="1" applyFill="1" applyBorder="1" applyAlignment="1" applyProtection="1">
      <alignment horizontal="right" vertical="center" wrapText="1"/>
      <protection hidden="1"/>
    </xf>
    <xf numFmtId="3" fontId="17" fillId="5" borderId="50" xfId="0" applyNumberFormat="1" applyFont="1" applyFill="1" applyBorder="1" applyAlignment="1" applyProtection="1">
      <alignment horizontal="right" vertical="center"/>
      <protection hidden="1"/>
    </xf>
    <xf numFmtId="3" fontId="17" fillId="5" borderId="53" xfId="0" applyNumberFormat="1" applyFont="1" applyFill="1" applyBorder="1" applyAlignment="1" applyProtection="1">
      <alignment horizontal="right" vertical="center"/>
      <protection hidden="1"/>
    </xf>
    <xf numFmtId="3" fontId="17" fillId="5" borderId="54" xfId="0" applyNumberFormat="1" applyFont="1" applyFill="1" applyBorder="1" applyAlignment="1" applyProtection="1">
      <alignment horizontal="right" vertical="center"/>
      <protection hidden="1"/>
    </xf>
    <xf numFmtId="3" fontId="17" fillId="5" borderId="26" xfId="0" applyNumberFormat="1" applyFont="1" applyFill="1" applyBorder="1" applyAlignment="1" applyProtection="1">
      <alignment horizontal="right" vertical="center"/>
      <protection hidden="1"/>
    </xf>
    <xf numFmtId="167" fontId="7" fillId="7" borderId="7" xfId="0" applyNumberFormat="1" applyFont="1" applyFill="1" applyBorder="1" applyAlignment="1" applyProtection="1">
      <alignment horizontal="center" vertical="center" wrapText="1"/>
    </xf>
    <xf numFmtId="3" fontId="14" fillId="2" borderId="12" xfId="0" applyNumberFormat="1" applyFont="1" applyFill="1" applyBorder="1" applyAlignment="1" applyProtection="1">
      <alignment vertical="center" wrapText="1"/>
    </xf>
    <xf numFmtId="3" fontId="1" fillId="2" borderId="0" xfId="0" applyNumberFormat="1" applyFont="1" applyFill="1" applyProtection="1"/>
    <xf numFmtId="3" fontId="14" fillId="2" borderId="0" xfId="0" applyNumberFormat="1" applyFont="1" applyFill="1" applyProtection="1"/>
    <xf numFmtId="3" fontId="1" fillId="2" borderId="40" xfId="0" applyNumberFormat="1" applyFont="1" applyFill="1" applyBorder="1" applyProtection="1"/>
    <xf numFmtId="3" fontId="47" fillId="2" borderId="14" xfId="0" applyNumberFormat="1" applyFont="1" applyFill="1" applyBorder="1" applyAlignment="1" applyProtection="1">
      <alignment horizontal="left" vertical="center" indent="1"/>
    </xf>
    <xf numFmtId="3" fontId="47" fillId="2" borderId="14" xfId="0" applyNumberFormat="1" applyFont="1" applyFill="1" applyBorder="1" applyAlignment="1" applyProtection="1">
      <alignment vertical="center"/>
    </xf>
    <xf numFmtId="3" fontId="14" fillId="2" borderId="41" xfId="0" applyNumberFormat="1" applyFont="1" applyFill="1" applyBorder="1" applyAlignment="1" applyProtection="1"/>
    <xf numFmtId="3" fontId="14" fillId="2" borderId="22" xfId="0" applyNumberFormat="1" applyFont="1" applyFill="1" applyBorder="1" applyAlignment="1" applyProtection="1">
      <alignment horizontal="center" vertical="center"/>
    </xf>
    <xf numFmtId="3" fontId="1" fillId="2" borderId="0" xfId="0" applyNumberFormat="1" applyFont="1" applyFill="1" applyBorder="1" applyProtection="1"/>
    <xf numFmtId="3" fontId="6" fillId="2" borderId="23" xfId="0" applyNumberFormat="1" applyFont="1" applyFill="1" applyBorder="1" applyAlignment="1" applyProtection="1">
      <alignment horizontal="centerContinuous"/>
    </xf>
    <xf numFmtId="3" fontId="6" fillId="2" borderId="2" xfId="0" applyNumberFormat="1" applyFont="1" applyFill="1" applyBorder="1" applyAlignment="1" applyProtection="1">
      <alignment horizontal="centerContinuous"/>
    </xf>
    <xf numFmtId="3" fontId="30" fillId="2" borderId="37" xfId="0" applyNumberFormat="1" applyFont="1" applyFill="1" applyBorder="1" applyProtection="1"/>
    <xf numFmtId="3" fontId="1" fillId="2" borderId="37" xfId="0" applyNumberFormat="1" applyFont="1" applyFill="1" applyBorder="1" applyProtection="1"/>
    <xf numFmtId="3" fontId="6" fillId="2" borderId="24" xfId="0" applyNumberFormat="1" applyFont="1" applyFill="1" applyBorder="1" applyAlignment="1" applyProtection="1">
      <alignment horizontal="centerContinuous"/>
    </xf>
    <xf numFmtId="3" fontId="6" fillId="2" borderId="44" xfId="0" applyNumberFormat="1" applyFont="1" applyFill="1" applyBorder="1" applyAlignment="1" applyProtection="1">
      <alignment horizontal="centerContinuous"/>
    </xf>
    <xf numFmtId="3" fontId="6" fillId="2" borderId="48" xfId="0" applyNumberFormat="1" applyFont="1" applyFill="1" applyBorder="1" applyAlignment="1" applyProtection="1">
      <alignment horizontal="centerContinuous"/>
    </xf>
    <xf numFmtId="3" fontId="1" fillId="2" borderId="39" xfId="0" applyNumberFormat="1" applyFont="1" applyFill="1" applyBorder="1" applyProtection="1"/>
    <xf numFmtId="3" fontId="1" fillId="2" borderId="43" xfId="0" applyNumberFormat="1" applyFont="1" applyFill="1" applyBorder="1" applyProtection="1"/>
    <xf numFmtId="3" fontId="1" fillId="2" borderId="55" xfId="0" applyNumberFormat="1" applyFont="1" applyFill="1" applyBorder="1" applyAlignment="1" applyProtection="1">
      <alignment horizontal="center"/>
    </xf>
    <xf numFmtId="3" fontId="1" fillId="2" borderId="0" xfId="0" applyNumberFormat="1" applyFont="1" applyFill="1" applyBorder="1" applyAlignment="1" applyProtection="1">
      <alignment horizontal="center"/>
    </xf>
    <xf numFmtId="3" fontId="49" fillId="2" borderId="39" xfId="0" applyNumberFormat="1" applyFont="1" applyFill="1" applyBorder="1" applyAlignment="1" applyProtection="1">
      <alignment horizontal="left" vertical="center"/>
    </xf>
    <xf numFmtId="3" fontId="1" fillId="2" borderId="12" xfId="0" applyNumberFormat="1" applyFont="1" applyFill="1" applyBorder="1" applyAlignment="1" applyProtection="1">
      <alignment vertical="center"/>
    </xf>
    <xf numFmtId="3" fontId="4" fillId="2" borderId="13" xfId="0" applyNumberFormat="1" applyFont="1" applyFill="1" applyBorder="1" applyAlignment="1" applyProtection="1">
      <alignment vertical="center"/>
    </xf>
    <xf numFmtId="3" fontId="1" fillId="2" borderId="0" xfId="0" applyNumberFormat="1" applyFont="1" applyFill="1" applyBorder="1" applyAlignment="1" applyProtection="1">
      <alignment vertical="center"/>
    </xf>
    <xf numFmtId="3" fontId="4" fillId="2" borderId="38" xfId="0" applyNumberFormat="1" applyFont="1" applyFill="1" applyBorder="1" applyAlignment="1" applyProtection="1">
      <alignment vertical="center"/>
    </xf>
    <xf numFmtId="3" fontId="8" fillId="2" borderId="56" xfId="0" applyNumberFormat="1" applyFont="1" applyFill="1" applyBorder="1" applyAlignment="1" applyProtection="1">
      <alignment horizontal="centerContinuous" vertical="center"/>
    </xf>
    <xf numFmtId="3" fontId="1" fillId="2" borderId="21" xfId="0" applyNumberFormat="1" applyFont="1" applyFill="1" applyBorder="1" applyAlignment="1" applyProtection="1">
      <alignment horizontal="centerContinuous"/>
    </xf>
    <xf numFmtId="3" fontId="1" fillId="2" borderId="22" xfId="0" applyNumberFormat="1" applyFont="1" applyFill="1" applyBorder="1" applyAlignment="1" applyProtection="1">
      <alignment horizontal="centerContinuous"/>
    </xf>
    <xf numFmtId="3" fontId="8" fillId="2" borderId="18" xfId="0" applyNumberFormat="1" applyFont="1" applyFill="1" applyBorder="1" applyAlignment="1" applyProtection="1">
      <alignment horizontal="centerContinuous" vertical="center" wrapText="1"/>
    </xf>
    <xf numFmtId="3" fontId="1" fillId="2" borderId="4" xfId="0" applyNumberFormat="1" applyFont="1" applyFill="1" applyBorder="1" applyAlignment="1" applyProtection="1">
      <alignment horizontal="center"/>
    </xf>
    <xf numFmtId="3" fontId="1" fillId="2" borderId="43" xfId="0" applyNumberFormat="1" applyFont="1" applyFill="1" applyBorder="1" applyAlignment="1" applyProtection="1">
      <alignment horizontal="center"/>
    </xf>
    <xf numFmtId="3" fontId="1" fillId="2" borderId="38" xfId="0" applyNumberFormat="1" applyFont="1" applyFill="1" applyBorder="1" applyAlignment="1" applyProtection="1">
      <alignment horizontal="center"/>
    </xf>
    <xf numFmtId="0" fontId="8" fillId="2" borderId="1" xfId="0" applyFont="1" applyFill="1" applyBorder="1" applyAlignment="1" applyProtection="1">
      <alignment horizontal="center" vertical="center"/>
    </xf>
    <xf numFmtId="0" fontId="8" fillId="2" borderId="23" xfId="0" applyFont="1" applyFill="1" applyBorder="1" applyAlignment="1" applyProtection="1">
      <alignment horizontal="left" vertical="center" indent="11"/>
    </xf>
    <xf numFmtId="0" fontId="15" fillId="2" borderId="2" xfId="0" applyFont="1" applyFill="1" applyBorder="1" applyAlignment="1" applyProtection="1">
      <alignment horizontal="centerContinuous"/>
    </xf>
    <xf numFmtId="3" fontId="8" fillId="2" borderId="3" xfId="0" applyNumberFormat="1" applyFont="1" applyFill="1" applyBorder="1" applyAlignment="1" applyProtection="1">
      <alignment horizontal="left" vertical="center"/>
    </xf>
    <xf numFmtId="0" fontId="15" fillId="2" borderId="0" xfId="0" applyFont="1" applyFill="1" applyBorder="1" applyAlignment="1" applyProtection="1">
      <alignment horizontal="centerContinuous"/>
    </xf>
    <xf numFmtId="0" fontId="17" fillId="2" borderId="18" xfId="0" applyFont="1" applyFill="1" applyBorder="1" applyAlignment="1" applyProtection="1">
      <alignment horizontal="centerContinuous" vertical="center"/>
    </xf>
    <xf numFmtId="0" fontId="17" fillId="2" borderId="21" xfId="0" applyFont="1" applyFill="1" applyBorder="1" applyAlignment="1" applyProtection="1">
      <alignment horizontal="centerContinuous" vertical="center"/>
    </xf>
    <xf numFmtId="0" fontId="17" fillId="2" borderId="21" xfId="0" applyFont="1" applyFill="1" applyBorder="1" applyAlignment="1" applyProtection="1">
      <alignment horizontal="centerContinuous"/>
    </xf>
    <xf numFmtId="3" fontId="17" fillId="2" borderId="22" xfId="0" applyNumberFormat="1" applyFont="1" applyFill="1" applyBorder="1" applyAlignment="1" applyProtection="1">
      <alignment horizontal="centerContinuous" vertical="center"/>
    </xf>
    <xf numFmtId="3" fontId="15" fillId="2" borderId="36" xfId="0" applyNumberFormat="1" applyFont="1" applyFill="1" applyBorder="1" applyAlignment="1" applyProtection="1">
      <alignment horizontal="center" vertical="center"/>
    </xf>
    <xf numFmtId="3" fontId="15" fillId="2" borderId="19" xfId="0" applyNumberFormat="1" applyFont="1" applyFill="1" applyBorder="1" applyAlignment="1" applyProtection="1">
      <alignment horizontal="center" vertical="center"/>
    </xf>
    <xf numFmtId="3" fontId="1" fillId="2" borderId="29" xfId="0" applyNumberFormat="1" applyFont="1" applyFill="1" applyBorder="1" applyProtection="1"/>
    <xf numFmtId="3" fontId="1" fillId="2" borderId="57" xfId="0" applyNumberFormat="1" applyFont="1" applyFill="1" applyBorder="1" applyProtection="1"/>
    <xf numFmtId="3" fontId="1" fillId="2" borderId="53" xfId="0" applyNumberFormat="1" applyFont="1" applyFill="1" applyBorder="1" applyAlignment="1" applyProtection="1">
      <alignment horizontal="center"/>
    </xf>
    <xf numFmtId="3" fontId="1" fillId="2" borderId="13" xfId="0" applyNumberFormat="1" applyFont="1" applyFill="1" applyBorder="1" applyAlignment="1" applyProtection="1">
      <alignment horizontal="center"/>
    </xf>
    <xf numFmtId="0" fontId="15" fillId="2" borderId="58" xfId="0" applyFont="1" applyFill="1" applyBorder="1" applyAlignment="1" applyProtection="1">
      <alignment horizontal="centerContinuous" vertical="center"/>
    </xf>
    <xf numFmtId="0" fontId="15" fillId="2" borderId="19" xfId="0" applyFont="1" applyFill="1" applyBorder="1" applyAlignment="1" applyProtection="1">
      <alignment horizontal="center" vertical="center" wrapText="1"/>
    </xf>
    <xf numFmtId="0" fontId="15" fillId="2" borderId="16"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7" fillId="2" borderId="6" xfId="0" applyFont="1" applyFill="1" applyBorder="1" applyAlignment="1" applyProtection="1">
      <alignment horizontal="center" vertical="center" wrapText="1"/>
    </xf>
    <xf numFmtId="0" fontId="17" fillId="2" borderId="31" xfId="0" applyFont="1" applyFill="1" applyBorder="1" applyAlignment="1" applyProtection="1">
      <alignment horizontal="center" vertical="center" wrapText="1"/>
    </xf>
    <xf numFmtId="0" fontId="17" fillId="2" borderId="35" xfId="0" applyFont="1" applyFill="1" applyBorder="1" applyAlignment="1" applyProtection="1">
      <alignment horizontal="center" vertical="center" wrapText="1"/>
    </xf>
    <xf numFmtId="1" fontId="14" fillId="2" borderId="45" xfId="0" applyNumberFormat="1" applyFont="1" applyFill="1" applyBorder="1" applyAlignment="1" applyProtection="1">
      <alignment horizontal="center" vertical="center" wrapText="1"/>
    </xf>
    <xf numFmtId="3" fontId="4" fillId="2" borderId="59" xfId="0" applyNumberFormat="1" applyFont="1" applyFill="1" applyBorder="1" applyAlignment="1" applyProtection="1">
      <alignment vertical="center"/>
    </xf>
    <xf numFmtId="10" fontId="4" fillId="2" borderId="28" xfId="0" applyNumberFormat="1" applyFont="1" applyFill="1" applyBorder="1" applyAlignment="1" applyProtection="1">
      <alignment vertical="center"/>
    </xf>
    <xf numFmtId="3" fontId="4" fillId="2" borderId="42" xfId="0" applyNumberFormat="1" applyFont="1" applyFill="1" applyBorder="1" applyAlignment="1" applyProtection="1">
      <alignment vertical="center"/>
    </xf>
    <xf numFmtId="0" fontId="7" fillId="2" borderId="23" xfId="0" applyFont="1" applyFill="1" applyBorder="1" applyAlignment="1" applyProtection="1">
      <alignment wrapText="1"/>
    </xf>
    <xf numFmtId="3" fontId="15" fillId="2" borderId="26" xfId="0" applyNumberFormat="1" applyFont="1" applyFill="1" applyBorder="1" applyAlignment="1" applyProtection="1">
      <alignment horizontal="right" vertical="center"/>
    </xf>
    <xf numFmtId="3" fontId="15" fillId="2" borderId="27" xfId="0" applyNumberFormat="1" applyFont="1" applyFill="1" applyBorder="1" applyAlignment="1" applyProtection="1">
      <alignment horizontal="right" vertical="center"/>
    </xf>
    <xf numFmtId="3" fontId="1" fillId="2" borderId="0" xfId="0" applyNumberFormat="1" applyFont="1" applyFill="1" applyBorder="1" applyAlignment="1" applyProtection="1">
      <alignment horizontal="right" vertical="center"/>
    </xf>
    <xf numFmtId="3" fontId="15" fillId="2" borderId="32" xfId="0" applyNumberFormat="1" applyFont="1" applyFill="1" applyBorder="1" applyAlignment="1" applyProtection="1">
      <alignment horizontal="right" vertical="center"/>
    </xf>
    <xf numFmtId="3" fontId="9" fillId="2" borderId="60" xfId="0" applyNumberFormat="1" applyFont="1" applyFill="1" applyBorder="1" applyAlignment="1" applyProtection="1">
      <alignment horizontal="right" vertical="center"/>
    </xf>
    <xf numFmtId="3" fontId="9" fillId="2" borderId="26" xfId="0" applyNumberFormat="1" applyFont="1" applyFill="1" applyBorder="1" applyAlignment="1" applyProtection="1">
      <alignment horizontal="right" vertical="center"/>
    </xf>
    <xf numFmtId="3" fontId="9" fillId="2" borderId="33" xfId="0" applyNumberFormat="1" applyFont="1" applyFill="1" applyBorder="1" applyAlignment="1" applyProtection="1">
      <alignment horizontal="right" vertical="center"/>
    </xf>
    <xf numFmtId="3" fontId="9" fillId="2" borderId="32" xfId="0" applyNumberFormat="1" applyFont="1" applyFill="1" applyBorder="1" applyAlignment="1" applyProtection="1">
      <alignment horizontal="right" vertical="center"/>
    </xf>
    <xf numFmtId="3" fontId="9" fillId="2" borderId="27" xfId="0" applyNumberFormat="1" applyFont="1" applyFill="1" applyBorder="1" applyAlignment="1" applyProtection="1">
      <alignment horizontal="right" vertical="center"/>
    </xf>
    <xf numFmtId="3" fontId="9" fillId="2" borderId="61" xfId="0" applyNumberFormat="1" applyFont="1" applyFill="1" applyBorder="1" applyAlignment="1" applyProtection="1">
      <alignment horizontal="right" vertical="center"/>
    </xf>
    <xf numFmtId="3" fontId="9" fillId="2" borderId="62" xfId="0" applyNumberFormat="1" applyFont="1" applyFill="1" applyBorder="1" applyAlignment="1" applyProtection="1">
      <alignment horizontal="right" vertical="center"/>
    </xf>
    <xf numFmtId="10" fontId="4" fillId="2" borderId="7" xfId="0" applyNumberFormat="1" applyFont="1" applyFill="1" applyBorder="1" applyAlignment="1" applyProtection="1">
      <alignment vertical="center"/>
    </xf>
    <xf numFmtId="3" fontId="4" fillId="2" borderId="31" xfId="0" applyNumberFormat="1" applyFont="1" applyFill="1" applyBorder="1" applyAlignment="1" applyProtection="1">
      <alignment vertical="center"/>
    </xf>
    <xf numFmtId="3" fontId="15" fillId="2" borderId="0" xfId="0" applyNumberFormat="1" applyFont="1" applyFill="1" applyBorder="1" applyAlignment="1" applyProtection="1">
      <alignment horizontal="right" vertical="center"/>
    </xf>
    <xf numFmtId="3" fontId="15" fillId="2" borderId="38" xfId="0" applyNumberFormat="1" applyFont="1" applyFill="1" applyBorder="1" applyAlignment="1" applyProtection="1">
      <alignment horizontal="right" vertical="center"/>
    </xf>
    <xf numFmtId="3" fontId="15" fillId="2" borderId="37" xfId="0" applyNumberFormat="1" applyFont="1" applyFill="1" applyBorder="1" applyAlignment="1" applyProtection="1">
      <alignment horizontal="right" vertical="center"/>
    </xf>
    <xf numFmtId="3" fontId="9" fillId="2" borderId="45" xfId="0" applyNumberFormat="1" applyFont="1" applyFill="1" applyBorder="1" applyAlignment="1" applyProtection="1">
      <alignment horizontal="right" vertical="center"/>
    </xf>
    <xf numFmtId="3" fontId="9" fillId="2" borderId="46" xfId="0" applyNumberFormat="1" applyFont="1" applyFill="1" applyBorder="1" applyAlignment="1" applyProtection="1">
      <alignment horizontal="right" vertical="center"/>
    </xf>
    <xf numFmtId="3" fontId="1" fillId="2" borderId="4" xfId="0" applyNumberFormat="1" applyFont="1" applyFill="1" applyBorder="1" applyAlignment="1" applyProtection="1">
      <alignment vertical="center"/>
    </xf>
    <xf numFmtId="10" fontId="1" fillId="2" borderId="7" xfId="0" applyNumberFormat="1" applyFont="1" applyFill="1" applyBorder="1" applyAlignment="1" applyProtection="1">
      <alignment vertical="center"/>
    </xf>
    <xf numFmtId="3" fontId="1" fillId="2" borderId="6" xfId="0" applyNumberFormat="1" applyFont="1" applyFill="1" applyBorder="1" applyAlignment="1" applyProtection="1">
      <alignment vertical="center"/>
    </xf>
    <xf numFmtId="3" fontId="1" fillId="2" borderId="31" xfId="0" applyNumberFormat="1" applyFont="1" applyFill="1" applyBorder="1" applyAlignment="1" applyProtection="1">
      <alignment vertical="center"/>
    </xf>
    <xf numFmtId="0" fontId="1" fillId="2" borderId="24" xfId="0" applyFont="1" applyFill="1" applyBorder="1" applyAlignment="1" applyProtection="1">
      <alignment vertical="center" wrapText="1"/>
    </xf>
    <xf numFmtId="3" fontId="15" fillId="2" borderId="21" xfId="0" applyNumberFormat="1" applyFont="1" applyFill="1" applyBorder="1" applyAlignment="1" applyProtection="1">
      <alignment horizontal="right" vertical="center"/>
    </xf>
    <xf numFmtId="3" fontId="15" fillId="2" borderId="56" xfId="0" applyNumberFormat="1" applyFont="1" applyFill="1" applyBorder="1" applyAlignment="1" applyProtection="1">
      <alignment horizontal="right" vertical="center"/>
    </xf>
    <xf numFmtId="3" fontId="15" fillId="2" borderId="49" xfId="0" applyNumberFormat="1" applyFont="1" applyFill="1" applyBorder="1" applyAlignment="1" applyProtection="1">
      <alignment horizontal="right" vertical="center"/>
    </xf>
    <xf numFmtId="164" fontId="28" fillId="2" borderId="18" xfId="0" applyNumberFormat="1" applyFont="1" applyFill="1" applyBorder="1" applyAlignment="1" applyProtection="1">
      <alignment horizontal="center" vertical="center"/>
    </xf>
    <xf numFmtId="3" fontId="9" fillId="2" borderId="56" xfId="0" applyNumberFormat="1" applyFont="1" applyFill="1" applyBorder="1" applyAlignment="1" applyProtection="1">
      <alignment horizontal="right" vertical="center"/>
    </xf>
    <xf numFmtId="3" fontId="9" fillId="2" borderId="21" xfId="0" applyNumberFormat="1" applyFont="1" applyFill="1" applyBorder="1" applyAlignment="1" applyProtection="1">
      <alignment horizontal="right" vertical="center"/>
    </xf>
    <xf numFmtId="3" fontId="9" fillId="2" borderId="22" xfId="0" applyNumberFormat="1" applyFont="1" applyFill="1" applyBorder="1" applyAlignment="1" applyProtection="1">
      <alignment horizontal="right" vertical="center"/>
    </xf>
    <xf numFmtId="3" fontId="9" fillId="2" borderId="18" xfId="0" applyNumberFormat="1" applyFont="1" applyFill="1" applyBorder="1" applyAlignment="1" applyProtection="1">
      <alignment horizontal="right" vertical="center"/>
    </xf>
    <xf numFmtId="3" fontId="9" fillId="2" borderId="49" xfId="0" applyNumberFormat="1" applyFont="1" applyFill="1" applyBorder="1" applyAlignment="1" applyProtection="1">
      <alignment horizontal="right" vertical="center"/>
    </xf>
    <xf numFmtId="3" fontId="9" fillId="2" borderId="63" xfId="0" applyNumberFormat="1" applyFont="1" applyFill="1" applyBorder="1" applyAlignment="1" applyProtection="1">
      <alignment horizontal="right" vertical="center"/>
    </xf>
    <xf numFmtId="3" fontId="9" fillId="2" borderId="64" xfId="0" applyNumberFormat="1" applyFont="1" applyFill="1" applyBorder="1" applyAlignment="1" applyProtection="1">
      <alignment horizontal="right" vertical="center"/>
    </xf>
    <xf numFmtId="0" fontId="1" fillId="2" borderId="24" xfId="0" applyFont="1" applyFill="1" applyBorder="1" applyAlignment="1" applyProtection="1">
      <alignment horizontal="left" vertical="center" wrapText="1"/>
    </xf>
    <xf numFmtId="1" fontId="14" fillId="2" borderId="24" xfId="0" applyNumberFormat="1" applyFont="1" applyFill="1" applyBorder="1" applyAlignment="1" applyProtection="1">
      <alignment horizontal="center" vertical="center" wrapText="1"/>
    </xf>
    <xf numFmtId="3" fontId="15" fillId="2" borderId="24" xfId="0" applyNumberFormat="1" applyFont="1" applyFill="1" applyBorder="1" applyAlignment="1" applyProtection="1">
      <alignment horizontal="center" vertical="center"/>
    </xf>
    <xf numFmtId="3" fontId="9" fillId="2" borderId="24" xfId="0" applyNumberFormat="1" applyFont="1" applyFill="1" applyBorder="1" applyAlignment="1" applyProtection="1">
      <alignment horizontal="right" vertical="center"/>
    </xf>
    <xf numFmtId="3" fontId="9" fillId="2" borderId="48" xfId="0" applyNumberFormat="1" applyFont="1" applyFill="1" applyBorder="1" applyAlignment="1" applyProtection="1">
      <alignment horizontal="right" vertical="center"/>
    </xf>
    <xf numFmtId="3" fontId="1" fillId="2" borderId="4" xfId="0" applyNumberFormat="1" applyFont="1" applyFill="1" applyBorder="1" applyAlignment="1" applyProtection="1">
      <alignment horizontal="center" vertical="center"/>
    </xf>
    <xf numFmtId="10" fontId="4" fillId="2" borderId="59" xfId="0" applyNumberFormat="1" applyFont="1" applyFill="1" applyBorder="1" applyAlignment="1" applyProtection="1">
      <alignment horizontal="center" vertical="center"/>
    </xf>
    <xf numFmtId="3" fontId="9" fillId="4" borderId="11" xfId="0" applyNumberFormat="1" applyFont="1" applyFill="1" applyBorder="1" applyAlignment="1" applyProtection="1">
      <alignment vertical="center"/>
      <protection locked="0"/>
    </xf>
    <xf numFmtId="3" fontId="1" fillId="2" borderId="7" xfId="0" applyNumberFormat="1" applyFont="1" applyFill="1" applyBorder="1" applyAlignment="1" applyProtection="1">
      <alignment vertical="center"/>
    </xf>
    <xf numFmtId="3" fontId="9" fillId="4" borderId="7" xfId="0" applyNumberFormat="1" applyFont="1" applyFill="1" applyBorder="1" applyAlignment="1" applyProtection="1">
      <alignment vertical="center"/>
      <protection locked="0"/>
    </xf>
    <xf numFmtId="3" fontId="9" fillId="4" borderId="8" xfId="0" applyNumberFormat="1" applyFont="1" applyFill="1" applyBorder="1" applyAlignment="1" applyProtection="1">
      <alignment vertical="center"/>
      <protection locked="0"/>
    </xf>
    <xf numFmtId="3" fontId="9" fillId="2" borderId="5" xfId="0" applyNumberFormat="1" applyFont="1" applyFill="1" applyBorder="1" applyAlignment="1" applyProtection="1">
      <alignment horizontal="right" vertical="center"/>
    </xf>
    <xf numFmtId="3" fontId="9" fillId="2" borderId="28" xfId="0" applyNumberFormat="1" applyFont="1" applyFill="1" applyBorder="1" applyAlignment="1" applyProtection="1">
      <alignment horizontal="right" vertical="center"/>
    </xf>
    <xf numFmtId="3" fontId="9" fillId="2" borderId="65" xfId="0" applyNumberFormat="1" applyFont="1" applyFill="1" applyBorder="1" applyAlignment="1" applyProtection="1">
      <alignment horizontal="right" vertical="center"/>
    </xf>
    <xf numFmtId="3" fontId="9" fillId="2" borderId="11" xfId="0" applyNumberFormat="1" applyFont="1" applyFill="1" applyBorder="1" applyAlignment="1" applyProtection="1">
      <alignment horizontal="right" vertical="center"/>
    </xf>
    <xf numFmtId="3" fontId="9" fillId="2" borderId="8" xfId="0" applyNumberFormat="1" applyFont="1" applyFill="1" applyBorder="1" applyAlignment="1" applyProtection="1">
      <alignment horizontal="right" vertical="center"/>
    </xf>
    <xf numFmtId="0" fontId="7" fillId="3" borderId="11" xfId="0" applyFont="1" applyFill="1" applyBorder="1" applyAlignment="1" applyProtection="1">
      <alignment wrapText="1"/>
    </xf>
    <xf numFmtId="3" fontId="1" fillId="2" borderId="0" xfId="0" applyNumberFormat="1" applyFont="1" applyFill="1" applyAlignment="1" applyProtection="1">
      <alignment vertical="center"/>
    </xf>
    <xf numFmtId="0" fontId="1" fillId="2" borderId="24" xfId="0" applyFont="1" applyFill="1" applyBorder="1" applyAlignment="1" applyProtection="1">
      <alignment horizontal="left" wrapText="1"/>
    </xf>
    <xf numFmtId="3" fontId="9" fillId="4" borderId="19" xfId="0" applyNumberFormat="1" applyFont="1" applyFill="1" applyBorder="1" applyAlignment="1" applyProtection="1">
      <alignment vertical="center"/>
      <protection locked="0"/>
    </xf>
    <xf numFmtId="3" fontId="1" fillId="2" borderId="16" xfId="0" applyNumberFormat="1" applyFont="1" applyFill="1" applyBorder="1" applyAlignment="1" applyProtection="1">
      <alignment vertical="center"/>
    </xf>
    <xf numFmtId="3" fontId="1" fillId="2" borderId="17" xfId="0" applyNumberFormat="1" applyFont="1" applyFill="1" applyBorder="1" applyAlignment="1" applyProtection="1">
      <alignment vertical="center"/>
    </xf>
    <xf numFmtId="3" fontId="1" fillId="2" borderId="19" xfId="0" applyNumberFormat="1" applyFont="1" applyFill="1" applyBorder="1" applyAlignment="1" applyProtection="1">
      <alignment vertical="center"/>
    </xf>
    <xf numFmtId="3" fontId="9" fillId="4" borderId="16" xfId="0" applyNumberFormat="1" applyFont="1" applyFill="1" applyBorder="1" applyAlignment="1" applyProtection="1">
      <alignment vertical="center"/>
      <protection locked="0"/>
    </xf>
    <xf numFmtId="3" fontId="9" fillId="4" borderId="17" xfId="0" applyNumberFormat="1" applyFont="1" applyFill="1" applyBorder="1" applyAlignment="1" applyProtection="1">
      <alignment vertical="center"/>
      <protection locked="0"/>
    </xf>
    <xf numFmtId="3" fontId="1" fillId="2" borderId="14" xfId="0" applyNumberFormat="1" applyFont="1" applyFill="1" applyBorder="1" applyAlignment="1" applyProtection="1">
      <alignment vertical="center"/>
    </xf>
    <xf numFmtId="3" fontId="1" fillId="2" borderId="41" xfId="0" applyNumberFormat="1" applyFont="1" applyFill="1" applyBorder="1" applyAlignment="1" applyProtection="1">
      <alignment vertical="center"/>
    </xf>
    <xf numFmtId="3" fontId="1" fillId="2" borderId="45" xfId="0" applyNumberFormat="1" applyFont="1" applyFill="1" applyBorder="1" applyAlignment="1" applyProtection="1">
      <alignment vertical="center"/>
    </xf>
    <xf numFmtId="3" fontId="1" fillId="2" borderId="46" xfId="0" applyNumberFormat="1" applyFont="1" applyFill="1" applyBorder="1" applyAlignment="1" applyProtection="1">
      <alignment vertical="center"/>
    </xf>
    <xf numFmtId="3" fontId="4" fillId="2" borderId="53" xfId="0" applyNumberFormat="1" applyFont="1" applyFill="1" applyBorder="1" applyAlignment="1" applyProtection="1">
      <alignment horizontal="left" vertical="center"/>
    </xf>
    <xf numFmtId="3" fontId="4" fillId="2" borderId="16" xfId="0" applyNumberFormat="1" applyFont="1" applyFill="1" applyBorder="1" applyAlignment="1" applyProtection="1">
      <alignment vertical="center"/>
    </xf>
    <xf numFmtId="10" fontId="4" fillId="2" borderId="16" xfId="0" applyNumberFormat="1" applyFont="1" applyFill="1" applyBorder="1" applyAlignment="1" applyProtection="1">
      <alignment vertical="center"/>
    </xf>
    <xf numFmtId="3" fontId="4" fillId="2" borderId="17" xfId="0" applyNumberFormat="1" applyFont="1" applyFill="1" applyBorder="1" applyAlignment="1" applyProtection="1">
      <alignment vertical="center"/>
    </xf>
    <xf numFmtId="3" fontId="9" fillId="4" borderId="9" xfId="0" applyNumberFormat="1" applyFont="1" applyFill="1" applyBorder="1" applyAlignment="1" applyProtection="1">
      <alignment vertical="center"/>
      <protection locked="0"/>
    </xf>
    <xf numFmtId="3" fontId="1" fillId="2" borderId="47" xfId="0" applyNumberFormat="1" applyFont="1" applyFill="1" applyBorder="1" applyAlignment="1" applyProtection="1">
      <alignment vertical="center"/>
    </xf>
    <xf numFmtId="3" fontId="1" fillId="2" borderId="60" xfId="0" applyNumberFormat="1" applyFont="1" applyFill="1" applyBorder="1" applyAlignment="1" applyProtection="1">
      <alignment vertical="center"/>
    </xf>
    <xf numFmtId="3" fontId="1" fillId="2" borderId="26" xfId="0" applyNumberFormat="1" applyFont="1" applyFill="1" applyBorder="1" applyAlignment="1" applyProtection="1">
      <alignment vertical="center"/>
    </xf>
    <xf numFmtId="3" fontId="1" fillId="2" borderId="33" xfId="0" applyNumberFormat="1" applyFont="1" applyFill="1" applyBorder="1" applyAlignment="1" applyProtection="1">
      <alignment vertical="center"/>
    </xf>
    <xf numFmtId="3" fontId="1" fillId="2" borderId="54" xfId="0" applyNumberFormat="1" applyFont="1" applyFill="1" applyBorder="1" applyAlignment="1" applyProtection="1">
      <alignment vertical="center"/>
    </xf>
    <xf numFmtId="3" fontId="4" fillId="2" borderId="26" xfId="0" applyNumberFormat="1" applyFont="1" applyFill="1" applyBorder="1" applyAlignment="1" applyProtection="1">
      <alignment vertical="center"/>
    </xf>
    <xf numFmtId="3" fontId="1" fillId="2" borderId="27" xfId="0" applyNumberFormat="1" applyFont="1" applyFill="1" applyBorder="1" applyAlignment="1" applyProtection="1">
      <alignment vertical="center"/>
    </xf>
    <xf numFmtId="3" fontId="1" fillId="2" borderId="48" xfId="0" applyNumberFormat="1" applyFont="1" applyFill="1" applyBorder="1" applyAlignment="1" applyProtection="1">
      <alignment vertical="center"/>
    </xf>
    <xf numFmtId="3" fontId="1" fillId="2" borderId="24" xfId="0" applyNumberFormat="1" applyFont="1" applyFill="1" applyBorder="1" applyAlignment="1" applyProtection="1">
      <alignment vertical="center"/>
    </xf>
    <xf numFmtId="3" fontId="4" fillId="2" borderId="66" xfId="0" applyNumberFormat="1" applyFont="1" applyFill="1" applyBorder="1" applyAlignment="1" applyProtection="1">
      <alignment horizontal="left" vertical="center"/>
    </xf>
    <xf numFmtId="3" fontId="4" fillId="2" borderId="66" xfId="0" applyNumberFormat="1" applyFont="1" applyFill="1" applyBorder="1" applyAlignment="1" applyProtection="1">
      <alignment horizontal="center" vertical="center"/>
    </xf>
    <xf numFmtId="3" fontId="4" fillId="2" borderId="67" xfId="0" applyNumberFormat="1" applyFont="1" applyFill="1" applyBorder="1" applyAlignment="1" applyProtection="1">
      <alignment horizontal="center" vertical="center"/>
    </xf>
    <xf numFmtId="3" fontId="4" fillId="2" borderId="68" xfId="0" applyNumberFormat="1" applyFont="1" applyFill="1" applyBorder="1" applyAlignment="1" applyProtection="1">
      <alignment horizontal="center" vertical="center"/>
    </xf>
    <xf numFmtId="10" fontId="4" fillId="2" borderId="56" xfId="0" applyNumberFormat="1" applyFont="1" applyFill="1" applyBorder="1" applyAlignment="1" applyProtection="1">
      <alignment horizontal="center" vertical="center"/>
    </xf>
    <xf numFmtId="10" fontId="4" fillId="2" borderId="21" xfId="0" applyNumberFormat="1" applyFont="1" applyFill="1" applyBorder="1" applyAlignment="1" applyProtection="1">
      <alignment horizontal="center" vertical="center"/>
    </xf>
    <xf numFmtId="0" fontId="1" fillId="2" borderId="24" xfId="0" applyFont="1" applyFill="1" applyBorder="1" applyAlignment="1" applyProtection="1">
      <alignment wrapText="1"/>
    </xf>
    <xf numFmtId="3" fontId="1" fillId="2" borderId="55" xfId="0" applyNumberFormat="1" applyFont="1" applyFill="1" applyBorder="1" applyAlignment="1" applyProtection="1">
      <alignment vertical="center"/>
    </xf>
    <xf numFmtId="3" fontId="1" fillId="2" borderId="59" xfId="0" applyNumberFormat="1" applyFont="1" applyFill="1" applyBorder="1" applyAlignment="1" applyProtection="1">
      <alignment horizontal="centerContinuous" vertical="center"/>
    </xf>
    <xf numFmtId="3" fontId="1" fillId="2" borderId="59" xfId="0" applyNumberFormat="1" applyFont="1" applyFill="1" applyBorder="1" applyAlignment="1" applyProtection="1">
      <alignment horizontal="center" vertical="center"/>
    </xf>
    <xf numFmtId="3" fontId="1" fillId="2" borderId="69" xfId="0" applyNumberFormat="1" applyFont="1" applyFill="1" applyBorder="1" applyAlignment="1" applyProtection="1">
      <alignment horizontal="center" vertical="center"/>
    </xf>
    <xf numFmtId="3" fontId="1" fillId="2" borderId="6" xfId="0" applyNumberFormat="1" applyFont="1" applyFill="1" applyBorder="1" applyAlignment="1" applyProtection="1">
      <alignment horizontal="center" vertical="center"/>
    </xf>
    <xf numFmtId="3" fontId="1" fillId="2" borderId="6" xfId="0" applyNumberFormat="1" applyFont="1" applyFill="1" applyBorder="1" applyAlignment="1" applyProtection="1">
      <alignment horizontal="centerContinuous" vertical="center"/>
    </xf>
    <xf numFmtId="3" fontId="1" fillId="2" borderId="38" xfId="0" applyNumberFormat="1" applyFont="1" applyFill="1" applyBorder="1" applyAlignment="1" applyProtection="1">
      <alignment horizontal="center" vertical="center"/>
    </xf>
    <xf numFmtId="3" fontId="51" fillId="2" borderId="0" xfId="0" applyNumberFormat="1" applyFont="1" applyFill="1" applyAlignment="1" applyProtection="1">
      <alignment vertical="center"/>
    </xf>
    <xf numFmtId="0" fontId="4" fillId="2" borderId="53" xfId="0" applyFont="1" applyFill="1" applyBorder="1" applyAlignment="1" applyProtection="1">
      <alignment vertical="center"/>
    </xf>
    <xf numFmtId="0" fontId="4" fillId="2" borderId="54" xfId="0" applyFont="1" applyFill="1" applyBorder="1" applyAlignment="1" applyProtection="1">
      <alignment horizontal="centerContinuous" vertical="center"/>
    </xf>
    <xf numFmtId="3" fontId="1" fillId="2" borderId="54" xfId="0" applyNumberFormat="1" applyFont="1" applyFill="1" applyBorder="1" applyAlignment="1" applyProtection="1">
      <alignment horizontal="center" vertical="center"/>
    </xf>
    <xf numFmtId="3" fontId="1" fillId="2" borderId="70" xfId="0" applyNumberFormat="1" applyFont="1" applyFill="1" applyBorder="1" applyAlignment="1" applyProtection="1">
      <alignment horizontal="center" vertical="center"/>
    </xf>
    <xf numFmtId="0" fontId="4" fillId="2" borderId="54" xfId="0" applyFont="1" applyFill="1" applyBorder="1" applyAlignment="1" applyProtection="1">
      <alignment vertical="center"/>
    </xf>
    <xf numFmtId="3" fontId="1" fillId="2" borderId="13" xfId="0" applyNumberFormat="1" applyFont="1" applyFill="1" applyBorder="1" applyAlignment="1" applyProtection="1">
      <alignment horizontal="center" vertical="center"/>
    </xf>
    <xf numFmtId="3" fontId="1" fillId="2" borderId="5" xfId="0" applyNumberFormat="1" applyFont="1" applyFill="1" applyBorder="1" applyAlignment="1" applyProtection="1">
      <alignment horizontal="left" vertical="center"/>
    </xf>
    <xf numFmtId="3" fontId="1" fillId="2" borderId="28" xfId="0" applyNumberFormat="1" applyFont="1" applyFill="1" applyBorder="1" applyAlignment="1" applyProtection="1">
      <alignment vertical="center"/>
    </xf>
    <xf numFmtId="3" fontId="1" fillId="2" borderId="59" xfId="0" applyNumberFormat="1" applyFont="1" applyFill="1" applyBorder="1" applyAlignment="1" applyProtection="1">
      <alignment vertical="center"/>
    </xf>
    <xf numFmtId="10" fontId="1" fillId="2" borderId="21" xfId="0" applyNumberFormat="1" applyFont="1" applyFill="1" applyBorder="1" applyAlignment="1" applyProtection="1">
      <alignment vertical="center"/>
    </xf>
    <xf numFmtId="3" fontId="1" fillId="2" borderId="21" xfId="0" applyNumberFormat="1" applyFont="1" applyFill="1" applyBorder="1" applyAlignment="1" applyProtection="1">
      <alignment vertical="center"/>
    </xf>
    <xf numFmtId="3" fontId="1" fillId="2" borderId="22" xfId="0" applyNumberFormat="1" applyFont="1" applyFill="1" applyBorder="1" applyAlignment="1" applyProtection="1">
      <alignment vertical="center"/>
    </xf>
    <xf numFmtId="3" fontId="4" fillId="2" borderId="9" xfId="0" applyNumberFormat="1" applyFont="1" applyFill="1" applyBorder="1" applyAlignment="1" applyProtection="1">
      <alignment horizontal="left" vertical="center"/>
    </xf>
    <xf numFmtId="3" fontId="4" fillId="2" borderId="7" xfId="0" applyNumberFormat="1" applyFont="1" applyFill="1" applyBorder="1" applyAlignment="1" applyProtection="1">
      <alignment vertical="center"/>
    </xf>
    <xf numFmtId="3" fontId="49" fillId="2" borderId="0" xfId="0" applyNumberFormat="1" applyFont="1" applyFill="1" applyBorder="1" applyAlignment="1" applyProtection="1">
      <alignment horizontal="left" vertical="center"/>
    </xf>
    <xf numFmtId="3" fontId="1" fillId="2" borderId="9" xfId="0" applyNumberFormat="1" applyFont="1" applyFill="1" applyBorder="1" applyAlignment="1" applyProtection="1">
      <alignment vertical="center"/>
    </xf>
    <xf numFmtId="3" fontId="4" fillId="2" borderId="55" xfId="0" applyNumberFormat="1" applyFont="1" applyFill="1" applyBorder="1" applyAlignment="1" applyProtection="1">
      <alignment horizontal="left" vertical="center"/>
    </xf>
    <xf numFmtId="3" fontId="4" fillId="2" borderId="36" xfId="0" applyNumberFormat="1" applyFont="1" applyFill="1" applyBorder="1" applyAlignment="1" applyProtection="1">
      <alignment horizontal="left" vertical="center"/>
    </xf>
    <xf numFmtId="3" fontId="4" fillId="2" borderId="54" xfId="0" applyNumberFormat="1" applyFont="1" applyFill="1" applyBorder="1" applyAlignment="1" applyProtection="1">
      <alignment vertical="center"/>
    </xf>
    <xf numFmtId="10" fontId="1" fillId="2" borderId="16" xfId="0" applyNumberFormat="1" applyFont="1" applyFill="1" applyBorder="1" applyAlignment="1" applyProtection="1">
      <alignment vertical="center"/>
    </xf>
    <xf numFmtId="3" fontId="4" fillId="2" borderId="40" xfId="0" applyNumberFormat="1" applyFont="1" applyFill="1" applyBorder="1" applyAlignment="1" applyProtection="1">
      <alignment horizontal="left" vertical="center"/>
    </xf>
    <xf numFmtId="3" fontId="4" fillId="2" borderId="14" xfId="0" applyNumberFormat="1" applyFont="1" applyFill="1" applyBorder="1" applyAlignment="1" applyProtection="1">
      <alignment vertical="center"/>
    </xf>
    <xf numFmtId="10" fontId="1" fillId="2" borderId="18" xfId="0" applyNumberFormat="1" applyFont="1" applyFill="1" applyBorder="1" applyAlignment="1" applyProtection="1">
      <alignment vertical="center"/>
    </xf>
    <xf numFmtId="3" fontId="4" fillId="2" borderId="37" xfId="0" applyNumberFormat="1" applyFont="1" applyFill="1" applyBorder="1" applyAlignment="1" applyProtection="1">
      <alignment horizontal="left" vertical="center"/>
    </xf>
    <xf numFmtId="10" fontId="1" fillId="2" borderId="19" xfId="0" applyNumberFormat="1" applyFont="1" applyFill="1" applyBorder="1" applyAlignment="1" applyProtection="1">
      <alignment horizontal="center" vertical="justify"/>
    </xf>
    <xf numFmtId="10" fontId="1" fillId="2" borderId="16" xfId="0" applyNumberFormat="1" applyFont="1" applyFill="1" applyBorder="1" applyAlignment="1" applyProtection="1">
      <alignment horizontal="center" vertical="justify"/>
    </xf>
    <xf numFmtId="0" fontId="4" fillId="2" borderId="16" xfId="0" applyFont="1" applyFill="1" applyBorder="1" applyAlignment="1" applyProtection="1">
      <alignment vertical="center"/>
    </xf>
    <xf numFmtId="3" fontId="1" fillId="2" borderId="39" xfId="0" applyNumberFormat="1" applyFont="1" applyFill="1" applyBorder="1" applyAlignment="1" applyProtection="1">
      <alignment vertical="center"/>
    </xf>
    <xf numFmtId="3" fontId="1" fillId="2" borderId="12" xfId="0" applyNumberFormat="1" applyFont="1" applyFill="1" applyBorder="1" applyAlignment="1" applyProtection="1">
      <alignment horizontal="centerContinuous" vertical="center"/>
    </xf>
    <xf numFmtId="3" fontId="1" fillId="2" borderId="32" xfId="0" applyNumberFormat="1" applyFont="1" applyFill="1" applyBorder="1" applyAlignment="1" applyProtection="1">
      <alignment horizontal="centerContinuous" vertical="center"/>
    </xf>
    <xf numFmtId="3" fontId="1" fillId="2" borderId="26" xfId="0" applyNumberFormat="1" applyFont="1" applyFill="1" applyBorder="1" applyAlignment="1" applyProtection="1">
      <alignment horizontal="centerContinuous" vertical="center"/>
    </xf>
    <xf numFmtId="0" fontId="4" fillId="2" borderId="26" xfId="0" applyFont="1" applyFill="1" applyBorder="1" applyAlignment="1" applyProtection="1">
      <alignment horizontal="centerContinuous" vertical="center"/>
    </xf>
    <xf numFmtId="3" fontId="1" fillId="2" borderId="27" xfId="0" applyNumberFormat="1" applyFont="1" applyFill="1" applyBorder="1" applyAlignment="1" applyProtection="1">
      <alignment horizontal="centerContinuous" vertical="center"/>
    </xf>
    <xf numFmtId="3" fontId="1" fillId="2" borderId="58" xfId="0" applyNumberFormat="1" applyFont="1" applyFill="1" applyBorder="1" applyAlignment="1" applyProtection="1">
      <alignment vertical="center"/>
    </xf>
    <xf numFmtId="3" fontId="1" fillId="2" borderId="0" xfId="0" applyNumberFormat="1" applyFont="1" applyFill="1" applyBorder="1" applyAlignment="1" applyProtection="1">
      <alignment horizontal="left" vertical="center"/>
    </xf>
    <xf numFmtId="3" fontId="1" fillId="2" borderId="0" xfId="0" applyNumberFormat="1" applyFont="1" applyFill="1" applyBorder="1" applyAlignment="1" applyProtection="1">
      <alignment horizontal="center" vertical="center"/>
    </xf>
    <xf numFmtId="3" fontId="1" fillId="2" borderId="0" xfId="0" applyNumberFormat="1" applyFont="1" applyFill="1" applyBorder="1" applyAlignment="1" applyProtection="1">
      <alignment horizontal="centerContinuous" vertical="center"/>
    </xf>
    <xf numFmtId="3" fontId="1" fillId="0" borderId="0" xfId="0" applyNumberFormat="1" applyFont="1" applyFill="1" applyBorder="1" applyAlignment="1" applyProtection="1">
      <alignment vertical="center"/>
    </xf>
    <xf numFmtId="3" fontId="1" fillId="0" borderId="0" xfId="0" applyNumberFormat="1" applyFont="1" applyFill="1" applyAlignment="1" applyProtection="1">
      <alignment vertical="center"/>
    </xf>
    <xf numFmtId="3" fontId="1" fillId="0" borderId="16" xfId="0" applyNumberFormat="1" applyFont="1" applyFill="1" applyBorder="1" applyAlignment="1" applyProtection="1">
      <alignment vertical="center"/>
    </xf>
    <xf numFmtId="3" fontId="1" fillId="2" borderId="38" xfId="0" applyNumberFormat="1" applyFont="1" applyFill="1" applyBorder="1" applyAlignment="1" applyProtection="1">
      <alignment vertical="center"/>
    </xf>
    <xf numFmtId="3" fontId="1" fillId="0" borderId="7" xfId="0" applyNumberFormat="1" applyFont="1" applyFill="1" applyBorder="1" applyAlignment="1" applyProtection="1">
      <alignment vertical="center"/>
    </xf>
    <xf numFmtId="3" fontId="1" fillId="0" borderId="8" xfId="0" applyNumberFormat="1" applyFont="1" applyFill="1" applyBorder="1" applyAlignment="1" applyProtection="1">
      <alignment vertical="center"/>
    </xf>
    <xf numFmtId="3" fontId="1" fillId="0" borderId="11" xfId="0" applyNumberFormat="1" applyFont="1" applyFill="1" applyBorder="1" applyAlignment="1" applyProtection="1">
      <alignment vertical="center"/>
    </xf>
    <xf numFmtId="3" fontId="1" fillId="2" borderId="40" xfId="0" applyNumberFormat="1" applyFont="1" applyFill="1" applyBorder="1" applyAlignment="1" applyProtection="1">
      <alignment vertical="center"/>
    </xf>
    <xf numFmtId="3" fontId="1" fillId="0" borderId="10" xfId="0" applyNumberFormat="1" applyFont="1" applyFill="1" applyBorder="1" applyAlignment="1" applyProtection="1">
      <alignment vertical="center"/>
    </xf>
    <xf numFmtId="3" fontId="1" fillId="0" borderId="9" xfId="0" applyNumberFormat="1" applyFont="1" applyFill="1" applyBorder="1" applyAlignment="1" applyProtection="1">
      <alignment vertical="center"/>
    </xf>
    <xf numFmtId="3" fontId="9" fillId="2" borderId="9" xfId="0" applyNumberFormat="1" applyFont="1" applyFill="1" applyBorder="1" applyAlignment="1" applyProtection="1">
      <alignment horizontal="right" vertical="center"/>
    </xf>
    <xf numFmtId="3" fontId="9" fillId="2" borderId="7" xfId="0" applyNumberFormat="1" applyFont="1" applyFill="1" applyBorder="1" applyAlignment="1" applyProtection="1">
      <alignment horizontal="right" vertical="center"/>
    </xf>
    <xf numFmtId="3" fontId="9" fillId="2" borderId="10" xfId="0" applyNumberFormat="1" applyFont="1" applyFill="1" applyBorder="1" applyAlignment="1" applyProtection="1">
      <alignment horizontal="right" vertical="center"/>
    </xf>
    <xf numFmtId="3" fontId="1" fillId="2" borderId="10" xfId="0" applyNumberFormat="1" applyFont="1" applyFill="1" applyBorder="1" applyAlignment="1" applyProtection="1">
      <alignment vertical="center"/>
    </xf>
    <xf numFmtId="3" fontId="1" fillId="0" borderId="34" xfId="0" applyNumberFormat="1" applyFont="1" applyFill="1" applyBorder="1" applyAlignment="1" applyProtection="1">
      <alignment vertical="center"/>
    </xf>
    <xf numFmtId="3" fontId="1" fillId="2" borderId="34" xfId="0" applyNumberFormat="1" applyFont="1" applyFill="1" applyBorder="1" applyAlignment="1" applyProtection="1">
      <alignment vertical="center"/>
    </xf>
    <xf numFmtId="3" fontId="1" fillId="2" borderId="36" xfId="0" applyNumberFormat="1" applyFont="1" applyFill="1" applyBorder="1" applyAlignment="1" applyProtection="1">
      <alignment vertical="center"/>
    </xf>
    <xf numFmtId="3" fontId="15" fillId="2" borderId="61" xfId="0" applyNumberFormat="1" applyFont="1" applyFill="1" applyBorder="1" applyAlignment="1" applyProtection="1">
      <alignment vertical="center"/>
    </xf>
    <xf numFmtId="3" fontId="15" fillId="2" borderId="32" xfId="0" applyNumberFormat="1" applyFont="1" applyFill="1" applyBorder="1" applyAlignment="1" applyProtection="1">
      <alignment vertical="center"/>
    </xf>
    <xf numFmtId="3" fontId="15" fillId="2" borderId="27" xfId="0" applyNumberFormat="1" applyFont="1" applyFill="1" applyBorder="1" applyAlignment="1" applyProtection="1">
      <alignment vertical="center"/>
    </xf>
    <xf numFmtId="3" fontId="15" fillId="2" borderId="47" xfId="0" applyNumberFormat="1" applyFont="1" applyFill="1" applyBorder="1" applyAlignment="1" applyProtection="1">
      <alignment vertical="center"/>
    </xf>
    <xf numFmtId="3" fontId="15" fillId="2" borderId="46" xfId="0" applyNumberFormat="1" applyFont="1" applyFill="1" applyBorder="1" applyAlignment="1" applyProtection="1">
      <alignment vertical="center"/>
    </xf>
    <xf numFmtId="3" fontId="15" fillId="2" borderId="45" xfId="0" applyNumberFormat="1" applyFont="1" applyFill="1" applyBorder="1" applyAlignment="1" applyProtection="1">
      <alignment vertical="center"/>
    </xf>
    <xf numFmtId="3" fontId="15" fillId="0" borderId="43" xfId="0" applyNumberFormat="1" applyFont="1" applyFill="1" applyBorder="1" applyAlignment="1" applyProtection="1">
      <alignment vertical="center"/>
    </xf>
    <xf numFmtId="3" fontId="15" fillId="0" borderId="42" xfId="0" applyNumberFormat="1" applyFont="1" applyFill="1" applyBorder="1" applyAlignment="1" applyProtection="1">
      <alignment vertical="center"/>
    </xf>
    <xf numFmtId="3" fontId="15" fillId="2" borderId="57" xfId="0" applyNumberFormat="1" applyFont="1" applyFill="1" applyBorder="1" applyAlignment="1" applyProtection="1">
      <alignment vertical="center"/>
    </xf>
    <xf numFmtId="3" fontId="15" fillId="2" borderId="54" xfId="0" applyNumberFormat="1" applyFont="1" applyFill="1" applyBorder="1" applyAlignment="1" applyProtection="1">
      <alignment vertical="center"/>
    </xf>
    <xf numFmtId="3" fontId="15" fillId="2" borderId="71" xfId="0" applyNumberFormat="1" applyFont="1" applyFill="1" applyBorder="1" applyAlignment="1" applyProtection="1">
      <alignment vertical="center"/>
    </xf>
    <xf numFmtId="3" fontId="9" fillId="4" borderId="36" xfId="0" applyNumberFormat="1" applyFont="1" applyFill="1" applyBorder="1" applyAlignment="1" applyProtection="1">
      <alignment vertical="center"/>
      <protection locked="0"/>
    </xf>
    <xf numFmtId="1" fontId="14" fillId="2" borderId="23" xfId="0" applyNumberFormat="1" applyFont="1" applyFill="1" applyBorder="1" applyAlignment="1" applyProtection="1">
      <alignment horizontal="center" vertical="center" wrapText="1"/>
    </xf>
    <xf numFmtId="3" fontId="15" fillId="2" borderId="23" xfId="0" applyNumberFormat="1" applyFont="1" applyFill="1" applyBorder="1" applyAlignment="1" applyProtection="1">
      <alignment horizontal="center" vertical="center"/>
    </xf>
    <xf numFmtId="3" fontId="9" fillId="2" borderId="23" xfId="0" applyNumberFormat="1" applyFont="1" applyFill="1" applyBorder="1" applyAlignment="1" applyProtection="1">
      <alignment horizontal="right" vertical="center"/>
    </xf>
    <xf numFmtId="3" fontId="9" fillId="2" borderId="3" xfId="0" applyNumberFormat="1" applyFont="1" applyFill="1" applyBorder="1" applyAlignment="1" applyProtection="1">
      <alignment horizontal="right" vertical="center"/>
    </xf>
    <xf numFmtId="164" fontId="28" fillId="2" borderId="7" xfId="0" applyNumberFormat="1" applyFont="1" applyFill="1" applyBorder="1" applyAlignment="1" applyProtection="1">
      <alignment horizontal="center" vertical="center"/>
    </xf>
    <xf numFmtId="3" fontId="9" fillId="2" borderId="7" xfId="0" applyNumberFormat="1" applyFont="1" applyFill="1" applyBorder="1" applyAlignment="1" applyProtection="1">
      <alignment horizontal="right" vertical="center"/>
      <protection locked="0"/>
    </xf>
    <xf numFmtId="1" fontId="14" fillId="2" borderId="7" xfId="0" applyNumberFormat="1" applyFont="1" applyFill="1" applyBorder="1" applyAlignment="1" applyProtection="1">
      <alignment horizontal="center" vertical="center" wrapText="1"/>
    </xf>
    <xf numFmtId="3" fontId="9" fillId="2" borderId="24" xfId="0" applyNumberFormat="1" applyFont="1" applyFill="1" applyBorder="1" applyAlignment="1" applyProtection="1">
      <alignment vertical="center"/>
    </xf>
    <xf numFmtId="3" fontId="9" fillId="2" borderId="48" xfId="0" applyNumberFormat="1" applyFont="1" applyFill="1" applyBorder="1" applyAlignment="1" applyProtection="1">
      <alignment vertical="center"/>
    </xf>
    <xf numFmtId="1" fontId="14" fillId="2" borderId="37" xfId="0" applyNumberFormat="1" applyFont="1" applyFill="1" applyBorder="1" applyAlignment="1" applyProtection="1">
      <alignment horizontal="center" vertical="center" wrapText="1"/>
    </xf>
    <xf numFmtId="3" fontId="15" fillId="2" borderId="37" xfId="0" applyNumberFormat="1" applyFont="1" applyFill="1" applyBorder="1" applyAlignment="1" applyProtection="1">
      <alignment horizontal="center" vertical="center"/>
    </xf>
    <xf numFmtId="3" fontId="3" fillId="2" borderId="45" xfId="0" applyNumberFormat="1" applyFont="1" applyFill="1" applyBorder="1" applyAlignment="1" applyProtection="1">
      <alignment horizontal="right" vertical="center"/>
    </xf>
    <xf numFmtId="3" fontId="3" fillId="2" borderId="46" xfId="0" applyNumberFormat="1" applyFont="1" applyFill="1" applyBorder="1" applyAlignment="1" applyProtection="1">
      <alignment horizontal="right" vertical="center"/>
    </xf>
    <xf numFmtId="3" fontId="9" fillId="2" borderId="21" xfId="0" applyNumberFormat="1" applyFont="1" applyFill="1" applyBorder="1" applyAlignment="1" applyProtection="1">
      <alignment horizontal="right" vertical="center"/>
      <protection locked="0"/>
    </xf>
    <xf numFmtId="3" fontId="6" fillId="2" borderId="0" xfId="0" applyNumberFormat="1" applyFont="1" applyFill="1" applyAlignment="1" applyProtection="1">
      <alignment vertical="center"/>
    </xf>
    <xf numFmtId="3" fontId="9" fillId="4" borderId="35" xfId="0" applyNumberFormat="1" applyFont="1" applyFill="1" applyBorder="1" applyAlignment="1" applyProtection="1">
      <alignment vertical="center"/>
      <protection locked="0"/>
    </xf>
    <xf numFmtId="3" fontId="9" fillId="4" borderId="31" xfId="0" applyNumberFormat="1" applyFont="1" applyFill="1" applyBorder="1" applyAlignment="1" applyProtection="1">
      <alignment vertical="center"/>
      <protection locked="0"/>
    </xf>
    <xf numFmtId="3" fontId="3" fillId="2" borderId="23" xfId="0" applyNumberFormat="1" applyFont="1" applyFill="1" applyBorder="1" applyAlignment="1" applyProtection="1">
      <alignment horizontal="right" vertical="center"/>
    </xf>
    <xf numFmtId="3" fontId="3" fillId="2" borderId="3" xfId="0" applyNumberFormat="1" applyFont="1" applyFill="1" applyBorder="1" applyAlignment="1" applyProtection="1">
      <alignment horizontal="right" vertical="center"/>
    </xf>
    <xf numFmtId="164" fontId="28" fillId="2" borderId="11" xfId="0" applyNumberFormat="1" applyFont="1" applyFill="1" applyBorder="1" applyAlignment="1" applyProtection="1">
      <alignment horizontal="center" vertical="center"/>
    </xf>
    <xf numFmtId="3" fontId="3" fillId="2" borderId="39" xfId="0" applyNumberFormat="1" applyFont="1" applyFill="1" applyBorder="1" applyAlignment="1" applyProtection="1">
      <alignment horizontal="right" vertical="center"/>
    </xf>
    <xf numFmtId="3" fontId="3" fillId="2" borderId="13" xfId="0" applyNumberFormat="1" applyFont="1" applyFill="1" applyBorder="1" applyAlignment="1" applyProtection="1">
      <alignment horizontal="right" vertical="center"/>
    </xf>
    <xf numFmtId="164" fontId="28" fillId="2" borderId="32" xfId="0" applyNumberFormat="1" applyFont="1" applyFill="1" applyBorder="1" applyAlignment="1" applyProtection="1">
      <alignment horizontal="center" vertical="center"/>
    </xf>
    <xf numFmtId="3" fontId="9" fillId="2" borderId="50" xfId="0" applyNumberFormat="1" applyFont="1" applyFill="1" applyBorder="1" applyAlignment="1" applyProtection="1">
      <alignment horizontal="right" vertical="center"/>
    </xf>
    <xf numFmtId="0" fontId="8" fillId="2" borderId="23" xfId="0" applyFont="1" applyFill="1" applyBorder="1" applyAlignment="1" applyProtection="1">
      <alignment horizontal="centerContinuous" vertical="center"/>
    </xf>
    <xf numFmtId="0" fontId="8" fillId="2" borderId="3" xfId="0" applyFont="1" applyFill="1" applyBorder="1" applyAlignment="1" applyProtection="1">
      <alignment horizontal="centerContinuous" vertical="center"/>
    </xf>
    <xf numFmtId="1" fontId="14" fillId="2" borderId="45" xfId="0" applyNumberFormat="1" applyFont="1" applyFill="1" applyBorder="1" applyAlignment="1" applyProtection="1">
      <alignment horizontal="center" vertical="center"/>
    </xf>
    <xf numFmtId="3" fontId="14" fillId="2" borderId="47" xfId="0" applyNumberFormat="1" applyFont="1" applyFill="1" applyBorder="1" applyAlignment="1" applyProtection="1">
      <alignment horizontal="center" vertical="center" wrapText="1"/>
    </xf>
    <xf numFmtId="0" fontId="17" fillId="2" borderId="63" xfId="0" applyFont="1" applyFill="1" applyBorder="1" applyAlignment="1" applyProtection="1">
      <alignment horizontal="centerContinuous" vertical="center"/>
    </xf>
    <xf numFmtId="3" fontId="17" fillId="2" borderId="22" xfId="0" applyNumberFormat="1" applyFont="1" applyFill="1" applyBorder="1" applyAlignment="1" applyProtection="1">
      <alignment horizontal="centerContinuous"/>
    </xf>
    <xf numFmtId="0" fontId="17" fillId="2" borderId="11" xfId="0" applyFont="1" applyFill="1" applyBorder="1" applyAlignment="1" applyProtection="1">
      <alignment horizontal="centerContinuous" vertical="center"/>
    </xf>
    <xf numFmtId="0" fontId="17" fillId="2" borderId="7" xfId="0" applyFont="1" applyFill="1" applyBorder="1" applyAlignment="1" applyProtection="1">
      <alignment horizontal="center" vertical="center" wrapText="1"/>
    </xf>
    <xf numFmtId="0" fontId="17" fillId="2" borderId="8" xfId="0" applyFont="1" applyFill="1" applyBorder="1" applyAlignment="1" applyProtection="1">
      <alignment horizontal="center" vertical="center" wrapText="1"/>
    </xf>
    <xf numFmtId="3" fontId="1" fillId="2" borderId="54" xfId="0" applyNumberFormat="1" applyFont="1" applyFill="1" applyBorder="1" applyAlignment="1" applyProtection="1">
      <alignment horizontal="centerContinuous" vertical="center"/>
    </xf>
    <xf numFmtId="3" fontId="1" fillId="0" borderId="0" xfId="0" applyNumberFormat="1" applyFont="1" applyFill="1" applyProtection="1"/>
    <xf numFmtId="3" fontId="14" fillId="0" borderId="22" xfId="0" applyNumberFormat="1" applyFont="1" applyFill="1" applyBorder="1" applyAlignment="1" applyProtection="1">
      <alignment horizontal="center" vertical="center"/>
    </xf>
    <xf numFmtId="3" fontId="4" fillId="0" borderId="38" xfId="0" applyNumberFormat="1" applyFont="1" applyFill="1" applyBorder="1" applyAlignment="1" applyProtection="1">
      <alignment vertical="center"/>
    </xf>
    <xf numFmtId="3" fontId="15" fillId="2" borderId="3" xfId="0" applyNumberFormat="1" applyFont="1" applyFill="1" applyBorder="1" applyAlignment="1" applyProtection="1">
      <alignment horizontal="centerContinuous"/>
    </xf>
    <xf numFmtId="3" fontId="17" fillId="0" borderId="49" xfId="0" applyNumberFormat="1" applyFont="1" applyFill="1" applyBorder="1" applyAlignment="1" applyProtection="1">
      <alignment horizontal="centerContinuous"/>
    </xf>
    <xf numFmtId="0" fontId="17" fillId="0" borderId="72" xfId="0" applyFont="1" applyFill="1" applyBorder="1" applyAlignment="1" applyProtection="1">
      <alignment horizontal="center" vertical="center" wrapText="1"/>
    </xf>
    <xf numFmtId="3" fontId="51" fillId="0" borderId="0" xfId="0" applyNumberFormat="1" applyFont="1" applyFill="1" applyAlignment="1" applyProtection="1">
      <alignment vertical="center"/>
    </xf>
    <xf numFmtId="3" fontId="1" fillId="0" borderId="0" xfId="0" applyNumberFormat="1" applyFont="1" applyFill="1" applyAlignment="1" applyProtection="1">
      <alignment vertical="center"/>
      <protection hidden="1"/>
    </xf>
    <xf numFmtId="0" fontId="1" fillId="0" borderId="24" xfId="0" applyFont="1" applyFill="1" applyBorder="1" applyAlignment="1" applyProtection="1">
      <alignment horizontal="left" wrapText="1"/>
    </xf>
    <xf numFmtId="3" fontId="4" fillId="2" borderId="5" xfId="0" applyNumberFormat="1" applyFont="1" applyFill="1" applyBorder="1" applyAlignment="1" applyProtection="1">
      <alignment horizontal="left" vertical="center" wrapText="1"/>
    </xf>
    <xf numFmtId="3" fontId="4" fillId="2" borderId="5" xfId="0" applyNumberFormat="1" applyFont="1" applyFill="1" applyBorder="1" applyAlignment="1" applyProtection="1">
      <alignment horizontal="left" vertical="justify" wrapText="1"/>
    </xf>
    <xf numFmtId="3" fontId="18" fillId="0" borderId="24" xfId="0" applyNumberFormat="1" applyFont="1" applyFill="1" applyBorder="1" applyAlignment="1" applyProtection="1">
      <alignment vertical="center"/>
      <protection hidden="1"/>
    </xf>
    <xf numFmtId="3" fontId="17" fillId="0" borderId="19" xfId="0" applyNumberFormat="1" applyFont="1" applyFill="1" applyBorder="1" applyAlignment="1" applyProtection="1">
      <alignment vertical="center"/>
      <protection hidden="1"/>
    </xf>
    <xf numFmtId="3" fontId="17" fillId="0" borderId="16" xfId="0" applyNumberFormat="1" applyFont="1" applyFill="1" applyBorder="1" applyAlignment="1" applyProtection="1">
      <alignment vertical="center"/>
      <protection hidden="1"/>
    </xf>
    <xf numFmtId="0" fontId="32" fillId="5" borderId="33" xfId="0" applyFont="1" applyFill="1" applyBorder="1" applyAlignment="1" applyProtection="1">
      <alignment horizontal="center" vertical="center" wrapText="1"/>
      <protection hidden="1"/>
    </xf>
    <xf numFmtId="3" fontId="17" fillId="5" borderId="4" xfId="0" applyNumberFormat="1" applyFont="1" applyFill="1" applyBorder="1" applyAlignment="1" applyProtection="1">
      <alignment vertical="center"/>
      <protection hidden="1"/>
    </xf>
    <xf numFmtId="3" fontId="18" fillId="0" borderId="8" xfId="0" applyNumberFormat="1" applyFont="1" applyFill="1" applyBorder="1" applyAlignment="1" applyProtection="1">
      <alignment vertical="center"/>
      <protection hidden="1"/>
    </xf>
    <xf numFmtId="3" fontId="17" fillId="0" borderId="17" xfId="0" applyNumberFormat="1" applyFont="1" applyFill="1" applyBorder="1" applyAlignment="1" applyProtection="1">
      <alignment vertical="center"/>
      <protection hidden="1"/>
    </xf>
    <xf numFmtId="3" fontId="17" fillId="0" borderId="18" xfId="0" applyNumberFormat="1" applyFont="1" applyFill="1" applyBorder="1" applyAlignment="1" applyProtection="1">
      <alignment horizontal="right" vertical="center"/>
      <protection hidden="1"/>
    </xf>
    <xf numFmtId="3" fontId="17" fillId="0" borderId="21" xfId="0" applyNumberFormat="1" applyFont="1" applyFill="1" applyBorder="1" applyAlignment="1" applyProtection="1">
      <alignment horizontal="right" vertical="center"/>
      <protection hidden="1"/>
    </xf>
    <xf numFmtId="3" fontId="17" fillId="0" borderId="51" xfId="0" applyNumberFormat="1" applyFont="1" applyFill="1" applyBorder="1" applyAlignment="1" applyProtection="1">
      <alignment horizontal="right" vertical="center"/>
      <protection hidden="1"/>
    </xf>
    <xf numFmtId="3" fontId="17" fillId="0" borderId="29" xfId="0" applyNumberFormat="1" applyFont="1" applyFill="1" applyBorder="1" applyAlignment="1" applyProtection="1">
      <alignment horizontal="right" vertical="center"/>
      <protection hidden="1"/>
    </xf>
    <xf numFmtId="3" fontId="17" fillId="0" borderId="30" xfId="0" applyNumberFormat="1" applyFont="1" applyFill="1" applyBorder="1" applyAlignment="1" applyProtection="1">
      <alignment horizontal="right" vertical="center"/>
      <protection hidden="1"/>
    </xf>
    <xf numFmtId="3" fontId="17" fillId="0" borderId="51" xfId="0" applyNumberFormat="1" applyFont="1" applyFill="1" applyBorder="1" applyAlignment="1" applyProtection="1">
      <alignment vertical="center"/>
      <protection hidden="1"/>
    </xf>
    <xf numFmtId="3" fontId="17" fillId="0" borderId="30" xfId="0" applyNumberFormat="1" applyFont="1" applyFill="1" applyBorder="1" applyAlignment="1" applyProtection="1">
      <alignment vertical="center"/>
      <protection hidden="1"/>
    </xf>
    <xf numFmtId="3" fontId="18" fillId="0" borderId="30" xfId="0" applyNumberFormat="1" applyFont="1" applyFill="1" applyBorder="1" applyAlignment="1" applyProtection="1">
      <alignment vertical="center"/>
      <protection hidden="1"/>
    </xf>
    <xf numFmtId="3" fontId="17" fillId="0" borderId="73" xfId="0" applyNumberFormat="1" applyFont="1" applyFill="1" applyBorder="1" applyAlignment="1" applyProtection="1">
      <alignment vertical="center"/>
      <protection hidden="1"/>
    </xf>
    <xf numFmtId="3" fontId="8" fillId="0" borderId="23" xfId="0" applyNumberFormat="1" applyFont="1" applyFill="1" applyBorder="1" applyAlignment="1" applyProtection="1">
      <alignment vertical="center" wrapText="1"/>
      <protection hidden="1"/>
    </xf>
    <xf numFmtId="3" fontId="17" fillId="0" borderId="21" xfId="0" applyNumberFormat="1" applyFont="1" applyFill="1" applyBorder="1" applyAlignment="1" applyProtection="1">
      <alignment vertical="center"/>
      <protection hidden="1"/>
    </xf>
    <xf numFmtId="3" fontId="17" fillId="0" borderId="22" xfId="0" applyNumberFormat="1" applyFont="1" applyFill="1" applyBorder="1" applyAlignment="1" applyProtection="1">
      <alignment vertical="center"/>
      <protection hidden="1"/>
    </xf>
    <xf numFmtId="3" fontId="17" fillId="0" borderId="24" xfId="0" applyNumberFormat="1" applyFont="1" applyFill="1" applyBorder="1" applyAlignment="1" applyProtection="1">
      <alignment vertical="center"/>
      <protection hidden="1"/>
    </xf>
    <xf numFmtId="3" fontId="17" fillId="0" borderId="11" xfId="0" applyNumberFormat="1" applyFont="1" applyFill="1" applyBorder="1" applyAlignment="1" applyProtection="1">
      <alignment vertical="center"/>
      <protection hidden="1"/>
    </xf>
    <xf numFmtId="3" fontId="17" fillId="0" borderId="7" xfId="0" applyNumberFormat="1" applyFont="1" applyFill="1" applyBorder="1" applyAlignment="1" applyProtection="1">
      <alignment vertical="center"/>
      <protection hidden="1"/>
    </xf>
    <xf numFmtId="3" fontId="17" fillId="0" borderId="8" xfId="0" applyNumberFormat="1" applyFont="1" applyFill="1" applyBorder="1" applyAlignment="1" applyProtection="1">
      <alignment vertical="center"/>
      <protection hidden="1"/>
    </xf>
    <xf numFmtId="0" fontId="6" fillId="5" borderId="30" xfId="0" applyFont="1" applyFill="1" applyBorder="1" applyAlignment="1" applyProtection="1">
      <alignment horizontal="left" vertical="center" wrapText="1"/>
      <protection hidden="1"/>
    </xf>
    <xf numFmtId="0" fontId="52" fillId="5" borderId="50" xfId="0" applyFont="1" applyFill="1" applyBorder="1" applyAlignment="1" applyProtection="1">
      <alignment vertical="center" wrapText="1"/>
      <protection hidden="1"/>
    </xf>
    <xf numFmtId="3" fontId="18" fillId="5" borderId="45" xfId="0" applyNumberFormat="1" applyFont="1" applyFill="1" applyBorder="1" applyAlignment="1" applyProtection="1">
      <alignment vertical="center"/>
      <protection hidden="1"/>
    </xf>
    <xf numFmtId="3" fontId="18" fillId="5" borderId="60" xfId="0" applyNumberFormat="1" applyFont="1" applyFill="1" applyBorder="1" applyAlignment="1" applyProtection="1">
      <alignment vertical="center"/>
      <protection hidden="1"/>
    </xf>
    <xf numFmtId="3" fontId="18" fillId="5" borderId="26" xfId="0" applyNumberFormat="1" applyFont="1" applyFill="1" applyBorder="1" applyAlignment="1" applyProtection="1">
      <alignment vertical="center"/>
      <protection hidden="1"/>
    </xf>
    <xf numFmtId="3" fontId="18" fillId="5" borderId="33" xfId="0" applyNumberFormat="1" applyFont="1" applyFill="1" applyBorder="1" applyAlignment="1" applyProtection="1">
      <alignment vertical="center"/>
      <protection hidden="1"/>
    </xf>
    <xf numFmtId="3" fontId="18" fillId="5" borderId="50" xfId="0" applyNumberFormat="1" applyFont="1" applyFill="1" applyBorder="1" applyAlignment="1" applyProtection="1">
      <alignment vertical="center"/>
      <protection hidden="1"/>
    </xf>
    <xf numFmtId="3" fontId="18" fillId="0" borderId="30" xfId="0" applyNumberFormat="1" applyFont="1" applyFill="1" applyBorder="1" applyAlignment="1" applyProtection="1">
      <alignment horizontal="right" vertical="center"/>
      <protection hidden="1"/>
    </xf>
    <xf numFmtId="3" fontId="18" fillId="0" borderId="19" xfId="0" applyNumberFormat="1" applyFont="1" applyFill="1" applyBorder="1" applyAlignment="1" applyProtection="1">
      <alignment horizontal="right" vertical="center" wrapText="1"/>
      <protection hidden="1"/>
    </xf>
    <xf numFmtId="3" fontId="18" fillId="0" borderId="16" xfId="0" applyNumberFormat="1" applyFont="1" applyFill="1" applyBorder="1" applyAlignment="1" applyProtection="1">
      <alignment horizontal="right" vertical="center" wrapText="1"/>
      <protection hidden="1"/>
    </xf>
    <xf numFmtId="3" fontId="17" fillId="0" borderId="11" xfId="0" applyNumberFormat="1" applyFont="1" applyFill="1" applyBorder="1" applyAlignment="1" applyProtection="1">
      <alignment horizontal="right" vertical="center" wrapText="1"/>
      <protection hidden="1"/>
    </xf>
    <xf numFmtId="3" fontId="17" fillId="0" borderId="7" xfId="0" applyNumberFormat="1" applyFont="1" applyFill="1" applyBorder="1" applyAlignment="1" applyProtection="1">
      <alignment horizontal="right" vertical="center" wrapText="1"/>
      <protection hidden="1"/>
    </xf>
    <xf numFmtId="0" fontId="17" fillId="5" borderId="23" xfId="0" applyFont="1" applyFill="1" applyBorder="1" applyAlignment="1" applyProtection="1">
      <alignment vertical="center" wrapText="1"/>
      <protection hidden="1"/>
    </xf>
    <xf numFmtId="0" fontId="17" fillId="5" borderId="74" xfId="0" applyFont="1" applyFill="1" applyBorder="1" applyAlignment="1" applyProtection="1">
      <alignment vertical="center" wrapText="1"/>
      <protection hidden="1"/>
    </xf>
    <xf numFmtId="0" fontId="17" fillId="5" borderId="24" xfId="0" applyFont="1" applyFill="1" applyBorder="1" applyAlignment="1" applyProtection="1">
      <alignment vertical="center" wrapText="1"/>
      <protection hidden="1"/>
    </xf>
    <xf numFmtId="0" fontId="17" fillId="5" borderId="75" xfId="0" applyFont="1" applyFill="1" applyBorder="1" applyAlignment="1" applyProtection="1">
      <alignment vertical="center" wrapText="1"/>
      <protection hidden="1"/>
    </xf>
    <xf numFmtId="0" fontId="34" fillId="5" borderId="45" xfId="0" applyFont="1" applyFill="1" applyBorder="1" applyAlignment="1" applyProtection="1">
      <alignment vertical="center" wrapText="1"/>
      <protection hidden="1"/>
    </xf>
    <xf numFmtId="0" fontId="27" fillId="5" borderId="45" xfId="0" applyFont="1" applyFill="1" applyBorder="1" applyAlignment="1" applyProtection="1">
      <alignment vertical="center" wrapText="1"/>
      <protection hidden="1"/>
    </xf>
    <xf numFmtId="3" fontId="17" fillId="0" borderId="7" xfId="0" applyNumberFormat="1" applyFont="1" applyFill="1" applyBorder="1" applyAlignment="1" applyProtection="1">
      <alignment horizontal="right" vertical="center"/>
      <protection hidden="1"/>
    </xf>
    <xf numFmtId="3" fontId="17" fillId="0" borderId="30" xfId="0" applyNumberFormat="1" applyFont="1" applyFill="1" applyBorder="1" applyAlignment="1" applyProtection="1">
      <alignment horizontal="right" vertical="center" wrapText="1"/>
      <protection hidden="1"/>
    </xf>
    <xf numFmtId="3" fontId="18" fillId="0" borderId="30" xfId="0" applyNumberFormat="1" applyFont="1" applyFill="1" applyBorder="1" applyAlignment="1" applyProtection="1">
      <alignment horizontal="right" vertical="center" wrapText="1"/>
      <protection hidden="1"/>
    </xf>
    <xf numFmtId="3" fontId="17" fillId="0" borderId="52" xfId="0" applyNumberFormat="1" applyFont="1" applyFill="1" applyBorder="1" applyAlignment="1" applyProtection="1">
      <alignment horizontal="right" vertical="center" wrapText="1"/>
      <protection hidden="1"/>
    </xf>
    <xf numFmtId="3" fontId="17" fillId="5" borderId="58" xfId="0" applyNumberFormat="1" applyFont="1" applyFill="1" applyBorder="1" applyAlignment="1" applyProtection="1">
      <alignment horizontal="right" vertical="center"/>
      <protection hidden="1"/>
    </xf>
    <xf numFmtId="3" fontId="17" fillId="5" borderId="60" xfId="0" applyNumberFormat="1" applyFont="1" applyFill="1" applyBorder="1" applyAlignment="1" applyProtection="1">
      <alignment horizontal="right" vertical="center"/>
      <protection hidden="1"/>
    </xf>
    <xf numFmtId="3" fontId="17" fillId="5" borderId="27" xfId="0" applyNumberFormat="1" applyFont="1" applyFill="1" applyBorder="1" applyAlignment="1" applyProtection="1">
      <alignment horizontal="right" vertical="center"/>
      <protection hidden="1"/>
    </xf>
    <xf numFmtId="3" fontId="17" fillId="5" borderId="71" xfId="0" applyNumberFormat="1" applyFont="1" applyFill="1" applyBorder="1" applyAlignment="1" applyProtection="1">
      <alignment horizontal="right" vertical="center"/>
      <protection hidden="1"/>
    </xf>
    <xf numFmtId="0" fontId="31" fillId="5" borderId="14" xfId="0" applyFont="1" applyFill="1" applyBorder="1" applyAlignment="1" applyProtection="1">
      <alignment horizontal="centerContinuous" vertical="center" wrapText="1"/>
      <protection hidden="1"/>
    </xf>
    <xf numFmtId="3" fontId="17" fillId="0" borderId="73" xfId="0" applyNumberFormat="1" applyFont="1" applyFill="1" applyBorder="1" applyAlignment="1" applyProtection="1">
      <alignment horizontal="right" vertical="center" wrapText="1"/>
      <protection hidden="1"/>
    </xf>
    <xf numFmtId="0" fontId="26" fillId="5" borderId="32" xfId="0" applyFont="1" applyFill="1" applyBorder="1" applyAlignment="1" applyProtection="1">
      <alignment horizontal="center" vertical="center" wrapText="1"/>
      <protection hidden="1"/>
    </xf>
    <xf numFmtId="0" fontId="26" fillId="5" borderId="26" xfId="0" applyFont="1" applyFill="1" applyBorder="1" applyAlignment="1" applyProtection="1">
      <alignment horizontal="center" vertical="center" wrapText="1"/>
      <protection hidden="1"/>
    </xf>
    <xf numFmtId="0" fontId="26" fillId="5" borderId="33" xfId="0" applyFont="1" applyFill="1" applyBorder="1" applyAlignment="1" applyProtection="1">
      <alignment horizontal="center" vertical="center" wrapText="1"/>
      <protection hidden="1"/>
    </xf>
    <xf numFmtId="3" fontId="18" fillId="0" borderId="73" xfId="0" applyNumberFormat="1" applyFont="1" applyFill="1" applyBorder="1" applyAlignment="1" applyProtection="1">
      <alignment horizontal="right" vertical="center"/>
      <protection hidden="1"/>
    </xf>
    <xf numFmtId="3" fontId="17" fillId="0" borderId="22" xfId="0" applyNumberFormat="1" applyFont="1" applyFill="1" applyBorder="1" applyAlignment="1" applyProtection="1">
      <alignment horizontal="right" vertical="center"/>
      <protection hidden="1"/>
    </xf>
    <xf numFmtId="3" fontId="17" fillId="0" borderId="11" xfId="0" applyNumberFormat="1" applyFont="1" applyFill="1" applyBorder="1" applyAlignment="1" applyProtection="1">
      <alignment horizontal="right" vertical="center"/>
      <protection hidden="1"/>
    </xf>
    <xf numFmtId="3" fontId="17" fillId="0" borderId="8" xfId="0" applyNumberFormat="1" applyFont="1" applyFill="1" applyBorder="1" applyAlignment="1" applyProtection="1">
      <alignment horizontal="right" vertical="center"/>
      <protection hidden="1"/>
    </xf>
    <xf numFmtId="3" fontId="17" fillId="0" borderId="8" xfId="0" applyNumberFormat="1" applyFont="1" applyFill="1" applyBorder="1" applyAlignment="1" applyProtection="1">
      <alignment horizontal="right" vertical="center" wrapText="1"/>
      <protection hidden="1"/>
    </xf>
    <xf numFmtId="3" fontId="18" fillId="0" borderId="8" xfId="0" applyNumberFormat="1" applyFont="1" applyFill="1" applyBorder="1" applyAlignment="1" applyProtection="1">
      <alignment horizontal="right" vertical="center" wrapText="1"/>
      <protection hidden="1"/>
    </xf>
    <xf numFmtId="3" fontId="18" fillId="0" borderId="17" xfId="0" applyNumberFormat="1" applyFont="1" applyFill="1" applyBorder="1" applyAlignment="1" applyProtection="1">
      <alignment horizontal="right" vertical="center" wrapText="1"/>
      <protection hidden="1"/>
    </xf>
    <xf numFmtId="0" fontId="0" fillId="0" borderId="0" xfId="0" applyFill="1" applyProtection="1">
      <protection hidden="1"/>
    </xf>
    <xf numFmtId="0" fontId="0" fillId="2" borderId="0" xfId="0" applyFill="1" applyProtection="1">
      <protection hidden="1"/>
    </xf>
    <xf numFmtId="0" fontId="0" fillId="0" borderId="0" xfId="0" applyProtection="1">
      <protection hidden="1"/>
    </xf>
    <xf numFmtId="0" fontId="6" fillId="0" borderId="0" xfId="0" applyFont="1" applyFill="1" applyProtection="1">
      <protection hidden="1"/>
    </xf>
    <xf numFmtId="0" fontId="22" fillId="2" borderId="0" xfId="0" applyFont="1" applyFill="1" applyProtection="1">
      <protection hidden="1"/>
    </xf>
    <xf numFmtId="0" fontId="6" fillId="2" borderId="0" xfId="0" applyFont="1" applyFill="1" applyProtection="1">
      <protection hidden="1"/>
    </xf>
    <xf numFmtId="0" fontId="6" fillId="0" borderId="0" xfId="0" applyFont="1" applyProtection="1">
      <protection hidden="1"/>
    </xf>
    <xf numFmtId="0" fontId="38" fillId="2" borderId="0" xfId="0" applyFont="1" applyFill="1" applyAlignment="1" applyProtection="1">
      <alignment vertical="center"/>
      <protection hidden="1"/>
    </xf>
    <xf numFmtId="0" fontId="25" fillId="6" borderId="0" xfId="0" applyFont="1" applyFill="1" applyBorder="1" applyAlignment="1" applyProtection="1">
      <alignment horizontal="right" vertical="center"/>
      <protection hidden="1"/>
    </xf>
    <xf numFmtId="0" fontId="21" fillId="0" borderId="0" xfId="0" applyFont="1" applyFill="1" applyBorder="1" applyProtection="1">
      <protection hidden="1"/>
    </xf>
    <xf numFmtId="0" fontId="19" fillId="2" borderId="12" xfId="0" applyFont="1" applyFill="1" applyBorder="1" applyAlignment="1" applyProtection="1">
      <alignment wrapText="1"/>
      <protection hidden="1"/>
    </xf>
    <xf numFmtId="0" fontId="21" fillId="0" borderId="0" xfId="0" applyFont="1" applyFill="1" applyProtection="1">
      <protection hidden="1"/>
    </xf>
    <xf numFmtId="0" fontId="21" fillId="0" borderId="0" xfId="0" applyFont="1" applyFill="1" applyAlignment="1" applyProtection="1">
      <alignment vertical="center"/>
      <protection hidden="1"/>
    </xf>
    <xf numFmtId="0" fontId="0" fillId="0" borderId="0" xfId="0" applyAlignment="1" applyProtection="1">
      <alignment vertical="center"/>
      <protection hidden="1"/>
    </xf>
    <xf numFmtId="0" fontId="21" fillId="0" borderId="0" xfId="0" applyFont="1" applyFill="1" applyBorder="1" applyAlignment="1" applyProtection="1">
      <alignment vertical="center"/>
      <protection hidden="1"/>
    </xf>
    <xf numFmtId="0" fontId="4" fillId="0" borderId="0" xfId="0" applyFont="1" applyFill="1" applyAlignment="1" applyProtection="1">
      <alignment vertical="center"/>
      <protection hidden="1"/>
    </xf>
    <xf numFmtId="0" fontId="7" fillId="0" borderId="0" xfId="0" applyFont="1" applyFill="1" applyAlignment="1" applyProtection="1">
      <alignment vertical="center"/>
      <protection hidden="1"/>
    </xf>
    <xf numFmtId="0" fontId="7" fillId="0" borderId="0" xfId="0" applyFont="1" applyAlignment="1" applyProtection="1">
      <alignment vertical="center"/>
      <protection hidden="1"/>
    </xf>
    <xf numFmtId="0" fontId="53" fillId="0" borderId="0" xfId="0" applyFont="1" applyFill="1" applyAlignment="1" applyProtection="1">
      <alignment vertical="center"/>
      <protection hidden="1"/>
    </xf>
    <xf numFmtId="3" fontId="15" fillId="2" borderId="0" xfId="0" applyNumberFormat="1" applyFont="1" applyFill="1" applyBorder="1" applyAlignment="1" applyProtection="1">
      <alignment vertical="center"/>
    </xf>
    <xf numFmtId="1" fontId="18" fillId="2" borderId="24" xfId="0" applyNumberFormat="1" applyFont="1" applyFill="1" applyBorder="1" applyAlignment="1" applyProtection="1">
      <alignment horizontal="center" vertical="center"/>
    </xf>
    <xf numFmtId="1" fontId="18" fillId="2" borderId="75" xfId="0" applyNumberFormat="1" applyFont="1" applyFill="1" applyBorder="1" applyAlignment="1" applyProtection="1">
      <alignment horizontal="center" vertical="center"/>
    </xf>
    <xf numFmtId="3" fontId="14" fillId="2" borderId="40" xfId="0" applyNumberFormat="1" applyFont="1" applyFill="1" applyBorder="1" applyAlignment="1" applyProtection="1">
      <alignment horizontal="center" vertical="center" wrapText="1"/>
    </xf>
    <xf numFmtId="3" fontId="15" fillId="2" borderId="1" xfId="0" applyNumberFormat="1" applyFont="1" applyFill="1" applyBorder="1" applyAlignment="1" applyProtection="1">
      <alignment vertical="center"/>
    </xf>
    <xf numFmtId="3" fontId="15" fillId="0" borderId="4" xfId="0" applyNumberFormat="1" applyFont="1" applyFill="1" applyBorder="1" applyAlignment="1" applyProtection="1">
      <alignment vertical="center"/>
    </xf>
    <xf numFmtId="3" fontId="15" fillId="2" borderId="21" xfId="0" applyNumberFormat="1" applyFont="1" applyFill="1" applyBorder="1" applyAlignment="1" applyProtection="1">
      <alignment vertical="center"/>
    </xf>
    <xf numFmtId="3" fontId="15" fillId="2" borderId="22" xfId="0" applyNumberFormat="1" applyFont="1" applyFill="1" applyBorder="1" applyAlignment="1" applyProtection="1">
      <alignment vertical="center"/>
    </xf>
    <xf numFmtId="3" fontId="15" fillId="2" borderId="56" xfId="0" applyNumberFormat="1" applyFont="1" applyFill="1" applyBorder="1" applyAlignment="1" applyProtection="1">
      <alignment vertical="center"/>
    </xf>
    <xf numFmtId="3" fontId="54" fillId="2" borderId="51" xfId="0" applyNumberFormat="1" applyFont="1" applyFill="1" applyBorder="1" applyAlignment="1" applyProtection="1">
      <alignment horizontal="left" vertical="center" wrapText="1"/>
    </xf>
    <xf numFmtId="3" fontId="12" fillId="2" borderId="30" xfId="0" applyNumberFormat="1" applyFont="1" applyFill="1" applyBorder="1" applyAlignment="1" applyProtection="1">
      <alignment horizontal="left" vertical="center" wrapText="1"/>
    </xf>
    <xf numFmtId="3" fontId="12" fillId="0" borderId="30" xfId="0" applyNumberFormat="1" applyFont="1" applyFill="1" applyBorder="1" applyAlignment="1" applyProtection="1">
      <alignment horizontal="left" vertical="center" wrapText="1"/>
    </xf>
    <xf numFmtId="3" fontId="18" fillId="0" borderId="11" xfId="0" applyNumberFormat="1" applyFont="1" applyFill="1" applyBorder="1" applyProtection="1"/>
    <xf numFmtId="3" fontId="7" fillId="0" borderId="24" xfId="0" applyNumberFormat="1" applyFont="1" applyFill="1" applyBorder="1" applyAlignment="1" applyProtection="1">
      <alignment vertical="center" wrapText="1"/>
    </xf>
    <xf numFmtId="3" fontId="15" fillId="0" borderId="32" xfId="0" applyNumberFormat="1" applyFont="1" applyFill="1" applyBorder="1" applyAlignment="1" applyProtection="1">
      <alignment horizontal="right" vertical="center"/>
    </xf>
    <xf numFmtId="3" fontId="15" fillId="0" borderId="60" xfId="0" applyNumberFormat="1" applyFont="1" applyFill="1" applyBorder="1" applyAlignment="1" applyProtection="1">
      <alignment horizontal="right" vertical="center"/>
    </xf>
    <xf numFmtId="3" fontId="15" fillId="0" borderId="46" xfId="0" applyNumberFormat="1" applyFont="1" applyFill="1" applyBorder="1" applyAlignment="1" applyProtection="1">
      <alignment horizontal="right" vertical="center"/>
    </xf>
    <xf numFmtId="3" fontId="4" fillId="0" borderId="30" xfId="0" applyNumberFormat="1" applyFont="1" applyFill="1" applyBorder="1" applyAlignment="1" applyProtection="1">
      <alignment horizontal="left" vertical="center" wrapText="1"/>
    </xf>
    <xf numFmtId="3" fontId="4" fillId="2" borderId="30" xfId="0" applyNumberFormat="1" applyFont="1" applyFill="1" applyBorder="1" applyAlignment="1" applyProtection="1">
      <alignment horizontal="left" vertical="center" wrapText="1"/>
    </xf>
    <xf numFmtId="3" fontId="4" fillId="2" borderId="73" xfId="0" applyNumberFormat="1" applyFont="1" applyFill="1" applyBorder="1" applyAlignment="1" applyProtection="1">
      <alignment horizontal="left" vertical="center" wrapText="1"/>
    </xf>
    <xf numFmtId="0" fontId="4" fillId="0" borderId="0" xfId="2" applyAlignment="1">
      <alignment horizontal="left" vertical="center" wrapText="1" indent="2"/>
    </xf>
    <xf numFmtId="0" fontId="0" fillId="0" borderId="0" xfId="0" applyAlignment="1">
      <alignment horizontal="left" vertical="center" wrapText="1" indent="2"/>
    </xf>
    <xf numFmtId="0" fontId="21" fillId="0" borderId="0" xfId="0" applyFont="1" applyFill="1" applyAlignment="1" applyProtection="1">
      <alignment horizontal="left" vertical="center" wrapText="1"/>
      <protection hidden="1"/>
    </xf>
    <xf numFmtId="0" fontId="4" fillId="0" borderId="0" xfId="2" applyAlignment="1">
      <alignment horizontal="left" vertical="center" wrapText="1"/>
    </xf>
    <xf numFmtId="0" fontId="0" fillId="0" borderId="0" xfId="0" applyAlignment="1">
      <alignment horizontal="left" vertical="center" wrapText="1"/>
    </xf>
    <xf numFmtId="0" fontId="3" fillId="0" borderId="0" xfId="0" applyFont="1" applyAlignment="1" applyProtection="1">
      <alignment horizontal="left" vertical="center" wrapText="1"/>
    </xf>
    <xf numFmtId="3" fontId="50" fillId="2" borderId="32" xfId="0" applyNumberFormat="1" applyFont="1" applyFill="1" applyBorder="1" applyAlignment="1" applyProtection="1">
      <alignment vertical="center" wrapText="1"/>
    </xf>
    <xf numFmtId="3" fontId="28" fillId="2" borderId="37" xfId="0" applyNumberFormat="1" applyFont="1" applyFill="1" applyBorder="1" applyAlignment="1" applyProtection="1">
      <alignment vertical="center" wrapText="1"/>
    </xf>
    <xf numFmtId="3" fontId="30" fillId="2" borderId="23" xfId="0" applyNumberFormat="1" applyFont="1" applyFill="1" applyBorder="1" applyAlignment="1" applyProtection="1">
      <alignment vertical="center" wrapText="1"/>
    </xf>
    <xf numFmtId="3" fontId="1" fillId="2" borderId="24" xfId="0" applyNumberFormat="1" applyFont="1" applyFill="1" applyBorder="1" applyAlignment="1" applyProtection="1">
      <alignment horizontal="left" vertical="center" wrapText="1"/>
    </xf>
    <xf numFmtId="3" fontId="1" fillId="2" borderId="40" xfId="0" applyNumberFormat="1" applyFont="1" applyFill="1" applyBorder="1" applyAlignment="1" applyProtection="1">
      <alignment horizontal="left" vertical="justify" wrapText="1"/>
    </xf>
    <xf numFmtId="3" fontId="30" fillId="2" borderId="50" xfId="0" applyNumberFormat="1" applyFont="1" applyFill="1" applyBorder="1" applyAlignment="1" applyProtection="1">
      <alignment vertical="center" wrapText="1"/>
    </xf>
    <xf numFmtId="3" fontId="15" fillId="2" borderId="37" xfId="0" applyNumberFormat="1" applyFont="1" applyFill="1" applyBorder="1" applyAlignment="1" applyProtection="1">
      <alignment horizontal="left" vertical="center" wrapText="1"/>
    </xf>
    <xf numFmtId="3" fontId="14" fillId="2" borderId="50" xfId="0" applyNumberFormat="1" applyFont="1" applyFill="1" applyBorder="1" applyAlignment="1" applyProtection="1">
      <alignment vertical="center" wrapText="1"/>
    </xf>
    <xf numFmtId="3" fontId="15" fillId="2" borderId="74" xfId="0" applyNumberFormat="1" applyFont="1" applyFill="1" applyBorder="1" applyAlignment="1" applyProtection="1">
      <alignment horizontal="left" vertical="center" wrapText="1"/>
    </xf>
    <xf numFmtId="3" fontId="14" fillId="2" borderId="74" xfId="0" applyNumberFormat="1" applyFont="1" applyFill="1" applyBorder="1" applyAlignment="1" applyProtection="1">
      <alignment vertical="center" wrapText="1"/>
    </xf>
    <xf numFmtId="3" fontId="7" fillId="2" borderId="24" xfId="0" applyNumberFormat="1" applyFont="1" applyFill="1" applyBorder="1" applyAlignment="1" applyProtection="1">
      <alignment vertical="center" wrapText="1"/>
    </xf>
    <xf numFmtId="3" fontId="4" fillId="2" borderId="24" xfId="0" applyNumberFormat="1" applyFont="1" applyFill="1" applyBorder="1" applyAlignment="1" applyProtection="1">
      <alignment horizontal="left" vertical="center" wrapText="1"/>
    </xf>
    <xf numFmtId="3" fontId="4" fillId="2" borderId="24" xfId="0" applyNumberFormat="1" applyFont="1" applyFill="1" applyBorder="1" applyAlignment="1" applyProtection="1">
      <alignment vertical="center" wrapText="1"/>
    </xf>
    <xf numFmtId="3" fontId="4" fillId="0" borderId="24" xfId="0" applyNumberFormat="1" applyFont="1" applyFill="1" applyBorder="1" applyAlignment="1" applyProtection="1">
      <alignment vertical="center" wrapText="1"/>
      <protection hidden="1"/>
    </xf>
    <xf numFmtId="3" fontId="7" fillId="2" borderId="24" xfId="0" applyNumberFormat="1" applyFont="1" applyFill="1" applyBorder="1" applyAlignment="1" applyProtection="1">
      <alignment vertical="center" wrapText="1"/>
      <protection locked="0"/>
    </xf>
    <xf numFmtId="3" fontId="4" fillId="2" borderId="25" xfId="0" applyNumberFormat="1" applyFont="1" applyFill="1" applyBorder="1" applyAlignment="1" applyProtection="1">
      <alignment horizontal="left" vertical="center" wrapText="1"/>
    </xf>
    <xf numFmtId="3" fontId="1" fillId="2" borderId="37" xfId="0" applyNumberFormat="1" applyFont="1" applyFill="1" applyBorder="1" applyAlignment="1" applyProtection="1">
      <alignment horizontal="left" vertical="center" wrapText="1"/>
    </xf>
    <xf numFmtId="3" fontId="14" fillId="2" borderId="51" xfId="0" applyNumberFormat="1" applyFont="1" applyFill="1" applyBorder="1" applyAlignment="1" applyProtection="1">
      <alignment horizontal="left" vertical="center" wrapText="1"/>
    </xf>
    <xf numFmtId="3" fontId="15" fillId="2" borderId="45" xfId="0" applyNumberFormat="1" applyFont="1" applyFill="1" applyBorder="1" applyAlignment="1" applyProtection="1">
      <alignment horizontal="left" vertical="center" wrapText="1"/>
    </xf>
    <xf numFmtId="3" fontId="18" fillId="2" borderId="73" xfId="0" applyNumberFormat="1" applyFont="1" applyFill="1" applyBorder="1" applyAlignment="1" applyProtection="1">
      <alignment horizontal="left" vertical="center" wrapText="1"/>
    </xf>
    <xf numFmtId="3" fontId="4" fillId="2" borderId="73" xfId="0" applyNumberFormat="1" applyFont="1" applyFill="1" applyBorder="1" applyAlignment="1" applyProtection="1">
      <alignment horizontal="left" vertical="center" wrapText="1"/>
      <protection locked="0"/>
    </xf>
    <xf numFmtId="3" fontId="15" fillId="2" borderId="40" xfId="0" applyNumberFormat="1" applyFont="1" applyFill="1" applyBorder="1" applyAlignment="1" applyProtection="1">
      <alignment horizontal="left" vertical="center" wrapText="1"/>
    </xf>
    <xf numFmtId="3" fontId="15" fillId="0" borderId="37" xfId="0" applyNumberFormat="1" applyFont="1" applyFill="1" applyBorder="1" applyAlignment="1" applyProtection="1">
      <alignment horizontal="left" vertical="center" wrapText="1"/>
    </xf>
    <xf numFmtId="3" fontId="15" fillId="2" borderId="39" xfId="0" applyNumberFormat="1" applyFont="1" applyFill="1" applyBorder="1" applyAlignment="1" applyProtection="1">
      <alignment horizontal="left" vertical="center" wrapText="1"/>
    </xf>
    <xf numFmtId="3" fontId="15" fillId="2" borderId="0" xfId="0" applyNumberFormat="1" applyFont="1" applyFill="1" applyBorder="1" applyAlignment="1" applyProtection="1">
      <alignment horizontal="left" vertical="center" wrapText="1"/>
    </xf>
    <xf numFmtId="3" fontId="1" fillId="2" borderId="0" xfId="0" applyNumberFormat="1" applyFont="1" applyFill="1" applyAlignment="1" applyProtection="1">
      <alignment vertical="center" wrapText="1"/>
    </xf>
    <xf numFmtId="3" fontId="1" fillId="2" borderId="0" xfId="0" applyNumberFormat="1" applyFont="1" applyFill="1" applyBorder="1" applyAlignment="1" applyProtection="1">
      <alignment horizontal="left" vertical="center" wrapText="1"/>
    </xf>
    <xf numFmtId="3" fontId="1" fillId="2" borderId="0" xfId="0" applyNumberFormat="1" applyFont="1" applyFill="1" applyBorder="1" applyAlignment="1" applyProtection="1">
      <alignment horizontal="left" wrapText="1"/>
    </xf>
    <xf numFmtId="1" fontId="7" fillId="2" borderId="11" xfId="0" applyNumberFormat="1" applyFont="1" applyFill="1" applyBorder="1" applyAlignment="1" applyProtection="1">
      <alignment horizontal="left" vertical="center" wrapText="1"/>
    </xf>
    <xf numFmtId="3" fontId="6" fillId="2" borderId="14" xfId="0" applyNumberFormat="1" applyFont="1" applyFill="1" applyBorder="1" applyAlignment="1" applyProtection="1">
      <alignment wrapText="1"/>
    </xf>
    <xf numFmtId="3" fontId="18" fillId="0" borderId="30" xfId="0" applyNumberFormat="1" applyFont="1" applyFill="1" applyBorder="1" applyAlignment="1" applyProtection="1">
      <alignment horizontal="left" vertical="center" wrapText="1"/>
    </xf>
    <xf numFmtId="3" fontId="18" fillId="2" borderId="30" xfId="0" applyNumberFormat="1" applyFont="1" applyFill="1" applyBorder="1" applyAlignment="1" applyProtection="1">
      <alignment horizontal="left" vertical="center" wrapText="1"/>
    </xf>
    <xf numFmtId="3" fontId="4" fillId="0" borderId="6" xfId="0" applyNumberFormat="1" applyFont="1" applyFill="1" applyBorder="1" applyAlignment="1" applyProtection="1">
      <alignment vertical="center"/>
    </xf>
    <xf numFmtId="3" fontId="4" fillId="0" borderId="16" xfId="0" applyNumberFormat="1" applyFont="1" applyFill="1" applyBorder="1" applyAlignment="1" applyProtection="1">
      <alignment vertical="center"/>
    </xf>
    <xf numFmtId="1" fontId="17" fillId="2" borderId="40" xfId="0" applyNumberFormat="1" applyFont="1" applyFill="1" applyBorder="1" applyAlignment="1" applyProtection="1">
      <alignment horizontal="center" vertical="center"/>
    </xf>
    <xf numFmtId="1" fontId="17" fillId="2" borderId="37" xfId="0" applyNumberFormat="1" applyFont="1" applyFill="1" applyBorder="1" applyAlignment="1" applyProtection="1">
      <alignment horizontal="center" vertical="center"/>
    </xf>
    <xf numFmtId="0" fontId="24" fillId="6" borderId="0" xfId="0" applyFont="1" applyFill="1" applyBorder="1" applyAlignment="1" applyProtection="1">
      <alignment horizontal="center" vertical="center" wrapText="1"/>
      <protection hidden="1"/>
    </xf>
    <xf numFmtId="3" fontId="1" fillId="0" borderId="6" xfId="0" applyNumberFormat="1" applyFont="1" applyFill="1" applyBorder="1" applyAlignment="1" applyProtection="1">
      <alignment vertical="center"/>
    </xf>
    <xf numFmtId="3" fontId="9" fillId="4" borderId="9" xfId="0" applyNumberFormat="1" applyFont="1" applyFill="1" applyBorder="1" applyAlignment="1" applyProtection="1">
      <alignment vertical="center"/>
    </xf>
    <xf numFmtId="3" fontId="9" fillId="4" borderId="7" xfId="0" applyNumberFormat="1" applyFont="1" applyFill="1" applyBorder="1" applyAlignment="1" applyProtection="1">
      <alignment vertical="center"/>
    </xf>
    <xf numFmtId="3" fontId="9" fillId="4" borderId="11" xfId="0" applyNumberFormat="1" applyFont="1" applyFill="1" applyBorder="1" applyAlignment="1" applyProtection="1">
      <alignment vertical="center"/>
    </xf>
    <xf numFmtId="3" fontId="9" fillId="4" borderId="8" xfId="0" applyNumberFormat="1" applyFont="1" applyFill="1" applyBorder="1" applyAlignment="1" applyProtection="1">
      <alignment vertical="center"/>
    </xf>
    <xf numFmtId="3" fontId="6" fillId="2" borderId="40" xfId="0" applyNumberFormat="1" applyFont="1" applyFill="1" applyBorder="1" applyAlignment="1" applyProtection="1">
      <alignment horizontal="center" wrapText="1"/>
    </xf>
    <xf numFmtId="3" fontId="1" fillId="2" borderId="0" xfId="0" applyNumberFormat="1" applyFont="1" applyFill="1" applyAlignment="1" applyProtection="1">
      <alignment wrapText="1"/>
    </xf>
    <xf numFmtId="3" fontId="28" fillId="2" borderId="27" xfId="0" applyNumberFormat="1" applyFont="1" applyFill="1" applyBorder="1" applyAlignment="1" applyProtection="1">
      <alignment vertical="center" wrapText="1"/>
    </xf>
    <xf numFmtId="3" fontId="30" fillId="2" borderId="22" xfId="0" applyNumberFormat="1" applyFont="1" applyFill="1" applyBorder="1" applyAlignment="1" applyProtection="1">
      <alignment vertical="center" wrapText="1"/>
    </xf>
    <xf numFmtId="3" fontId="14" fillId="2" borderId="48" xfId="0" applyNumberFormat="1" applyFont="1" applyFill="1" applyBorder="1" applyAlignment="1" applyProtection="1">
      <alignment horizontal="center" vertical="center" wrapText="1"/>
    </xf>
    <xf numFmtId="3" fontId="14" fillId="2" borderId="64" xfId="0" applyNumberFormat="1" applyFont="1" applyFill="1" applyBorder="1" applyAlignment="1" applyProtection="1">
      <alignment horizontal="left" vertical="center" wrapText="1"/>
    </xf>
    <xf numFmtId="3" fontId="15" fillId="2" borderId="8" xfId="0" applyNumberFormat="1" applyFont="1" applyFill="1" applyBorder="1" applyAlignment="1" applyProtection="1">
      <alignment horizontal="left" vertical="center" wrapText="1"/>
    </xf>
    <xf numFmtId="3" fontId="17" fillId="2" borderId="8" xfId="0" quotePrefix="1" applyNumberFormat="1" applyFont="1" applyFill="1" applyBorder="1" applyAlignment="1" applyProtection="1">
      <alignment horizontal="left" vertical="center" wrapText="1"/>
    </xf>
    <xf numFmtId="3" fontId="4" fillId="2" borderId="8" xfId="0" applyNumberFormat="1" applyFont="1" applyFill="1" applyBorder="1" applyAlignment="1" applyProtection="1">
      <alignment horizontal="left" vertical="center" wrapText="1"/>
    </xf>
    <xf numFmtId="3" fontId="1" fillId="2" borderId="8" xfId="0" applyNumberFormat="1" applyFont="1" applyFill="1" applyBorder="1" applyAlignment="1" applyProtection="1">
      <alignment horizontal="left" vertical="center" wrapText="1"/>
    </xf>
    <xf numFmtId="3" fontId="1" fillId="2" borderId="8" xfId="0" applyNumberFormat="1" applyFont="1" applyFill="1" applyBorder="1" applyAlignment="1" applyProtection="1">
      <alignment horizontal="left" vertical="center" wrapText="1"/>
      <protection locked="0"/>
    </xf>
    <xf numFmtId="3" fontId="4" fillId="2" borderId="8" xfId="0" applyNumberFormat="1" applyFont="1" applyFill="1" applyBorder="1" applyAlignment="1" applyProtection="1">
      <alignment horizontal="left" vertical="center" wrapText="1"/>
      <protection locked="0"/>
    </xf>
    <xf numFmtId="3" fontId="14" fillId="2" borderId="8" xfId="0" applyNumberFormat="1" applyFont="1" applyFill="1" applyBorder="1" applyAlignment="1" applyProtection="1">
      <alignment horizontal="left" vertical="center" wrapText="1"/>
    </xf>
    <xf numFmtId="3" fontId="17" fillId="0" borderId="8" xfId="0" quotePrefix="1" applyNumberFormat="1" applyFont="1" applyFill="1" applyBorder="1" applyAlignment="1" applyProtection="1">
      <alignment horizontal="left" vertical="center" wrapText="1"/>
    </xf>
    <xf numFmtId="3" fontId="4" fillId="2" borderId="17" xfId="0" applyNumberFormat="1" applyFont="1" applyFill="1" applyBorder="1" applyAlignment="1" applyProtection="1">
      <alignment horizontal="left" vertical="center" wrapText="1"/>
    </xf>
    <xf numFmtId="3" fontId="14" fillId="2" borderId="2" xfId="0" applyNumberFormat="1" applyFont="1" applyFill="1" applyBorder="1" applyAlignment="1" applyProtection="1">
      <alignment horizontal="center" vertical="center" wrapText="1"/>
    </xf>
    <xf numFmtId="3" fontId="30" fillId="2" borderId="7" xfId="0" applyNumberFormat="1" applyFont="1" applyFill="1" applyBorder="1" applyAlignment="1" applyProtection="1">
      <alignment vertical="center" wrapText="1"/>
    </xf>
    <xf numFmtId="3" fontId="14" fillId="2" borderId="7" xfId="0" applyNumberFormat="1" applyFont="1" applyFill="1" applyBorder="1" applyAlignment="1" applyProtection="1">
      <alignment horizontal="center" vertical="center" wrapText="1"/>
    </xf>
    <xf numFmtId="3" fontId="14" fillId="2" borderId="7" xfId="0" applyNumberFormat="1" applyFont="1" applyFill="1" applyBorder="1" applyAlignment="1" applyProtection="1">
      <alignment horizontal="left" vertical="center" wrapText="1"/>
    </xf>
    <xf numFmtId="3" fontId="17" fillId="2" borderId="7" xfId="0" quotePrefix="1" applyNumberFormat="1" applyFont="1" applyFill="1" applyBorder="1" applyAlignment="1" applyProtection="1">
      <alignment horizontal="left" vertical="center" wrapText="1"/>
    </xf>
    <xf numFmtId="3" fontId="4" fillId="2" borderId="7" xfId="0" applyNumberFormat="1" applyFont="1" applyFill="1" applyBorder="1" applyAlignment="1" applyProtection="1">
      <alignment horizontal="left" vertical="center" wrapText="1"/>
    </xf>
    <xf numFmtId="3" fontId="1" fillId="2" borderId="7" xfId="0" applyNumberFormat="1" applyFont="1" applyFill="1" applyBorder="1" applyAlignment="1" applyProtection="1">
      <alignment horizontal="left" vertical="center" wrapText="1"/>
    </xf>
    <xf numFmtId="3" fontId="14" fillId="2" borderId="0" xfId="0" applyNumberFormat="1" applyFont="1" applyFill="1" applyBorder="1" applyAlignment="1" applyProtection="1">
      <alignment horizontal="center" vertical="center" wrapText="1"/>
    </xf>
    <xf numFmtId="3" fontId="14" fillId="2" borderId="44" xfId="0" applyNumberFormat="1" applyFont="1" applyFill="1" applyBorder="1" applyAlignment="1" applyProtection="1">
      <alignment horizontal="center" vertical="center" wrapText="1"/>
    </xf>
    <xf numFmtId="3" fontId="30" fillId="2" borderId="8" xfId="0" applyNumberFormat="1" applyFont="1" applyFill="1" applyBorder="1" applyAlignment="1" applyProtection="1">
      <alignment vertical="center" wrapText="1"/>
    </xf>
    <xf numFmtId="3" fontId="1" fillId="2" borderId="17" xfId="0" applyNumberFormat="1" applyFont="1" applyFill="1" applyBorder="1" applyAlignment="1" applyProtection="1">
      <alignment horizontal="left" vertical="center" wrapText="1"/>
    </xf>
    <xf numFmtId="3" fontId="30" fillId="2" borderId="27" xfId="0" applyNumberFormat="1" applyFont="1" applyFill="1" applyBorder="1" applyAlignment="1" applyProtection="1">
      <alignment vertical="center" wrapText="1"/>
    </xf>
    <xf numFmtId="1" fontId="4" fillId="2" borderId="0" xfId="0" applyNumberFormat="1" applyFont="1" applyFill="1" applyAlignment="1" applyProtection="1">
      <alignment horizontal="center"/>
    </xf>
    <xf numFmtId="1" fontId="4" fillId="2" borderId="40" xfId="0" applyNumberFormat="1" applyFont="1" applyFill="1" applyBorder="1" applyAlignment="1" applyProtection="1">
      <alignment horizontal="center"/>
    </xf>
    <xf numFmtId="1" fontId="4" fillId="2" borderId="37" xfId="0" applyNumberFormat="1" applyFont="1" applyFill="1" applyBorder="1" applyAlignment="1" applyProtection="1">
      <alignment horizontal="center"/>
    </xf>
    <xf numFmtId="164" fontId="3" fillId="2" borderId="32" xfId="0" applyNumberFormat="1" applyFont="1" applyFill="1" applyBorder="1" applyAlignment="1" applyProtection="1">
      <alignment horizontal="center" vertical="center"/>
    </xf>
    <xf numFmtId="164" fontId="14" fillId="2" borderId="63" xfId="0" applyNumberFormat="1" applyFont="1" applyFill="1" applyBorder="1" applyAlignment="1" applyProtection="1">
      <alignment horizontal="center" vertical="center"/>
    </xf>
    <xf numFmtId="164" fontId="14" fillId="2" borderId="11" xfId="0" applyNumberFormat="1" applyFont="1" applyFill="1" applyBorder="1" applyAlignment="1" applyProtection="1">
      <alignment horizontal="center" vertical="center"/>
    </xf>
    <xf numFmtId="164" fontId="17" fillId="2" borderId="11" xfId="0" applyNumberFormat="1" applyFont="1" applyFill="1" applyBorder="1" applyAlignment="1" applyProtection="1">
      <alignment horizontal="center" vertical="center"/>
    </xf>
    <xf numFmtId="164" fontId="4" fillId="2" borderId="11" xfId="0" applyNumberFormat="1" applyFont="1" applyFill="1" applyBorder="1" applyAlignment="1" applyProtection="1">
      <alignment horizontal="center" vertical="center"/>
    </xf>
    <xf numFmtId="164" fontId="3" fillId="2" borderId="11" xfId="0" applyNumberFormat="1" applyFont="1" applyFill="1" applyBorder="1" applyAlignment="1" applyProtection="1">
      <alignment horizontal="center" vertical="center"/>
    </xf>
    <xf numFmtId="164" fontId="4" fillId="2" borderId="11" xfId="0" applyNumberFormat="1" applyFont="1" applyFill="1" applyBorder="1" applyAlignment="1" applyProtection="1">
      <alignment horizontal="center" vertical="center"/>
      <protection locked="0"/>
    </xf>
    <xf numFmtId="164" fontId="17" fillId="0" borderId="11" xfId="0" applyNumberFormat="1" applyFont="1" applyFill="1" applyBorder="1" applyAlignment="1" applyProtection="1">
      <alignment horizontal="center" vertical="center"/>
    </xf>
    <xf numFmtId="164" fontId="3" fillId="2" borderId="11" xfId="0" applyNumberFormat="1" applyFont="1" applyFill="1" applyBorder="1" applyAlignment="1" applyProtection="1">
      <alignment horizontal="center" vertical="center"/>
      <protection locked="0"/>
    </xf>
    <xf numFmtId="164" fontId="4" fillId="2" borderId="19" xfId="0" applyNumberFormat="1" applyFont="1" applyFill="1" applyBorder="1" applyAlignment="1" applyProtection="1">
      <alignment horizontal="center" vertical="center"/>
    </xf>
    <xf numFmtId="164" fontId="14" fillId="2" borderId="7" xfId="0" applyNumberFormat="1" applyFont="1" applyFill="1" applyBorder="1" applyAlignment="1" applyProtection="1">
      <alignment horizontal="center" vertical="center"/>
    </xf>
    <xf numFmtId="164" fontId="17" fillId="2" borderId="7" xfId="0" applyNumberFormat="1" applyFont="1" applyFill="1" applyBorder="1" applyAlignment="1" applyProtection="1">
      <alignment horizontal="center" vertical="center"/>
    </xf>
    <xf numFmtId="164" fontId="4" fillId="2" borderId="7" xfId="0" applyNumberFormat="1" applyFont="1" applyFill="1" applyBorder="1" applyAlignment="1" applyProtection="1">
      <alignment horizontal="center" vertical="center"/>
    </xf>
    <xf numFmtId="164" fontId="3" fillId="2" borderId="7" xfId="0" applyNumberFormat="1" applyFont="1" applyFill="1" applyBorder="1" applyAlignment="1" applyProtection="1">
      <alignment horizontal="center" vertical="center"/>
    </xf>
    <xf numFmtId="164" fontId="18" fillId="2" borderId="7" xfId="0" applyNumberFormat="1" applyFont="1" applyFill="1" applyBorder="1" applyAlignment="1" applyProtection="1">
      <alignment horizontal="center" vertical="center"/>
    </xf>
    <xf numFmtId="164" fontId="18" fillId="2" borderId="11" xfId="0" applyNumberFormat="1" applyFont="1" applyFill="1" applyBorder="1" applyAlignment="1" applyProtection="1">
      <alignment horizontal="center" vertical="center"/>
    </xf>
    <xf numFmtId="164" fontId="18" fillId="2" borderId="19" xfId="0" applyNumberFormat="1" applyFont="1" applyFill="1" applyBorder="1" applyAlignment="1" applyProtection="1">
      <alignment horizontal="center" vertical="center"/>
    </xf>
    <xf numFmtId="3" fontId="6" fillId="2" borderId="14" xfId="0" applyNumberFormat="1" applyFont="1" applyFill="1" applyBorder="1" applyAlignment="1" applyProtection="1">
      <alignment horizontal="center" wrapText="1"/>
    </xf>
    <xf numFmtId="3" fontId="30" fillId="2" borderId="49" xfId="0" applyNumberFormat="1" applyFont="1" applyFill="1" applyBorder="1" applyAlignment="1" applyProtection="1">
      <alignment vertical="center" wrapText="1"/>
    </xf>
    <xf numFmtId="3" fontId="14" fillId="2" borderId="65" xfId="0" applyNumberFormat="1" applyFont="1" applyFill="1" applyBorder="1" applyAlignment="1" applyProtection="1">
      <alignment horizontal="left" vertical="center" wrapText="1"/>
    </xf>
    <xf numFmtId="3" fontId="15" fillId="2" borderId="10" xfId="0" applyNumberFormat="1" applyFont="1" applyFill="1" applyBorder="1" applyAlignment="1" applyProtection="1">
      <alignment horizontal="left" vertical="center" wrapText="1"/>
    </xf>
    <xf numFmtId="3" fontId="17" fillId="2" borderId="10" xfId="0" quotePrefix="1" applyNumberFormat="1" applyFont="1" applyFill="1" applyBorder="1" applyAlignment="1" applyProtection="1">
      <alignment horizontal="left" vertical="center" wrapText="1"/>
    </xf>
    <xf numFmtId="3" fontId="4" fillId="2" borderId="10" xfId="0" applyNumberFormat="1" applyFont="1" applyFill="1" applyBorder="1" applyAlignment="1" applyProtection="1">
      <alignment horizontal="left" vertical="center" wrapText="1"/>
    </xf>
    <xf numFmtId="3" fontId="1" fillId="2" borderId="10" xfId="0" applyNumberFormat="1" applyFont="1" applyFill="1" applyBorder="1" applyAlignment="1" applyProtection="1">
      <alignment horizontal="left" vertical="center" wrapText="1"/>
    </xf>
    <xf numFmtId="3" fontId="14" fillId="2" borderId="10" xfId="0" applyNumberFormat="1" applyFont="1" applyFill="1" applyBorder="1" applyAlignment="1" applyProtection="1">
      <alignment horizontal="left" vertical="center" wrapText="1"/>
    </xf>
    <xf numFmtId="3" fontId="4" fillId="2" borderId="34" xfId="0" applyNumberFormat="1" applyFont="1" applyFill="1" applyBorder="1" applyAlignment="1" applyProtection="1">
      <alignment horizontal="left" vertical="center" wrapText="1"/>
    </xf>
    <xf numFmtId="164" fontId="14" fillId="2" borderId="11" xfId="0" applyNumberFormat="1" applyFont="1" applyFill="1" applyBorder="1" applyAlignment="1" applyProtection="1">
      <alignment horizontal="left" vertical="center" wrapText="1"/>
    </xf>
    <xf numFmtId="1" fontId="18" fillId="2" borderId="40" xfId="0" applyNumberFormat="1" applyFont="1" applyFill="1" applyBorder="1" applyAlignment="1" applyProtection="1">
      <alignment horizontal="center"/>
    </xf>
    <xf numFmtId="1" fontId="18" fillId="2" borderId="37" xfId="0" applyNumberFormat="1" applyFont="1" applyFill="1" applyBorder="1" applyAlignment="1" applyProtection="1">
      <alignment horizontal="center"/>
    </xf>
    <xf numFmtId="1" fontId="17" fillId="2" borderId="45" xfId="0" applyNumberFormat="1" applyFont="1" applyFill="1" applyBorder="1" applyAlignment="1" applyProtection="1">
      <alignment horizontal="center" vertical="center"/>
    </xf>
    <xf numFmtId="1" fontId="17" fillId="2" borderId="23" xfId="0" applyNumberFormat="1" applyFont="1" applyFill="1" applyBorder="1" applyAlignment="1" applyProtection="1">
      <alignment horizontal="center" vertical="center"/>
    </xf>
    <xf numFmtId="1" fontId="18" fillId="2" borderId="40" xfId="0" applyNumberFormat="1" applyFont="1" applyFill="1" applyBorder="1" applyAlignment="1" applyProtection="1">
      <alignment horizontal="center" vertical="center"/>
    </xf>
    <xf numFmtId="1" fontId="17" fillId="2" borderId="24" xfId="0" applyNumberFormat="1" applyFont="1" applyFill="1" applyBorder="1" applyAlignment="1" applyProtection="1">
      <alignment horizontal="center" vertical="center"/>
    </xf>
    <xf numFmtId="1" fontId="17" fillId="2" borderId="74" xfId="0" applyNumberFormat="1" applyFont="1" applyFill="1" applyBorder="1" applyAlignment="1" applyProtection="1">
      <alignment horizontal="center" vertical="center"/>
    </xf>
    <xf numFmtId="1" fontId="18" fillId="0" borderId="24" xfId="0" applyNumberFormat="1" applyFont="1" applyFill="1" applyBorder="1" applyAlignment="1" applyProtection="1">
      <alignment horizontal="center" vertical="center"/>
      <protection hidden="1"/>
    </xf>
    <xf numFmtId="164" fontId="3" fillId="2" borderId="37" xfId="0" applyNumberFormat="1" applyFont="1" applyFill="1" applyBorder="1" applyAlignment="1" applyProtection="1">
      <alignment horizontal="center" vertical="center"/>
    </xf>
    <xf numFmtId="164" fontId="17" fillId="2" borderId="10" xfId="0" applyNumberFormat="1" applyFont="1" applyFill="1" applyBorder="1" applyAlignment="1" applyProtection="1">
      <alignment horizontal="center" vertical="center"/>
    </xf>
    <xf numFmtId="1" fontId="18" fillId="2" borderId="10" xfId="0" applyNumberFormat="1" applyFont="1" applyFill="1" applyBorder="1" applyAlignment="1" applyProtection="1">
      <alignment horizontal="center" vertical="center"/>
    </xf>
    <xf numFmtId="1" fontId="55" fillId="2" borderId="76" xfId="0" applyNumberFormat="1" applyFont="1" applyFill="1" applyBorder="1" applyAlignment="1" applyProtection="1">
      <alignment horizontal="center" vertical="center"/>
    </xf>
    <xf numFmtId="1" fontId="56" fillId="2" borderId="76" xfId="0" applyNumberFormat="1" applyFont="1" applyFill="1" applyBorder="1" applyAlignment="1" applyProtection="1">
      <alignment horizontal="center" vertical="center"/>
    </xf>
    <xf numFmtId="164" fontId="17" fillId="2" borderId="45" xfId="0" quotePrefix="1" applyNumberFormat="1" applyFont="1" applyFill="1" applyBorder="1" applyAlignment="1" applyProtection="1">
      <alignment horizontal="center" vertical="center"/>
    </xf>
    <xf numFmtId="164" fontId="18" fillId="0" borderId="24" xfId="0" quotePrefix="1" applyNumberFormat="1" applyFont="1" applyFill="1" applyBorder="1" applyAlignment="1" applyProtection="1">
      <alignment horizontal="center" vertical="center"/>
    </xf>
    <xf numFmtId="164" fontId="18" fillId="0" borderId="24" xfId="0" applyNumberFormat="1" applyFont="1" applyFill="1" applyBorder="1" applyAlignment="1" applyProtection="1">
      <alignment horizontal="center" vertical="center"/>
    </xf>
    <xf numFmtId="164" fontId="18" fillId="2" borderId="24" xfId="0" quotePrefix="1" applyNumberFormat="1" applyFont="1" applyFill="1" applyBorder="1" applyAlignment="1" applyProtection="1">
      <alignment horizontal="center" vertical="center"/>
    </xf>
    <xf numFmtId="164" fontId="18" fillId="2" borderId="24" xfId="0" applyNumberFormat="1" applyFont="1" applyFill="1" applyBorder="1" applyAlignment="1" applyProtection="1">
      <alignment horizontal="center" vertical="center"/>
    </xf>
    <xf numFmtId="164" fontId="18" fillId="2" borderId="25" xfId="0" applyNumberFormat="1" applyFont="1" applyFill="1" applyBorder="1" applyAlignment="1" applyProtection="1">
      <alignment horizontal="center" vertical="center"/>
    </xf>
    <xf numFmtId="164" fontId="17" fillId="2" borderId="0" xfId="0" quotePrefix="1" applyNumberFormat="1" applyFont="1" applyFill="1" applyBorder="1" applyAlignment="1" applyProtection="1">
      <alignment horizontal="center" vertical="center"/>
    </xf>
    <xf numFmtId="1" fontId="18" fillId="2" borderId="0" xfId="0" applyNumberFormat="1" applyFont="1" applyFill="1" applyAlignment="1" applyProtection="1">
      <alignment horizontal="center" vertical="center"/>
    </xf>
    <xf numFmtId="1" fontId="18" fillId="2" borderId="0" xfId="0" applyNumberFormat="1" applyFont="1" applyFill="1" applyAlignment="1" applyProtection="1">
      <alignment horizontal="center"/>
    </xf>
    <xf numFmtId="1" fontId="7" fillId="2" borderId="11" xfId="0" applyNumberFormat="1" applyFont="1" applyFill="1" applyBorder="1" applyAlignment="1" applyProtection="1">
      <alignment horizontal="center" vertical="center"/>
    </xf>
    <xf numFmtId="1" fontId="3" fillId="2" borderId="40" xfId="0" applyNumberFormat="1" applyFont="1" applyFill="1" applyBorder="1" applyAlignment="1" applyProtection="1">
      <alignment horizontal="center"/>
    </xf>
    <xf numFmtId="1" fontId="3" fillId="2" borderId="37" xfId="0" applyNumberFormat="1" applyFont="1" applyFill="1" applyBorder="1" applyAlignment="1" applyProtection="1">
      <alignment horizontal="center"/>
    </xf>
    <xf numFmtId="1" fontId="3" fillId="2" borderId="0" xfId="0" applyNumberFormat="1" applyFont="1" applyFill="1" applyAlignment="1" applyProtection="1">
      <alignment horizontal="center" vertical="center"/>
    </xf>
    <xf numFmtId="1" fontId="3" fillId="2" borderId="0" xfId="0" applyNumberFormat="1" applyFont="1" applyFill="1" applyAlignment="1" applyProtection="1">
      <alignment horizontal="center"/>
    </xf>
    <xf numFmtId="0" fontId="22" fillId="2" borderId="0" xfId="0" applyFont="1" applyFill="1" applyAlignment="1" applyProtection="1">
      <alignment wrapText="1"/>
      <protection hidden="1"/>
    </xf>
    <xf numFmtId="0" fontId="21" fillId="0" borderId="0" xfId="0" applyFont="1" applyFill="1" applyBorder="1" applyAlignment="1" applyProtection="1">
      <alignment wrapText="1"/>
      <protection hidden="1"/>
    </xf>
    <xf numFmtId="0" fontId="3" fillId="5" borderId="30" xfId="0" applyFont="1" applyFill="1" applyBorder="1" applyAlignment="1" applyProtection="1">
      <alignment horizontal="left" vertical="center" wrapText="1"/>
      <protection hidden="1"/>
    </xf>
    <xf numFmtId="0" fontId="7" fillId="5" borderId="24" xfId="0" applyFont="1" applyFill="1" applyBorder="1" applyAlignment="1" applyProtection="1">
      <alignment horizontal="left" vertical="center" wrapText="1"/>
      <protection hidden="1"/>
    </xf>
    <xf numFmtId="0" fontId="3" fillId="5" borderId="24" xfId="0" applyFont="1" applyFill="1" applyBorder="1" applyAlignment="1" applyProtection="1">
      <alignment horizontal="left" vertical="center" wrapText="1"/>
      <protection hidden="1"/>
    </xf>
    <xf numFmtId="0" fontId="21" fillId="0" borderId="0" xfId="0" applyFont="1" applyFill="1" applyAlignment="1" applyProtection="1">
      <alignment wrapText="1"/>
      <protection hidden="1"/>
    </xf>
    <xf numFmtId="3" fontId="4" fillId="0" borderId="7" xfId="0" applyNumberFormat="1" applyFont="1" applyFill="1" applyBorder="1" applyAlignment="1" applyProtection="1">
      <alignment horizontal="center" vertical="center" wrapText="1"/>
    </xf>
    <xf numFmtId="3" fontId="0" fillId="0" borderId="7" xfId="0" applyNumberFormat="1" applyFill="1" applyBorder="1" applyAlignment="1" applyProtection="1">
      <alignment horizontal="center" vertical="center" wrapText="1"/>
    </xf>
    <xf numFmtId="0" fontId="37" fillId="2" borderId="0" xfId="0" applyFont="1" applyFill="1" applyAlignment="1" applyProtection="1">
      <protection hidden="1"/>
    </xf>
    <xf numFmtId="3" fontId="12" fillId="2" borderId="30" xfId="0" applyNumberFormat="1" applyFont="1" applyFill="1" applyBorder="1" applyAlignment="1" applyProtection="1">
      <alignment horizontal="left" vertical="center" wrapText="1"/>
      <protection locked="0"/>
    </xf>
    <xf numFmtId="3" fontId="4" fillId="0" borderId="30" xfId="0" applyNumberFormat="1" applyFont="1" applyFill="1" applyBorder="1" applyAlignment="1" applyProtection="1">
      <alignment horizontal="left" vertical="center" wrapText="1"/>
      <protection locked="0"/>
    </xf>
    <xf numFmtId="164" fontId="17" fillId="2" borderId="40" xfId="0" quotePrefix="1" applyNumberFormat="1" applyFont="1" applyFill="1" applyBorder="1" applyAlignment="1" applyProtection="1">
      <alignment horizontal="left" vertical="center"/>
    </xf>
    <xf numFmtId="164" fontId="17" fillId="0" borderId="37" xfId="0" quotePrefix="1" applyNumberFormat="1" applyFont="1" applyFill="1" applyBorder="1" applyAlignment="1" applyProtection="1">
      <alignment horizontal="left" vertical="center"/>
    </xf>
    <xf numFmtId="164" fontId="17" fillId="2" borderId="39" xfId="0" quotePrefix="1" applyNumberFormat="1" applyFont="1" applyFill="1" applyBorder="1" applyAlignment="1" applyProtection="1">
      <alignment horizontal="left" vertical="center"/>
    </xf>
    <xf numFmtId="164" fontId="17" fillId="2" borderId="45" xfId="0" quotePrefix="1" applyNumberFormat="1" applyFont="1" applyFill="1" applyBorder="1" applyAlignment="1" applyProtection="1">
      <alignment horizontal="left" vertical="center"/>
    </xf>
    <xf numFmtId="164" fontId="17" fillId="2" borderId="40" xfId="0" quotePrefix="1" applyNumberFormat="1" applyFont="1" applyFill="1" applyBorder="1" applyAlignment="1" applyProtection="1">
      <alignment vertical="center"/>
    </xf>
    <xf numFmtId="3" fontId="15" fillId="2" borderId="40" xfId="0" applyNumberFormat="1" applyFont="1" applyFill="1" applyBorder="1" applyAlignment="1" applyProtection="1">
      <alignment vertical="center" wrapText="1"/>
    </xf>
    <xf numFmtId="164" fontId="17" fillId="2" borderId="45" xfId="0" quotePrefix="1" applyNumberFormat="1" applyFont="1" applyFill="1" applyBorder="1" applyAlignment="1" applyProtection="1">
      <alignment vertical="center"/>
    </xf>
    <xf numFmtId="3" fontId="15" fillId="2" borderId="45" xfId="0" applyNumberFormat="1" applyFont="1" applyFill="1" applyBorder="1" applyAlignment="1" applyProtection="1">
      <alignment vertical="center" wrapText="1"/>
    </xf>
    <xf numFmtId="164" fontId="17" fillId="0" borderId="37" xfId="0" quotePrefix="1" applyNumberFormat="1" applyFont="1" applyFill="1" applyBorder="1" applyAlignment="1" applyProtection="1">
      <alignment vertical="center"/>
    </xf>
    <xf numFmtId="3" fontId="15" fillId="0" borderId="37" xfId="0" applyNumberFormat="1" applyFont="1" applyFill="1" applyBorder="1" applyAlignment="1" applyProtection="1">
      <alignment vertical="center" wrapText="1"/>
    </xf>
    <xf numFmtId="164" fontId="17" fillId="2" borderId="39" xfId="0" quotePrefix="1" applyNumberFormat="1" applyFont="1" applyFill="1" applyBorder="1" applyAlignment="1" applyProtection="1">
      <alignment vertical="center"/>
    </xf>
    <xf numFmtId="3" fontId="15" fillId="2" borderId="39" xfId="0" applyNumberFormat="1" applyFont="1" applyFill="1" applyBorder="1" applyAlignment="1" applyProtection="1">
      <alignment vertical="center" wrapText="1"/>
    </xf>
    <xf numFmtId="3" fontId="12" fillId="8" borderId="30" xfId="0" applyNumberFormat="1" applyFont="1" applyFill="1" applyBorder="1" applyAlignment="1" applyProtection="1">
      <alignment horizontal="left" vertical="center" wrapText="1"/>
    </xf>
    <xf numFmtId="1" fontId="56" fillId="8" borderId="76" xfId="0" applyNumberFormat="1" applyFont="1" applyFill="1" applyBorder="1" applyAlignment="1" applyProtection="1">
      <alignment horizontal="center" vertical="center"/>
    </xf>
    <xf numFmtId="164" fontId="3" fillId="8" borderId="11" xfId="0" applyNumberFormat="1" applyFont="1" applyFill="1" applyBorder="1" applyAlignment="1" applyProtection="1">
      <alignment horizontal="center" vertical="center"/>
    </xf>
    <xf numFmtId="3" fontId="1" fillId="8" borderId="8" xfId="0" applyNumberFormat="1" applyFont="1" applyFill="1" applyBorder="1" applyAlignment="1" applyProtection="1">
      <alignment horizontal="left" vertical="center" wrapText="1"/>
    </xf>
    <xf numFmtId="164" fontId="3" fillId="0" borderId="11" xfId="0" applyNumberFormat="1" applyFont="1" applyFill="1" applyBorder="1" applyAlignment="1" applyProtection="1">
      <alignment horizontal="center" vertical="center"/>
    </xf>
    <xf numFmtId="3" fontId="1" fillId="0" borderId="8" xfId="0" applyNumberFormat="1" applyFont="1" applyFill="1" applyBorder="1" applyAlignment="1" applyProtection="1">
      <alignment horizontal="left" vertical="center" wrapText="1"/>
    </xf>
    <xf numFmtId="3" fontId="9" fillId="9" borderId="7" xfId="0" applyNumberFormat="1" applyFont="1" applyFill="1" applyBorder="1" applyAlignment="1" applyProtection="1">
      <alignment vertical="center"/>
      <protection locked="0"/>
    </xf>
    <xf numFmtId="3" fontId="3" fillId="9" borderId="10" xfId="0" applyNumberFormat="1" applyFont="1" applyFill="1" applyBorder="1" applyAlignment="1" applyProtection="1">
      <alignment horizontal="right" vertical="center"/>
    </xf>
    <xf numFmtId="3" fontId="3" fillId="9" borderId="7" xfId="0" applyNumberFormat="1" applyFont="1" applyFill="1" applyBorder="1" applyAlignment="1" applyProtection="1">
      <alignment horizontal="right" vertical="center"/>
    </xf>
    <xf numFmtId="3" fontId="17" fillId="8" borderId="7" xfId="0" applyNumberFormat="1" applyFont="1" applyFill="1" applyBorder="1" applyAlignment="1" applyProtection="1">
      <alignment vertical="center"/>
      <protection hidden="1"/>
    </xf>
    <xf numFmtId="0" fontId="4" fillId="0" borderId="37" xfId="0" applyNumberFormat="1" applyFont="1" applyBorder="1" applyAlignment="1" applyProtection="1">
      <alignment horizontal="justify" vertical="top"/>
    </xf>
    <xf numFmtId="0" fontId="4" fillId="0" borderId="0" xfId="0" applyNumberFormat="1" applyFont="1" applyBorder="1" applyAlignment="1" applyProtection="1">
      <alignment horizontal="justify" vertical="top"/>
    </xf>
    <xf numFmtId="0" fontId="4" fillId="0" borderId="38" xfId="0" applyNumberFormat="1" applyFont="1" applyBorder="1" applyAlignment="1" applyProtection="1">
      <alignment horizontal="justify" vertical="top"/>
    </xf>
    <xf numFmtId="0" fontId="3" fillId="0" borderId="37" xfId="0" applyFont="1" applyBorder="1" applyAlignment="1" applyProtection="1">
      <alignment horizontal="justify" vertical="top"/>
    </xf>
    <xf numFmtId="0" fontId="3" fillId="0" borderId="0" xfId="0" applyFont="1" applyBorder="1" applyAlignment="1" applyProtection="1">
      <alignment horizontal="justify" vertical="top"/>
    </xf>
    <xf numFmtId="0" fontId="3" fillId="0" borderId="38" xfId="0" applyFont="1" applyBorder="1" applyAlignment="1" applyProtection="1">
      <alignment horizontal="justify" vertical="top"/>
    </xf>
    <xf numFmtId="0" fontId="5" fillId="0" borderId="0" xfId="0" applyFont="1" applyBorder="1" applyAlignment="1" applyProtection="1">
      <alignment horizontal="center"/>
    </xf>
    <xf numFmtId="0" fontId="4" fillId="0" borderId="37" xfId="0" applyFont="1" applyBorder="1" applyAlignment="1" applyProtection="1">
      <alignment horizontal="justify" vertical="top"/>
    </xf>
    <xf numFmtId="0" fontId="4" fillId="0" borderId="0" xfId="0" applyFont="1" applyBorder="1" applyAlignment="1" applyProtection="1">
      <alignment horizontal="justify" vertical="top"/>
    </xf>
    <xf numFmtId="0" fontId="4" fillId="0" borderId="38" xfId="0" applyFont="1" applyBorder="1" applyAlignment="1" applyProtection="1">
      <alignment horizontal="justify" vertical="top"/>
    </xf>
    <xf numFmtId="0" fontId="57" fillId="0" borderId="37" xfId="0" applyFont="1" applyBorder="1" applyAlignment="1" applyProtection="1">
      <alignment horizontal="justify" vertical="top"/>
    </xf>
    <xf numFmtId="0" fontId="57" fillId="0" borderId="0" xfId="0" applyFont="1" applyBorder="1" applyAlignment="1" applyProtection="1">
      <alignment horizontal="justify" vertical="top"/>
    </xf>
    <xf numFmtId="0" fontId="57" fillId="0" borderId="38" xfId="0" applyFont="1" applyBorder="1" applyAlignment="1" applyProtection="1">
      <alignment horizontal="justify" vertical="top"/>
    </xf>
    <xf numFmtId="0" fontId="41" fillId="0" borderId="40" xfId="0" applyFont="1" applyBorder="1" applyAlignment="1" applyProtection="1">
      <alignment horizontal="left" vertical="center" wrapText="1"/>
    </xf>
    <xf numFmtId="0" fontId="41" fillId="0" borderId="14" xfId="0" applyFont="1" applyBorder="1" applyAlignment="1" applyProtection="1">
      <alignment horizontal="left" vertical="center" wrapText="1"/>
    </xf>
    <xf numFmtId="0" fontId="41" fillId="0" borderId="41" xfId="0" applyFont="1" applyBorder="1" applyAlignment="1" applyProtection="1">
      <alignment horizontal="left" vertical="center" wrapText="1"/>
    </xf>
    <xf numFmtId="0" fontId="8" fillId="5" borderId="45" xfId="0" applyFont="1" applyFill="1" applyBorder="1" applyAlignment="1" applyProtection="1">
      <alignment horizontal="center" vertical="center"/>
      <protection locked="0"/>
    </xf>
    <xf numFmtId="0" fontId="8" fillId="5" borderId="47" xfId="0" applyFont="1" applyFill="1" applyBorder="1" applyAlignment="1" applyProtection="1">
      <alignment horizontal="center" vertical="center"/>
      <protection locked="0"/>
    </xf>
    <xf numFmtId="0" fontId="8" fillId="5" borderId="46" xfId="0" applyFont="1" applyFill="1" applyBorder="1" applyAlignment="1" applyProtection="1">
      <alignment horizontal="center" vertical="center"/>
      <protection locked="0"/>
    </xf>
    <xf numFmtId="0" fontId="42" fillId="0" borderId="38" xfId="0" applyFont="1" applyBorder="1" applyAlignment="1" applyProtection="1">
      <alignment horizontal="left" vertical="center" wrapText="1"/>
    </xf>
    <xf numFmtId="0" fontId="19" fillId="0" borderId="40" xfId="0" applyFont="1" applyBorder="1" applyAlignment="1" applyProtection="1">
      <alignment horizontal="center" vertical="center"/>
    </xf>
    <xf numFmtId="0" fontId="19" fillId="0" borderId="14" xfId="0" applyFont="1" applyBorder="1" applyAlignment="1" applyProtection="1">
      <alignment horizontal="center" vertical="center"/>
    </xf>
    <xf numFmtId="0" fontId="19" fillId="0" borderId="41" xfId="0" applyFont="1" applyBorder="1" applyAlignment="1" applyProtection="1">
      <alignment horizontal="center" vertical="center"/>
    </xf>
    <xf numFmtId="0" fontId="19" fillId="0" borderId="37" xfId="0" applyFont="1" applyBorder="1" applyAlignment="1" applyProtection="1">
      <alignment horizontal="center" vertical="center"/>
    </xf>
    <xf numFmtId="0" fontId="19" fillId="0" borderId="0" xfId="0" applyFont="1" applyBorder="1" applyAlignment="1" applyProtection="1">
      <alignment horizontal="center" vertical="center"/>
    </xf>
    <xf numFmtId="0" fontId="19" fillId="0" borderId="38" xfId="0" applyFont="1" applyBorder="1" applyAlignment="1" applyProtection="1">
      <alignment horizontal="center" vertical="center"/>
    </xf>
    <xf numFmtId="0" fontId="19" fillId="0" borderId="39" xfId="0" applyFont="1" applyBorder="1" applyAlignment="1" applyProtection="1">
      <alignment horizontal="center" vertical="center"/>
    </xf>
    <xf numFmtId="0" fontId="19" fillId="0" borderId="12" xfId="0" applyFont="1" applyBorder="1" applyAlignment="1" applyProtection="1">
      <alignment horizontal="center" vertical="center"/>
    </xf>
    <xf numFmtId="0" fontId="19" fillId="0" borderId="13" xfId="0" applyFont="1" applyBorder="1" applyAlignment="1" applyProtection="1">
      <alignment horizontal="center" vertical="center"/>
    </xf>
    <xf numFmtId="0" fontId="19" fillId="0" borderId="40" xfId="0" applyFont="1" applyBorder="1" applyAlignment="1" applyProtection="1">
      <alignment horizontal="center" vertical="center" wrapText="1"/>
    </xf>
    <xf numFmtId="0" fontId="19" fillId="0" borderId="14" xfId="0" applyFont="1" applyBorder="1" applyAlignment="1" applyProtection="1">
      <alignment horizontal="center" vertical="center" wrapText="1"/>
    </xf>
    <xf numFmtId="0" fontId="19" fillId="0" borderId="41" xfId="0" applyFont="1" applyBorder="1" applyAlignment="1" applyProtection="1">
      <alignment horizontal="center" vertical="center" wrapText="1"/>
    </xf>
    <xf numFmtId="0" fontId="19" fillId="0" borderId="37" xfId="0" applyFont="1" applyBorder="1" applyAlignment="1" applyProtection="1">
      <alignment horizontal="center" vertical="center" wrapText="1"/>
    </xf>
    <xf numFmtId="0" fontId="19" fillId="0" borderId="0" xfId="0" applyFont="1" applyBorder="1" applyAlignment="1" applyProtection="1">
      <alignment horizontal="center" vertical="center" wrapText="1"/>
    </xf>
    <xf numFmtId="0" fontId="19" fillId="0" borderId="38" xfId="0" applyFont="1" applyBorder="1" applyAlignment="1" applyProtection="1">
      <alignment horizontal="center" vertical="center" wrapText="1"/>
    </xf>
    <xf numFmtId="0" fontId="19" fillId="0" borderId="39" xfId="0" applyFont="1" applyBorder="1" applyAlignment="1" applyProtection="1">
      <alignment horizontal="center" vertical="center" wrapText="1"/>
    </xf>
    <xf numFmtId="0" fontId="19" fillId="0" borderId="12" xfId="0" applyFont="1" applyBorder="1" applyAlignment="1" applyProtection="1">
      <alignment horizontal="center" vertical="center" wrapText="1"/>
    </xf>
    <xf numFmtId="0" fontId="19" fillId="0" borderId="13" xfId="0" applyFont="1" applyBorder="1" applyAlignment="1" applyProtection="1">
      <alignment horizontal="center" vertical="center" wrapText="1"/>
    </xf>
    <xf numFmtId="0" fontId="4" fillId="0" borderId="39" xfId="0" applyFont="1" applyBorder="1" applyAlignment="1" applyProtection="1">
      <alignment horizontal="center" vertical="justify"/>
    </xf>
    <xf numFmtId="0" fontId="4" fillId="0" borderId="12" xfId="0" applyFont="1" applyBorder="1" applyAlignment="1" applyProtection="1">
      <alignment horizontal="center" vertical="justify"/>
    </xf>
    <xf numFmtId="0" fontId="4" fillId="0" borderId="13" xfId="0" applyFont="1" applyBorder="1" applyAlignment="1" applyProtection="1">
      <alignment horizontal="center" vertical="justify"/>
    </xf>
    <xf numFmtId="0" fontId="3" fillId="0" borderId="37" xfId="0" quotePrefix="1" applyFont="1" applyBorder="1" applyAlignment="1" applyProtection="1">
      <alignment horizontal="justify" vertical="top" wrapText="1"/>
    </xf>
    <xf numFmtId="0" fontId="3" fillId="0" borderId="0" xfId="0" quotePrefix="1" applyFont="1" applyBorder="1" applyAlignment="1" applyProtection="1">
      <alignment horizontal="justify" vertical="top" wrapText="1"/>
    </xf>
    <xf numFmtId="0" fontId="3" fillId="0" borderId="38" xfId="0" quotePrefix="1" applyFont="1" applyBorder="1" applyAlignment="1" applyProtection="1">
      <alignment horizontal="justify" vertical="top" wrapText="1"/>
    </xf>
    <xf numFmtId="0" fontId="3" fillId="0" borderId="40" xfId="0" quotePrefix="1" applyFont="1" applyBorder="1" applyAlignment="1" applyProtection="1">
      <alignment horizontal="left"/>
    </xf>
    <xf numFmtId="0" fontId="3" fillId="0" borderId="14" xfId="0" quotePrefix="1" applyFont="1" applyBorder="1" applyAlignment="1" applyProtection="1">
      <alignment horizontal="left"/>
    </xf>
    <xf numFmtId="0" fontId="3" fillId="0" borderId="41" xfId="0" quotePrefix="1" applyFont="1" applyBorder="1" applyAlignment="1" applyProtection="1">
      <alignment horizontal="left"/>
    </xf>
    <xf numFmtId="3" fontId="14" fillId="2" borderId="12" xfId="0" applyNumberFormat="1" applyFont="1" applyFill="1" applyBorder="1" applyAlignment="1" applyProtection="1">
      <alignment horizontal="center"/>
    </xf>
    <xf numFmtId="3" fontId="8" fillId="2" borderId="23" xfId="0" applyNumberFormat="1" applyFont="1" applyFill="1" applyBorder="1" applyAlignment="1" applyProtection="1">
      <alignment horizontal="center" vertical="center" wrapText="1"/>
    </xf>
    <xf numFmtId="3" fontId="8" fillId="2" borderId="2" xfId="0" applyNumberFormat="1" applyFont="1" applyFill="1" applyBorder="1" applyAlignment="1" applyProtection="1">
      <alignment horizontal="center" vertical="center" wrapText="1"/>
    </xf>
    <xf numFmtId="3" fontId="8" fillId="2" borderId="3" xfId="0" applyNumberFormat="1" applyFont="1" applyFill="1" applyBorder="1" applyAlignment="1" applyProtection="1">
      <alignment horizontal="center" vertical="center" wrapText="1"/>
    </xf>
    <xf numFmtId="3" fontId="48" fillId="2" borderId="8" xfId="0" applyNumberFormat="1" applyFont="1" applyFill="1" applyBorder="1" applyAlignment="1" applyProtection="1">
      <alignment horizontal="center" vertical="center"/>
    </xf>
    <xf numFmtId="3" fontId="48" fillId="2" borderId="17" xfId="0" applyNumberFormat="1" applyFont="1" applyFill="1" applyBorder="1" applyAlignment="1" applyProtection="1">
      <alignment horizontal="center" vertical="center"/>
    </xf>
    <xf numFmtId="3" fontId="28" fillId="2" borderId="0" xfId="0" applyNumberFormat="1" applyFont="1" applyFill="1" applyBorder="1" applyAlignment="1" applyProtection="1">
      <alignment horizontal="left" vertical="center" indent="5"/>
    </xf>
    <xf numFmtId="3" fontId="28" fillId="2" borderId="12" xfId="0" applyNumberFormat="1" applyFont="1" applyFill="1" applyBorder="1" applyAlignment="1" applyProtection="1">
      <alignment horizontal="left" vertical="center" indent="5"/>
    </xf>
    <xf numFmtId="3" fontId="47" fillId="2" borderId="0" xfId="0" applyNumberFormat="1" applyFont="1" applyFill="1" applyBorder="1" applyAlignment="1" applyProtection="1">
      <alignment horizontal="left" vertical="center"/>
    </xf>
    <xf numFmtId="3" fontId="47" fillId="2" borderId="38" xfId="0" applyNumberFormat="1" applyFont="1" applyFill="1" applyBorder="1" applyAlignment="1" applyProtection="1">
      <alignment horizontal="left" vertical="center"/>
    </xf>
    <xf numFmtId="3" fontId="47" fillId="2" borderId="12" xfId="0" applyNumberFormat="1" applyFont="1" applyFill="1" applyBorder="1" applyAlignment="1" applyProtection="1">
      <alignment horizontal="left" vertical="center"/>
    </xf>
    <xf numFmtId="3" fontId="47" fillId="2" borderId="13" xfId="0" applyNumberFormat="1" applyFont="1" applyFill="1" applyBorder="1" applyAlignment="1" applyProtection="1">
      <alignment horizontal="left" vertical="center"/>
    </xf>
    <xf numFmtId="3" fontId="48" fillId="2" borderId="9" xfId="0" applyNumberFormat="1" applyFont="1" applyFill="1" applyBorder="1" applyAlignment="1" applyProtection="1">
      <alignment horizontal="center" vertical="center"/>
    </xf>
    <xf numFmtId="3" fontId="48" fillId="2" borderId="7" xfId="0" applyNumberFormat="1" applyFont="1" applyFill="1" applyBorder="1" applyAlignment="1" applyProtection="1">
      <alignment horizontal="center" vertical="center"/>
    </xf>
    <xf numFmtId="3" fontId="48" fillId="2" borderId="36" xfId="0" applyNumberFormat="1" applyFont="1" applyFill="1" applyBorder="1" applyAlignment="1" applyProtection="1">
      <alignment horizontal="center" vertical="center"/>
    </xf>
    <xf numFmtId="3" fontId="48" fillId="2" borderId="16" xfId="0" applyNumberFormat="1" applyFont="1" applyFill="1" applyBorder="1" applyAlignment="1" applyProtection="1">
      <alignment horizontal="center" vertical="center"/>
    </xf>
    <xf numFmtId="3" fontId="14" fillId="2" borderId="56" xfId="0" applyNumberFormat="1" applyFont="1" applyFill="1" applyBorder="1" applyAlignment="1" applyProtection="1">
      <alignment horizontal="center" vertical="center"/>
    </xf>
    <xf numFmtId="3" fontId="14" fillId="2" borderId="21" xfId="0" applyNumberFormat="1" applyFont="1" applyFill="1" applyBorder="1" applyAlignment="1" applyProtection="1">
      <alignment horizontal="center" vertical="center"/>
    </xf>
    <xf numFmtId="3" fontId="47" fillId="2" borderId="14" xfId="0" applyNumberFormat="1" applyFont="1" applyFill="1" applyBorder="1" applyAlignment="1" applyProtection="1">
      <alignment horizontal="left" vertical="center"/>
    </xf>
    <xf numFmtId="3" fontId="47" fillId="2" borderId="41" xfId="0" applyNumberFormat="1" applyFont="1" applyFill="1" applyBorder="1" applyAlignment="1" applyProtection="1">
      <alignment horizontal="left" vertical="center"/>
    </xf>
    <xf numFmtId="3" fontId="4" fillId="2" borderId="49" xfId="0" applyNumberFormat="1" applyFont="1" applyFill="1" applyBorder="1" applyAlignment="1" applyProtection="1">
      <alignment horizontal="center" vertical="center"/>
    </xf>
    <xf numFmtId="3" fontId="4" fillId="2" borderId="2" xfId="0" applyNumberFormat="1" applyFont="1" applyFill="1" applyBorder="1" applyAlignment="1" applyProtection="1">
      <alignment horizontal="center" vertical="center"/>
    </xf>
    <xf numFmtId="3" fontId="4" fillId="2" borderId="3" xfId="0" applyNumberFormat="1" applyFont="1" applyFill="1" applyBorder="1" applyAlignment="1" applyProtection="1">
      <alignment horizontal="center" vertical="center"/>
    </xf>
    <xf numFmtId="3" fontId="3" fillId="2" borderId="10" xfId="0" applyNumberFormat="1" applyFont="1" applyFill="1" applyBorder="1" applyAlignment="1" applyProtection="1">
      <alignment horizontal="center"/>
    </xf>
    <xf numFmtId="3" fontId="3" fillId="2" borderId="44" xfId="0" applyNumberFormat="1" applyFont="1" applyFill="1" applyBorder="1" applyAlignment="1" applyProtection="1">
      <alignment horizontal="center"/>
    </xf>
    <xf numFmtId="3" fontId="3" fillId="2" borderId="48" xfId="0" applyNumberFormat="1" applyFont="1" applyFill="1" applyBorder="1" applyAlignment="1" applyProtection="1">
      <alignment horizontal="center"/>
    </xf>
    <xf numFmtId="0" fontId="17" fillId="2" borderId="49"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3" xfId="0" applyFont="1" applyFill="1" applyBorder="1" applyAlignment="1" applyProtection="1">
      <alignment horizontal="center" vertical="center"/>
    </xf>
    <xf numFmtId="0" fontId="17" fillId="2" borderId="43" xfId="0" applyFont="1" applyFill="1" applyBorder="1" applyAlignment="1" applyProtection="1">
      <alignment horizontal="center" vertical="center"/>
    </xf>
    <xf numFmtId="0" fontId="17" fillId="2" borderId="57" xfId="0" applyFont="1" applyFill="1" applyBorder="1" applyAlignment="1" applyProtection="1">
      <alignment horizontal="center" vertical="center"/>
    </xf>
    <xf numFmtId="1" fontId="27" fillId="2" borderId="12" xfId="0" applyNumberFormat="1" applyFont="1" applyFill="1" applyBorder="1" applyAlignment="1" applyProtection="1">
      <alignment horizontal="left" vertical="center"/>
    </xf>
    <xf numFmtId="3" fontId="14" fillId="2" borderId="12" xfId="0" applyNumberFormat="1" applyFont="1" applyFill="1" applyBorder="1" applyAlignment="1" applyProtection="1">
      <alignment horizontal="left" vertical="top" wrapText="1"/>
    </xf>
    <xf numFmtId="3" fontId="47" fillId="2" borderId="0" xfId="0" applyNumberFormat="1" applyFont="1" applyFill="1" applyBorder="1" applyAlignment="1" applyProtection="1">
      <alignment horizontal="left" vertical="center" indent="1"/>
    </xf>
    <xf numFmtId="3" fontId="47" fillId="2" borderId="38" xfId="0" applyNumberFormat="1" applyFont="1" applyFill="1" applyBorder="1" applyAlignment="1" applyProtection="1">
      <alignment horizontal="left" vertical="center" indent="1"/>
    </xf>
    <xf numFmtId="3" fontId="47" fillId="2" borderId="12" xfId="0" applyNumberFormat="1" applyFont="1" applyFill="1" applyBorder="1" applyAlignment="1" applyProtection="1">
      <alignment horizontal="left" vertical="center" indent="1"/>
    </xf>
    <xf numFmtId="3" fontId="47" fillId="2" borderId="13" xfId="0" applyNumberFormat="1" applyFont="1" applyFill="1" applyBorder="1" applyAlignment="1" applyProtection="1">
      <alignment horizontal="left" vertical="center" indent="1"/>
    </xf>
    <xf numFmtId="3" fontId="30" fillId="2" borderId="37" xfId="0" applyNumberFormat="1" applyFont="1" applyFill="1" applyBorder="1" applyAlignment="1" applyProtection="1">
      <alignment horizontal="center" vertical="center" wrapText="1"/>
    </xf>
    <xf numFmtId="3" fontId="30" fillId="2" borderId="39" xfId="0" applyNumberFormat="1" applyFont="1" applyFill="1" applyBorder="1" applyAlignment="1" applyProtection="1">
      <alignment horizontal="center" vertical="center" wrapText="1"/>
    </xf>
    <xf numFmtId="3" fontId="48" fillId="2" borderId="31" xfId="0" applyNumberFormat="1" applyFont="1" applyFill="1" applyBorder="1" applyAlignment="1" applyProtection="1">
      <alignment horizontal="center" vertical="center"/>
    </xf>
    <xf numFmtId="3" fontId="48" fillId="2" borderId="71" xfId="0" applyNumberFormat="1" applyFont="1" applyFill="1" applyBorder="1" applyAlignment="1" applyProtection="1">
      <alignment horizontal="center" vertical="center"/>
    </xf>
    <xf numFmtId="3" fontId="28" fillId="2" borderId="14" xfId="0" applyNumberFormat="1" applyFont="1" applyFill="1" applyBorder="1" applyAlignment="1" applyProtection="1">
      <alignment horizontal="right" vertical="center"/>
    </xf>
    <xf numFmtId="3" fontId="14" fillId="2" borderId="23" xfId="0" applyNumberFormat="1" applyFont="1" applyFill="1" applyBorder="1" applyAlignment="1" applyProtection="1">
      <alignment horizontal="center" vertical="center"/>
    </xf>
    <xf numFmtId="1" fontId="17" fillId="2" borderId="40" xfId="0" applyNumberFormat="1" applyFont="1" applyFill="1" applyBorder="1" applyAlignment="1" applyProtection="1">
      <alignment horizontal="center" vertical="center"/>
    </xf>
    <xf numFmtId="1" fontId="17" fillId="2" borderId="37" xfId="0" applyNumberFormat="1" applyFont="1" applyFill="1" applyBorder="1" applyAlignment="1" applyProtection="1">
      <alignment horizontal="center" vertical="center"/>
    </xf>
    <xf numFmtId="3" fontId="14" fillId="2" borderId="1" xfId="0" applyNumberFormat="1" applyFont="1" applyFill="1" applyBorder="1" applyAlignment="1" applyProtection="1">
      <alignment horizontal="center" vertical="center" wrapText="1"/>
    </xf>
    <xf numFmtId="3" fontId="14" fillId="2" borderId="4" xfId="0" applyNumberFormat="1" applyFont="1" applyFill="1" applyBorder="1" applyAlignment="1" applyProtection="1">
      <alignment horizontal="center" vertical="center" wrapText="1"/>
    </xf>
    <xf numFmtId="1" fontId="14" fillId="2" borderId="18" xfId="0" applyNumberFormat="1" applyFont="1" applyFill="1" applyBorder="1" applyAlignment="1" applyProtection="1">
      <alignment horizontal="center" vertical="center" wrapText="1"/>
    </xf>
    <xf numFmtId="1" fontId="14" fillId="2" borderId="19" xfId="0" applyNumberFormat="1" applyFont="1" applyFill="1" applyBorder="1" applyAlignment="1" applyProtection="1">
      <alignment horizontal="center" vertical="center" wrapText="1"/>
    </xf>
    <xf numFmtId="3" fontId="28" fillId="2" borderId="14" xfId="0" applyNumberFormat="1" applyFont="1" applyFill="1" applyBorder="1" applyAlignment="1" applyProtection="1">
      <alignment horizontal="left" vertical="center" indent="5"/>
    </xf>
    <xf numFmtId="3" fontId="14" fillId="2" borderId="40" xfId="0" applyNumberFormat="1" applyFont="1" applyFill="1" applyBorder="1" applyAlignment="1" applyProtection="1">
      <alignment horizontal="center" vertical="center"/>
    </xf>
    <xf numFmtId="3" fontId="14" fillId="2" borderId="41" xfId="0" applyNumberFormat="1" applyFont="1" applyFill="1" applyBorder="1" applyAlignment="1" applyProtection="1">
      <alignment horizontal="center" vertical="center"/>
    </xf>
    <xf numFmtId="3" fontId="14" fillId="2" borderId="14" xfId="0" applyNumberFormat="1" applyFont="1" applyFill="1" applyBorder="1" applyAlignment="1" applyProtection="1">
      <alignment horizontal="center" vertical="center"/>
    </xf>
    <xf numFmtId="3" fontId="14" fillId="2" borderId="37" xfId="0" applyNumberFormat="1" applyFont="1" applyFill="1" applyBorder="1" applyAlignment="1" applyProtection="1">
      <alignment horizontal="center" vertical="center"/>
    </xf>
    <xf numFmtId="3" fontId="14" fillId="2" borderId="0" xfId="0" applyNumberFormat="1" applyFont="1" applyFill="1" applyBorder="1" applyAlignment="1" applyProtection="1">
      <alignment horizontal="center" vertical="center"/>
    </xf>
    <xf numFmtId="0" fontId="45" fillId="0" borderId="61" xfId="0" applyFont="1" applyBorder="1" applyAlignment="1">
      <alignment horizontal="center" vertical="center" wrapText="1"/>
    </xf>
    <xf numFmtId="0" fontId="43" fillId="0" borderId="43" xfId="0" applyFont="1" applyBorder="1" applyAlignment="1">
      <alignment horizontal="center" vertical="center" wrapText="1"/>
    </xf>
    <xf numFmtId="0" fontId="43" fillId="0" borderId="57" xfId="0" applyFont="1" applyBorder="1" applyAlignment="1">
      <alignment horizontal="center" vertical="center" wrapText="1"/>
    </xf>
    <xf numFmtId="0" fontId="45" fillId="0" borderId="62"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71" xfId="0" applyFont="1" applyBorder="1" applyAlignment="1">
      <alignment horizontal="center" vertical="center" wrapText="1"/>
    </xf>
    <xf numFmtId="0" fontId="17" fillId="2" borderId="40"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164" fontId="30" fillId="2" borderId="32" xfId="0" applyNumberFormat="1" applyFont="1" applyFill="1" applyBorder="1" applyAlignment="1" applyProtection="1">
      <alignment horizontal="center" vertical="center"/>
    </xf>
    <xf numFmtId="164" fontId="30" fillId="2" borderId="33" xfId="0" applyNumberFormat="1" applyFont="1" applyFill="1" applyBorder="1" applyAlignment="1" applyProtection="1">
      <alignment horizontal="center" vertical="center"/>
    </xf>
    <xf numFmtId="3" fontId="30" fillId="2" borderId="0" xfId="0" applyNumberFormat="1" applyFont="1" applyFill="1" applyBorder="1" applyAlignment="1" applyProtection="1">
      <alignment horizontal="center" vertical="center" wrapText="1"/>
    </xf>
    <xf numFmtId="3" fontId="48" fillId="2" borderId="75" xfId="0" applyNumberFormat="1" applyFont="1" applyFill="1" applyBorder="1" applyAlignment="1" applyProtection="1">
      <alignment horizontal="center" vertical="center"/>
    </xf>
    <xf numFmtId="3" fontId="48" fillId="2" borderId="77" xfId="0" applyNumberFormat="1" applyFont="1" applyFill="1" applyBorder="1" applyAlignment="1" applyProtection="1">
      <alignment horizontal="center" vertical="center"/>
    </xf>
    <xf numFmtId="3" fontId="48" fillId="2" borderId="39" xfId="0" applyNumberFormat="1" applyFont="1" applyFill="1" applyBorder="1" applyAlignment="1" applyProtection="1">
      <alignment horizontal="center" vertical="center"/>
    </xf>
    <xf numFmtId="3" fontId="48" fillId="2" borderId="53" xfId="0" applyNumberFormat="1" applyFont="1" applyFill="1" applyBorder="1" applyAlignment="1" applyProtection="1">
      <alignment horizontal="center" vertical="center"/>
    </xf>
    <xf numFmtId="3" fontId="8" fillId="2" borderId="23" xfId="0" applyNumberFormat="1" applyFont="1" applyFill="1" applyBorder="1" applyAlignment="1" applyProtection="1">
      <alignment horizontal="center" vertical="center"/>
    </xf>
    <xf numFmtId="3" fontId="8" fillId="2" borderId="2" xfId="0" applyNumberFormat="1" applyFont="1" applyFill="1" applyBorder="1" applyAlignment="1" applyProtection="1">
      <alignment horizontal="center" vertical="center"/>
    </xf>
    <xf numFmtId="3" fontId="8" fillId="2" borderId="3" xfId="0" applyNumberFormat="1" applyFont="1" applyFill="1" applyBorder="1" applyAlignment="1" applyProtection="1">
      <alignment horizontal="center" vertical="center"/>
    </xf>
    <xf numFmtId="3" fontId="15" fillId="2" borderId="23" xfId="0" applyNumberFormat="1" applyFont="1" applyFill="1" applyBorder="1" applyAlignment="1" applyProtection="1">
      <alignment horizontal="center" vertical="center" wrapText="1"/>
    </xf>
    <xf numFmtId="3" fontId="15" fillId="2" borderId="2" xfId="0" applyNumberFormat="1" applyFont="1" applyFill="1" applyBorder="1" applyAlignment="1" applyProtection="1">
      <alignment horizontal="center" vertical="center" wrapText="1"/>
    </xf>
    <xf numFmtId="3" fontId="15" fillId="2" borderId="3" xfId="0" applyNumberFormat="1" applyFont="1" applyFill="1" applyBorder="1" applyAlignment="1" applyProtection="1">
      <alignment horizontal="center" vertical="center" wrapText="1"/>
    </xf>
    <xf numFmtId="3" fontId="30" fillId="2" borderId="23" xfId="0" applyNumberFormat="1" applyFont="1" applyFill="1" applyBorder="1" applyAlignment="1" applyProtection="1">
      <alignment horizontal="center" vertical="center"/>
    </xf>
    <xf numFmtId="3" fontId="30" fillId="2" borderId="2" xfId="0" applyNumberFormat="1" applyFont="1" applyFill="1" applyBorder="1" applyAlignment="1" applyProtection="1">
      <alignment horizontal="center" vertical="center"/>
    </xf>
    <xf numFmtId="3" fontId="30" fillId="2" borderId="3" xfId="0" applyNumberFormat="1" applyFont="1" applyFill="1" applyBorder="1" applyAlignment="1" applyProtection="1">
      <alignment horizontal="center" vertical="center"/>
    </xf>
    <xf numFmtId="3" fontId="14" fillId="2" borderId="23" xfId="0" applyNumberFormat="1" applyFont="1" applyFill="1" applyBorder="1" applyAlignment="1" applyProtection="1">
      <alignment horizontal="center" vertical="center" wrapText="1"/>
    </xf>
    <xf numFmtId="3" fontId="14" fillId="2" borderId="3" xfId="0" applyNumberFormat="1" applyFont="1" applyFill="1" applyBorder="1" applyAlignment="1" applyProtection="1">
      <alignment horizontal="center" vertical="center" wrapText="1"/>
    </xf>
    <xf numFmtId="3" fontId="28" fillId="2" borderId="0" xfId="0" applyNumberFormat="1" applyFont="1" applyFill="1" applyBorder="1" applyAlignment="1" applyProtection="1">
      <alignment horizontal="right" vertical="center"/>
    </xf>
    <xf numFmtId="3" fontId="28" fillId="2" borderId="12" xfId="0" applyNumberFormat="1" applyFont="1" applyFill="1" applyBorder="1" applyAlignment="1" applyProtection="1">
      <alignment horizontal="right" vertical="center"/>
    </xf>
    <xf numFmtId="3" fontId="14" fillId="2" borderId="22" xfId="0" applyNumberFormat="1" applyFont="1" applyFill="1" applyBorder="1" applyAlignment="1" applyProtection="1">
      <alignment horizontal="center" vertical="center" wrapText="1"/>
    </xf>
    <xf numFmtId="3" fontId="14" fillId="2" borderId="17" xfId="0" applyNumberFormat="1" applyFont="1" applyFill="1" applyBorder="1" applyAlignment="1" applyProtection="1">
      <alignment horizontal="center" vertical="center" wrapText="1"/>
    </xf>
    <xf numFmtId="3" fontId="14" fillId="2" borderId="12" xfId="0" applyNumberFormat="1" applyFont="1" applyFill="1" applyBorder="1" applyAlignment="1" applyProtection="1">
      <alignment horizontal="left" vertical="center" wrapText="1"/>
    </xf>
    <xf numFmtId="1" fontId="14" fillId="2" borderId="61" xfId="0" applyNumberFormat="1" applyFont="1" applyFill="1" applyBorder="1" applyAlignment="1" applyProtection="1">
      <alignment horizontal="center" vertical="center"/>
    </xf>
    <xf numFmtId="1" fontId="14" fillId="2" borderId="43" xfId="0" applyNumberFormat="1" applyFont="1" applyFill="1" applyBorder="1" applyAlignment="1" applyProtection="1">
      <alignment horizontal="center" vertical="center"/>
    </xf>
    <xf numFmtId="3" fontId="14" fillId="2" borderId="62" xfId="0" applyNumberFormat="1" applyFont="1" applyFill="1" applyBorder="1" applyAlignment="1" applyProtection="1">
      <alignment horizontal="center" vertical="center" wrapText="1"/>
    </xf>
    <xf numFmtId="3" fontId="14" fillId="2" borderId="42" xfId="0" applyNumberFormat="1" applyFont="1" applyFill="1" applyBorder="1" applyAlignment="1" applyProtection="1">
      <alignment horizontal="center" vertical="center" wrapText="1"/>
    </xf>
    <xf numFmtId="3" fontId="30" fillId="2" borderId="12" xfId="0" applyNumberFormat="1" applyFont="1" applyFill="1" applyBorder="1" applyAlignment="1" applyProtection="1">
      <alignment horizontal="center" vertical="center" wrapText="1"/>
    </xf>
    <xf numFmtId="0" fontId="17" fillId="2" borderId="78" xfId="0" applyFont="1" applyFill="1" applyBorder="1" applyAlignment="1" applyProtection="1">
      <alignment horizontal="center" vertical="center"/>
    </xf>
    <xf numFmtId="0" fontId="15" fillId="2" borderId="79" xfId="0" applyFont="1" applyFill="1" applyBorder="1" applyAlignment="1" applyProtection="1">
      <alignment horizontal="center" vertical="center" wrapText="1"/>
    </xf>
    <xf numFmtId="0" fontId="15" fillId="2" borderId="80" xfId="0" applyFont="1" applyFill="1" applyBorder="1" applyAlignment="1" applyProtection="1">
      <alignment horizontal="center" vertical="center" wrapText="1"/>
    </xf>
    <xf numFmtId="0" fontId="15" fillId="2" borderId="81" xfId="0" applyFont="1" applyFill="1" applyBorder="1" applyAlignment="1" applyProtection="1">
      <alignment horizontal="center" vertical="center" wrapText="1"/>
    </xf>
    <xf numFmtId="0" fontId="15" fillId="2" borderId="82" xfId="0" applyFont="1" applyFill="1" applyBorder="1" applyAlignment="1" applyProtection="1">
      <alignment horizontal="center" vertical="center" wrapText="1"/>
    </xf>
    <xf numFmtId="1" fontId="17" fillId="2" borderId="18" xfId="0" applyNumberFormat="1" applyFont="1" applyFill="1" applyBorder="1" applyAlignment="1" applyProtection="1">
      <alignment horizontal="center" vertical="center" wrapText="1"/>
    </xf>
    <xf numFmtId="1" fontId="17" fillId="2" borderId="19" xfId="0" applyNumberFormat="1"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7" fillId="2" borderId="58" xfId="0" applyFont="1" applyFill="1" applyBorder="1" applyAlignment="1" applyProtection="1">
      <alignment horizontal="center" vertical="center" wrapText="1"/>
    </xf>
    <xf numFmtId="0" fontId="43" fillId="0" borderId="62" xfId="0" applyFont="1" applyBorder="1" applyAlignment="1">
      <alignment horizontal="center" vertical="center" wrapText="1"/>
    </xf>
    <xf numFmtId="0" fontId="43" fillId="0" borderId="61" xfId="0" applyFont="1" applyBorder="1" applyAlignment="1">
      <alignment horizontal="center" vertical="center" wrapText="1"/>
    </xf>
    <xf numFmtId="3" fontId="18" fillId="5" borderId="45" xfId="0" applyNumberFormat="1" applyFont="1" applyFill="1" applyBorder="1" applyAlignment="1" applyProtection="1">
      <alignment horizontal="center" vertical="center"/>
      <protection hidden="1"/>
    </xf>
    <xf numFmtId="3" fontId="18" fillId="5" borderId="47" xfId="0" applyNumberFormat="1" applyFont="1" applyFill="1" applyBorder="1" applyAlignment="1" applyProtection="1">
      <alignment horizontal="center" vertical="center"/>
      <protection hidden="1"/>
    </xf>
    <xf numFmtId="3" fontId="18" fillId="0" borderId="24" xfId="0" applyNumberFormat="1" applyFont="1" applyFill="1" applyBorder="1" applyAlignment="1" applyProtection="1">
      <alignment horizontal="center" vertical="center"/>
      <protection hidden="1"/>
    </xf>
    <xf numFmtId="3" fontId="18" fillId="0" borderId="48" xfId="0" applyNumberFormat="1" applyFont="1" applyFill="1" applyBorder="1" applyAlignment="1" applyProtection="1">
      <alignment horizontal="center" vertical="center"/>
      <protection hidden="1"/>
    </xf>
    <xf numFmtId="3" fontId="17" fillId="0" borderId="24" xfId="0" applyNumberFormat="1" applyFont="1" applyFill="1" applyBorder="1" applyAlignment="1" applyProtection="1">
      <alignment horizontal="center" vertical="center"/>
      <protection hidden="1"/>
    </xf>
    <xf numFmtId="3" fontId="17" fillId="0" borderId="48" xfId="0" applyNumberFormat="1" applyFont="1" applyFill="1" applyBorder="1" applyAlignment="1" applyProtection="1">
      <alignment horizontal="center" vertical="center"/>
      <protection hidden="1"/>
    </xf>
    <xf numFmtId="0" fontId="31" fillId="5" borderId="1" xfId="0" applyFont="1" applyFill="1" applyBorder="1" applyAlignment="1" applyProtection="1">
      <alignment horizontal="center" vertical="center" wrapText="1"/>
      <protection hidden="1"/>
    </xf>
    <xf numFmtId="0" fontId="31" fillId="5" borderId="4" xfId="0" applyFont="1" applyFill="1" applyBorder="1" applyAlignment="1" applyProtection="1">
      <alignment horizontal="center" vertical="center" wrapText="1"/>
      <protection hidden="1"/>
    </xf>
    <xf numFmtId="0" fontId="16" fillId="5" borderId="1" xfId="0" applyFont="1" applyFill="1" applyBorder="1" applyAlignment="1" applyProtection="1">
      <alignment horizontal="center" vertical="center" wrapText="1"/>
      <protection hidden="1"/>
    </xf>
    <xf numFmtId="0" fontId="16" fillId="5" borderId="4" xfId="0" applyFont="1" applyFill="1" applyBorder="1" applyAlignment="1" applyProtection="1">
      <alignment horizontal="center" vertical="center" wrapText="1"/>
      <protection hidden="1"/>
    </xf>
    <xf numFmtId="0" fontId="16" fillId="5" borderId="58" xfId="0" applyFont="1" applyFill="1" applyBorder="1" applyAlignment="1" applyProtection="1">
      <alignment horizontal="center" vertical="center" wrapText="1"/>
      <protection hidden="1"/>
    </xf>
    <xf numFmtId="0" fontId="16" fillId="5" borderId="40" xfId="0" applyFont="1" applyFill="1" applyBorder="1" applyAlignment="1" applyProtection="1">
      <alignment horizontal="center" vertical="center" wrapText="1"/>
      <protection hidden="1"/>
    </xf>
    <xf numFmtId="0" fontId="16" fillId="5" borderId="41" xfId="0" applyFont="1" applyFill="1" applyBorder="1" applyAlignment="1" applyProtection="1">
      <alignment horizontal="center" vertical="center" wrapText="1"/>
      <protection hidden="1"/>
    </xf>
    <xf numFmtId="0" fontId="16" fillId="5" borderId="39" xfId="0" applyFont="1" applyFill="1" applyBorder="1" applyAlignment="1" applyProtection="1">
      <alignment horizontal="center" vertical="center" wrapText="1"/>
      <protection hidden="1"/>
    </xf>
    <xf numFmtId="0" fontId="16" fillId="5" borderId="12" xfId="0" applyFont="1" applyFill="1" applyBorder="1" applyAlignment="1" applyProtection="1">
      <alignment horizontal="center" vertical="center" wrapText="1"/>
      <protection hidden="1"/>
    </xf>
    <xf numFmtId="3" fontId="17" fillId="0" borderId="23" xfId="0" applyNumberFormat="1" applyFont="1" applyFill="1" applyBorder="1" applyAlignment="1" applyProtection="1">
      <alignment horizontal="center" vertical="center"/>
      <protection hidden="1"/>
    </xf>
    <xf numFmtId="3" fontId="17" fillId="0" borderId="3" xfId="0" applyNumberFormat="1" applyFont="1" applyFill="1" applyBorder="1" applyAlignment="1" applyProtection="1">
      <alignment horizontal="center" vertical="center"/>
      <protection hidden="1"/>
    </xf>
    <xf numFmtId="0" fontId="16" fillId="5" borderId="37" xfId="0" applyFont="1" applyFill="1" applyBorder="1" applyAlignment="1" applyProtection="1">
      <alignment horizontal="center" vertical="center" wrapText="1"/>
      <protection hidden="1"/>
    </xf>
    <xf numFmtId="3" fontId="17" fillId="0" borderId="25" xfId="0" applyNumberFormat="1" applyFont="1" applyFill="1" applyBorder="1" applyAlignment="1" applyProtection="1">
      <alignment horizontal="center" vertical="center"/>
      <protection hidden="1"/>
    </xf>
    <xf numFmtId="3" fontId="17" fillId="0" borderId="83" xfId="0" applyNumberFormat="1" applyFont="1" applyFill="1" applyBorder="1" applyAlignment="1" applyProtection="1">
      <alignment horizontal="center" vertical="center"/>
      <protection hidden="1"/>
    </xf>
    <xf numFmtId="0" fontId="20" fillId="2" borderId="0" xfId="0" applyFont="1" applyFill="1" applyAlignment="1" applyProtection="1">
      <alignment horizontal="center"/>
      <protection hidden="1"/>
    </xf>
    <xf numFmtId="0" fontId="39" fillId="2" borderId="0" xfId="0" applyFont="1" applyFill="1" applyAlignment="1" applyProtection="1">
      <alignment horizontal="left"/>
      <protection hidden="1"/>
    </xf>
    <xf numFmtId="0" fontId="24" fillId="6" borderId="0" xfId="0" applyFont="1" applyFill="1" applyBorder="1" applyAlignment="1" applyProtection="1">
      <alignment horizontal="center" vertical="center" wrapText="1"/>
      <protection hidden="1"/>
    </xf>
    <xf numFmtId="0" fontId="31" fillId="5" borderId="58" xfId="0" applyFont="1" applyFill="1" applyBorder="1" applyAlignment="1" applyProtection="1">
      <alignment horizontal="center" vertical="center" wrapText="1"/>
      <protection hidden="1"/>
    </xf>
    <xf numFmtId="0" fontId="33" fillId="5" borderId="51" xfId="0" applyFont="1" applyFill="1" applyBorder="1" applyAlignment="1" applyProtection="1">
      <alignment horizontal="center" vertical="center" wrapText="1"/>
      <protection hidden="1"/>
    </xf>
    <xf numFmtId="0" fontId="33" fillId="5" borderId="73" xfId="0" applyFont="1" applyFill="1" applyBorder="1" applyAlignment="1" applyProtection="1">
      <alignment horizontal="center" vertical="center" wrapText="1"/>
      <protection hidden="1"/>
    </xf>
    <xf numFmtId="3" fontId="36" fillId="0" borderId="0" xfId="0" applyNumberFormat="1" applyFont="1" applyAlignment="1" applyProtection="1">
      <alignment horizontal="center" vertical="top"/>
      <protection hidden="1"/>
    </xf>
    <xf numFmtId="167" fontId="7" fillId="7" borderId="7" xfId="0" applyNumberFormat="1" applyFont="1" applyFill="1" applyBorder="1" applyAlignment="1" applyProtection="1">
      <alignment horizontal="center" vertical="center" wrapText="1"/>
    </xf>
    <xf numFmtId="0" fontId="36" fillId="0" borderId="0" xfId="0" applyFont="1" applyFill="1" applyBorder="1" applyAlignment="1" applyProtection="1">
      <alignment horizontal="center" vertical="center"/>
    </xf>
    <xf numFmtId="3" fontId="36" fillId="0" borderId="0" xfId="0" applyNumberFormat="1" applyFont="1" applyFill="1" applyBorder="1" applyAlignment="1" applyProtection="1">
      <alignment horizontal="center" vertical="center"/>
    </xf>
    <xf numFmtId="3" fontId="7" fillId="7" borderId="7" xfId="0" applyNumberFormat="1" applyFont="1" applyFill="1" applyBorder="1" applyAlignment="1" applyProtection="1">
      <alignment horizontal="center" vertical="center" wrapText="1"/>
    </xf>
    <xf numFmtId="167" fontId="7" fillId="7" borderId="6" xfId="0" applyNumberFormat="1" applyFont="1" applyFill="1" applyBorder="1" applyAlignment="1" applyProtection="1">
      <alignment horizontal="center" vertical="center" wrapText="1"/>
    </xf>
    <xf numFmtId="167" fontId="7" fillId="7" borderId="28" xfId="0" applyNumberFormat="1" applyFont="1" applyFill="1" applyBorder="1" applyAlignment="1" applyProtection="1">
      <alignment horizontal="center" vertical="center" wrapText="1"/>
    </xf>
    <xf numFmtId="0" fontId="7" fillId="0" borderId="6" xfId="2" applyFont="1" applyFill="1" applyBorder="1" applyAlignment="1">
      <alignment horizontal="center" vertical="center" wrapText="1"/>
    </xf>
    <xf numFmtId="0" fontId="7" fillId="0" borderId="28" xfId="2" applyFont="1" applyFill="1" applyBorder="1" applyAlignment="1">
      <alignment horizontal="center" vertical="center" wrapText="1"/>
    </xf>
    <xf numFmtId="0" fontId="36" fillId="0" borderId="37" xfId="2" applyFont="1" applyFill="1" applyBorder="1" applyAlignment="1" applyProtection="1">
      <alignment horizontal="center" vertical="center"/>
    </xf>
    <xf numFmtId="0" fontId="36" fillId="0" borderId="0" xfId="2" applyFont="1" applyFill="1" applyBorder="1" applyAlignment="1" applyProtection="1">
      <alignment horizontal="center" vertical="center"/>
    </xf>
    <xf numFmtId="3" fontId="36" fillId="0" borderId="37" xfId="2" applyNumberFormat="1" applyFont="1" applyFill="1" applyBorder="1" applyAlignment="1" applyProtection="1">
      <alignment horizontal="center" vertical="center"/>
    </xf>
    <xf numFmtId="3" fontId="36" fillId="0" borderId="0" xfId="2" applyNumberFormat="1" applyFont="1" applyFill="1" applyBorder="1" applyAlignment="1" applyProtection="1">
      <alignment horizontal="center" vertical="center"/>
    </xf>
    <xf numFmtId="167" fontId="7" fillId="0" borderId="10" xfId="2" applyNumberFormat="1" applyFont="1" applyFill="1" applyBorder="1" applyAlignment="1">
      <alignment horizontal="center" vertical="center" wrapText="1"/>
    </xf>
    <xf numFmtId="167" fontId="7" fillId="0" borderId="9" xfId="2" applyNumberFormat="1" applyFont="1" applyFill="1" applyBorder="1" applyAlignment="1">
      <alignment horizontal="center" vertical="center" wrapText="1"/>
    </xf>
    <xf numFmtId="167" fontId="7" fillId="0" borderId="7" xfId="2" applyNumberFormat="1" applyFont="1" applyFill="1" applyBorder="1" applyAlignment="1">
      <alignment horizontal="center" vertical="center" wrapText="1"/>
    </xf>
    <xf numFmtId="167" fontId="7" fillId="0" borderId="6" xfId="2" applyNumberFormat="1" applyFont="1" applyFill="1" applyBorder="1" applyAlignment="1">
      <alignment horizontal="center" vertical="center" wrapText="1"/>
    </xf>
    <xf numFmtId="167" fontId="7" fillId="0" borderId="28" xfId="2" applyNumberFormat="1" applyFont="1" applyFill="1" applyBorder="1" applyAlignment="1">
      <alignment horizontal="center" vertical="center" wrapText="1"/>
    </xf>
  </cellXfs>
  <cellStyles count="4">
    <cellStyle name="Euro" xfId="1"/>
    <cellStyle name="Normal" xfId="0" builtinId="0"/>
    <cellStyle name="Normal 2" xfId="2"/>
    <cellStyle name="Porcentual 2" xfId="3"/>
  </cellStyles>
  <dxfs count="12">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264" name="Imagen 20"/>
        <xdr:cNvPicPr>
          <a:picLocks noChangeAspect="1" noChangeArrowheads="1"/>
        </xdr:cNvPicPr>
      </xdr:nvPicPr>
      <xdr:blipFill>
        <a:blip xmlns:r="http://schemas.openxmlformats.org/officeDocument/2006/relationships" r:embed="rId1"/>
        <a:srcRect/>
        <a:stretch>
          <a:fillRect/>
        </a:stretch>
      </xdr:blipFill>
      <xdr:spPr bwMode="auto">
        <a:xfrm>
          <a:off x="20707350" y="342900"/>
          <a:ext cx="704850" cy="933450"/>
        </a:xfrm>
        <a:prstGeom prst="rect">
          <a:avLst/>
        </a:prstGeom>
        <a:noFill/>
        <a:ln w="9525">
          <a:noFill/>
          <a:miter lim="800000"/>
          <a:headEnd/>
          <a:tailEnd/>
        </a:ln>
      </xdr:spPr>
    </xdr:pic>
    <xdr:clientData/>
  </xdr:twoCellAnchor>
  <xdr:twoCellAnchor>
    <xdr:from>
      <xdr:col>0</xdr:col>
      <xdr:colOff>47625</xdr:colOff>
      <xdr:row>1</xdr:row>
      <xdr:rowOff>19050</xdr:rowOff>
    </xdr:from>
    <xdr:to>
      <xdr:col>1</xdr:col>
      <xdr:colOff>19050</xdr:colOff>
      <xdr:row>3</xdr:row>
      <xdr:rowOff>95250</xdr:rowOff>
    </xdr:to>
    <xdr:pic>
      <xdr:nvPicPr>
        <xdr:cNvPr id="1265" name="Imagen 20"/>
        <xdr:cNvPicPr>
          <a:picLocks noChangeAspect="1" noChangeArrowheads="1"/>
        </xdr:cNvPicPr>
      </xdr:nvPicPr>
      <xdr:blipFill>
        <a:blip xmlns:r="http://schemas.openxmlformats.org/officeDocument/2006/relationships" r:embed="rId1"/>
        <a:srcRect/>
        <a:stretch>
          <a:fillRect/>
        </a:stretch>
      </xdr:blipFill>
      <xdr:spPr bwMode="auto">
        <a:xfrm>
          <a:off x="47625" y="333375"/>
          <a:ext cx="952500" cy="8763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0795" name="Imagen 20"/>
        <xdr:cNvPicPr>
          <a:picLocks noChangeAspect="1" noChangeArrowheads="1"/>
        </xdr:cNvPicPr>
      </xdr:nvPicPr>
      <xdr:blipFill>
        <a:blip xmlns:r="http://schemas.openxmlformats.org/officeDocument/2006/relationships" r:embed="rId1"/>
        <a:srcRect/>
        <a:stretch>
          <a:fillRect/>
        </a:stretch>
      </xdr:blipFill>
      <xdr:spPr bwMode="auto">
        <a:xfrm>
          <a:off x="19897725" y="342900"/>
          <a:ext cx="704850" cy="9239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0796"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667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0797" name="Imagen 20"/>
        <xdr:cNvPicPr>
          <a:picLocks noChangeAspect="1" noChangeArrowheads="1"/>
        </xdr:cNvPicPr>
      </xdr:nvPicPr>
      <xdr:blipFill>
        <a:blip xmlns:r="http://schemas.openxmlformats.org/officeDocument/2006/relationships" r:embed="rId1"/>
        <a:srcRect/>
        <a:stretch>
          <a:fillRect/>
        </a:stretch>
      </xdr:blipFill>
      <xdr:spPr bwMode="auto">
        <a:xfrm>
          <a:off x="19897725" y="342900"/>
          <a:ext cx="704850" cy="9239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0798"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667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0799" name="Imagen 20"/>
        <xdr:cNvPicPr>
          <a:picLocks noChangeAspect="1" noChangeArrowheads="1"/>
        </xdr:cNvPicPr>
      </xdr:nvPicPr>
      <xdr:blipFill>
        <a:blip xmlns:r="http://schemas.openxmlformats.org/officeDocument/2006/relationships" r:embed="rId1"/>
        <a:srcRect/>
        <a:stretch>
          <a:fillRect/>
        </a:stretch>
      </xdr:blipFill>
      <xdr:spPr bwMode="auto">
        <a:xfrm>
          <a:off x="19897725" y="342900"/>
          <a:ext cx="704850" cy="9239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1816" name="Imagen 20"/>
        <xdr:cNvPicPr>
          <a:picLocks noChangeAspect="1" noChangeArrowheads="1"/>
        </xdr:cNvPicPr>
      </xdr:nvPicPr>
      <xdr:blipFill>
        <a:blip xmlns:r="http://schemas.openxmlformats.org/officeDocument/2006/relationships" r:embed="rId1"/>
        <a:srcRect/>
        <a:stretch>
          <a:fillRect/>
        </a:stretch>
      </xdr:blipFill>
      <xdr:spPr bwMode="auto">
        <a:xfrm>
          <a:off x="20364450" y="342900"/>
          <a:ext cx="704850" cy="9620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1817"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981075" cy="9048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1818" name="Imagen 20"/>
        <xdr:cNvPicPr>
          <a:picLocks noChangeAspect="1" noChangeArrowheads="1"/>
        </xdr:cNvPicPr>
      </xdr:nvPicPr>
      <xdr:blipFill>
        <a:blip xmlns:r="http://schemas.openxmlformats.org/officeDocument/2006/relationships" r:embed="rId1"/>
        <a:srcRect/>
        <a:stretch>
          <a:fillRect/>
        </a:stretch>
      </xdr:blipFill>
      <xdr:spPr bwMode="auto">
        <a:xfrm>
          <a:off x="20364450" y="342900"/>
          <a:ext cx="704850" cy="9620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1819"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981075" cy="9048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1820" name="Imagen 20"/>
        <xdr:cNvPicPr>
          <a:picLocks noChangeAspect="1" noChangeArrowheads="1"/>
        </xdr:cNvPicPr>
      </xdr:nvPicPr>
      <xdr:blipFill>
        <a:blip xmlns:r="http://schemas.openxmlformats.org/officeDocument/2006/relationships" r:embed="rId1"/>
        <a:srcRect/>
        <a:stretch>
          <a:fillRect/>
        </a:stretch>
      </xdr:blipFill>
      <xdr:spPr bwMode="auto">
        <a:xfrm>
          <a:off x="20364450" y="342900"/>
          <a:ext cx="704850" cy="9620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2842" name="Imagen 20"/>
        <xdr:cNvPicPr>
          <a:picLocks noChangeAspect="1" noChangeArrowheads="1"/>
        </xdr:cNvPicPr>
      </xdr:nvPicPr>
      <xdr:blipFill>
        <a:blip xmlns:r="http://schemas.openxmlformats.org/officeDocument/2006/relationships" r:embed="rId1"/>
        <a:srcRect/>
        <a:stretch>
          <a:fillRect/>
        </a:stretch>
      </xdr:blipFill>
      <xdr:spPr bwMode="auto">
        <a:xfrm>
          <a:off x="19983450" y="342900"/>
          <a:ext cx="704850" cy="9239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2843"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752475" cy="8667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2844" name="Imagen 20"/>
        <xdr:cNvPicPr>
          <a:picLocks noChangeAspect="1" noChangeArrowheads="1"/>
        </xdr:cNvPicPr>
      </xdr:nvPicPr>
      <xdr:blipFill>
        <a:blip xmlns:r="http://schemas.openxmlformats.org/officeDocument/2006/relationships" r:embed="rId1"/>
        <a:srcRect/>
        <a:stretch>
          <a:fillRect/>
        </a:stretch>
      </xdr:blipFill>
      <xdr:spPr bwMode="auto">
        <a:xfrm>
          <a:off x="19983450" y="342900"/>
          <a:ext cx="704850" cy="9239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2845"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752475" cy="8667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2846" name="Imagen 20"/>
        <xdr:cNvPicPr>
          <a:picLocks noChangeAspect="1" noChangeArrowheads="1"/>
        </xdr:cNvPicPr>
      </xdr:nvPicPr>
      <xdr:blipFill>
        <a:blip xmlns:r="http://schemas.openxmlformats.org/officeDocument/2006/relationships" r:embed="rId1"/>
        <a:srcRect/>
        <a:stretch>
          <a:fillRect/>
        </a:stretch>
      </xdr:blipFill>
      <xdr:spPr bwMode="auto">
        <a:xfrm>
          <a:off x="19983450" y="342900"/>
          <a:ext cx="704850" cy="9239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2706" name="Imagen 20"/>
        <xdr:cNvPicPr>
          <a:picLocks noChangeAspect="1" noChangeArrowheads="1"/>
        </xdr:cNvPicPr>
      </xdr:nvPicPr>
      <xdr:blipFill>
        <a:blip xmlns:r="http://schemas.openxmlformats.org/officeDocument/2006/relationships" r:embed="rId1"/>
        <a:srcRect/>
        <a:stretch>
          <a:fillRect/>
        </a:stretch>
      </xdr:blipFill>
      <xdr:spPr bwMode="auto">
        <a:xfrm>
          <a:off x="19964400" y="342900"/>
          <a:ext cx="704850" cy="10477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2707"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819150" cy="9906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2708" name="Imagen 20"/>
        <xdr:cNvPicPr>
          <a:picLocks noChangeAspect="1" noChangeArrowheads="1"/>
        </xdr:cNvPicPr>
      </xdr:nvPicPr>
      <xdr:blipFill>
        <a:blip xmlns:r="http://schemas.openxmlformats.org/officeDocument/2006/relationships" r:embed="rId1"/>
        <a:srcRect/>
        <a:stretch>
          <a:fillRect/>
        </a:stretch>
      </xdr:blipFill>
      <xdr:spPr bwMode="auto">
        <a:xfrm>
          <a:off x="19964400" y="342900"/>
          <a:ext cx="704850" cy="10477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2709" name="Imagen 20"/>
        <xdr:cNvPicPr>
          <a:picLocks noChangeAspect="1" noChangeArrowheads="1"/>
        </xdr:cNvPicPr>
      </xdr:nvPicPr>
      <xdr:blipFill>
        <a:blip xmlns:r="http://schemas.openxmlformats.org/officeDocument/2006/relationships" r:embed="rId1"/>
        <a:srcRect/>
        <a:stretch>
          <a:fillRect/>
        </a:stretch>
      </xdr:blipFill>
      <xdr:spPr bwMode="auto">
        <a:xfrm>
          <a:off x="19964400" y="342900"/>
          <a:ext cx="704850" cy="10477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2710" name="Imagen 20"/>
        <xdr:cNvPicPr>
          <a:picLocks noChangeAspect="1" noChangeArrowheads="1"/>
        </xdr:cNvPicPr>
      </xdr:nvPicPr>
      <xdr:blipFill>
        <a:blip xmlns:r="http://schemas.openxmlformats.org/officeDocument/2006/relationships" r:embed="rId1"/>
        <a:srcRect/>
        <a:stretch>
          <a:fillRect/>
        </a:stretch>
      </xdr:blipFill>
      <xdr:spPr bwMode="auto">
        <a:xfrm>
          <a:off x="19964400" y="342900"/>
          <a:ext cx="704850" cy="10477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3627" name="Imagen 20"/>
        <xdr:cNvPicPr>
          <a:picLocks noChangeAspect="1" noChangeArrowheads="1"/>
        </xdr:cNvPicPr>
      </xdr:nvPicPr>
      <xdr:blipFill>
        <a:blip xmlns:r="http://schemas.openxmlformats.org/officeDocument/2006/relationships" r:embed="rId1"/>
        <a:srcRect/>
        <a:stretch>
          <a:fillRect/>
        </a:stretch>
      </xdr:blipFill>
      <xdr:spPr bwMode="auto">
        <a:xfrm>
          <a:off x="20212050" y="342900"/>
          <a:ext cx="704850" cy="8858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3628"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942975" cy="8286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3629" name="Imagen 20"/>
        <xdr:cNvPicPr>
          <a:picLocks noChangeAspect="1" noChangeArrowheads="1"/>
        </xdr:cNvPicPr>
      </xdr:nvPicPr>
      <xdr:blipFill>
        <a:blip xmlns:r="http://schemas.openxmlformats.org/officeDocument/2006/relationships" r:embed="rId1"/>
        <a:srcRect/>
        <a:stretch>
          <a:fillRect/>
        </a:stretch>
      </xdr:blipFill>
      <xdr:spPr bwMode="auto">
        <a:xfrm>
          <a:off x="20212050" y="342900"/>
          <a:ext cx="704850" cy="8858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3630"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942975" cy="8286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3631" name="Imagen 20"/>
        <xdr:cNvPicPr>
          <a:picLocks noChangeAspect="1" noChangeArrowheads="1"/>
        </xdr:cNvPicPr>
      </xdr:nvPicPr>
      <xdr:blipFill>
        <a:blip xmlns:r="http://schemas.openxmlformats.org/officeDocument/2006/relationships" r:embed="rId1"/>
        <a:srcRect/>
        <a:stretch>
          <a:fillRect/>
        </a:stretch>
      </xdr:blipFill>
      <xdr:spPr bwMode="auto">
        <a:xfrm>
          <a:off x="20212050" y="342900"/>
          <a:ext cx="704850" cy="8858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4649" name="Imagen 20"/>
        <xdr:cNvPicPr>
          <a:picLocks noChangeAspect="1" noChangeArrowheads="1"/>
        </xdr:cNvPicPr>
      </xdr:nvPicPr>
      <xdr:blipFill>
        <a:blip xmlns:r="http://schemas.openxmlformats.org/officeDocument/2006/relationships" r:embed="rId1"/>
        <a:srcRect/>
        <a:stretch>
          <a:fillRect/>
        </a:stretch>
      </xdr:blipFill>
      <xdr:spPr bwMode="auto">
        <a:xfrm>
          <a:off x="20050125" y="342900"/>
          <a:ext cx="704850" cy="99060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4650"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9334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4651" name="Imagen 20"/>
        <xdr:cNvPicPr>
          <a:picLocks noChangeAspect="1" noChangeArrowheads="1"/>
        </xdr:cNvPicPr>
      </xdr:nvPicPr>
      <xdr:blipFill>
        <a:blip xmlns:r="http://schemas.openxmlformats.org/officeDocument/2006/relationships" r:embed="rId1"/>
        <a:srcRect/>
        <a:stretch>
          <a:fillRect/>
        </a:stretch>
      </xdr:blipFill>
      <xdr:spPr bwMode="auto">
        <a:xfrm>
          <a:off x="20050125" y="342900"/>
          <a:ext cx="704850" cy="99060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4652"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9334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4653" name="Imagen 20"/>
        <xdr:cNvPicPr>
          <a:picLocks noChangeAspect="1" noChangeArrowheads="1"/>
        </xdr:cNvPicPr>
      </xdr:nvPicPr>
      <xdr:blipFill>
        <a:blip xmlns:r="http://schemas.openxmlformats.org/officeDocument/2006/relationships" r:embed="rId1"/>
        <a:srcRect/>
        <a:stretch>
          <a:fillRect/>
        </a:stretch>
      </xdr:blipFill>
      <xdr:spPr bwMode="auto">
        <a:xfrm>
          <a:off x="20050125" y="342900"/>
          <a:ext cx="704850" cy="9906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5671" name="Imagen 20"/>
        <xdr:cNvPicPr>
          <a:picLocks noChangeAspect="1" noChangeArrowheads="1"/>
        </xdr:cNvPicPr>
      </xdr:nvPicPr>
      <xdr:blipFill>
        <a:blip xmlns:r="http://schemas.openxmlformats.org/officeDocument/2006/relationships" r:embed="rId1"/>
        <a:srcRect/>
        <a:stretch>
          <a:fillRect/>
        </a:stretch>
      </xdr:blipFill>
      <xdr:spPr bwMode="auto">
        <a:xfrm>
          <a:off x="20402550" y="342900"/>
          <a:ext cx="704850" cy="962025"/>
        </a:xfrm>
        <a:prstGeom prst="rect">
          <a:avLst/>
        </a:prstGeom>
        <a:noFill/>
        <a:ln w="9525">
          <a:noFill/>
          <a:miter lim="800000"/>
          <a:headEnd/>
          <a:tailEnd/>
        </a:ln>
      </xdr:spPr>
    </xdr:pic>
    <xdr:clientData/>
  </xdr:twoCellAnchor>
  <xdr:twoCellAnchor>
    <xdr:from>
      <xdr:col>0</xdr:col>
      <xdr:colOff>38100</xdr:colOff>
      <xdr:row>0</xdr:row>
      <xdr:rowOff>476250</xdr:rowOff>
    </xdr:from>
    <xdr:to>
      <xdr:col>0</xdr:col>
      <xdr:colOff>695325</xdr:colOff>
      <xdr:row>3</xdr:row>
      <xdr:rowOff>47625</xdr:rowOff>
    </xdr:to>
    <xdr:pic>
      <xdr:nvPicPr>
        <xdr:cNvPr id="5672" name="Imagen 20"/>
        <xdr:cNvPicPr>
          <a:picLocks noChangeAspect="1" noChangeArrowheads="1"/>
        </xdr:cNvPicPr>
      </xdr:nvPicPr>
      <xdr:blipFill>
        <a:blip xmlns:r="http://schemas.openxmlformats.org/officeDocument/2006/relationships" r:embed="rId1"/>
        <a:srcRect/>
        <a:stretch>
          <a:fillRect/>
        </a:stretch>
      </xdr:blipFill>
      <xdr:spPr bwMode="auto">
        <a:xfrm>
          <a:off x="38100" y="314325"/>
          <a:ext cx="657225" cy="8763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5673" name="Imagen 20"/>
        <xdr:cNvPicPr>
          <a:picLocks noChangeAspect="1" noChangeArrowheads="1"/>
        </xdr:cNvPicPr>
      </xdr:nvPicPr>
      <xdr:blipFill>
        <a:blip xmlns:r="http://schemas.openxmlformats.org/officeDocument/2006/relationships" r:embed="rId1"/>
        <a:srcRect/>
        <a:stretch>
          <a:fillRect/>
        </a:stretch>
      </xdr:blipFill>
      <xdr:spPr bwMode="auto">
        <a:xfrm>
          <a:off x="20402550" y="342900"/>
          <a:ext cx="704850" cy="9620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6701" name="Imagen 20"/>
        <xdr:cNvPicPr>
          <a:picLocks noChangeAspect="1" noChangeArrowheads="1"/>
        </xdr:cNvPicPr>
      </xdr:nvPicPr>
      <xdr:blipFill>
        <a:blip xmlns:r="http://schemas.openxmlformats.org/officeDocument/2006/relationships" r:embed="rId1"/>
        <a:srcRect/>
        <a:stretch>
          <a:fillRect/>
        </a:stretch>
      </xdr:blipFill>
      <xdr:spPr bwMode="auto">
        <a:xfrm>
          <a:off x="19878675" y="342900"/>
          <a:ext cx="704850" cy="10096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6702" name="Imagen 20"/>
        <xdr:cNvPicPr>
          <a:picLocks noChangeAspect="1" noChangeArrowheads="1"/>
        </xdr:cNvPicPr>
      </xdr:nvPicPr>
      <xdr:blipFill>
        <a:blip xmlns:r="http://schemas.openxmlformats.org/officeDocument/2006/relationships" r:embed="rId1"/>
        <a:srcRect/>
        <a:stretch>
          <a:fillRect/>
        </a:stretch>
      </xdr:blipFill>
      <xdr:spPr bwMode="auto">
        <a:xfrm>
          <a:off x="19878675" y="342900"/>
          <a:ext cx="704850" cy="1009650"/>
        </a:xfrm>
        <a:prstGeom prst="rect">
          <a:avLst/>
        </a:prstGeom>
        <a:noFill/>
        <a:ln w="9525">
          <a:noFill/>
          <a:miter lim="800000"/>
          <a:headEnd/>
          <a:tailEnd/>
        </a:ln>
      </xdr:spPr>
    </xdr:pic>
    <xdr:clientData/>
  </xdr:twoCellAnchor>
  <xdr:twoCellAnchor>
    <xdr:from>
      <xdr:col>0</xdr:col>
      <xdr:colOff>0</xdr:colOff>
      <xdr:row>0</xdr:row>
      <xdr:rowOff>438150</xdr:rowOff>
    </xdr:from>
    <xdr:to>
      <xdr:col>0</xdr:col>
      <xdr:colOff>676275</xdr:colOff>
      <xdr:row>3</xdr:row>
      <xdr:rowOff>9525</xdr:rowOff>
    </xdr:to>
    <xdr:pic>
      <xdr:nvPicPr>
        <xdr:cNvPr id="6703" name="Imagen 20"/>
        <xdr:cNvPicPr>
          <a:picLocks noChangeAspect="1" noChangeArrowheads="1"/>
        </xdr:cNvPicPr>
      </xdr:nvPicPr>
      <xdr:blipFill>
        <a:blip xmlns:r="http://schemas.openxmlformats.org/officeDocument/2006/relationships" r:embed="rId1"/>
        <a:srcRect/>
        <a:stretch>
          <a:fillRect/>
        </a:stretch>
      </xdr:blipFill>
      <xdr:spPr bwMode="auto">
        <a:xfrm>
          <a:off x="0" y="314325"/>
          <a:ext cx="676275" cy="8858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7719" name="Imagen 20"/>
        <xdr:cNvPicPr>
          <a:picLocks noChangeAspect="1" noChangeArrowheads="1"/>
        </xdr:cNvPicPr>
      </xdr:nvPicPr>
      <xdr:blipFill>
        <a:blip xmlns:r="http://schemas.openxmlformats.org/officeDocument/2006/relationships" r:embed="rId1"/>
        <a:srcRect/>
        <a:stretch>
          <a:fillRect/>
        </a:stretch>
      </xdr:blipFill>
      <xdr:spPr bwMode="auto">
        <a:xfrm>
          <a:off x="20040600" y="342900"/>
          <a:ext cx="704850" cy="895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7720"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382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7721" name="Imagen 20"/>
        <xdr:cNvPicPr>
          <a:picLocks noChangeAspect="1" noChangeArrowheads="1"/>
        </xdr:cNvPicPr>
      </xdr:nvPicPr>
      <xdr:blipFill>
        <a:blip xmlns:r="http://schemas.openxmlformats.org/officeDocument/2006/relationships" r:embed="rId1"/>
        <a:srcRect/>
        <a:stretch>
          <a:fillRect/>
        </a:stretch>
      </xdr:blipFill>
      <xdr:spPr bwMode="auto">
        <a:xfrm>
          <a:off x="20040600" y="342900"/>
          <a:ext cx="704850" cy="895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7722"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382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8743" name="Imagen 20"/>
        <xdr:cNvPicPr>
          <a:picLocks noChangeAspect="1" noChangeArrowheads="1"/>
        </xdr:cNvPicPr>
      </xdr:nvPicPr>
      <xdr:blipFill>
        <a:blip xmlns:r="http://schemas.openxmlformats.org/officeDocument/2006/relationships" r:embed="rId1"/>
        <a:srcRect/>
        <a:stretch>
          <a:fillRect/>
        </a:stretch>
      </xdr:blipFill>
      <xdr:spPr bwMode="auto">
        <a:xfrm>
          <a:off x="19869150" y="342900"/>
          <a:ext cx="704850" cy="94297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8744"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8582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8745" name="Imagen 20"/>
        <xdr:cNvPicPr>
          <a:picLocks noChangeAspect="1" noChangeArrowheads="1"/>
        </xdr:cNvPicPr>
      </xdr:nvPicPr>
      <xdr:blipFill>
        <a:blip xmlns:r="http://schemas.openxmlformats.org/officeDocument/2006/relationships" r:embed="rId1"/>
        <a:srcRect/>
        <a:stretch>
          <a:fillRect/>
        </a:stretch>
      </xdr:blipFill>
      <xdr:spPr bwMode="auto">
        <a:xfrm>
          <a:off x="19869150" y="342900"/>
          <a:ext cx="704850" cy="94297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8746"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8582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8747" name="Imagen 20"/>
        <xdr:cNvPicPr>
          <a:picLocks noChangeAspect="1" noChangeArrowheads="1"/>
        </xdr:cNvPicPr>
      </xdr:nvPicPr>
      <xdr:blipFill>
        <a:blip xmlns:r="http://schemas.openxmlformats.org/officeDocument/2006/relationships" r:embed="rId1"/>
        <a:srcRect/>
        <a:stretch>
          <a:fillRect/>
        </a:stretch>
      </xdr:blipFill>
      <xdr:spPr bwMode="auto">
        <a:xfrm>
          <a:off x="19869150" y="342900"/>
          <a:ext cx="704850" cy="94297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xdr:row>
      <xdr:rowOff>28575</xdr:rowOff>
    </xdr:from>
    <xdr:to>
      <xdr:col>1</xdr:col>
      <xdr:colOff>0</xdr:colOff>
      <xdr:row>3</xdr:row>
      <xdr:rowOff>104775</xdr:rowOff>
    </xdr:to>
    <xdr:pic>
      <xdr:nvPicPr>
        <xdr:cNvPr id="9767"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9334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9768"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9334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NSOLIDADO%20INFORMACION\CONSOLIDADO%202011\JUNIO%202011\ABEJORRAL\ABEJORRAL%202%20TRIM%20VALIDADO\VALIDADOR%202193%20TRIMESTR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NSOLIDADO%20INFORMACION\CONSOLIDADO%202011\SEPTIEMBRE%202011\AMAGA\VALIDADOR%202193%20TRIMESTR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ARTERA Y ECUACION CONTABLE"/>
      <sheetName val="CXP"/>
      <sheetName val="INGRESOS"/>
      <sheetName val="GASTOS"/>
      <sheetName val="DEFINITIVO Vs. COMPROMISOS"/>
      <sheetName val="SEGUIMIENTO A EQUILIBRIO"/>
      <sheetName val="DATOS PARA CONCILIAR"/>
      <sheetName val="VALIDACION BALANCES Vs CHIP"/>
    </sheetNames>
    <sheetDataSet>
      <sheetData sheetId="0"/>
      <sheetData sheetId="1"/>
      <sheetData sheetId="2">
        <row r="1">
          <cell r="AJ1">
            <v>1</v>
          </cell>
          <cell r="AK1" t="str">
            <v>TOTAL ACTIVO</v>
          </cell>
          <cell r="AL1">
            <v>3384320891</v>
          </cell>
        </row>
        <row r="2">
          <cell r="AJ2">
            <v>11</v>
          </cell>
          <cell r="AK2" t="str">
            <v>EFECTIVO</v>
          </cell>
          <cell r="AL2">
            <v>84648095</v>
          </cell>
        </row>
        <row r="3">
          <cell r="AJ3">
            <v>0</v>
          </cell>
          <cell r="AK3">
            <v>0</v>
          </cell>
          <cell r="AL3">
            <v>0</v>
          </cell>
        </row>
        <row r="4">
          <cell r="AJ4">
            <v>1105</v>
          </cell>
          <cell r="AK4" t="str">
            <v>CAJA</v>
          </cell>
          <cell r="AL4">
            <v>4114542</v>
          </cell>
        </row>
        <row r="5">
          <cell r="AJ5">
            <v>110501</v>
          </cell>
          <cell r="AK5" t="str">
            <v>Caja Principal</v>
          </cell>
          <cell r="AL5">
            <v>3314542</v>
          </cell>
        </row>
        <row r="6">
          <cell r="AJ6">
            <v>110502</v>
          </cell>
          <cell r="AK6" t="str">
            <v>Cajas Menores</v>
          </cell>
          <cell r="AL6">
            <v>800000</v>
          </cell>
        </row>
        <row r="7">
          <cell r="AJ7">
            <v>1110</v>
          </cell>
          <cell r="AK7" t="str">
            <v>BANCOS Y CORPORACIONES</v>
          </cell>
          <cell r="AL7">
            <v>20349982</v>
          </cell>
        </row>
        <row r="8">
          <cell r="AJ8" t="str">
            <v>111005-111090</v>
          </cell>
          <cell r="AK8" t="str">
            <v>Cuenta Corriente Bancaria</v>
          </cell>
          <cell r="AL8">
            <v>12058197</v>
          </cell>
        </row>
        <row r="9">
          <cell r="AJ9">
            <v>111006</v>
          </cell>
          <cell r="AK9" t="str">
            <v>Cuenta de Ahorro</v>
          </cell>
          <cell r="AL9">
            <v>8291785</v>
          </cell>
        </row>
        <row r="10">
          <cell r="AJ10">
            <v>1112</v>
          </cell>
          <cell r="AK10" t="str">
            <v>ADMINISTRACIÓN DE LIQUIDEZ</v>
          </cell>
          <cell r="AL10">
            <v>60183571</v>
          </cell>
        </row>
        <row r="11">
          <cell r="AJ11">
            <v>1120</v>
          </cell>
          <cell r="AK11" t="str">
            <v>FONDOS EN TRANSITO</v>
          </cell>
          <cell r="AL11">
            <v>0</v>
          </cell>
        </row>
        <row r="12">
          <cell r="AJ12">
            <v>12</v>
          </cell>
          <cell r="AK12" t="str">
            <v>INVERSIONES</v>
          </cell>
          <cell r="AL12">
            <v>10370369</v>
          </cell>
        </row>
        <row r="13">
          <cell r="AJ13" t="str">
            <v>1201-1202-120203</v>
          </cell>
          <cell r="AK13" t="str">
            <v>INVERS ADMINISTRACIÓN DE LIQUIDEZ EN TÍTULOS DE DEUDAY TITULOS PARTICIPATIVOS</v>
          </cell>
          <cell r="AL13">
            <v>10370369</v>
          </cell>
        </row>
        <row r="14">
          <cell r="AJ14">
            <v>1207</v>
          </cell>
          <cell r="AK14" t="str">
            <v>INVERSIONES PATRIMONIALES EN ENTIDADES NO CONTROLADAS</v>
          </cell>
          <cell r="AL14">
            <v>0</v>
          </cell>
        </row>
        <row r="15">
          <cell r="AJ15">
            <v>13</v>
          </cell>
          <cell r="AK15" t="str">
            <v>RENTAS POR COBRAR</v>
          </cell>
          <cell r="AL15">
            <v>0</v>
          </cell>
        </row>
        <row r="16">
          <cell r="AJ16">
            <v>14</v>
          </cell>
          <cell r="AK16" t="str">
            <v>DEUDORES</v>
          </cell>
          <cell r="AL16">
            <v>838199086</v>
          </cell>
        </row>
        <row r="17">
          <cell r="AJ17">
            <v>1409</v>
          </cell>
          <cell r="AK17" t="str">
            <v>SERVICIOS DE SALUD</v>
          </cell>
          <cell r="AL17">
            <v>863263362</v>
          </cell>
        </row>
        <row r="18">
          <cell r="AJ18">
            <v>1420</v>
          </cell>
          <cell r="AK18" t="str">
            <v>AVANCES Y ANTICIPOS ENTREGADOS</v>
          </cell>
          <cell r="AL18">
            <v>0</v>
          </cell>
        </row>
        <row r="19">
          <cell r="AJ19">
            <v>1470</v>
          </cell>
          <cell r="AK19" t="str">
            <v>OTROS DEUDORES</v>
          </cell>
          <cell r="AL19">
            <v>6361802</v>
          </cell>
        </row>
        <row r="20">
          <cell r="AJ20">
            <v>1475</v>
          </cell>
          <cell r="AK20" t="str">
            <v>DEUDAS DE DIFICIL COBRO</v>
          </cell>
          <cell r="AL20">
            <v>9243268</v>
          </cell>
        </row>
        <row r="21">
          <cell r="AJ21">
            <v>148014</v>
          </cell>
          <cell r="AK21" t="str">
            <v>Provision para deudores (Servicios de Salud) digite el valor con signo positivo</v>
          </cell>
          <cell r="AL21">
            <v>40669346</v>
          </cell>
        </row>
        <row r="22">
          <cell r="AJ22">
            <v>15</v>
          </cell>
          <cell r="AK22" t="str">
            <v>INVENTARIOS</v>
          </cell>
          <cell r="AL22">
            <v>61273123</v>
          </cell>
        </row>
        <row r="23">
          <cell r="AJ23">
            <v>16</v>
          </cell>
          <cell r="AK23" t="str">
            <v xml:space="preserve">PROPIEDAD, PLANTA Y EQUIPO  </v>
          </cell>
          <cell r="AL23">
            <v>787888400</v>
          </cell>
        </row>
        <row r="24">
          <cell r="AJ24">
            <v>19</v>
          </cell>
          <cell r="AK24" t="str">
            <v>OTROS ACTIVOS</v>
          </cell>
          <cell r="AL24">
            <v>1601941818</v>
          </cell>
        </row>
        <row r="25">
          <cell r="AJ25">
            <v>1905</v>
          </cell>
          <cell r="AK25" t="str">
            <v>BIENES Y SERVICIOS PAGADOS POR ANTICIPADO</v>
          </cell>
          <cell r="AL25">
            <v>295422019</v>
          </cell>
        </row>
        <row r="26">
          <cell r="AJ26">
            <v>1910</v>
          </cell>
          <cell r="AK26" t="str">
            <v>CARGOS DIFERIDOS</v>
          </cell>
          <cell r="AL26">
            <v>106507031</v>
          </cell>
        </row>
        <row r="27">
          <cell r="AJ27">
            <v>1960</v>
          </cell>
          <cell r="AK27" t="str">
            <v>BIENES DE ARTE Y CULTURA</v>
          </cell>
          <cell r="AL27">
            <v>0</v>
          </cell>
        </row>
        <row r="28">
          <cell r="AJ28">
            <v>1970</v>
          </cell>
          <cell r="AK28" t="str">
            <v>INTANGIBLES</v>
          </cell>
          <cell r="AL28">
            <v>44934400</v>
          </cell>
        </row>
        <row r="29">
          <cell r="AJ29">
            <v>1975</v>
          </cell>
          <cell r="AK29" t="str">
            <v>AMORTIZACION INTANGIBLES</v>
          </cell>
          <cell r="AL29">
            <v>-30504494</v>
          </cell>
        </row>
        <row r="30">
          <cell r="AJ30" t="str">
            <v>19…</v>
          </cell>
          <cell r="AK30" t="str">
            <v>RESPONSABILIDADES - SOLO POR GLOSAS</v>
          </cell>
          <cell r="AL30">
            <v>0</v>
          </cell>
        </row>
        <row r="31">
          <cell r="AJ31" t="str">
            <v>1999….</v>
          </cell>
          <cell r="AK31" t="str">
            <v>VALORIZACIONES Y ( OTROS ACTIVOS DIFERENTES A LOS ANTERIORES DEL GRUPO 19)</v>
          </cell>
          <cell r="AL31">
            <v>1185582862</v>
          </cell>
        </row>
        <row r="32">
          <cell r="AJ32">
            <v>2</v>
          </cell>
          <cell r="AK32" t="str">
            <v>TOTAL PASIVO</v>
          </cell>
          <cell r="AL32">
            <v>1101871317</v>
          </cell>
        </row>
        <row r="33">
          <cell r="AJ33">
            <v>22</v>
          </cell>
          <cell r="AK33" t="str">
            <v>OPERACIONES DE CREDITO PUBLICO</v>
          </cell>
          <cell r="AL33">
            <v>63154891</v>
          </cell>
        </row>
        <row r="34">
          <cell r="AJ34">
            <v>23</v>
          </cell>
          <cell r="AK34" t="str">
            <v>OBLIGACIONES FINANCIERAS</v>
          </cell>
          <cell r="AL34">
            <v>0</v>
          </cell>
        </row>
        <row r="35">
          <cell r="AJ35">
            <v>24</v>
          </cell>
          <cell r="AK35" t="str">
            <v>CUENTAS POR PAGAR</v>
          </cell>
          <cell r="AL35">
            <v>918995184</v>
          </cell>
        </row>
        <row r="36">
          <cell r="AJ36">
            <v>2401</v>
          </cell>
          <cell r="AK36" t="str">
            <v>ADQUISICION DE BIENES Y SERVICIOS  NACIONALES</v>
          </cell>
          <cell r="AL36">
            <v>305478347</v>
          </cell>
        </row>
        <row r="37">
          <cell r="AJ37">
            <v>2406</v>
          </cell>
          <cell r="AK37" t="str">
            <v>ADQUISICION DE BIENES Y SERVICIOS  DEL EXTERIOR</v>
          </cell>
          <cell r="AL37">
            <v>0</v>
          </cell>
        </row>
        <row r="38">
          <cell r="AJ38">
            <v>2425</v>
          </cell>
          <cell r="AK38" t="str">
            <v>ACREEDORES</v>
          </cell>
          <cell r="AL38">
            <v>376442364</v>
          </cell>
        </row>
        <row r="39">
          <cell r="AJ39">
            <v>242502</v>
          </cell>
          <cell r="AK39" t="str">
            <v>Suscripciones de acciones o participaciones</v>
          </cell>
          <cell r="AL39">
            <v>0</v>
          </cell>
        </row>
        <row r="40">
          <cell r="AJ40">
            <v>242503</v>
          </cell>
          <cell r="AK40" t="str">
            <v>Dividendos y participaciones</v>
          </cell>
          <cell r="AL40">
            <v>0</v>
          </cell>
        </row>
        <row r="41">
          <cell r="AJ41">
            <v>242504</v>
          </cell>
          <cell r="AK41" t="str">
            <v>Servicios Públicos</v>
          </cell>
          <cell r="AL41">
            <v>2329465</v>
          </cell>
        </row>
        <row r="42">
          <cell r="AJ42">
            <v>242505</v>
          </cell>
          <cell r="AK42" t="str">
            <v>Transportes y Acarreos</v>
          </cell>
          <cell r="AL42">
            <v>0</v>
          </cell>
        </row>
        <row r="43">
          <cell r="AJ43">
            <v>242506</v>
          </cell>
          <cell r="AK43" t="str">
            <v xml:space="preserve">Suscripciones  </v>
          </cell>
          <cell r="AL43">
            <v>0</v>
          </cell>
        </row>
        <row r="44">
          <cell r="AJ44">
            <v>242507</v>
          </cell>
          <cell r="AK44" t="str">
            <v>Arrendamientos</v>
          </cell>
          <cell r="AL44">
            <v>0</v>
          </cell>
        </row>
        <row r="45">
          <cell r="AJ45">
            <v>242508</v>
          </cell>
          <cell r="AK45" t="str">
            <v>Viaticos y Gastos de Viaje</v>
          </cell>
          <cell r="AL45">
            <v>5909640</v>
          </cell>
        </row>
        <row r="46">
          <cell r="AJ46">
            <v>242510</v>
          </cell>
          <cell r="AK46" t="str">
            <v>Seguros</v>
          </cell>
          <cell r="AL46">
            <v>47681169</v>
          </cell>
        </row>
        <row r="47">
          <cell r="AJ47">
            <v>242518</v>
          </cell>
          <cell r="AK47" t="str">
            <v>Aportes a Fondos Pensionales</v>
          </cell>
          <cell r="AL47">
            <v>1447166</v>
          </cell>
        </row>
        <row r="48">
          <cell r="AJ48">
            <v>242519</v>
          </cell>
          <cell r="AK48" t="str">
            <v>Aportes a Seguridad Social</v>
          </cell>
          <cell r="AL48">
            <v>1391284</v>
          </cell>
        </row>
        <row r="49">
          <cell r="AJ49">
            <v>242520</v>
          </cell>
          <cell r="AK49" t="str">
            <v>Aportes al ICBF, SENA, CAJAS COMPENSACION</v>
          </cell>
          <cell r="AL49">
            <v>0</v>
          </cell>
        </row>
        <row r="50">
          <cell r="AJ50">
            <v>242521</v>
          </cell>
          <cell r="AK50" t="str">
            <v>Sindicatos</v>
          </cell>
          <cell r="AL50">
            <v>45810</v>
          </cell>
        </row>
        <row r="51">
          <cell r="AJ51">
            <v>242522</v>
          </cell>
          <cell r="AK51" t="str">
            <v>Cooperativas</v>
          </cell>
          <cell r="AL51">
            <v>0</v>
          </cell>
        </row>
        <row r="52">
          <cell r="AJ52">
            <v>242523</v>
          </cell>
          <cell r="AK52" t="str">
            <v>Fondos de Empleados</v>
          </cell>
          <cell r="AL52">
            <v>8505498</v>
          </cell>
        </row>
        <row r="53">
          <cell r="AJ53">
            <v>242524</v>
          </cell>
          <cell r="AK53" t="str">
            <v>Embargos Judiciales</v>
          </cell>
          <cell r="AL53">
            <v>730912</v>
          </cell>
        </row>
        <row r="54">
          <cell r="AJ54">
            <v>242526</v>
          </cell>
          <cell r="AK54" t="str">
            <v>Fondos mutuos</v>
          </cell>
          <cell r="AL54">
            <v>0</v>
          </cell>
        </row>
        <row r="55">
          <cell r="AJ55">
            <v>242529</v>
          </cell>
          <cell r="AK55" t="str">
            <v>Cheques no Cobrado o Pendientes Reclamar</v>
          </cell>
          <cell r="AL55">
            <v>0</v>
          </cell>
        </row>
        <row r="56">
          <cell r="AJ56">
            <v>242532</v>
          </cell>
          <cell r="AK56" t="str">
            <v>Aportes Riesgos Profesionales</v>
          </cell>
          <cell r="AL56">
            <v>0</v>
          </cell>
        </row>
        <row r="57">
          <cell r="AJ57">
            <v>242533</v>
          </cell>
          <cell r="AK57" t="str">
            <v>Fondo de solidaridad y garantia en Salud</v>
          </cell>
          <cell r="AL57">
            <v>0</v>
          </cell>
        </row>
        <row r="58">
          <cell r="AJ58">
            <v>242551</v>
          </cell>
          <cell r="AK58" t="str">
            <v xml:space="preserve">Comisiones  </v>
          </cell>
          <cell r="AL58">
            <v>0</v>
          </cell>
        </row>
        <row r="59">
          <cell r="AJ59">
            <v>242552</v>
          </cell>
          <cell r="AK59" t="str">
            <v>Honorarios</v>
          </cell>
          <cell r="AL59">
            <v>90280456</v>
          </cell>
        </row>
        <row r="60">
          <cell r="AJ60">
            <v>242553</v>
          </cell>
          <cell r="AK60" t="str">
            <v>Servicios</v>
          </cell>
          <cell r="AL60">
            <v>218120964</v>
          </cell>
        </row>
        <row r="61">
          <cell r="AJ61">
            <v>242590</v>
          </cell>
          <cell r="AK61" t="str">
            <v>Otros Acreedores</v>
          </cell>
          <cell r="AL61">
            <v>0</v>
          </cell>
        </row>
        <row r="62">
          <cell r="AJ62">
            <v>2430</v>
          </cell>
          <cell r="AK62" t="str">
            <v>SUBSIDIOS ASIGNADOS</v>
          </cell>
          <cell r="AL62">
            <v>0</v>
          </cell>
        </row>
        <row r="63">
          <cell r="AJ63">
            <v>2436</v>
          </cell>
          <cell r="AK63" t="str">
            <v>RETENCION EN LA FUENTE E IMPUESTO TIMBRE</v>
          </cell>
          <cell r="AL63">
            <v>13299568</v>
          </cell>
        </row>
        <row r="64">
          <cell r="AJ64">
            <v>2440</v>
          </cell>
          <cell r="AK64" t="str">
            <v>IMPUESTOS, CONTRIBUCIONES Y TASAS POR PAGAR</v>
          </cell>
          <cell r="AL64">
            <v>64703168</v>
          </cell>
        </row>
        <row r="65">
          <cell r="AJ65">
            <v>2445</v>
          </cell>
          <cell r="AK65" t="str">
            <v>IMPUESTO AL VALOR AGREGADO - IVA</v>
          </cell>
          <cell r="AL65">
            <v>0</v>
          </cell>
        </row>
        <row r="66">
          <cell r="AJ66">
            <v>2450</v>
          </cell>
          <cell r="AK66" t="str">
            <v>AVANCES Y ANTICIPOS RECIBIDOS</v>
          </cell>
          <cell r="AL66">
            <v>159071737</v>
          </cell>
        </row>
        <row r="67">
          <cell r="AJ67">
            <v>245001</v>
          </cell>
          <cell r="AK67" t="str">
            <v>Anticipos Sobre Ventas</v>
          </cell>
          <cell r="AL67">
            <v>159071737</v>
          </cell>
        </row>
        <row r="68">
          <cell r="AJ68">
            <v>245002</v>
          </cell>
          <cell r="AK68" t="str">
            <v>Anticipos sobre Proyectos Especificos</v>
          </cell>
          <cell r="AL68">
            <v>0</v>
          </cell>
        </row>
        <row r="69">
          <cell r="AJ69">
            <v>245003</v>
          </cell>
          <cell r="AK69" t="str">
            <v>Anticipos Sobre Convenios y Acuerdos</v>
          </cell>
          <cell r="AL69">
            <v>0</v>
          </cell>
        </row>
        <row r="70">
          <cell r="AJ70">
            <v>245090</v>
          </cell>
          <cell r="AK70" t="str">
            <v>Otros Avances y Anticipos</v>
          </cell>
          <cell r="AL70">
            <v>0</v>
          </cell>
        </row>
        <row r="71">
          <cell r="AJ71">
            <v>2455</v>
          </cell>
          <cell r="AK71" t="str">
            <v>DEPOSITOS RECIBIDOS EN GARANTIA</v>
          </cell>
          <cell r="AL71">
            <v>0</v>
          </cell>
        </row>
        <row r="72">
          <cell r="AJ72">
            <v>2460</v>
          </cell>
          <cell r="AK72" t="str">
            <v>CREDITOS JUDICIALES</v>
          </cell>
          <cell r="AL72">
            <v>0</v>
          </cell>
        </row>
        <row r="73">
          <cell r="AJ73">
            <v>2490</v>
          </cell>
          <cell r="AK73" t="str">
            <v>OTRAS CUENTAS POR PAGAR</v>
          </cell>
          <cell r="AL73">
            <v>0</v>
          </cell>
        </row>
        <row r="74">
          <cell r="AJ74">
            <v>249004</v>
          </cell>
          <cell r="AK74" t="str">
            <v>Cuotas Partes Pensionales</v>
          </cell>
          <cell r="AL74">
            <v>0</v>
          </cell>
        </row>
        <row r="75">
          <cell r="AJ75">
            <v>25</v>
          </cell>
          <cell r="AK75" t="str">
            <v>OBLIGACIONES LABORALES Y DE SEGURIDAD SOCIAL</v>
          </cell>
          <cell r="AL75">
            <v>49550047</v>
          </cell>
        </row>
        <row r="76">
          <cell r="AJ76">
            <v>250501</v>
          </cell>
          <cell r="AK76" t="str">
            <v>NOMINAS POR PAGAR</v>
          </cell>
          <cell r="AL76">
            <v>0</v>
          </cell>
        </row>
        <row r="77">
          <cell r="AJ77">
            <v>0</v>
          </cell>
          <cell r="AK77" t="str">
            <v>PRESTACIONES SOCIALES</v>
          </cell>
          <cell r="AL77">
            <v>46959121</v>
          </cell>
        </row>
        <row r="78">
          <cell r="AJ78">
            <v>250502</v>
          </cell>
          <cell r="AK78" t="str">
            <v>Cesantías por Pagar</v>
          </cell>
          <cell r="AL78">
            <v>46078803</v>
          </cell>
        </row>
        <row r="79">
          <cell r="AJ79">
            <v>250503</v>
          </cell>
          <cell r="AK79" t="str">
            <v>Intereses Sobre las Cesantias</v>
          </cell>
          <cell r="AL79">
            <v>0</v>
          </cell>
        </row>
        <row r="80">
          <cell r="AJ80">
            <v>250504</v>
          </cell>
          <cell r="AK80" t="str">
            <v>Vacaciones</v>
          </cell>
          <cell r="AL80">
            <v>0</v>
          </cell>
        </row>
        <row r="81">
          <cell r="AJ81">
            <v>250505</v>
          </cell>
          <cell r="AK81" t="str">
            <v>Prima de Vacaciones</v>
          </cell>
          <cell r="AL81">
            <v>880318</v>
          </cell>
        </row>
        <row r="82">
          <cell r="AJ82">
            <v>250506</v>
          </cell>
          <cell r="AK82" t="str">
            <v>Prima de Servicios</v>
          </cell>
          <cell r="AL82">
            <v>0</v>
          </cell>
        </row>
        <row r="83">
          <cell r="AJ83">
            <v>250507</v>
          </cell>
          <cell r="AK83" t="str">
            <v>Prima de Navidad</v>
          </cell>
          <cell r="AL83">
            <v>0</v>
          </cell>
        </row>
        <row r="84">
          <cell r="AJ84" t="str">
            <v>2505…..</v>
          </cell>
          <cell r="AK84" t="str">
            <v>Otros Salarios y Prestaciones Sociales</v>
          </cell>
          <cell r="AL84">
            <v>0</v>
          </cell>
        </row>
        <row r="85">
          <cell r="AJ85">
            <v>2510</v>
          </cell>
          <cell r="AK85" t="str">
            <v>PENSIONES  Y PRESTACIONES ECONOMICAS POR PAGAR</v>
          </cell>
          <cell r="AL85">
            <v>2590926</v>
          </cell>
        </row>
        <row r="86">
          <cell r="AJ86">
            <v>27</v>
          </cell>
          <cell r="AK86" t="str">
            <v>PASIVOS ESTIMADOS</v>
          </cell>
          <cell r="AL86">
            <v>57282777</v>
          </cell>
        </row>
        <row r="87">
          <cell r="AJ87">
            <v>2710</v>
          </cell>
          <cell r="AK87" t="str">
            <v>PROVISION PARA CONTINGENCIAS</v>
          </cell>
          <cell r="AL87">
            <v>0</v>
          </cell>
        </row>
        <row r="88">
          <cell r="AJ88">
            <v>2715</v>
          </cell>
          <cell r="AK88" t="str">
            <v>PROVISION PARA PRESTACIONES SOCIALES</v>
          </cell>
          <cell r="AL88">
            <v>57282777</v>
          </cell>
        </row>
        <row r="89">
          <cell r="AJ89">
            <v>271501</v>
          </cell>
          <cell r="AK89" t="str">
            <v xml:space="preserve">Cesantías  </v>
          </cell>
          <cell r="AL89">
            <v>23356167</v>
          </cell>
        </row>
        <row r="90">
          <cell r="AJ90">
            <v>271502</v>
          </cell>
          <cell r="AK90" t="str">
            <v>Intereses Sobre las Cesantias</v>
          </cell>
          <cell r="AL90">
            <v>4388399</v>
          </cell>
        </row>
        <row r="91">
          <cell r="AJ91">
            <v>271503</v>
          </cell>
          <cell r="AK91" t="str">
            <v>Vacaciones</v>
          </cell>
          <cell r="AL91">
            <v>8863219</v>
          </cell>
        </row>
        <row r="92">
          <cell r="AJ92">
            <v>271504</v>
          </cell>
          <cell r="AK92" t="str">
            <v>Prima de Servicios</v>
          </cell>
          <cell r="AL92">
            <v>0</v>
          </cell>
        </row>
        <row r="93">
          <cell r="AJ93">
            <v>271505</v>
          </cell>
          <cell r="AK93" t="str">
            <v>Primas Extralegales</v>
          </cell>
          <cell r="AL93">
            <v>0</v>
          </cell>
        </row>
        <row r="94">
          <cell r="AJ94">
            <v>271506</v>
          </cell>
          <cell r="AK94" t="str">
            <v>Prima de Vacaciones</v>
          </cell>
          <cell r="AL94">
            <v>7410761</v>
          </cell>
        </row>
        <row r="95">
          <cell r="AJ95">
            <v>271509</v>
          </cell>
          <cell r="AK95" t="str">
            <v>Prima de Navidad</v>
          </cell>
          <cell r="AL95">
            <v>13264231</v>
          </cell>
        </row>
        <row r="96">
          <cell r="AJ96" t="str">
            <v>2715….</v>
          </cell>
          <cell r="AK96" t="str">
            <v>Otras Provisiones para Prestaciones Sociales</v>
          </cell>
          <cell r="AL96">
            <v>0</v>
          </cell>
        </row>
        <row r="97">
          <cell r="AJ97">
            <v>2720</v>
          </cell>
          <cell r="AK97" t="str">
            <v>PROVISION PARA PENSIONES</v>
          </cell>
          <cell r="AL97">
            <v>0</v>
          </cell>
        </row>
        <row r="98">
          <cell r="AJ98">
            <v>2721</v>
          </cell>
          <cell r="AK98" t="str">
            <v>PROVISION PARA BONOS PENSIONALES</v>
          </cell>
          <cell r="AL98">
            <v>0</v>
          </cell>
        </row>
        <row r="99">
          <cell r="AJ99">
            <v>2722</v>
          </cell>
          <cell r="AK99" t="str">
            <v>PASIVO PENSIONAL CONMUTADO</v>
          </cell>
          <cell r="AL99">
            <v>0</v>
          </cell>
        </row>
        <row r="100">
          <cell r="AJ100">
            <v>2725</v>
          </cell>
          <cell r="AK100" t="str">
            <v>PROVISION PARA SEGUROS Y REASEGUROS</v>
          </cell>
          <cell r="AL100">
            <v>0</v>
          </cell>
        </row>
        <row r="101">
          <cell r="AJ101">
            <v>2730</v>
          </cell>
          <cell r="AK101" t="str">
            <v>PROVISION FONDOS DE GARANTIAS</v>
          </cell>
          <cell r="AL101">
            <v>0</v>
          </cell>
        </row>
        <row r="102">
          <cell r="AJ102">
            <v>2790</v>
          </cell>
          <cell r="AK102" t="str">
            <v>PROVISIONES DIVERSAS</v>
          </cell>
          <cell r="AL102">
            <v>0</v>
          </cell>
        </row>
        <row r="103">
          <cell r="AJ103">
            <v>29</v>
          </cell>
          <cell r="AK103" t="str">
            <v>OTROS PASIVOS</v>
          </cell>
          <cell r="AL103">
            <v>12888418</v>
          </cell>
        </row>
        <row r="104">
          <cell r="AJ104">
            <v>2905</v>
          </cell>
          <cell r="AK104" t="str">
            <v>RECAUDOS A FAVOR DE TERCEROS</v>
          </cell>
          <cell r="AL104">
            <v>0</v>
          </cell>
        </row>
        <row r="105">
          <cell r="AJ105">
            <v>290590</v>
          </cell>
          <cell r="AK105" t="str">
            <v>OTROS RECAUDOS A FAVOR DE TERCEROS (Consignaciones sin identificar)</v>
          </cell>
          <cell r="AL105">
            <v>12888418</v>
          </cell>
        </row>
        <row r="106">
          <cell r="AJ106">
            <v>2910</v>
          </cell>
          <cell r="AK106" t="str">
            <v>INGRESOS RECIBIDOS POR ANTICIPADO</v>
          </cell>
          <cell r="AL106">
            <v>0</v>
          </cell>
        </row>
        <row r="107">
          <cell r="AJ107">
            <v>3</v>
          </cell>
          <cell r="AK107" t="str">
            <v>TOTAL PATRIMONIO</v>
          </cell>
          <cell r="AL107">
            <v>2282449574</v>
          </cell>
        </row>
        <row r="108">
          <cell r="AJ108">
            <v>32</v>
          </cell>
          <cell r="AK108" t="str">
            <v xml:space="preserve">   PATRIMONIO INSTITUCIONAL</v>
          </cell>
          <cell r="AL108">
            <v>2282449574</v>
          </cell>
        </row>
        <row r="109">
          <cell r="AJ109">
            <v>0</v>
          </cell>
          <cell r="AK109" t="str">
            <v>TOTAL PASIVO Y PATRIMONIO</v>
          </cell>
          <cell r="AL109">
            <v>3384320891</v>
          </cell>
        </row>
        <row r="110">
          <cell r="AJ110">
            <v>0</v>
          </cell>
          <cell r="AK110">
            <v>0</v>
          </cell>
          <cell r="AL110">
            <v>0</v>
          </cell>
        </row>
        <row r="111">
          <cell r="AJ111">
            <v>0</v>
          </cell>
          <cell r="AK111">
            <v>0</v>
          </cell>
          <cell r="AL111">
            <v>0</v>
          </cell>
        </row>
        <row r="112">
          <cell r="AJ112">
            <v>0</v>
          </cell>
          <cell r="AK112">
            <v>0</v>
          </cell>
          <cell r="AL112">
            <v>0</v>
          </cell>
        </row>
        <row r="113">
          <cell r="AJ113">
            <v>0</v>
          </cell>
          <cell r="AK113">
            <v>0</v>
          </cell>
          <cell r="AL113">
            <v>0</v>
          </cell>
        </row>
        <row r="114">
          <cell r="AJ114">
            <v>0</v>
          </cell>
          <cell r="AK114">
            <v>0</v>
          </cell>
          <cell r="AL114">
            <v>0</v>
          </cell>
        </row>
        <row r="115">
          <cell r="AJ115">
            <v>0</v>
          </cell>
          <cell r="AK115">
            <v>0</v>
          </cell>
          <cell r="AL115">
            <v>0</v>
          </cell>
        </row>
        <row r="116">
          <cell r="AJ116">
            <v>0</v>
          </cell>
          <cell r="AK116">
            <v>0</v>
          </cell>
          <cell r="AL116">
            <v>0</v>
          </cell>
        </row>
        <row r="117">
          <cell r="AJ117">
            <v>0</v>
          </cell>
          <cell r="AK117">
            <v>0</v>
          </cell>
          <cell r="AL117">
            <v>0</v>
          </cell>
        </row>
        <row r="118">
          <cell r="AJ118">
            <v>0</v>
          </cell>
          <cell r="AK118">
            <v>0</v>
          </cell>
          <cell r="AL118">
            <v>0</v>
          </cell>
        </row>
        <row r="119">
          <cell r="AJ119">
            <v>0</v>
          </cell>
          <cell r="AK119">
            <v>0</v>
          </cell>
          <cell r="AL119">
            <v>0</v>
          </cell>
        </row>
        <row r="120">
          <cell r="AJ120">
            <v>0</v>
          </cell>
          <cell r="AK120">
            <v>0</v>
          </cell>
          <cell r="AL120">
            <v>0</v>
          </cell>
        </row>
        <row r="121">
          <cell r="AJ121">
            <v>0</v>
          </cell>
          <cell r="AK121">
            <v>0</v>
          </cell>
          <cell r="AL121">
            <v>0</v>
          </cell>
        </row>
        <row r="122">
          <cell r="AJ122">
            <v>0</v>
          </cell>
          <cell r="AK122">
            <v>0</v>
          </cell>
          <cell r="AL122">
            <v>0</v>
          </cell>
        </row>
        <row r="123">
          <cell r="AJ123">
            <v>0</v>
          </cell>
          <cell r="AK123">
            <v>0</v>
          </cell>
          <cell r="AL123">
            <v>0</v>
          </cell>
        </row>
        <row r="124">
          <cell r="AJ124">
            <v>0</v>
          </cell>
          <cell r="AK124">
            <v>0</v>
          </cell>
          <cell r="AL124">
            <v>0</v>
          </cell>
        </row>
        <row r="125">
          <cell r="AJ125">
            <v>0</v>
          </cell>
          <cell r="AK125">
            <v>0</v>
          </cell>
          <cell r="AL125">
            <v>0</v>
          </cell>
        </row>
        <row r="126">
          <cell r="AJ126">
            <v>0</v>
          </cell>
          <cell r="AK126">
            <v>0</v>
          </cell>
          <cell r="AL126">
            <v>0</v>
          </cell>
        </row>
        <row r="127">
          <cell r="AJ127">
            <v>0</v>
          </cell>
          <cell r="AK127">
            <v>0</v>
          </cell>
          <cell r="AL127">
            <v>0</v>
          </cell>
        </row>
        <row r="128">
          <cell r="AJ128">
            <v>0</v>
          </cell>
          <cell r="AK128">
            <v>0</v>
          </cell>
          <cell r="AL128">
            <v>0</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ARTERA Y ECUACION CONTABLE"/>
      <sheetName val="CXP"/>
      <sheetName val="INGRESOS"/>
      <sheetName val="GASTOS"/>
      <sheetName val="DEFINITIVO Vs. COMPROMISOS"/>
      <sheetName val="DATOS PARA CONCILIAR"/>
      <sheetName val="VALIDACION BALANCES Vs CHIP"/>
    </sheetNames>
    <sheetDataSet>
      <sheetData sheetId="0"/>
      <sheetData sheetId="1"/>
      <sheetData sheetId="2">
        <row r="1">
          <cell r="AJ1">
            <v>1</v>
          </cell>
          <cell r="AK1" t="str">
            <v>TOTAL ACTIVO</v>
          </cell>
          <cell r="AL1">
            <v>6551475989</v>
          </cell>
        </row>
        <row r="2">
          <cell r="AJ2">
            <v>11</v>
          </cell>
          <cell r="AK2" t="str">
            <v>EFECTIVO</v>
          </cell>
          <cell r="AL2">
            <v>67078428</v>
          </cell>
        </row>
        <row r="3">
          <cell r="AJ3">
            <v>0</v>
          </cell>
          <cell r="AK3">
            <v>0</v>
          </cell>
          <cell r="AL3">
            <v>0</v>
          </cell>
        </row>
        <row r="4">
          <cell r="AJ4">
            <v>1105</v>
          </cell>
          <cell r="AK4" t="str">
            <v>CAJA</v>
          </cell>
          <cell r="AL4">
            <v>9391294</v>
          </cell>
        </row>
        <row r="5">
          <cell r="AJ5">
            <v>110501</v>
          </cell>
          <cell r="AK5" t="str">
            <v>Caja Principal</v>
          </cell>
          <cell r="AL5">
            <v>7691294</v>
          </cell>
        </row>
        <row r="6">
          <cell r="AJ6">
            <v>110502</v>
          </cell>
          <cell r="AK6" t="str">
            <v>Cajas Menores</v>
          </cell>
          <cell r="AL6">
            <v>1700000</v>
          </cell>
        </row>
        <row r="7">
          <cell r="AJ7">
            <v>1110</v>
          </cell>
          <cell r="AK7" t="str">
            <v>BANCOS Y CORPORACIONES</v>
          </cell>
          <cell r="AL7">
            <v>57687134</v>
          </cell>
        </row>
        <row r="8">
          <cell r="AJ8" t="str">
            <v>111005-111090</v>
          </cell>
          <cell r="AK8" t="str">
            <v>Cuenta Corriente Bancaria</v>
          </cell>
          <cell r="AL8">
            <v>54191030</v>
          </cell>
        </row>
        <row r="9">
          <cell r="AJ9">
            <v>111006</v>
          </cell>
          <cell r="AK9" t="str">
            <v>Cuenta de Ahorro</v>
          </cell>
          <cell r="AL9">
            <v>3496104</v>
          </cell>
        </row>
        <row r="10">
          <cell r="AJ10">
            <v>1112</v>
          </cell>
          <cell r="AK10" t="str">
            <v>ADMINISTRACIÓN DE LIQUIDEZ</v>
          </cell>
          <cell r="AL10">
            <v>0</v>
          </cell>
        </row>
        <row r="11">
          <cell r="AJ11">
            <v>1120</v>
          </cell>
          <cell r="AK11" t="str">
            <v>FONDOS EN TRANSITO</v>
          </cell>
          <cell r="AL11">
            <v>0</v>
          </cell>
        </row>
        <row r="12">
          <cell r="AJ12">
            <v>12</v>
          </cell>
          <cell r="AK12" t="str">
            <v>INVERSIONES</v>
          </cell>
          <cell r="AL12">
            <v>13398434</v>
          </cell>
        </row>
        <row r="13">
          <cell r="AJ13" t="str">
            <v>1201-1202-120203</v>
          </cell>
          <cell r="AK13" t="str">
            <v>INVERS ADMINISTRACIÓN DE LIQUIDEZ EN TÍTULOS DE DEUDAY TITULOS PARTICIPATIVOS</v>
          </cell>
          <cell r="AL13">
            <v>1575900</v>
          </cell>
        </row>
        <row r="14">
          <cell r="AJ14">
            <v>1207</v>
          </cell>
          <cell r="AK14" t="str">
            <v>INVERSIONES PATRIMONIALES EN ENTIDADES NO CONTROLADAS</v>
          </cell>
          <cell r="AL14">
            <v>11822534</v>
          </cell>
        </row>
        <row r="15">
          <cell r="AJ15">
            <v>13</v>
          </cell>
          <cell r="AK15" t="str">
            <v>RENTAS POR COBRAR</v>
          </cell>
          <cell r="AL15">
            <v>0</v>
          </cell>
        </row>
        <row r="16">
          <cell r="AJ16">
            <v>14</v>
          </cell>
          <cell r="AK16" t="str">
            <v>DEUDORES</v>
          </cell>
          <cell r="AL16">
            <v>947920026</v>
          </cell>
        </row>
        <row r="17">
          <cell r="AJ17">
            <v>1409</v>
          </cell>
          <cell r="AK17" t="str">
            <v>SERVICIOS DE SALUD</v>
          </cell>
          <cell r="AL17">
            <v>880736048</v>
          </cell>
        </row>
        <row r="18">
          <cell r="AJ18">
            <v>1420</v>
          </cell>
          <cell r="AK18" t="str">
            <v>AVANCES Y ANTICIPOS ENTREGADOS</v>
          </cell>
          <cell r="AL18">
            <v>0</v>
          </cell>
        </row>
        <row r="19">
          <cell r="AJ19">
            <v>1470</v>
          </cell>
          <cell r="AK19" t="str">
            <v>OTROS DEUDORES</v>
          </cell>
          <cell r="AL19">
            <v>91738698</v>
          </cell>
        </row>
        <row r="20">
          <cell r="AJ20">
            <v>1475</v>
          </cell>
          <cell r="AK20" t="str">
            <v>DEUDAS DE DIFICIL COBRO</v>
          </cell>
          <cell r="AL20">
            <v>189374731</v>
          </cell>
        </row>
        <row r="21">
          <cell r="AJ21">
            <v>148014</v>
          </cell>
          <cell r="AK21" t="str">
            <v>Provision para deudores (Servicios de Salud) digite el valor con signo positivo</v>
          </cell>
          <cell r="AL21">
            <v>213929451</v>
          </cell>
        </row>
        <row r="22">
          <cell r="AJ22">
            <v>15</v>
          </cell>
          <cell r="AK22" t="str">
            <v>INVENTARIOS</v>
          </cell>
          <cell r="AL22">
            <v>121798638</v>
          </cell>
        </row>
        <row r="23">
          <cell r="AJ23">
            <v>16</v>
          </cell>
          <cell r="AK23" t="str">
            <v xml:space="preserve">PROPIEDAD, PLANTA Y EQUIPO  </v>
          </cell>
          <cell r="AL23">
            <v>1342589754</v>
          </cell>
        </row>
        <row r="24">
          <cell r="AJ24">
            <v>19</v>
          </cell>
          <cell r="AK24" t="str">
            <v>OTROS ACTIVOS</v>
          </cell>
          <cell r="AL24">
            <v>4058690709</v>
          </cell>
        </row>
        <row r="25">
          <cell r="AJ25">
            <v>1905</v>
          </cell>
          <cell r="AK25" t="str">
            <v>BIENES Y SERVICIOS PAGADOS POR ANTICIPADO</v>
          </cell>
          <cell r="AL25">
            <v>1392489064</v>
          </cell>
        </row>
        <row r="26">
          <cell r="AJ26">
            <v>1910</v>
          </cell>
          <cell r="AK26" t="str">
            <v>CARGOS DIFERIDOS</v>
          </cell>
          <cell r="AL26">
            <v>11540754</v>
          </cell>
        </row>
        <row r="27">
          <cell r="AJ27">
            <v>1960</v>
          </cell>
          <cell r="AK27" t="str">
            <v>BIENES DE ARTE Y CULTURA</v>
          </cell>
          <cell r="AL27">
            <v>2949555</v>
          </cell>
        </row>
        <row r="28">
          <cell r="AJ28">
            <v>1970</v>
          </cell>
          <cell r="AK28" t="str">
            <v>INTANGIBLES</v>
          </cell>
          <cell r="AL28">
            <v>61358869</v>
          </cell>
        </row>
        <row r="29">
          <cell r="AJ29">
            <v>1975</v>
          </cell>
          <cell r="AK29" t="str">
            <v>AMORTIZACION INTANGIBLES</v>
          </cell>
          <cell r="AL29">
            <v>-61358869</v>
          </cell>
        </row>
        <row r="30">
          <cell r="AJ30" t="str">
            <v>19…</v>
          </cell>
          <cell r="AK30" t="str">
            <v>RESPONSABILIDADES - SOLO POR GLOSAS</v>
          </cell>
          <cell r="AL30">
            <v>0</v>
          </cell>
        </row>
        <row r="31">
          <cell r="AJ31" t="str">
            <v>1999….</v>
          </cell>
          <cell r="AK31" t="str">
            <v>VALORIZACIONES Y ( OTROS ACTIVOS DIFERENTES A LOS ANTERIORES DEL GRUPO 19)</v>
          </cell>
          <cell r="AL31">
            <v>2651711336</v>
          </cell>
        </row>
        <row r="32">
          <cell r="AJ32">
            <v>2</v>
          </cell>
          <cell r="AK32" t="str">
            <v>TOTAL PASIVO</v>
          </cell>
          <cell r="AL32">
            <v>1267721500</v>
          </cell>
        </row>
        <row r="33">
          <cell r="AJ33">
            <v>22</v>
          </cell>
          <cell r="AK33" t="str">
            <v>OPERACIONES DE CREDITO PUBLICO</v>
          </cell>
          <cell r="AL33">
            <v>0</v>
          </cell>
        </row>
        <row r="34">
          <cell r="AJ34">
            <v>23</v>
          </cell>
          <cell r="AK34" t="str">
            <v>OBLIGACIONES FINANCIERAS</v>
          </cell>
          <cell r="AL34">
            <v>0</v>
          </cell>
        </row>
        <row r="35">
          <cell r="AJ35">
            <v>24</v>
          </cell>
          <cell r="AK35" t="str">
            <v>CUENTAS POR PAGAR</v>
          </cell>
          <cell r="AL35">
            <v>575753364</v>
          </cell>
        </row>
        <row r="36">
          <cell r="AJ36">
            <v>2401</v>
          </cell>
          <cell r="AK36" t="str">
            <v>ADQUISICION DE BIENES Y SERVICIOS  NACIONALES</v>
          </cell>
          <cell r="AL36">
            <v>326909245</v>
          </cell>
        </row>
        <row r="37">
          <cell r="AJ37">
            <v>2406</v>
          </cell>
          <cell r="AK37" t="str">
            <v>ADQUISICION DE BIENES Y SERVICIOS  DEL EXTERIOR</v>
          </cell>
          <cell r="AL37">
            <v>0</v>
          </cell>
        </row>
        <row r="38">
          <cell r="AJ38">
            <v>2425</v>
          </cell>
          <cell r="AK38" t="str">
            <v>ACREEDORES</v>
          </cell>
          <cell r="AL38">
            <v>191352989</v>
          </cell>
        </row>
        <row r="39">
          <cell r="AJ39">
            <v>242502</v>
          </cell>
          <cell r="AK39" t="str">
            <v>Suscripciones de acciones o participaciones</v>
          </cell>
          <cell r="AL39">
            <v>0</v>
          </cell>
        </row>
        <row r="40">
          <cell r="AJ40">
            <v>242503</v>
          </cell>
          <cell r="AK40" t="str">
            <v>Dividendos y participaciones</v>
          </cell>
          <cell r="AL40">
            <v>0</v>
          </cell>
        </row>
        <row r="41">
          <cell r="AJ41">
            <v>242504</v>
          </cell>
          <cell r="AK41" t="str">
            <v>Servicios Públicos</v>
          </cell>
          <cell r="AL41">
            <v>0</v>
          </cell>
        </row>
        <row r="42">
          <cell r="AJ42">
            <v>242505</v>
          </cell>
          <cell r="AK42" t="str">
            <v>Transportes y Acarreos</v>
          </cell>
          <cell r="AL42">
            <v>0</v>
          </cell>
        </row>
        <row r="43">
          <cell r="AJ43">
            <v>242506</v>
          </cell>
          <cell r="AK43" t="str">
            <v xml:space="preserve">Suscripciones  </v>
          </cell>
          <cell r="AL43">
            <v>0</v>
          </cell>
        </row>
        <row r="44">
          <cell r="AJ44">
            <v>242507</v>
          </cell>
          <cell r="AK44" t="str">
            <v>Arrendamientos</v>
          </cell>
          <cell r="AL44">
            <v>0</v>
          </cell>
        </row>
        <row r="45">
          <cell r="AJ45">
            <v>242508</v>
          </cell>
          <cell r="AK45" t="str">
            <v>Viaticos y Gastos de Viaje</v>
          </cell>
          <cell r="AL45">
            <v>0</v>
          </cell>
        </row>
        <row r="46">
          <cell r="AJ46">
            <v>242510</v>
          </cell>
          <cell r="AK46" t="str">
            <v>Seguros</v>
          </cell>
          <cell r="AL46">
            <v>3769502</v>
          </cell>
        </row>
        <row r="47">
          <cell r="AJ47">
            <v>242518</v>
          </cell>
          <cell r="AK47" t="str">
            <v>Aportes a Fondos Pensionales</v>
          </cell>
          <cell r="AL47">
            <v>3475477</v>
          </cell>
        </row>
        <row r="48">
          <cell r="AJ48">
            <v>242519</v>
          </cell>
          <cell r="AK48" t="str">
            <v>Aportes a Seguridad Social</v>
          </cell>
          <cell r="AL48">
            <v>3479809</v>
          </cell>
        </row>
        <row r="49">
          <cell r="AJ49">
            <v>242520</v>
          </cell>
          <cell r="AK49" t="str">
            <v>Aportes al ICBF, SENA, CAJAS COMPENSACION</v>
          </cell>
          <cell r="AL49">
            <v>7653384</v>
          </cell>
        </row>
        <row r="50">
          <cell r="AJ50">
            <v>242521</v>
          </cell>
          <cell r="AK50" t="str">
            <v>Sindicatos</v>
          </cell>
          <cell r="AL50">
            <v>0</v>
          </cell>
        </row>
        <row r="51">
          <cell r="AJ51">
            <v>242522</v>
          </cell>
          <cell r="AK51" t="str">
            <v>Cooperativas</v>
          </cell>
          <cell r="AL51">
            <v>1393655</v>
          </cell>
        </row>
        <row r="52">
          <cell r="AJ52">
            <v>242523</v>
          </cell>
          <cell r="AK52" t="str">
            <v>Fondos de Empleados</v>
          </cell>
          <cell r="AL52">
            <v>7091329</v>
          </cell>
        </row>
        <row r="53">
          <cell r="AJ53">
            <v>242524</v>
          </cell>
          <cell r="AK53" t="str">
            <v>Embargos Judiciales</v>
          </cell>
          <cell r="AL53">
            <v>132100</v>
          </cell>
        </row>
        <row r="54">
          <cell r="AJ54">
            <v>242526</v>
          </cell>
          <cell r="AK54" t="str">
            <v>Fondos mutuos</v>
          </cell>
          <cell r="AL54">
            <v>723587</v>
          </cell>
        </row>
        <row r="55">
          <cell r="AJ55">
            <v>242529</v>
          </cell>
          <cell r="AK55" t="str">
            <v>Cheques no Cobrado o Pendientes Reclamar</v>
          </cell>
          <cell r="AL55">
            <v>0</v>
          </cell>
        </row>
        <row r="56">
          <cell r="AJ56">
            <v>242532</v>
          </cell>
          <cell r="AK56" t="str">
            <v>Aportes Riesgos Profesionales</v>
          </cell>
          <cell r="AL56">
            <v>0</v>
          </cell>
        </row>
        <row r="57">
          <cell r="AJ57">
            <v>242533</v>
          </cell>
          <cell r="AK57" t="str">
            <v>Fondo de solidaridad y garantia en Salud</v>
          </cell>
          <cell r="AL57">
            <v>355700</v>
          </cell>
        </row>
        <row r="58">
          <cell r="AJ58">
            <v>242551</v>
          </cell>
          <cell r="AK58" t="str">
            <v xml:space="preserve">Comisiones  </v>
          </cell>
          <cell r="AL58">
            <v>0</v>
          </cell>
        </row>
        <row r="59">
          <cell r="AJ59">
            <v>242552</v>
          </cell>
          <cell r="AK59" t="str">
            <v>Honorarios</v>
          </cell>
          <cell r="AL59">
            <v>129684454</v>
          </cell>
        </row>
        <row r="60">
          <cell r="AJ60">
            <v>242553</v>
          </cell>
          <cell r="AK60" t="str">
            <v>Servicios</v>
          </cell>
          <cell r="AL60">
            <v>11137332</v>
          </cell>
        </row>
        <row r="61">
          <cell r="AJ61">
            <v>242590</v>
          </cell>
          <cell r="AK61" t="str">
            <v>Otros Acreedores</v>
          </cell>
          <cell r="AL61">
            <v>22456660</v>
          </cell>
        </row>
        <row r="62">
          <cell r="AJ62">
            <v>2430</v>
          </cell>
          <cell r="AK62" t="str">
            <v>SUBSIDIOS ASIGNADOS</v>
          </cell>
          <cell r="AL62">
            <v>0</v>
          </cell>
        </row>
        <row r="63">
          <cell r="AJ63">
            <v>2436</v>
          </cell>
          <cell r="AK63" t="str">
            <v>RETENCION EN LA FUENTE E IMPUESTO TIMBRE</v>
          </cell>
          <cell r="AL63">
            <v>3962058</v>
          </cell>
        </row>
        <row r="64">
          <cell r="AJ64">
            <v>2440</v>
          </cell>
          <cell r="AK64" t="str">
            <v>IMPUESTOS, CONTRIBUCIONES Y TASAS POR PAGAR</v>
          </cell>
          <cell r="AL64">
            <v>53529072</v>
          </cell>
        </row>
        <row r="65">
          <cell r="AJ65">
            <v>2445</v>
          </cell>
          <cell r="AK65" t="str">
            <v>IMPUESTO AL VALOR AGREGADO - IVA</v>
          </cell>
          <cell r="AL65">
            <v>0</v>
          </cell>
        </row>
        <row r="66">
          <cell r="AJ66">
            <v>2450</v>
          </cell>
          <cell r="AK66" t="str">
            <v>AVANCES Y ANTICIPOS RECIBIDOS</v>
          </cell>
          <cell r="AL66">
            <v>0</v>
          </cell>
        </row>
        <row r="67">
          <cell r="AJ67">
            <v>245001</v>
          </cell>
          <cell r="AK67" t="str">
            <v>Anticipos Sobre Ventas</v>
          </cell>
          <cell r="AL67">
            <v>0</v>
          </cell>
        </row>
        <row r="68">
          <cell r="AJ68">
            <v>245002</v>
          </cell>
          <cell r="AK68" t="str">
            <v>Anticipos sobre Proyectos Especificos</v>
          </cell>
          <cell r="AL68">
            <v>0</v>
          </cell>
        </row>
        <row r="69">
          <cell r="AJ69">
            <v>245003</v>
          </cell>
          <cell r="AK69" t="str">
            <v>Anticipos Sobre Convenios y Acuerdos</v>
          </cell>
          <cell r="AL69">
            <v>0</v>
          </cell>
        </row>
        <row r="70">
          <cell r="AJ70">
            <v>245090</v>
          </cell>
          <cell r="AK70" t="str">
            <v>Otros Avances y Anticipos</v>
          </cell>
          <cell r="AL70">
            <v>0</v>
          </cell>
        </row>
        <row r="71">
          <cell r="AJ71">
            <v>2455</v>
          </cell>
          <cell r="AK71" t="str">
            <v>DEPOSITOS RECIBIDOS EN GARANTIA</v>
          </cell>
          <cell r="AL71">
            <v>0</v>
          </cell>
        </row>
        <row r="72">
          <cell r="AJ72">
            <v>2460</v>
          </cell>
          <cell r="AK72" t="str">
            <v>CREDITOS JUDICIALES</v>
          </cell>
          <cell r="AL72">
            <v>0</v>
          </cell>
        </row>
        <row r="73">
          <cell r="AJ73">
            <v>2490</v>
          </cell>
          <cell r="AK73" t="str">
            <v>OTRAS CUENTAS POR PAGAR</v>
          </cell>
          <cell r="AL73">
            <v>0</v>
          </cell>
        </row>
        <row r="74">
          <cell r="AJ74">
            <v>249004</v>
          </cell>
          <cell r="AK74" t="str">
            <v>Cuotas Partes Pensionales</v>
          </cell>
          <cell r="AL74">
            <v>0</v>
          </cell>
        </row>
        <row r="75">
          <cell r="AJ75">
            <v>25</v>
          </cell>
          <cell r="AK75" t="str">
            <v>OBLIGACIONES LABORALES Y DE SEGURIDAD SOCIAL</v>
          </cell>
          <cell r="AL75">
            <v>296094278</v>
          </cell>
        </row>
        <row r="76">
          <cell r="AJ76">
            <v>250501</v>
          </cell>
          <cell r="AK76" t="str">
            <v>NOMINAS POR PAGAR</v>
          </cell>
          <cell r="AL76">
            <v>3314351</v>
          </cell>
        </row>
        <row r="77">
          <cell r="AJ77">
            <v>0</v>
          </cell>
          <cell r="AK77" t="str">
            <v>PRESTACIONES SOCIALES</v>
          </cell>
          <cell r="AL77">
            <v>223877937</v>
          </cell>
        </row>
        <row r="78">
          <cell r="AJ78">
            <v>250502</v>
          </cell>
          <cell r="AK78" t="str">
            <v>Cesantías por Pagar</v>
          </cell>
          <cell r="AL78">
            <v>200803957</v>
          </cell>
        </row>
        <row r="79">
          <cell r="AJ79">
            <v>250503</v>
          </cell>
          <cell r="AK79" t="str">
            <v>Intereses Sobre las Cesantias</v>
          </cell>
          <cell r="AL79">
            <v>0</v>
          </cell>
        </row>
        <row r="80">
          <cell r="AJ80">
            <v>250504</v>
          </cell>
          <cell r="AK80" t="str">
            <v>Vacaciones</v>
          </cell>
          <cell r="AL80">
            <v>11536990</v>
          </cell>
        </row>
        <row r="81">
          <cell r="AJ81">
            <v>250505</v>
          </cell>
          <cell r="AK81" t="str">
            <v>Prima de Vacaciones</v>
          </cell>
          <cell r="AL81">
            <v>11536990</v>
          </cell>
        </row>
        <row r="82">
          <cell r="AJ82">
            <v>250506</v>
          </cell>
          <cell r="AK82" t="str">
            <v>Prima de Servicios</v>
          </cell>
          <cell r="AL82">
            <v>0</v>
          </cell>
        </row>
        <row r="83">
          <cell r="AJ83">
            <v>250507</v>
          </cell>
          <cell r="AK83" t="str">
            <v>Prima de Navidad</v>
          </cell>
          <cell r="AL83">
            <v>0</v>
          </cell>
        </row>
        <row r="84">
          <cell r="AJ84" t="str">
            <v>2505…..</v>
          </cell>
          <cell r="AK84" t="str">
            <v>Otros Salarios y Prestaciones Sociales</v>
          </cell>
          <cell r="AL84">
            <v>0</v>
          </cell>
        </row>
        <row r="85">
          <cell r="AJ85">
            <v>2510</v>
          </cell>
          <cell r="AK85" t="str">
            <v>PENSIONES  Y PRESTACIONES ECONOMICAS POR PAGAR</v>
          </cell>
          <cell r="AL85">
            <v>68901990</v>
          </cell>
        </row>
        <row r="86">
          <cell r="AJ86">
            <v>27</v>
          </cell>
          <cell r="AK86" t="str">
            <v>PASIVOS ESTIMADOS</v>
          </cell>
          <cell r="AL86">
            <v>376852767</v>
          </cell>
        </row>
        <row r="87">
          <cell r="AJ87">
            <v>2710</v>
          </cell>
          <cell r="AK87" t="str">
            <v>PROVISION PARA CONTINGENCIAS</v>
          </cell>
          <cell r="AL87">
            <v>0</v>
          </cell>
        </row>
        <row r="88">
          <cell r="AJ88">
            <v>2715</v>
          </cell>
          <cell r="AK88" t="str">
            <v>PROVISION PARA PRESTACIONES SOCIALES</v>
          </cell>
          <cell r="AL88">
            <v>198653825</v>
          </cell>
        </row>
        <row r="89">
          <cell r="AJ89">
            <v>271501</v>
          </cell>
          <cell r="AK89" t="str">
            <v xml:space="preserve">Cesantías  </v>
          </cell>
          <cell r="AL89">
            <v>72060309</v>
          </cell>
        </row>
        <row r="90">
          <cell r="AJ90">
            <v>271502</v>
          </cell>
          <cell r="AK90" t="str">
            <v>Intereses Sobre las Cesantias</v>
          </cell>
          <cell r="AL90">
            <v>8772103</v>
          </cell>
        </row>
        <row r="91">
          <cell r="AJ91">
            <v>271503</v>
          </cell>
          <cell r="AK91" t="str">
            <v>Vacaciones</v>
          </cell>
          <cell r="AL91">
            <v>13417378</v>
          </cell>
        </row>
        <row r="92">
          <cell r="AJ92">
            <v>271504</v>
          </cell>
          <cell r="AK92" t="str">
            <v>Prima de Servicios</v>
          </cell>
          <cell r="AL92">
            <v>20052000</v>
          </cell>
        </row>
        <row r="93">
          <cell r="AJ93">
            <v>271505</v>
          </cell>
          <cell r="AK93" t="str">
            <v>Primas Extralegales</v>
          </cell>
          <cell r="AL93">
            <v>0</v>
          </cell>
        </row>
        <row r="94">
          <cell r="AJ94">
            <v>271506</v>
          </cell>
          <cell r="AK94" t="str">
            <v>Prima de Vacaciones</v>
          </cell>
          <cell r="AL94">
            <v>17027609</v>
          </cell>
        </row>
        <row r="95">
          <cell r="AJ95">
            <v>271509</v>
          </cell>
          <cell r="AK95" t="str">
            <v>Prima de Navidad</v>
          </cell>
          <cell r="AL95">
            <v>57712139</v>
          </cell>
        </row>
        <row r="96">
          <cell r="AJ96" t="str">
            <v>2715….</v>
          </cell>
          <cell r="AK96" t="str">
            <v>Otras Provisiones para Prestaciones Sociales</v>
          </cell>
          <cell r="AL96">
            <v>9612287</v>
          </cell>
        </row>
        <row r="97">
          <cell r="AJ97">
            <v>2720</v>
          </cell>
          <cell r="AK97" t="str">
            <v>PROVISION PARA PENSIONES</v>
          </cell>
          <cell r="AL97">
            <v>178198942</v>
          </cell>
        </row>
        <row r="98">
          <cell r="AJ98">
            <v>2721</v>
          </cell>
          <cell r="AK98" t="str">
            <v>PROVISION PARA BONOS PENSIONALES</v>
          </cell>
          <cell r="AL98">
            <v>0</v>
          </cell>
        </row>
        <row r="99">
          <cell r="AJ99">
            <v>2722</v>
          </cell>
          <cell r="AK99" t="str">
            <v>PASIVO PENSIONAL CONMUTADO</v>
          </cell>
          <cell r="AL99">
            <v>0</v>
          </cell>
        </row>
        <row r="100">
          <cell r="AJ100">
            <v>2725</v>
          </cell>
          <cell r="AK100" t="str">
            <v>PROVISION PARA SEGUROS Y REASEGUROS</v>
          </cell>
          <cell r="AL100">
            <v>0</v>
          </cell>
        </row>
        <row r="101">
          <cell r="AJ101">
            <v>2730</v>
          </cell>
          <cell r="AK101" t="str">
            <v>PROVISION FONDOS DE GARANTIAS</v>
          </cell>
          <cell r="AL101">
            <v>0</v>
          </cell>
        </row>
        <row r="102">
          <cell r="AJ102">
            <v>2790</v>
          </cell>
          <cell r="AK102" t="str">
            <v>PROVISIONES DIVERSAS</v>
          </cell>
          <cell r="AL102">
            <v>0</v>
          </cell>
        </row>
        <row r="103">
          <cell r="AJ103">
            <v>29</v>
          </cell>
          <cell r="AK103" t="str">
            <v>OTROS PASIVOS</v>
          </cell>
          <cell r="AL103">
            <v>19021091</v>
          </cell>
        </row>
        <row r="104">
          <cell r="AJ104">
            <v>2905</v>
          </cell>
          <cell r="AK104" t="str">
            <v>RECAUDOS A FAVOR DE TERCEROS</v>
          </cell>
          <cell r="AL104">
            <v>0</v>
          </cell>
        </row>
        <row r="105">
          <cell r="AJ105">
            <v>290590</v>
          </cell>
          <cell r="AK105" t="str">
            <v>OTROS RECAUDOS A FAVOR DE TERCEROS (Consignaciones sin identificar)</v>
          </cell>
          <cell r="AL105">
            <v>0</v>
          </cell>
        </row>
        <row r="106">
          <cell r="AJ106">
            <v>2910</v>
          </cell>
          <cell r="AK106" t="str">
            <v>INGRESOS RECIBIDOS POR ANTICIPADO</v>
          </cell>
          <cell r="AL106">
            <v>19021091</v>
          </cell>
        </row>
        <row r="107">
          <cell r="AJ107">
            <v>3</v>
          </cell>
          <cell r="AK107" t="str">
            <v>TOTAL PATRIMONIO</v>
          </cell>
          <cell r="AL107">
            <v>5283754489</v>
          </cell>
        </row>
        <row r="108">
          <cell r="AJ108">
            <v>32</v>
          </cell>
          <cell r="AK108" t="str">
            <v xml:space="preserve">   PATRIMONIO INSTITUCIONAL</v>
          </cell>
          <cell r="AL108">
            <v>5283754489</v>
          </cell>
        </row>
        <row r="109">
          <cell r="AJ109">
            <v>0</v>
          </cell>
          <cell r="AK109" t="str">
            <v>TOTAL PASIVO Y PATRIMONIO</v>
          </cell>
          <cell r="AL109">
            <v>6551475989</v>
          </cell>
        </row>
        <row r="110">
          <cell r="AJ110">
            <v>0</v>
          </cell>
          <cell r="AK110">
            <v>0</v>
          </cell>
          <cell r="AL110">
            <v>0</v>
          </cell>
        </row>
        <row r="111">
          <cell r="AJ111">
            <v>0</v>
          </cell>
          <cell r="AK111">
            <v>0</v>
          </cell>
          <cell r="AL111">
            <v>0</v>
          </cell>
        </row>
        <row r="112">
          <cell r="AJ112">
            <v>0</v>
          </cell>
          <cell r="AK112">
            <v>0</v>
          </cell>
          <cell r="AL112">
            <v>0</v>
          </cell>
        </row>
        <row r="113">
          <cell r="AJ113">
            <v>0</v>
          </cell>
          <cell r="AK113">
            <v>0</v>
          </cell>
          <cell r="AL113">
            <v>0</v>
          </cell>
        </row>
        <row r="114">
          <cell r="AJ114">
            <v>0</v>
          </cell>
          <cell r="AK114">
            <v>0</v>
          </cell>
          <cell r="AL114">
            <v>0</v>
          </cell>
        </row>
        <row r="115">
          <cell r="AJ115">
            <v>0</v>
          </cell>
          <cell r="AK115">
            <v>0</v>
          </cell>
          <cell r="AL115">
            <v>0</v>
          </cell>
        </row>
        <row r="116">
          <cell r="AJ116">
            <v>0</v>
          </cell>
          <cell r="AK116">
            <v>0</v>
          </cell>
          <cell r="AL116">
            <v>0</v>
          </cell>
        </row>
        <row r="117">
          <cell r="AJ117">
            <v>0</v>
          </cell>
          <cell r="AK117">
            <v>0</v>
          </cell>
          <cell r="AL117">
            <v>0</v>
          </cell>
        </row>
        <row r="118">
          <cell r="AJ118">
            <v>0</v>
          </cell>
          <cell r="AK118">
            <v>0</v>
          </cell>
          <cell r="AL118">
            <v>0</v>
          </cell>
        </row>
        <row r="119">
          <cell r="AJ119">
            <v>0</v>
          </cell>
          <cell r="AK119">
            <v>0</v>
          </cell>
          <cell r="AL119">
            <v>0</v>
          </cell>
        </row>
        <row r="120">
          <cell r="AJ120">
            <v>0</v>
          </cell>
          <cell r="AK120">
            <v>0</v>
          </cell>
          <cell r="AL120">
            <v>0</v>
          </cell>
        </row>
        <row r="121">
          <cell r="AJ121">
            <v>0</v>
          </cell>
          <cell r="AK121">
            <v>0</v>
          </cell>
          <cell r="AL121">
            <v>0</v>
          </cell>
        </row>
        <row r="122">
          <cell r="AJ122">
            <v>0</v>
          </cell>
          <cell r="AK122">
            <v>0</v>
          </cell>
          <cell r="AL122">
            <v>0</v>
          </cell>
        </row>
        <row r="123">
          <cell r="AJ123">
            <v>0</v>
          </cell>
          <cell r="AK123">
            <v>0</v>
          </cell>
          <cell r="AL123">
            <v>0</v>
          </cell>
        </row>
        <row r="124">
          <cell r="AJ124">
            <v>0</v>
          </cell>
          <cell r="AK124">
            <v>0</v>
          </cell>
          <cell r="AL124">
            <v>0</v>
          </cell>
        </row>
        <row r="125">
          <cell r="AJ125">
            <v>0</v>
          </cell>
          <cell r="AK125">
            <v>0</v>
          </cell>
          <cell r="AL125">
            <v>0</v>
          </cell>
        </row>
        <row r="126">
          <cell r="AJ126">
            <v>0</v>
          </cell>
          <cell r="AK126">
            <v>0</v>
          </cell>
          <cell r="AL126">
            <v>0</v>
          </cell>
        </row>
        <row r="127">
          <cell r="AJ127">
            <v>0</v>
          </cell>
          <cell r="AK127">
            <v>0</v>
          </cell>
          <cell r="AL127">
            <v>0</v>
          </cell>
        </row>
        <row r="128">
          <cell r="AJ128">
            <v>0</v>
          </cell>
          <cell r="AK128">
            <v>0</v>
          </cell>
          <cell r="AL128">
            <v>0</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FFFF00"/>
  </sheetPr>
  <dimension ref="A1:IV122"/>
  <sheetViews>
    <sheetView showGridLines="0" topLeftCell="A43" zoomScale="80" zoomScaleNormal="80" workbookViewId="0">
      <selection activeCell="A17" sqref="A17:G19"/>
    </sheetView>
  </sheetViews>
  <sheetFormatPr baseColWidth="10" defaultColWidth="0" defaultRowHeight="12" x14ac:dyDescent="0.2"/>
  <cols>
    <col min="1" max="1" width="21.7109375" style="37" customWidth="1"/>
    <col min="2" max="2" width="49.140625" style="37" customWidth="1"/>
    <col min="3" max="3" width="14.140625" style="37" customWidth="1"/>
    <col min="4" max="4" width="14.85546875" style="37" customWidth="1"/>
    <col min="5" max="5" width="15.85546875" style="37" customWidth="1"/>
    <col min="6" max="6" width="17.140625" style="37" customWidth="1"/>
    <col min="7" max="7" width="80.28515625" style="37" customWidth="1"/>
    <col min="8" max="8" width="1.42578125" style="37" customWidth="1"/>
    <col min="9" max="31" width="11.42578125" style="37" hidden="1" customWidth="1"/>
    <col min="32" max="16384" width="11.42578125" style="38" hidden="1"/>
  </cols>
  <sheetData>
    <row r="1" spans="1:31" s="36" customFormat="1" ht="16.5" x14ac:dyDescent="0.2">
      <c r="A1" s="815" t="s">
        <v>555</v>
      </c>
      <c r="B1" s="816"/>
      <c r="C1" s="816"/>
      <c r="D1" s="816"/>
      <c r="E1" s="816"/>
      <c r="F1" s="816"/>
      <c r="G1" s="817"/>
      <c r="H1" s="35"/>
      <c r="I1" s="35"/>
      <c r="J1" s="35"/>
      <c r="K1" s="35"/>
      <c r="L1" s="35"/>
      <c r="M1" s="35"/>
      <c r="N1" s="35"/>
      <c r="O1" s="35"/>
      <c r="P1" s="35"/>
      <c r="Q1" s="35"/>
      <c r="R1" s="35"/>
      <c r="S1" s="35"/>
      <c r="T1" s="35"/>
      <c r="U1" s="35"/>
      <c r="V1" s="35"/>
      <c r="W1" s="35"/>
      <c r="X1" s="35"/>
      <c r="Y1" s="35"/>
      <c r="Z1" s="35"/>
      <c r="AA1" s="35"/>
      <c r="AB1" s="35"/>
      <c r="AC1" s="35"/>
      <c r="AD1" s="35"/>
      <c r="AE1" s="35"/>
    </row>
    <row r="2" spans="1:31" ht="12.75" thickBot="1" x14ac:dyDescent="0.25">
      <c r="A2" s="152"/>
      <c r="B2" s="150"/>
      <c r="C2" s="150"/>
      <c r="D2" s="150"/>
      <c r="E2" s="150"/>
      <c r="F2" s="150"/>
      <c r="G2" s="821"/>
    </row>
    <row r="3" spans="1:31" ht="20.25" thickBot="1" x14ac:dyDescent="0.25">
      <c r="A3" s="227" t="s">
        <v>0</v>
      </c>
      <c r="B3" s="818" t="s">
        <v>606</v>
      </c>
      <c r="C3" s="819"/>
      <c r="D3" s="820"/>
      <c r="E3" s="226" t="s">
        <v>394</v>
      </c>
      <c r="F3" s="253">
        <v>2015</v>
      </c>
      <c r="G3" s="821"/>
    </row>
    <row r="4" spans="1:31" ht="12.75" thickBot="1" x14ac:dyDescent="0.25">
      <c r="A4" s="152"/>
      <c r="B4" s="150"/>
      <c r="C4" s="150"/>
      <c r="D4" s="150"/>
      <c r="E4" s="150"/>
      <c r="F4" s="150"/>
      <c r="G4" s="821"/>
    </row>
    <row r="5" spans="1:31" ht="18.75" thickBot="1" x14ac:dyDescent="0.3">
      <c r="A5" s="228" t="s">
        <v>543</v>
      </c>
      <c r="B5" s="818" t="s">
        <v>607</v>
      </c>
      <c r="C5" s="819"/>
      <c r="D5" s="819"/>
      <c r="E5" s="819"/>
      <c r="F5" s="820"/>
      <c r="G5" s="151"/>
    </row>
    <row r="6" spans="1:31" x14ac:dyDescent="0.2">
      <c r="A6" s="152"/>
      <c r="B6" s="150"/>
      <c r="C6" s="150"/>
      <c r="D6" s="150"/>
      <c r="E6" s="150"/>
      <c r="F6" s="150"/>
      <c r="G6" s="151"/>
    </row>
    <row r="7" spans="1:31" ht="13.5" thickBot="1" x14ac:dyDescent="0.25">
      <c r="A7" s="223"/>
      <c r="B7" s="224"/>
      <c r="C7" s="224"/>
      <c r="D7" s="224"/>
      <c r="E7" s="224"/>
      <c r="F7" s="224"/>
      <c r="G7" s="225"/>
    </row>
    <row r="8" spans="1:31" ht="13.5" thickBot="1" x14ac:dyDescent="0.25">
      <c r="A8" s="840"/>
      <c r="B8" s="841"/>
      <c r="C8" s="841"/>
      <c r="D8" s="841"/>
      <c r="E8" s="841"/>
      <c r="F8" s="841"/>
      <c r="G8" s="842"/>
    </row>
    <row r="9" spans="1:31" x14ac:dyDescent="0.2">
      <c r="A9" s="822" t="s">
        <v>2</v>
      </c>
      <c r="B9" s="823"/>
      <c r="C9" s="823"/>
      <c r="D9" s="823"/>
      <c r="E9" s="823"/>
      <c r="F9" s="823"/>
      <c r="G9" s="824"/>
    </row>
    <row r="10" spans="1:31" x14ac:dyDescent="0.2">
      <c r="A10" s="825"/>
      <c r="B10" s="826"/>
      <c r="C10" s="826"/>
      <c r="D10" s="826"/>
      <c r="E10" s="826"/>
      <c r="F10" s="826"/>
      <c r="G10" s="827"/>
    </row>
    <row r="11" spans="1:31" ht="12.75" thickBot="1" x14ac:dyDescent="0.25">
      <c r="A11" s="828"/>
      <c r="B11" s="829"/>
      <c r="C11" s="829"/>
      <c r="D11" s="829"/>
      <c r="E11" s="829"/>
      <c r="F11" s="829"/>
      <c r="G11" s="830"/>
    </row>
    <row r="12" spans="1:31" x14ac:dyDescent="0.2">
      <c r="A12" s="831" t="s">
        <v>508</v>
      </c>
      <c r="B12" s="832"/>
      <c r="C12" s="832"/>
      <c r="D12" s="832"/>
      <c r="E12" s="832"/>
      <c r="F12" s="832"/>
      <c r="G12" s="833"/>
    </row>
    <row r="13" spans="1:31" x14ac:dyDescent="0.2">
      <c r="A13" s="834"/>
      <c r="B13" s="835"/>
      <c r="C13" s="835"/>
      <c r="D13" s="835"/>
      <c r="E13" s="835"/>
      <c r="F13" s="835"/>
      <c r="G13" s="836"/>
    </row>
    <row r="14" spans="1:31" ht="12.75" thickBot="1" x14ac:dyDescent="0.25">
      <c r="A14" s="837"/>
      <c r="B14" s="838"/>
      <c r="C14" s="838"/>
      <c r="D14" s="838"/>
      <c r="E14" s="838"/>
      <c r="F14" s="838"/>
      <c r="G14" s="839"/>
    </row>
    <row r="15" spans="1:31" x14ac:dyDescent="0.2">
      <c r="A15" s="846" t="s">
        <v>3</v>
      </c>
      <c r="B15" s="847"/>
      <c r="C15" s="847"/>
      <c r="D15" s="847"/>
      <c r="E15" s="847"/>
      <c r="F15" s="847"/>
      <c r="G15" s="848"/>
    </row>
    <row r="16" spans="1:31" x14ac:dyDescent="0.2">
      <c r="A16" s="149"/>
      <c r="B16" s="150"/>
      <c r="C16" s="150"/>
      <c r="D16" s="150"/>
      <c r="E16" s="150"/>
      <c r="F16" s="150"/>
      <c r="G16" s="151"/>
    </row>
    <row r="17" spans="1:7" x14ac:dyDescent="0.2">
      <c r="A17" s="843" t="s">
        <v>493</v>
      </c>
      <c r="B17" s="844"/>
      <c r="C17" s="844"/>
      <c r="D17" s="844"/>
      <c r="E17" s="844"/>
      <c r="F17" s="844"/>
      <c r="G17" s="845"/>
    </row>
    <row r="18" spans="1:7" x14ac:dyDescent="0.2">
      <c r="A18" s="843"/>
      <c r="B18" s="844"/>
      <c r="C18" s="844"/>
      <c r="D18" s="844"/>
      <c r="E18" s="844"/>
      <c r="F18" s="844"/>
      <c r="G18" s="845"/>
    </row>
    <row r="19" spans="1:7" x14ac:dyDescent="0.2">
      <c r="A19" s="843"/>
      <c r="B19" s="844"/>
      <c r="C19" s="844"/>
      <c r="D19" s="844"/>
      <c r="E19" s="844"/>
      <c r="F19" s="844"/>
      <c r="G19" s="845"/>
    </row>
    <row r="20" spans="1:7" x14ac:dyDescent="0.2">
      <c r="A20" s="149"/>
      <c r="B20" s="150"/>
      <c r="C20" s="150"/>
      <c r="D20" s="150"/>
      <c r="E20" s="150"/>
      <c r="F20" s="150"/>
      <c r="G20" s="151"/>
    </row>
    <row r="21" spans="1:7" x14ac:dyDescent="0.2">
      <c r="A21" s="805" t="s">
        <v>494</v>
      </c>
      <c r="B21" s="806"/>
      <c r="C21" s="806"/>
      <c r="D21" s="806"/>
      <c r="E21" s="806"/>
      <c r="F21" s="806"/>
      <c r="G21" s="807"/>
    </row>
    <row r="22" spans="1:7" x14ac:dyDescent="0.2">
      <c r="A22" s="152"/>
      <c r="B22" s="150"/>
      <c r="C22" s="150"/>
      <c r="D22" s="150"/>
      <c r="E22" s="150"/>
      <c r="F22" s="150"/>
      <c r="G22" s="151"/>
    </row>
    <row r="23" spans="1:7" x14ac:dyDescent="0.2">
      <c r="A23" s="812" t="s">
        <v>4</v>
      </c>
      <c r="B23" s="813"/>
      <c r="C23" s="813"/>
      <c r="D23" s="813"/>
      <c r="E23" s="813"/>
      <c r="F23" s="813"/>
      <c r="G23" s="814"/>
    </row>
    <row r="24" spans="1:7" x14ac:dyDescent="0.2">
      <c r="A24" s="152"/>
      <c r="B24" s="150"/>
      <c r="C24" s="150"/>
      <c r="D24" s="150"/>
      <c r="E24" s="150"/>
      <c r="F24" s="150"/>
      <c r="G24" s="151"/>
    </row>
    <row r="25" spans="1:7" x14ac:dyDescent="0.2">
      <c r="A25" s="812" t="s">
        <v>495</v>
      </c>
      <c r="B25" s="813"/>
      <c r="C25" s="813"/>
      <c r="D25" s="813"/>
      <c r="E25" s="813"/>
      <c r="F25" s="813"/>
      <c r="G25" s="814"/>
    </row>
    <row r="26" spans="1:7" x14ac:dyDescent="0.2">
      <c r="A26" s="149"/>
      <c r="B26" s="150"/>
      <c r="C26" s="150"/>
      <c r="D26" s="150"/>
      <c r="E26" s="150"/>
      <c r="F26" s="150"/>
      <c r="G26" s="151"/>
    </row>
    <row r="27" spans="1:7" x14ac:dyDescent="0.2">
      <c r="A27" s="152"/>
      <c r="B27" s="150"/>
      <c r="C27" s="150"/>
      <c r="D27" s="150"/>
      <c r="E27" s="150"/>
      <c r="F27" s="150"/>
      <c r="G27" s="151"/>
    </row>
    <row r="28" spans="1:7" x14ac:dyDescent="0.2">
      <c r="A28" s="805" t="s">
        <v>496</v>
      </c>
      <c r="B28" s="806"/>
      <c r="C28" s="806"/>
      <c r="D28" s="806"/>
      <c r="E28" s="806"/>
      <c r="F28" s="806"/>
      <c r="G28" s="807"/>
    </row>
    <row r="29" spans="1:7" x14ac:dyDescent="0.2">
      <c r="A29" s="149"/>
      <c r="B29" s="150"/>
      <c r="C29" s="150"/>
      <c r="D29" s="150"/>
      <c r="E29" s="150"/>
      <c r="F29" s="150"/>
      <c r="G29" s="151"/>
    </row>
    <row r="30" spans="1:7" x14ac:dyDescent="0.2">
      <c r="A30" s="152"/>
      <c r="B30" s="150"/>
      <c r="C30" s="150"/>
      <c r="D30" s="150"/>
      <c r="E30" s="150"/>
      <c r="F30" s="150"/>
      <c r="G30" s="151"/>
    </row>
    <row r="31" spans="1:7" x14ac:dyDescent="0.2">
      <c r="A31" s="805" t="s">
        <v>497</v>
      </c>
      <c r="B31" s="806"/>
      <c r="C31" s="806"/>
      <c r="D31" s="806"/>
      <c r="E31" s="806"/>
      <c r="F31" s="806"/>
      <c r="G31" s="807"/>
    </row>
    <row r="32" spans="1:7" x14ac:dyDescent="0.2">
      <c r="A32" s="805"/>
      <c r="B32" s="806"/>
      <c r="C32" s="806"/>
      <c r="D32" s="806"/>
      <c r="E32" s="806"/>
      <c r="F32" s="806"/>
      <c r="G32" s="807"/>
    </row>
    <row r="33" spans="1:256" ht="12.75" thickBot="1" x14ac:dyDescent="0.25">
      <c r="A33" s="153"/>
      <c r="B33" s="154"/>
      <c r="C33" s="154"/>
      <c r="D33" s="154"/>
      <c r="E33" s="154"/>
      <c r="F33" s="154"/>
      <c r="G33" s="155"/>
    </row>
    <row r="34" spans="1:256" ht="12.75" thickBot="1" x14ac:dyDescent="0.25"/>
    <row r="35" spans="1:256" x14ac:dyDescent="0.2">
      <c r="A35" s="156" t="s">
        <v>492</v>
      </c>
      <c r="B35" s="157"/>
      <c r="C35" s="157"/>
      <c r="D35" s="157"/>
      <c r="E35" s="157"/>
      <c r="F35" s="157"/>
      <c r="G35" s="158"/>
    </row>
    <row r="36" spans="1:256" x14ac:dyDescent="0.2">
      <c r="A36" s="152"/>
      <c r="B36" s="150"/>
      <c r="C36" s="150"/>
      <c r="D36" s="150"/>
      <c r="E36" s="150"/>
      <c r="F36" s="150"/>
      <c r="G36" s="151"/>
    </row>
    <row r="37" spans="1:256" x14ac:dyDescent="0.2">
      <c r="A37" s="152" t="s">
        <v>499</v>
      </c>
      <c r="B37" s="150"/>
      <c r="C37" s="150"/>
      <c r="D37" s="150"/>
      <c r="E37" s="150"/>
      <c r="F37" s="150"/>
      <c r="G37" s="151"/>
    </row>
    <row r="38" spans="1:256" x14ac:dyDescent="0.2">
      <c r="A38" s="152" t="s">
        <v>498</v>
      </c>
      <c r="B38" s="150"/>
      <c r="C38" s="150"/>
      <c r="D38" s="150"/>
      <c r="E38" s="150"/>
      <c r="F38" s="150"/>
      <c r="G38" s="151"/>
    </row>
    <row r="39" spans="1:256" x14ac:dyDescent="0.2">
      <c r="A39" s="152" t="s">
        <v>5</v>
      </c>
      <c r="B39" s="150"/>
      <c r="C39" s="150"/>
      <c r="D39" s="150"/>
      <c r="E39" s="150"/>
      <c r="F39" s="150"/>
      <c r="G39" s="151"/>
    </row>
    <row r="40" spans="1:256" x14ac:dyDescent="0.2">
      <c r="A40" s="152"/>
      <c r="B40" s="150"/>
      <c r="C40" s="150"/>
      <c r="D40" s="150"/>
      <c r="E40" s="150"/>
      <c r="F40" s="150"/>
      <c r="G40" s="151"/>
    </row>
    <row r="41" spans="1:256" x14ac:dyDescent="0.2">
      <c r="A41" s="160" t="s">
        <v>6</v>
      </c>
      <c r="B41" s="150"/>
      <c r="C41" s="150"/>
      <c r="D41" s="150"/>
      <c r="E41" s="150"/>
      <c r="F41" s="150"/>
      <c r="G41" s="151"/>
    </row>
    <row r="42" spans="1:256" x14ac:dyDescent="0.2">
      <c r="A42" s="152" t="s">
        <v>500</v>
      </c>
      <c r="B42" s="150"/>
      <c r="C42" s="150"/>
      <c r="D42" s="150"/>
      <c r="E42" s="150"/>
      <c r="F42" s="150"/>
      <c r="G42" s="151"/>
    </row>
    <row r="43" spans="1:256" ht="12.75" thickBot="1" x14ac:dyDescent="0.25">
      <c r="A43" s="153"/>
      <c r="B43" s="154"/>
      <c r="C43" s="154"/>
      <c r="D43" s="154"/>
      <c r="E43" s="154"/>
      <c r="F43" s="154"/>
      <c r="G43" s="155"/>
    </row>
    <row r="44" spans="1:256" x14ac:dyDescent="0.2">
      <c r="A44" s="179"/>
      <c r="B44" s="150"/>
      <c r="C44" s="150"/>
      <c r="D44" s="150"/>
      <c r="E44" s="150"/>
      <c r="F44" s="150"/>
      <c r="G44" s="150"/>
    </row>
    <row r="45" spans="1:256" s="217" customFormat="1" ht="16.5" thickBot="1" x14ac:dyDescent="0.3">
      <c r="A45" s="808" t="s">
        <v>501</v>
      </c>
      <c r="B45" s="808"/>
      <c r="C45" s="808"/>
      <c r="D45" s="808"/>
      <c r="E45" s="808"/>
      <c r="F45" s="808"/>
      <c r="G45" s="808"/>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row>
    <row r="46" spans="1:256" ht="15.75" x14ac:dyDescent="0.25">
      <c r="A46" s="180" t="s">
        <v>30</v>
      </c>
      <c r="B46" s="181"/>
      <c r="C46" s="157"/>
      <c r="D46" s="157"/>
      <c r="E46" s="157"/>
      <c r="F46" s="157"/>
      <c r="G46" s="158"/>
      <c r="H46" s="152"/>
      <c r="I46" s="150"/>
      <c r="J46" s="150"/>
      <c r="K46" s="150"/>
      <c r="L46" s="150"/>
      <c r="M46" s="150"/>
      <c r="N46" s="151"/>
      <c r="O46" s="152"/>
      <c r="P46" s="150"/>
      <c r="Q46" s="150"/>
      <c r="R46" s="150"/>
      <c r="S46" s="150"/>
      <c r="T46" s="150"/>
      <c r="U46" s="151"/>
      <c r="V46" s="152"/>
      <c r="W46" s="150"/>
      <c r="X46" s="150"/>
      <c r="Y46" s="150"/>
      <c r="Z46" s="150"/>
      <c r="AA46" s="150"/>
      <c r="AB46" s="151"/>
      <c r="AC46" s="152"/>
      <c r="AD46" s="150"/>
      <c r="AE46" s="150"/>
      <c r="AF46" s="150"/>
      <c r="AG46" s="150"/>
      <c r="AH46" s="150"/>
      <c r="AI46" s="151"/>
      <c r="AJ46" s="152"/>
      <c r="AK46" s="150"/>
      <c r="AL46" s="150"/>
      <c r="AM46" s="150"/>
      <c r="AN46" s="150"/>
      <c r="AO46" s="150"/>
      <c r="AP46" s="151"/>
      <c r="AQ46" s="152"/>
      <c r="AR46" s="150"/>
      <c r="AS46" s="150"/>
      <c r="AT46" s="150"/>
      <c r="AU46" s="150"/>
      <c r="AV46" s="150"/>
      <c r="AW46" s="151"/>
      <c r="AX46" s="152"/>
      <c r="AY46" s="150"/>
      <c r="AZ46" s="150"/>
      <c r="BA46" s="150"/>
      <c r="BB46" s="150"/>
      <c r="BC46" s="150"/>
      <c r="BD46" s="151"/>
      <c r="BE46" s="152"/>
      <c r="BF46" s="150"/>
      <c r="BG46" s="150"/>
      <c r="BH46" s="150"/>
      <c r="BI46" s="150"/>
      <c r="BJ46" s="150"/>
      <c r="BK46" s="151"/>
      <c r="BL46" s="152"/>
      <c r="BM46" s="150"/>
      <c r="BN46" s="150"/>
      <c r="BO46" s="150"/>
      <c r="BP46" s="150"/>
      <c r="BQ46" s="150"/>
      <c r="BR46" s="151"/>
      <c r="BS46" s="152"/>
      <c r="BT46" s="150"/>
      <c r="BU46" s="150"/>
      <c r="BV46" s="150"/>
      <c r="BW46" s="150"/>
      <c r="BX46" s="150"/>
      <c r="BY46" s="151"/>
      <c r="BZ46" s="152"/>
      <c r="CA46" s="150"/>
      <c r="CB46" s="150"/>
      <c r="CC46" s="150"/>
      <c r="CD46" s="150"/>
      <c r="CE46" s="150"/>
      <c r="CF46" s="151"/>
      <c r="CG46" s="152"/>
      <c r="CH46" s="150"/>
      <c r="CI46" s="150"/>
      <c r="CJ46" s="150"/>
      <c r="CK46" s="150"/>
      <c r="CL46" s="150"/>
      <c r="CM46" s="151"/>
      <c r="CN46" s="152"/>
      <c r="CO46" s="150"/>
      <c r="CP46" s="150"/>
      <c r="CQ46" s="150"/>
      <c r="CR46" s="150"/>
      <c r="CS46" s="150"/>
      <c r="CT46" s="151"/>
      <c r="CU46" s="152"/>
      <c r="CV46" s="150"/>
      <c r="CW46" s="150"/>
      <c r="CX46" s="150"/>
      <c r="CY46" s="150"/>
      <c r="CZ46" s="150"/>
      <c r="DA46" s="151"/>
      <c r="DB46" s="152"/>
      <c r="DC46" s="150"/>
      <c r="DD46" s="150"/>
      <c r="DE46" s="150"/>
      <c r="DF46" s="150"/>
      <c r="DG46" s="150"/>
      <c r="DH46" s="151"/>
      <c r="DI46" s="152"/>
      <c r="DJ46" s="150"/>
      <c r="DK46" s="150"/>
      <c r="DL46" s="150"/>
      <c r="DM46" s="150"/>
      <c r="DN46" s="150"/>
      <c r="DO46" s="151"/>
      <c r="DP46" s="152"/>
      <c r="DQ46" s="150"/>
      <c r="DR46" s="150"/>
      <c r="DS46" s="150"/>
      <c r="DT46" s="150"/>
      <c r="DU46" s="150"/>
      <c r="DV46" s="151"/>
      <c r="DW46" s="152"/>
      <c r="DX46" s="150"/>
      <c r="DY46" s="150"/>
      <c r="DZ46" s="150"/>
      <c r="EA46" s="150"/>
      <c r="EB46" s="150"/>
      <c r="EC46" s="151"/>
      <c r="ED46" s="152"/>
      <c r="EE46" s="150"/>
      <c r="EF46" s="150"/>
      <c r="EG46" s="150"/>
      <c r="EH46" s="150"/>
      <c r="EI46" s="150"/>
      <c r="EJ46" s="151"/>
      <c r="EK46" s="152"/>
      <c r="EL46" s="150"/>
      <c r="EM46" s="150"/>
      <c r="EN46" s="150"/>
      <c r="EO46" s="150"/>
      <c r="EP46" s="150"/>
      <c r="EQ46" s="151"/>
      <c r="ER46" s="152"/>
      <c r="ES46" s="150"/>
      <c r="ET46" s="150"/>
      <c r="EU46" s="150"/>
      <c r="EV46" s="150"/>
      <c r="EW46" s="150"/>
      <c r="EX46" s="151"/>
      <c r="EY46" s="152"/>
      <c r="EZ46" s="150"/>
      <c r="FA46" s="150"/>
      <c r="FB46" s="150"/>
      <c r="FC46" s="150"/>
      <c r="FD46" s="150"/>
      <c r="FE46" s="151"/>
      <c r="FF46" s="152"/>
      <c r="FG46" s="150"/>
      <c r="FH46" s="150"/>
      <c r="FI46" s="150"/>
      <c r="FJ46" s="150"/>
      <c r="FK46" s="150"/>
      <c r="FL46" s="151"/>
      <c r="FM46" s="152"/>
      <c r="FN46" s="150"/>
      <c r="FO46" s="150"/>
      <c r="FP46" s="150"/>
      <c r="FQ46" s="150"/>
      <c r="FR46" s="150"/>
      <c r="FS46" s="151"/>
      <c r="FT46" s="152"/>
      <c r="FU46" s="150"/>
      <c r="FV46" s="150"/>
      <c r="FW46" s="150"/>
      <c r="FX46" s="150"/>
      <c r="FY46" s="150"/>
      <c r="FZ46" s="151"/>
      <c r="GA46" s="152"/>
      <c r="GB46" s="150"/>
      <c r="GC46" s="150"/>
      <c r="GD46" s="150"/>
      <c r="GE46" s="150"/>
      <c r="GF46" s="150"/>
      <c r="GG46" s="151"/>
      <c r="GH46" s="152"/>
      <c r="GI46" s="150"/>
      <c r="GJ46" s="150"/>
      <c r="GK46" s="150"/>
      <c r="GL46" s="150"/>
      <c r="GM46" s="150"/>
      <c r="GN46" s="151"/>
      <c r="GO46" s="152"/>
      <c r="GP46" s="150"/>
      <c r="GQ46" s="150"/>
      <c r="GR46" s="150"/>
      <c r="GS46" s="150"/>
      <c r="GT46" s="150"/>
      <c r="GU46" s="151"/>
      <c r="GV46" s="152"/>
      <c r="GW46" s="150"/>
      <c r="GX46" s="150"/>
      <c r="GY46" s="150"/>
      <c r="GZ46" s="150"/>
      <c r="HA46" s="150"/>
      <c r="HB46" s="151"/>
      <c r="HC46" s="152"/>
      <c r="HD46" s="150"/>
      <c r="HE46" s="150"/>
      <c r="HF46" s="150"/>
      <c r="HG46" s="150"/>
      <c r="HH46" s="150"/>
      <c r="HI46" s="151"/>
      <c r="HJ46" s="152"/>
      <c r="HK46" s="150"/>
      <c r="HL46" s="150"/>
      <c r="HM46" s="150"/>
      <c r="HN46" s="150"/>
      <c r="HO46" s="150"/>
      <c r="HP46" s="151"/>
      <c r="HQ46" s="152"/>
      <c r="HR46" s="150"/>
      <c r="HS46" s="150"/>
      <c r="HT46" s="150"/>
      <c r="HU46" s="150"/>
      <c r="HV46" s="150"/>
      <c r="HW46" s="151"/>
      <c r="HX46" s="152"/>
      <c r="HY46" s="150"/>
      <c r="HZ46" s="150"/>
      <c r="IA46" s="150"/>
      <c r="IB46" s="150"/>
      <c r="IC46" s="150"/>
      <c r="ID46" s="151"/>
      <c r="IE46" s="152"/>
      <c r="IF46" s="150"/>
      <c r="IG46" s="150"/>
      <c r="IH46" s="150"/>
      <c r="II46" s="150"/>
      <c r="IJ46" s="150"/>
      <c r="IK46" s="151"/>
      <c r="IL46" s="152"/>
      <c r="IM46" s="150"/>
      <c r="IN46" s="150"/>
      <c r="IO46" s="150"/>
      <c r="IP46" s="150"/>
      <c r="IQ46" s="150"/>
      <c r="IR46" s="151"/>
      <c r="IS46" s="152"/>
      <c r="IT46" s="150"/>
      <c r="IU46" s="150"/>
      <c r="IV46" s="150"/>
    </row>
    <row r="47" spans="1:256" s="39" customFormat="1" ht="12.75" x14ac:dyDescent="0.2">
      <c r="A47" s="211" t="s">
        <v>502</v>
      </c>
      <c r="B47" s="150"/>
      <c r="C47" s="150"/>
      <c r="D47" s="150"/>
      <c r="E47" s="150"/>
      <c r="F47" s="150"/>
      <c r="G47" s="151"/>
      <c r="H47" s="152"/>
      <c r="I47" s="150"/>
      <c r="J47" s="150"/>
      <c r="K47" s="150"/>
      <c r="L47" s="150"/>
      <c r="M47" s="150"/>
      <c r="N47" s="151"/>
      <c r="O47" s="152"/>
      <c r="P47" s="150"/>
      <c r="Q47" s="150"/>
      <c r="R47" s="150"/>
      <c r="S47" s="150"/>
      <c r="T47" s="150"/>
      <c r="U47" s="151"/>
      <c r="V47" s="152"/>
      <c r="W47" s="150"/>
      <c r="X47" s="150"/>
      <c r="Y47" s="150"/>
      <c r="Z47" s="150"/>
      <c r="AA47" s="150"/>
      <c r="AB47" s="151"/>
      <c r="AC47" s="152"/>
      <c r="AD47" s="150"/>
      <c r="AE47" s="150"/>
      <c r="AF47" s="150"/>
      <c r="AG47" s="150"/>
      <c r="AH47" s="150"/>
      <c r="AI47" s="151"/>
      <c r="AJ47" s="152"/>
      <c r="AK47" s="150"/>
      <c r="AL47" s="150"/>
      <c r="AM47" s="150"/>
      <c r="AN47" s="150"/>
      <c r="AO47" s="150"/>
      <c r="AP47" s="151"/>
      <c r="AQ47" s="152"/>
      <c r="AR47" s="150"/>
      <c r="AS47" s="150"/>
      <c r="AT47" s="150"/>
      <c r="AU47" s="150"/>
      <c r="AV47" s="150"/>
      <c r="AW47" s="151"/>
      <c r="AX47" s="152"/>
      <c r="AY47" s="150"/>
      <c r="AZ47" s="150"/>
      <c r="BA47" s="150"/>
      <c r="BB47" s="150"/>
      <c r="BC47" s="150"/>
      <c r="BD47" s="151"/>
      <c r="BE47" s="152"/>
      <c r="BF47" s="150"/>
      <c r="BG47" s="150"/>
      <c r="BH47" s="150"/>
      <c r="BI47" s="150"/>
      <c r="BJ47" s="150"/>
      <c r="BK47" s="151"/>
      <c r="BL47" s="152"/>
      <c r="BM47" s="150"/>
      <c r="BN47" s="150"/>
      <c r="BO47" s="150"/>
      <c r="BP47" s="150"/>
      <c r="BQ47" s="150"/>
      <c r="BR47" s="151"/>
      <c r="BS47" s="152"/>
      <c r="BT47" s="150"/>
      <c r="BU47" s="150"/>
      <c r="BV47" s="150"/>
      <c r="BW47" s="150"/>
      <c r="BX47" s="150"/>
      <c r="BY47" s="151"/>
      <c r="BZ47" s="152"/>
      <c r="CA47" s="150"/>
      <c r="CB47" s="150"/>
      <c r="CC47" s="150"/>
      <c r="CD47" s="150"/>
      <c r="CE47" s="150"/>
      <c r="CF47" s="151"/>
      <c r="CG47" s="152"/>
      <c r="CH47" s="150"/>
      <c r="CI47" s="150"/>
      <c r="CJ47" s="150"/>
      <c r="CK47" s="150"/>
      <c r="CL47" s="150"/>
      <c r="CM47" s="151"/>
      <c r="CN47" s="152"/>
      <c r="CO47" s="150"/>
      <c r="CP47" s="150"/>
      <c r="CQ47" s="150"/>
      <c r="CR47" s="150"/>
      <c r="CS47" s="150"/>
      <c r="CT47" s="151"/>
      <c r="CU47" s="152"/>
      <c r="CV47" s="150"/>
      <c r="CW47" s="150"/>
      <c r="CX47" s="150"/>
      <c r="CY47" s="150"/>
      <c r="CZ47" s="150"/>
      <c r="DA47" s="151"/>
      <c r="DB47" s="152"/>
      <c r="DC47" s="150"/>
      <c r="DD47" s="150"/>
      <c r="DE47" s="150"/>
      <c r="DF47" s="150"/>
      <c r="DG47" s="150"/>
      <c r="DH47" s="151"/>
      <c r="DI47" s="152"/>
      <c r="DJ47" s="150"/>
      <c r="DK47" s="150"/>
      <c r="DL47" s="150"/>
      <c r="DM47" s="150"/>
      <c r="DN47" s="150"/>
      <c r="DO47" s="151"/>
      <c r="DP47" s="152"/>
      <c r="DQ47" s="150"/>
      <c r="DR47" s="150"/>
      <c r="DS47" s="150"/>
      <c r="DT47" s="150"/>
      <c r="DU47" s="150"/>
      <c r="DV47" s="151"/>
      <c r="DW47" s="152"/>
      <c r="DX47" s="150"/>
      <c r="DY47" s="150"/>
      <c r="DZ47" s="150"/>
      <c r="EA47" s="150"/>
      <c r="EB47" s="150"/>
      <c r="EC47" s="151"/>
      <c r="ED47" s="152"/>
      <c r="EE47" s="150"/>
      <c r="EF47" s="150"/>
      <c r="EG47" s="150"/>
      <c r="EH47" s="150"/>
      <c r="EI47" s="150"/>
      <c r="EJ47" s="151"/>
      <c r="EK47" s="152"/>
      <c r="EL47" s="150"/>
      <c r="EM47" s="150"/>
      <c r="EN47" s="150"/>
      <c r="EO47" s="150"/>
      <c r="EP47" s="150"/>
      <c r="EQ47" s="151"/>
      <c r="ER47" s="152"/>
      <c r="ES47" s="150"/>
      <c r="ET47" s="150"/>
      <c r="EU47" s="150"/>
      <c r="EV47" s="150"/>
      <c r="EW47" s="150"/>
      <c r="EX47" s="151"/>
      <c r="EY47" s="152"/>
      <c r="EZ47" s="150"/>
      <c r="FA47" s="150"/>
      <c r="FB47" s="150"/>
      <c r="FC47" s="150"/>
      <c r="FD47" s="150"/>
      <c r="FE47" s="151"/>
      <c r="FF47" s="152"/>
      <c r="FG47" s="150"/>
      <c r="FH47" s="150"/>
      <c r="FI47" s="150"/>
      <c r="FJ47" s="150"/>
      <c r="FK47" s="150"/>
      <c r="FL47" s="151"/>
      <c r="FM47" s="152"/>
      <c r="FN47" s="150"/>
      <c r="FO47" s="150"/>
      <c r="FP47" s="150"/>
      <c r="FQ47" s="150"/>
      <c r="FR47" s="150"/>
      <c r="FS47" s="151"/>
      <c r="FT47" s="152"/>
      <c r="FU47" s="150"/>
      <c r="FV47" s="150"/>
      <c r="FW47" s="150"/>
      <c r="FX47" s="150"/>
      <c r="FY47" s="150"/>
      <c r="FZ47" s="151"/>
      <c r="GA47" s="152"/>
      <c r="GB47" s="150"/>
      <c r="GC47" s="150"/>
      <c r="GD47" s="150"/>
      <c r="GE47" s="150"/>
      <c r="GF47" s="150"/>
      <c r="GG47" s="151"/>
      <c r="GH47" s="152"/>
      <c r="GI47" s="150"/>
      <c r="GJ47" s="150"/>
      <c r="GK47" s="150"/>
      <c r="GL47" s="150"/>
      <c r="GM47" s="150"/>
      <c r="GN47" s="151"/>
      <c r="GO47" s="152"/>
      <c r="GP47" s="150"/>
      <c r="GQ47" s="150"/>
      <c r="GR47" s="150"/>
      <c r="GS47" s="150"/>
      <c r="GT47" s="150"/>
      <c r="GU47" s="151"/>
      <c r="GV47" s="152"/>
      <c r="GW47" s="150"/>
      <c r="GX47" s="150"/>
      <c r="GY47" s="150"/>
      <c r="GZ47" s="150"/>
      <c r="HA47" s="150"/>
      <c r="HB47" s="151"/>
      <c r="HC47" s="152"/>
      <c r="HD47" s="150"/>
      <c r="HE47" s="150"/>
      <c r="HF47" s="150"/>
      <c r="HG47" s="150"/>
      <c r="HH47" s="150"/>
      <c r="HI47" s="151"/>
      <c r="HJ47" s="152"/>
      <c r="HK47" s="150"/>
      <c r="HL47" s="150"/>
      <c r="HM47" s="150"/>
      <c r="HN47" s="150"/>
      <c r="HO47" s="150"/>
      <c r="HP47" s="151"/>
      <c r="HQ47" s="152"/>
      <c r="HR47" s="150"/>
      <c r="HS47" s="150"/>
      <c r="HT47" s="150"/>
      <c r="HU47" s="150"/>
      <c r="HV47" s="150"/>
      <c r="HW47" s="151"/>
      <c r="HX47" s="152"/>
      <c r="HY47" s="150"/>
      <c r="HZ47" s="150"/>
      <c r="IA47" s="150"/>
      <c r="IB47" s="150"/>
      <c r="IC47" s="150"/>
      <c r="ID47" s="151"/>
      <c r="IE47" s="152"/>
      <c r="IF47" s="150"/>
      <c r="IG47" s="150"/>
      <c r="IH47" s="150"/>
      <c r="II47" s="150"/>
      <c r="IJ47" s="150"/>
      <c r="IK47" s="151"/>
      <c r="IL47" s="152"/>
      <c r="IM47" s="150"/>
      <c r="IN47" s="150"/>
      <c r="IO47" s="150"/>
      <c r="IP47" s="150"/>
      <c r="IQ47" s="150"/>
      <c r="IR47" s="151"/>
      <c r="IS47" s="152"/>
      <c r="IT47" s="150"/>
      <c r="IU47" s="150"/>
      <c r="IV47" s="150"/>
    </row>
    <row r="48" spans="1:256" s="39" customFormat="1" ht="12.75" x14ac:dyDescent="0.2">
      <c r="A48" s="211" t="s">
        <v>470</v>
      </c>
      <c r="B48" s="150"/>
      <c r="C48" s="150"/>
      <c r="D48" s="150"/>
      <c r="E48" s="150"/>
      <c r="F48" s="150"/>
      <c r="G48" s="151"/>
      <c r="H48" s="152"/>
      <c r="I48" s="150"/>
      <c r="J48" s="150"/>
      <c r="K48" s="150"/>
      <c r="L48" s="150"/>
      <c r="M48" s="150"/>
      <c r="N48" s="151"/>
      <c r="O48" s="152"/>
      <c r="P48" s="150"/>
      <c r="Q48" s="150"/>
      <c r="R48" s="150"/>
      <c r="S48" s="150"/>
      <c r="T48" s="150"/>
      <c r="U48" s="151"/>
      <c r="V48" s="152"/>
      <c r="W48" s="150"/>
      <c r="X48" s="150"/>
      <c r="Y48" s="150"/>
      <c r="Z48" s="150"/>
      <c r="AA48" s="150"/>
      <c r="AB48" s="151"/>
      <c r="AC48" s="152"/>
      <c r="AD48" s="150"/>
      <c r="AE48" s="150"/>
      <c r="AF48" s="150"/>
      <c r="AG48" s="150"/>
      <c r="AH48" s="150"/>
      <c r="AI48" s="151"/>
      <c r="AJ48" s="152"/>
      <c r="AK48" s="150"/>
      <c r="AL48" s="150"/>
      <c r="AM48" s="150"/>
      <c r="AN48" s="150"/>
      <c r="AO48" s="150"/>
      <c r="AP48" s="151"/>
      <c r="AQ48" s="152"/>
      <c r="AR48" s="150"/>
      <c r="AS48" s="150"/>
      <c r="AT48" s="150"/>
      <c r="AU48" s="150"/>
      <c r="AV48" s="150"/>
      <c r="AW48" s="151"/>
      <c r="AX48" s="152"/>
      <c r="AY48" s="150"/>
      <c r="AZ48" s="150"/>
      <c r="BA48" s="150"/>
      <c r="BB48" s="150"/>
      <c r="BC48" s="150"/>
      <c r="BD48" s="151"/>
      <c r="BE48" s="152"/>
      <c r="BF48" s="150"/>
      <c r="BG48" s="150"/>
      <c r="BH48" s="150"/>
      <c r="BI48" s="150"/>
      <c r="BJ48" s="150"/>
      <c r="BK48" s="151"/>
      <c r="BL48" s="152"/>
      <c r="BM48" s="150"/>
      <c r="BN48" s="150"/>
      <c r="BO48" s="150"/>
      <c r="BP48" s="150"/>
      <c r="BQ48" s="150"/>
      <c r="BR48" s="151"/>
      <c r="BS48" s="152"/>
      <c r="BT48" s="150"/>
      <c r="BU48" s="150"/>
      <c r="BV48" s="150"/>
      <c r="BW48" s="150"/>
      <c r="BX48" s="150"/>
      <c r="BY48" s="151"/>
      <c r="BZ48" s="152"/>
      <c r="CA48" s="150"/>
      <c r="CB48" s="150"/>
      <c r="CC48" s="150"/>
      <c r="CD48" s="150"/>
      <c r="CE48" s="150"/>
      <c r="CF48" s="151"/>
      <c r="CG48" s="152"/>
      <c r="CH48" s="150"/>
      <c r="CI48" s="150"/>
      <c r="CJ48" s="150"/>
      <c r="CK48" s="150"/>
      <c r="CL48" s="150"/>
      <c r="CM48" s="151"/>
      <c r="CN48" s="152"/>
      <c r="CO48" s="150"/>
      <c r="CP48" s="150"/>
      <c r="CQ48" s="150"/>
      <c r="CR48" s="150"/>
      <c r="CS48" s="150"/>
      <c r="CT48" s="151"/>
      <c r="CU48" s="152"/>
      <c r="CV48" s="150"/>
      <c r="CW48" s="150"/>
      <c r="CX48" s="150"/>
      <c r="CY48" s="150"/>
      <c r="CZ48" s="150"/>
      <c r="DA48" s="151"/>
      <c r="DB48" s="152"/>
      <c r="DC48" s="150"/>
      <c r="DD48" s="150"/>
      <c r="DE48" s="150"/>
      <c r="DF48" s="150"/>
      <c r="DG48" s="150"/>
      <c r="DH48" s="151"/>
      <c r="DI48" s="152"/>
      <c r="DJ48" s="150"/>
      <c r="DK48" s="150"/>
      <c r="DL48" s="150"/>
      <c r="DM48" s="150"/>
      <c r="DN48" s="150"/>
      <c r="DO48" s="151"/>
      <c r="DP48" s="152"/>
      <c r="DQ48" s="150"/>
      <c r="DR48" s="150"/>
      <c r="DS48" s="150"/>
      <c r="DT48" s="150"/>
      <c r="DU48" s="150"/>
      <c r="DV48" s="151"/>
      <c r="DW48" s="152"/>
      <c r="DX48" s="150"/>
      <c r="DY48" s="150"/>
      <c r="DZ48" s="150"/>
      <c r="EA48" s="150"/>
      <c r="EB48" s="150"/>
      <c r="EC48" s="151"/>
      <c r="ED48" s="152"/>
      <c r="EE48" s="150"/>
      <c r="EF48" s="150"/>
      <c r="EG48" s="150"/>
      <c r="EH48" s="150"/>
      <c r="EI48" s="150"/>
      <c r="EJ48" s="151"/>
      <c r="EK48" s="152"/>
      <c r="EL48" s="150"/>
      <c r="EM48" s="150"/>
      <c r="EN48" s="150"/>
      <c r="EO48" s="150"/>
      <c r="EP48" s="150"/>
      <c r="EQ48" s="151"/>
      <c r="ER48" s="152"/>
      <c r="ES48" s="150"/>
      <c r="ET48" s="150"/>
      <c r="EU48" s="150"/>
      <c r="EV48" s="150"/>
      <c r="EW48" s="150"/>
      <c r="EX48" s="151"/>
      <c r="EY48" s="152"/>
      <c r="EZ48" s="150"/>
      <c r="FA48" s="150"/>
      <c r="FB48" s="150"/>
      <c r="FC48" s="150"/>
      <c r="FD48" s="150"/>
      <c r="FE48" s="151"/>
      <c r="FF48" s="152"/>
      <c r="FG48" s="150"/>
      <c r="FH48" s="150"/>
      <c r="FI48" s="150"/>
      <c r="FJ48" s="150"/>
      <c r="FK48" s="150"/>
      <c r="FL48" s="151"/>
      <c r="FM48" s="152"/>
      <c r="FN48" s="150"/>
      <c r="FO48" s="150"/>
      <c r="FP48" s="150"/>
      <c r="FQ48" s="150"/>
      <c r="FR48" s="150"/>
      <c r="FS48" s="151"/>
      <c r="FT48" s="152"/>
      <c r="FU48" s="150"/>
      <c r="FV48" s="150"/>
      <c r="FW48" s="150"/>
      <c r="FX48" s="150"/>
      <c r="FY48" s="150"/>
      <c r="FZ48" s="151"/>
      <c r="GA48" s="152"/>
      <c r="GB48" s="150"/>
      <c r="GC48" s="150"/>
      <c r="GD48" s="150"/>
      <c r="GE48" s="150"/>
      <c r="GF48" s="150"/>
      <c r="GG48" s="151"/>
      <c r="GH48" s="152"/>
      <c r="GI48" s="150"/>
      <c r="GJ48" s="150"/>
      <c r="GK48" s="150"/>
      <c r="GL48" s="150"/>
      <c r="GM48" s="150"/>
      <c r="GN48" s="151"/>
      <c r="GO48" s="152"/>
      <c r="GP48" s="150"/>
      <c r="GQ48" s="150"/>
      <c r="GR48" s="150"/>
      <c r="GS48" s="150"/>
      <c r="GT48" s="150"/>
      <c r="GU48" s="151"/>
      <c r="GV48" s="152"/>
      <c r="GW48" s="150"/>
      <c r="GX48" s="150"/>
      <c r="GY48" s="150"/>
      <c r="GZ48" s="150"/>
      <c r="HA48" s="150"/>
      <c r="HB48" s="151"/>
      <c r="HC48" s="152"/>
      <c r="HD48" s="150"/>
      <c r="HE48" s="150"/>
      <c r="HF48" s="150"/>
      <c r="HG48" s="150"/>
      <c r="HH48" s="150"/>
      <c r="HI48" s="151"/>
      <c r="HJ48" s="152"/>
      <c r="HK48" s="150"/>
      <c r="HL48" s="150"/>
      <c r="HM48" s="150"/>
      <c r="HN48" s="150"/>
      <c r="HO48" s="150"/>
      <c r="HP48" s="151"/>
      <c r="HQ48" s="152"/>
      <c r="HR48" s="150"/>
      <c r="HS48" s="150"/>
      <c r="HT48" s="150"/>
      <c r="HU48" s="150"/>
      <c r="HV48" s="150"/>
      <c r="HW48" s="151"/>
      <c r="HX48" s="152"/>
      <c r="HY48" s="150"/>
      <c r="HZ48" s="150"/>
      <c r="IA48" s="150"/>
      <c r="IB48" s="150"/>
      <c r="IC48" s="150"/>
      <c r="ID48" s="151"/>
      <c r="IE48" s="152"/>
      <c r="IF48" s="150"/>
      <c r="IG48" s="150"/>
      <c r="IH48" s="150"/>
      <c r="II48" s="150"/>
      <c r="IJ48" s="150"/>
      <c r="IK48" s="151"/>
      <c r="IL48" s="152"/>
      <c r="IM48" s="150"/>
      <c r="IN48" s="150"/>
      <c r="IO48" s="150"/>
      <c r="IP48" s="150"/>
      <c r="IQ48" s="150"/>
      <c r="IR48" s="151"/>
      <c r="IS48" s="152"/>
      <c r="IT48" s="150"/>
      <c r="IU48" s="150"/>
      <c r="IV48" s="150"/>
    </row>
    <row r="49" spans="1:256" s="39" customFormat="1" ht="12.75" x14ac:dyDescent="0.2">
      <c r="A49" s="802" t="s">
        <v>471</v>
      </c>
      <c r="B49" s="803"/>
      <c r="C49" s="803"/>
      <c r="D49" s="803"/>
      <c r="E49" s="803"/>
      <c r="F49" s="803"/>
      <c r="G49" s="804"/>
      <c r="H49" s="152"/>
      <c r="I49" s="150"/>
      <c r="J49" s="150"/>
      <c r="K49" s="150"/>
      <c r="L49" s="150"/>
      <c r="M49" s="150"/>
      <c r="N49" s="151"/>
      <c r="O49" s="152"/>
      <c r="P49" s="150"/>
      <c r="Q49" s="150"/>
      <c r="R49" s="150"/>
      <c r="S49" s="150"/>
      <c r="T49" s="150"/>
      <c r="U49" s="151"/>
      <c r="V49" s="152"/>
      <c r="W49" s="150"/>
      <c r="X49" s="150"/>
      <c r="Y49" s="150"/>
      <c r="Z49" s="150"/>
      <c r="AA49" s="150"/>
      <c r="AB49" s="151"/>
      <c r="AC49" s="152"/>
      <c r="AD49" s="150"/>
      <c r="AE49" s="150"/>
      <c r="AF49" s="150"/>
      <c r="AG49" s="150"/>
      <c r="AH49" s="150"/>
      <c r="AI49" s="151"/>
      <c r="AJ49" s="152"/>
      <c r="AK49" s="150"/>
      <c r="AL49" s="150"/>
      <c r="AM49" s="150"/>
      <c r="AN49" s="150"/>
      <c r="AO49" s="150"/>
      <c r="AP49" s="151"/>
      <c r="AQ49" s="152"/>
      <c r="AR49" s="150"/>
      <c r="AS49" s="150"/>
      <c r="AT49" s="150"/>
      <c r="AU49" s="150"/>
      <c r="AV49" s="150"/>
      <c r="AW49" s="151"/>
      <c r="AX49" s="152"/>
      <c r="AY49" s="150"/>
      <c r="AZ49" s="150"/>
      <c r="BA49" s="150"/>
      <c r="BB49" s="150"/>
      <c r="BC49" s="150"/>
      <c r="BD49" s="151"/>
      <c r="BE49" s="152"/>
      <c r="BF49" s="150"/>
      <c r="BG49" s="150"/>
      <c r="BH49" s="150"/>
      <c r="BI49" s="150"/>
      <c r="BJ49" s="150"/>
      <c r="BK49" s="151"/>
      <c r="BL49" s="152"/>
      <c r="BM49" s="150"/>
      <c r="BN49" s="150"/>
      <c r="BO49" s="150"/>
      <c r="BP49" s="150"/>
      <c r="BQ49" s="150"/>
      <c r="BR49" s="151"/>
      <c r="BS49" s="152"/>
      <c r="BT49" s="150"/>
      <c r="BU49" s="150"/>
      <c r="BV49" s="150"/>
      <c r="BW49" s="150"/>
      <c r="BX49" s="150"/>
      <c r="BY49" s="151"/>
      <c r="BZ49" s="152"/>
      <c r="CA49" s="150"/>
      <c r="CB49" s="150"/>
      <c r="CC49" s="150"/>
      <c r="CD49" s="150"/>
      <c r="CE49" s="150"/>
      <c r="CF49" s="151"/>
      <c r="CG49" s="152"/>
      <c r="CH49" s="150"/>
      <c r="CI49" s="150"/>
      <c r="CJ49" s="150"/>
      <c r="CK49" s="150"/>
      <c r="CL49" s="150"/>
      <c r="CM49" s="151"/>
      <c r="CN49" s="152"/>
      <c r="CO49" s="150"/>
      <c r="CP49" s="150"/>
      <c r="CQ49" s="150"/>
      <c r="CR49" s="150"/>
      <c r="CS49" s="150"/>
      <c r="CT49" s="151"/>
      <c r="CU49" s="152"/>
      <c r="CV49" s="150"/>
      <c r="CW49" s="150"/>
      <c r="CX49" s="150"/>
      <c r="CY49" s="150"/>
      <c r="CZ49" s="150"/>
      <c r="DA49" s="151"/>
      <c r="DB49" s="152"/>
      <c r="DC49" s="150"/>
      <c r="DD49" s="150"/>
      <c r="DE49" s="150"/>
      <c r="DF49" s="150"/>
      <c r="DG49" s="150"/>
      <c r="DH49" s="151"/>
      <c r="DI49" s="152"/>
      <c r="DJ49" s="150"/>
      <c r="DK49" s="150"/>
      <c r="DL49" s="150"/>
      <c r="DM49" s="150"/>
      <c r="DN49" s="150"/>
      <c r="DO49" s="151"/>
      <c r="DP49" s="152"/>
      <c r="DQ49" s="150"/>
      <c r="DR49" s="150"/>
      <c r="DS49" s="150"/>
      <c r="DT49" s="150"/>
      <c r="DU49" s="150"/>
      <c r="DV49" s="151"/>
      <c r="DW49" s="152"/>
      <c r="DX49" s="150"/>
      <c r="DY49" s="150"/>
      <c r="DZ49" s="150"/>
      <c r="EA49" s="150"/>
      <c r="EB49" s="150"/>
      <c r="EC49" s="151"/>
      <c r="ED49" s="152"/>
      <c r="EE49" s="150"/>
      <c r="EF49" s="150"/>
      <c r="EG49" s="150"/>
      <c r="EH49" s="150"/>
      <c r="EI49" s="150"/>
      <c r="EJ49" s="151"/>
      <c r="EK49" s="152"/>
      <c r="EL49" s="150"/>
      <c r="EM49" s="150"/>
      <c r="EN49" s="150"/>
      <c r="EO49" s="150"/>
      <c r="EP49" s="150"/>
      <c r="EQ49" s="151"/>
      <c r="ER49" s="152"/>
      <c r="ES49" s="150"/>
      <c r="ET49" s="150"/>
      <c r="EU49" s="150"/>
      <c r="EV49" s="150"/>
      <c r="EW49" s="150"/>
      <c r="EX49" s="151"/>
      <c r="EY49" s="152"/>
      <c r="EZ49" s="150"/>
      <c r="FA49" s="150"/>
      <c r="FB49" s="150"/>
      <c r="FC49" s="150"/>
      <c r="FD49" s="150"/>
      <c r="FE49" s="151"/>
      <c r="FF49" s="152"/>
      <c r="FG49" s="150"/>
      <c r="FH49" s="150"/>
      <c r="FI49" s="150"/>
      <c r="FJ49" s="150"/>
      <c r="FK49" s="150"/>
      <c r="FL49" s="151"/>
      <c r="FM49" s="152"/>
      <c r="FN49" s="150"/>
      <c r="FO49" s="150"/>
      <c r="FP49" s="150"/>
      <c r="FQ49" s="150"/>
      <c r="FR49" s="150"/>
      <c r="FS49" s="151"/>
      <c r="FT49" s="152"/>
      <c r="FU49" s="150"/>
      <c r="FV49" s="150"/>
      <c r="FW49" s="150"/>
      <c r="FX49" s="150"/>
      <c r="FY49" s="150"/>
      <c r="FZ49" s="151"/>
      <c r="GA49" s="152"/>
      <c r="GB49" s="150"/>
      <c r="GC49" s="150"/>
      <c r="GD49" s="150"/>
      <c r="GE49" s="150"/>
      <c r="GF49" s="150"/>
      <c r="GG49" s="151"/>
      <c r="GH49" s="152"/>
      <c r="GI49" s="150"/>
      <c r="GJ49" s="150"/>
      <c r="GK49" s="150"/>
      <c r="GL49" s="150"/>
      <c r="GM49" s="150"/>
      <c r="GN49" s="151"/>
      <c r="GO49" s="152"/>
      <c r="GP49" s="150"/>
      <c r="GQ49" s="150"/>
      <c r="GR49" s="150"/>
      <c r="GS49" s="150"/>
      <c r="GT49" s="150"/>
      <c r="GU49" s="151"/>
      <c r="GV49" s="152"/>
      <c r="GW49" s="150"/>
      <c r="GX49" s="150"/>
      <c r="GY49" s="150"/>
      <c r="GZ49" s="150"/>
      <c r="HA49" s="150"/>
      <c r="HB49" s="151"/>
      <c r="HC49" s="152"/>
      <c r="HD49" s="150"/>
      <c r="HE49" s="150"/>
      <c r="HF49" s="150"/>
      <c r="HG49" s="150"/>
      <c r="HH49" s="150"/>
      <c r="HI49" s="151"/>
      <c r="HJ49" s="152"/>
      <c r="HK49" s="150"/>
      <c r="HL49" s="150"/>
      <c r="HM49" s="150"/>
      <c r="HN49" s="150"/>
      <c r="HO49" s="150"/>
      <c r="HP49" s="151"/>
      <c r="HQ49" s="152"/>
      <c r="HR49" s="150"/>
      <c r="HS49" s="150"/>
      <c r="HT49" s="150"/>
      <c r="HU49" s="150"/>
      <c r="HV49" s="150"/>
      <c r="HW49" s="151"/>
      <c r="HX49" s="152"/>
      <c r="HY49" s="150"/>
      <c r="HZ49" s="150"/>
      <c r="IA49" s="150"/>
      <c r="IB49" s="150"/>
      <c r="IC49" s="150"/>
      <c r="ID49" s="151"/>
      <c r="IE49" s="152"/>
      <c r="IF49" s="150"/>
      <c r="IG49" s="150"/>
      <c r="IH49" s="150"/>
      <c r="II49" s="150"/>
      <c r="IJ49" s="150"/>
      <c r="IK49" s="151"/>
      <c r="IL49" s="152"/>
      <c r="IM49" s="150"/>
      <c r="IN49" s="150"/>
      <c r="IO49" s="150"/>
      <c r="IP49" s="150"/>
      <c r="IQ49" s="150"/>
      <c r="IR49" s="151"/>
      <c r="IS49" s="152"/>
      <c r="IT49" s="150"/>
      <c r="IU49" s="150"/>
      <c r="IV49" s="150"/>
    </row>
    <row r="50" spans="1:256" s="39" customFormat="1" ht="12.75" x14ac:dyDescent="0.2">
      <c r="A50" s="802"/>
      <c r="B50" s="803"/>
      <c r="C50" s="803"/>
      <c r="D50" s="803"/>
      <c r="E50" s="803"/>
      <c r="F50" s="803"/>
      <c r="G50" s="804"/>
      <c r="H50" s="152"/>
      <c r="I50" s="150"/>
      <c r="J50" s="150"/>
      <c r="K50" s="150"/>
      <c r="L50" s="150"/>
      <c r="M50" s="150"/>
      <c r="N50" s="151"/>
      <c r="O50" s="152"/>
      <c r="P50" s="150"/>
      <c r="Q50" s="150"/>
      <c r="R50" s="150"/>
      <c r="S50" s="150"/>
      <c r="T50" s="150"/>
      <c r="U50" s="151"/>
      <c r="V50" s="152"/>
      <c r="W50" s="150"/>
      <c r="X50" s="150"/>
      <c r="Y50" s="150"/>
      <c r="Z50" s="150"/>
      <c r="AA50" s="150"/>
      <c r="AB50" s="151"/>
      <c r="AC50" s="152"/>
      <c r="AD50" s="150"/>
      <c r="AE50" s="150"/>
      <c r="AF50" s="150"/>
      <c r="AG50" s="150"/>
      <c r="AH50" s="150"/>
      <c r="AI50" s="151"/>
      <c r="AJ50" s="152"/>
      <c r="AK50" s="150"/>
      <c r="AL50" s="150"/>
      <c r="AM50" s="150"/>
      <c r="AN50" s="150"/>
      <c r="AO50" s="150"/>
      <c r="AP50" s="151"/>
      <c r="AQ50" s="152"/>
      <c r="AR50" s="150"/>
      <c r="AS50" s="150"/>
      <c r="AT50" s="150"/>
      <c r="AU50" s="150"/>
      <c r="AV50" s="150"/>
      <c r="AW50" s="151"/>
      <c r="AX50" s="152"/>
      <c r="AY50" s="150"/>
      <c r="AZ50" s="150"/>
      <c r="BA50" s="150"/>
      <c r="BB50" s="150"/>
      <c r="BC50" s="150"/>
      <c r="BD50" s="151"/>
      <c r="BE50" s="152"/>
      <c r="BF50" s="150"/>
      <c r="BG50" s="150"/>
      <c r="BH50" s="150"/>
      <c r="BI50" s="150"/>
      <c r="BJ50" s="150"/>
      <c r="BK50" s="151"/>
      <c r="BL50" s="152"/>
      <c r="BM50" s="150"/>
      <c r="BN50" s="150"/>
      <c r="BO50" s="150"/>
      <c r="BP50" s="150"/>
      <c r="BQ50" s="150"/>
      <c r="BR50" s="151"/>
      <c r="BS50" s="152"/>
      <c r="BT50" s="150"/>
      <c r="BU50" s="150"/>
      <c r="BV50" s="150"/>
      <c r="BW50" s="150"/>
      <c r="BX50" s="150"/>
      <c r="BY50" s="151"/>
      <c r="BZ50" s="152"/>
      <c r="CA50" s="150"/>
      <c r="CB50" s="150"/>
      <c r="CC50" s="150"/>
      <c r="CD50" s="150"/>
      <c r="CE50" s="150"/>
      <c r="CF50" s="151"/>
      <c r="CG50" s="152"/>
      <c r="CH50" s="150"/>
      <c r="CI50" s="150"/>
      <c r="CJ50" s="150"/>
      <c r="CK50" s="150"/>
      <c r="CL50" s="150"/>
      <c r="CM50" s="151"/>
      <c r="CN50" s="152"/>
      <c r="CO50" s="150"/>
      <c r="CP50" s="150"/>
      <c r="CQ50" s="150"/>
      <c r="CR50" s="150"/>
      <c r="CS50" s="150"/>
      <c r="CT50" s="151"/>
      <c r="CU50" s="152"/>
      <c r="CV50" s="150"/>
      <c r="CW50" s="150"/>
      <c r="CX50" s="150"/>
      <c r="CY50" s="150"/>
      <c r="CZ50" s="150"/>
      <c r="DA50" s="151"/>
      <c r="DB50" s="152"/>
      <c r="DC50" s="150"/>
      <c r="DD50" s="150"/>
      <c r="DE50" s="150"/>
      <c r="DF50" s="150"/>
      <c r="DG50" s="150"/>
      <c r="DH50" s="151"/>
      <c r="DI50" s="152"/>
      <c r="DJ50" s="150"/>
      <c r="DK50" s="150"/>
      <c r="DL50" s="150"/>
      <c r="DM50" s="150"/>
      <c r="DN50" s="150"/>
      <c r="DO50" s="151"/>
      <c r="DP50" s="152"/>
      <c r="DQ50" s="150"/>
      <c r="DR50" s="150"/>
      <c r="DS50" s="150"/>
      <c r="DT50" s="150"/>
      <c r="DU50" s="150"/>
      <c r="DV50" s="151"/>
      <c r="DW50" s="152"/>
      <c r="DX50" s="150"/>
      <c r="DY50" s="150"/>
      <c r="DZ50" s="150"/>
      <c r="EA50" s="150"/>
      <c r="EB50" s="150"/>
      <c r="EC50" s="151"/>
      <c r="ED50" s="152"/>
      <c r="EE50" s="150"/>
      <c r="EF50" s="150"/>
      <c r="EG50" s="150"/>
      <c r="EH50" s="150"/>
      <c r="EI50" s="150"/>
      <c r="EJ50" s="151"/>
      <c r="EK50" s="152"/>
      <c r="EL50" s="150"/>
      <c r="EM50" s="150"/>
      <c r="EN50" s="150"/>
      <c r="EO50" s="150"/>
      <c r="EP50" s="150"/>
      <c r="EQ50" s="151"/>
      <c r="ER50" s="152"/>
      <c r="ES50" s="150"/>
      <c r="ET50" s="150"/>
      <c r="EU50" s="150"/>
      <c r="EV50" s="150"/>
      <c r="EW50" s="150"/>
      <c r="EX50" s="151"/>
      <c r="EY50" s="152"/>
      <c r="EZ50" s="150"/>
      <c r="FA50" s="150"/>
      <c r="FB50" s="150"/>
      <c r="FC50" s="150"/>
      <c r="FD50" s="150"/>
      <c r="FE50" s="151"/>
      <c r="FF50" s="152"/>
      <c r="FG50" s="150"/>
      <c r="FH50" s="150"/>
      <c r="FI50" s="150"/>
      <c r="FJ50" s="150"/>
      <c r="FK50" s="150"/>
      <c r="FL50" s="151"/>
      <c r="FM50" s="152"/>
      <c r="FN50" s="150"/>
      <c r="FO50" s="150"/>
      <c r="FP50" s="150"/>
      <c r="FQ50" s="150"/>
      <c r="FR50" s="150"/>
      <c r="FS50" s="151"/>
      <c r="FT50" s="152"/>
      <c r="FU50" s="150"/>
      <c r="FV50" s="150"/>
      <c r="FW50" s="150"/>
      <c r="FX50" s="150"/>
      <c r="FY50" s="150"/>
      <c r="FZ50" s="151"/>
      <c r="GA50" s="152"/>
      <c r="GB50" s="150"/>
      <c r="GC50" s="150"/>
      <c r="GD50" s="150"/>
      <c r="GE50" s="150"/>
      <c r="GF50" s="150"/>
      <c r="GG50" s="151"/>
      <c r="GH50" s="152"/>
      <c r="GI50" s="150"/>
      <c r="GJ50" s="150"/>
      <c r="GK50" s="150"/>
      <c r="GL50" s="150"/>
      <c r="GM50" s="150"/>
      <c r="GN50" s="151"/>
      <c r="GO50" s="152"/>
      <c r="GP50" s="150"/>
      <c r="GQ50" s="150"/>
      <c r="GR50" s="150"/>
      <c r="GS50" s="150"/>
      <c r="GT50" s="150"/>
      <c r="GU50" s="151"/>
      <c r="GV50" s="152"/>
      <c r="GW50" s="150"/>
      <c r="GX50" s="150"/>
      <c r="GY50" s="150"/>
      <c r="GZ50" s="150"/>
      <c r="HA50" s="150"/>
      <c r="HB50" s="151"/>
      <c r="HC50" s="152"/>
      <c r="HD50" s="150"/>
      <c r="HE50" s="150"/>
      <c r="HF50" s="150"/>
      <c r="HG50" s="150"/>
      <c r="HH50" s="150"/>
      <c r="HI50" s="151"/>
      <c r="HJ50" s="152"/>
      <c r="HK50" s="150"/>
      <c r="HL50" s="150"/>
      <c r="HM50" s="150"/>
      <c r="HN50" s="150"/>
      <c r="HO50" s="150"/>
      <c r="HP50" s="151"/>
      <c r="HQ50" s="152"/>
      <c r="HR50" s="150"/>
      <c r="HS50" s="150"/>
      <c r="HT50" s="150"/>
      <c r="HU50" s="150"/>
      <c r="HV50" s="150"/>
      <c r="HW50" s="151"/>
      <c r="HX50" s="152"/>
      <c r="HY50" s="150"/>
      <c r="HZ50" s="150"/>
      <c r="IA50" s="150"/>
      <c r="IB50" s="150"/>
      <c r="IC50" s="150"/>
      <c r="ID50" s="151"/>
      <c r="IE50" s="152"/>
      <c r="IF50" s="150"/>
      <c r="IG50" s="150"/>
      <c r="IH50" s="150"/>
      <c r="II50" s="150"/>
      <c r="IJ50" s="150"/>
      <c r="IK50" s="151"/>
      <c r="IL50" s="152"/>
      <c r="IM50" s="150"/>
      <c r="IN50" s="150"/>
      <c r="IO50" s="150"/>
      <c r="IP50" s="150"/>
      <c r="IQ50" s="150"/>
      <c r="IR50" s="151"/>
      <c r="IS50" s="152"/>
      <c r="IT50" s="150"/>
      <c r="IU50" s="150"/>
      <c r="IV50" s="150"/>
    </row>
    <row r="51" spans="1:256" s="39" customFormat="1" ht="12.75" x14ac:dyDescent="0.2">
      <c r="A51" s="152"/>
      <c r="B51" s="150"/>
      <c r="C51" s="150"/>
      <c r="D51" s="150"/>
      <c r="E51" s="150"/>
      <c r="F51" s="150"/>
      <c r="G51" s="151"/>
      <c r="H51" s="152"/>
      <c r="I51" s="150"/>
      <c r="J51" s="150"/>
      <c r="K51" s="150"/>
      <c r="L51" s="150"/>
      <c r="M51" s="150"/>
      <c r="N51" s="151"/>
      <c r="O51" s="152"/>
      <c r="P51" s="150"/>
      <c r="Q51" s="150"/>
      <c r="R51" s="150"/>
      <c r="S51" s="150"/>
      <c r="T51" s="150"/>
      <c r="U51" s="151"/>
      <c r="V51" s="152"/>
      <c r="W51" s="150"/>
      <c r="X51" s="150"/>
      <c r="Y51" s="150"/>
      <c r="Z51" s="150"/>
      <c r="AA51" s="150"/>
      <c r="AB51" s="151"/>
      <c r="AC51" s="152"/>
      <c r="AD51" s="150"/>
      <c r="AE51" s="150"/>
      <c r="AF51" s="150"/>
      <c r="AG51" s="150"/>
      <c r="AH51" s="150"/>
      <c r="AI51" s="151"/>
      <c r="AJ51" s="152"/>
      <c r="AK51" s="150"/>
      <c r="AL51" s="150"/>
      <c r="AM51" s="150"/>
      <c r="AN51" s="150"/>
      <c r="AO51" s="150"/>
      <c r="AP51" s="151"/>
      <c r="AQ51" s="152"/>
      <c r="AR51" s="150"/>
      <c r="AS51" s="150"/>
      <c r="AT51" s="150"/>
      <c r="AU51" s="150"/>
      <c r="AV51" s="150"/>
      <c r="AW51" s="151"/>
      <c r="AX51" s="152"/>
      <c r="AY51" s="150"/>
      <c r="AZ51" s="150"/>
      <c r="BA51" s="150"/>
      <c r="BB51" s="150"/>
      <c r="BC51" s="150"/>
      <c r="BD51" s="151"/>
      <c r="BE51" s="152"/>
      <c r="BF51" s="150"/>
      <c r="BG51" s="150"/>
      <c r="BH51" s="150"/>
      <c r="BI51" s="150"/>
      <c r="BJ51" s="150"/>
      <c r="BK51" s="151"/>
      <c r="BL51" s="152"/>
      <c r="BM51" s="150"/>
      <c r="BN51" s="150"/>
      <c r="BO51" s="150"/>
      <c r="BP51" s="150"/>
      <c r="BQ51" s="150"/>
      <c r="BR51" s="151"/>
      <c r="BS51" s="152"/>
      <c r="BT51" s="150"/>
      <c r="BU51" s="150"/>
      <c r="BV51" s="150"/>
      <c r="BW51" s="150"/>
      <c r="BX51" s="150"/>
      <c r="BY51" s="151"/>
      <c r="BZ51" s="152"/>
      <c r="CA51" s="150"/>
      <c r="CB51" s="150"/>
      <c r="CC51" s="150"/>
      <c r="CD51" s="150"/>
      <c r="CE51" s="150"/>
      <c r="CF51" s="151"/>
      <c r="CG51" s="152"/>
      <c r="CH51" s="150"/>
      <c r="CI51" s="150"/>
      <c r="CJ51" s="150"/>
      <c r="CK51" s="150"/>
      <c r="CL51" s="150"/>
      <c r="CM51" s="151"/>
      <c r="CN51" s="152"/>
      <c r="CO51" s="150"/>
      <c r="CP51" s="150"/>
      <c r="CQ51" s="150"/>
      <c r="CR51" s="150"/>
      <c r="CS51" s="150"/>
      <c r="CT51" s="151"/>
      <c r="CU51" s="152"/>
      <c r="CV51" s="150"/>
      <c r="CW51" s="150"/>
      <c r="CX51" s="150"/>
      <c r="CY51" s="150"/>
      <c r="CZ51" s="150"/>
      <c r="DA51" s="151"/>
      <c r="DB51" s="152"/>
      <c r="DC51" s="150"/>
      <c r="DD51" s="150"/>
      <c r="DE51" s="150"/>
      <c r="DF51" s="150"/>
      <c r="DG51" s="150"/>
      <c r="DH51" s="151"/>
      <c r="DI51" s="152"/>
      <c r="DJ51" s="150"/>
      <c r="DK51" s="150"/>
      <c r="DL51" s="150"/>
      <c r="DM51" s="150"/>
      <c r="DN51" s="150"/>
      <c r="DO51" s="151"/>
      <c r="DP51" s="152"/>
      <c r="DQ51" s="150"/>
      <c r="DR51" s="150"/>
      <c r="DS51" s="150"/>
      <c r="DT51" s="150"/>
      <c r="DU51" s="150"/>
      <c r="DV51" s="151"/>
      <c r="DW51" s="152"/>
      <c r="DX51" s="150"/>
      <c r="DY51" s="150"/>
      <c r="DZ51" s="150"/>
      <c r="EA51" s="150"/>
      <c r="EB51" s="150"/>
      <c r="EC51" s="151"/>
      <c r="ED51" s="152"/>
      <c r="EE51" s="150"/>
      <c r="EF51" s="150"/>
      <c r="EG51" s="150"/>
      <c r="EH51" s="150"/>
      <c r="EI51" s="150"/>
      <c r="EJ51" s="151"/>
      <c r="EK51" s="152"/>
      <c r="EL51" s="150"/>
      <c r="EM51" s="150"/>
      <c r="EN51" s="150"/>
      <c r="EO51" s="150"/>
      <c r="EP51" s="150"/>
      <c r="EQ51" s="151"/>
      <c r="ER51" s="152"/>
      <c r="ES51" s="150"/>
      <c r="ET51" s="150"/>
      <c r="EU51" s="150"/>
      <c r="EV51" s="150"/>
      <c r="EW51" s="150"/>
      <c r="EX51" s="151"/>
      <c r="EY51" s="152"/>
      <c r="EZ51" s="150"/>
      <c r="FA51" s="150"/>
      <c r="FB51" s="150"/>
      <c r="FC51" s="150"/>
      <c r="FD51" s="150"/>
      <c r="FE51" s="151"/>
      <c r="FF51" s="152"/>
      <c r="FG51" s="150"/>
      <c r="FH51" s="150"/>
      <c r="FI51" s="150"/>
      <c r="FJ51" s="150"/>
      <c r="FK51" s="150"/>
      <c r="FL51" s="151"/>
      <c r="FM51" s="152"/>
      <c r="FN51" s="150"/>
      <c r="FO51" s="150"/>
      <c r="FP51" s="150"/>
      <c r="FQ51" s="150"/>
      <c r="FR51" s="150"/>
      <c r="FS51" s="151"/>
      <c r="FT51" s="152"/>
      <c r="FU51" s="150"/>
      <c r="FV51" s="150"/>
      <c r="FW51" s="150"/>
      <c r="FX51" s="150"/>
      <c r="FY51" s="150"/>
      <c r="FZ51" s="151"/>
      <c r="GA51" s="152"/>
      <c r="GB51" s="150"/>
      <c r="GC51" s="150"/>
      <c r="GD51" s="150"/>
      <c r="GE51" s="150"/>
      <c r="GF51" s="150"/>
      <c r="GG51" s="151"/>
      <c r="GH51" s="152"/>
      <c r="GI51" s="150"/>
      <c r="GJ51" s="150"/>
      <c r="GK51" s="150"/>
      <c r="GL51" s="150"/>
      <c r="GM51" s="150"/>
      <c r="GN51" s="151"/>
      <c r="GO51" s="152"/>
      <c r="GP51" s="150"/>
      <c r="GQ51" s="150"/>
      <c r="GR51" s="150"/>
      <c r="GS51" s="150"/>
      <c r="GT51" s="150"/>
      <c r="GU51" s="151"/>
      <c r="GV51" s="152"/>
      <c r="GW51" s="150"/>
      <c r="GX51" s="150"/>
      <c r="GY51" s="150"/>
      <c r="GZ51" s="150"/>
      <c r="HA51" s="150"/>
      <c r="HB51" s="151"/>
      <c r="HC51" s="152"/>
      <c r="HD51" s="150"/>
      <c r="HE51" s="150"/>
      <c r="HF51" s="150"/>
      <c r="HG51" s="150"/>
      <c r="HH51" s="150"/>
      <c r="HI51" s="151"/>
      <c r="HJ51" s="152"/>
      <c r="HK51" s="150"/>
      <c r="HL51" s="150"/>
      <c r="HM51" s="150"/>
      <c r="HN51" s="150"/>
      <c r="HO51" s="150"/>
      <c r="HP51" s="151"/>
      <c r="HQ51" s="152"/>
      <c r="HR51" s="150"/>
      <c r="HS51" s="150"/>
      <c r="HT51" s="150"/>
      <c r="HU51" s="150"/>
      <c r="HV51" s="150"/>
      <c r="HW51" s="151"/>
      <c r="HX51" s="152"/>
      <c r="HY51" s="150"/>
      <c r="HZ51" s="150"/>
      <c r="IA51" s="150"/>
      <c r="IB51" s="150"/>
      <c r="IC51" s="150"/>
      <c r="ID51" s="151"/>
      <c r="IE51" s="152"/>
      <c r="IF51" s="150"/>
      <c r="IG51" s="150"/>
      <c r="IH51" s="150"/>
      <c r="II51" s="150"/>
      <c r="IJ51" s="150"/>
      <c r="IK51" s="151"/>
      <c r="IL51" s="152"/>
      <c r="IM51" s="150"/>
      <c r="IN51" s="150"/>
      <c r="IO51" s="150"/>
      <c r="IP51" s="150"/>
      <c r="IQ51" s="150"/>
      <c r="IR51" s="151"/>
      <c r="IS51" s="152"/>
      <c r="IT51" s="150"/>
      <c r="IU51" s="150"/>
      <c r="IV51" s="150"/>
    </row>
    <row r="52" spans="1:256" s="39" customFormat="1" ht="15.75" x14ac:dyDescent="0.25">
      <c r="A52" s="182" t="s">
        <v>31</v>
      </c>
      <c r="B52" s="150"/>
      <c r="C52" s="150"/>
      <c r="D52" s="150"/>
      <c r="E52" s="150"/>
      <c r="F52" s="150"/>
      <c r="G52" s="151"/>
      <c r="H52" s="152"/>
      <c r="I52" s="150"/>
      <c r="J52" s="150"/>
      <c r="K52" s="150"/>
      <c r="L52" s="150"/>
      <c r="M52" s="150"/>
      <c r="N52" s="151"/>
      <c r="O52" s="152"/>
      <c r="P52" s="150"/>
      <c r="Q52" s="150"/>
      <c r="R52" s="150"/>
      <c r="S52" s="150"/>
      <c r="T52" s="150"/>
      <c r="U52" s="151"/>
      <c r="V52" s="152"/>
      <c r="W52" s="150"/>
      <c r="X52" s="150"/>
      <c r="Y52" s="150"/>
      <c r="Z52" s="150"/>
      <c r="AA52" s="150"/>
      <c r="AB52" s="151"/>
      <c r="AC52" s="152"/>
      <c r="AD52" s="150"/>
      <c r="AE52" s="150"/>
      <c r="AF52" s="150"/>
      <c r="AG52" s="150"/>
      <c r="AH52" s="150"/>
      <c r="AI52" s="151"/>
      <c r="AJ52" s="152"/>
      <c r="AK52" s="150"/>
      <c r="AL52" s="150"/>
      <c r="AM52" s="150"/>
      <c r="AN52" s="150"/>
      <c r="AO52" s="150"/>
      <c r="AP52" s="151"/>
      <c r="AQ52" s="152"/>
      <c r="AR52" s="150"/>
      <c r="AS52" s="150"/>
      <c r="AT52" s="150"/>
      <c r="AU52" s="150"/>
      <c r="AV52" s="150"/>
      <c r="AW52" s="151"/>
      <c r="AX52" s="152"/>
      <c r="AY52" s="150"/>
      <c r="AZ52" s="150"/>
      <c r="BA52" s="150"/>
      <c r="BB52" s="150"/>
      <c r="BC52" s="150"/>
      <c r="BD52" s="151"/>
      <c r="BE52" s="152"/>
      <c r="BF52" s="150"/>
      <c r="BG52" s="150"/>
      <c r="BH52" s="150"/>
      <c r="BI52" s="150"/>
      <c r="BJ52" s="150"/>
      <c r="BK52" s="151"/>
      <c r="BL52" s="152"/>
      <c r="BM52" s="150"/>
      <c r="BN52" s="150"/>
      <c r="BO52" s="150"/>
      <c r="BP52" s="150"/>
      <c r="BQ52" s="150"/>
      <c r="BR52" s="151"/>
      <c r="BS52" s="152"/>
      <c r="BT52" s="150"/>
      <c r="BU52" s="150"/>
      <c r="BV52" s="150"/>
      <c r="BW52" s="150"/>
      <c r="BX52" s="150"/>
      <c r="BY52" s="151"/>
      <c r="BZ52" s="152"/>
      <c r="CA52" s="150"/>
      <c r="CB52" s="150"/>
      <c r="CC52" s="150"/>
      <c r="CD52" s="150"/>
      <c r="CE52" s="150"/>
      <c r="CF52" s="151"/>
      <c r="CG52" s="152"/>
      <c r="CH52" s="150"/>
      <c r="CI52" s="150"/>
      <c r="CJ52" s="150"/>
      <c r="CK52" s="150"/>
      <c r="CL52" s="150"/>
      <c r="CM52" s="151"/>
      <c r="CN52" s="152"/>
      <c r="CO52" s="150"/>
      <c r="CP52" s="150"/>
      <c r="CQ52" s="150"/>
      <c r="CR52" s="150"/>
      <c r="CS52" s="150"/>
      <c r="CT52" s="151"/>
      <c r="CU52" s="152"/>
      <c r="CV52" s="150"/>
      <c r="CW52" s="150"/>
      <c r="CX52" s="150"/>
      <c r="CY52" s="150"/>
      <c r="CZ52" s="150"/>
      <c r="DA52" s="151"/>
      <c r="DB52" s="152"/>
      <c r="DC52" s="150"/>
      <c r="DD52" s="150"/>
      <c r="DE52" s="150"/>
      <c r="DF52" s="150"/>
      <c r="DG52" s="150"/>
      <c r="DH52" s="151"/>
      <c r="DI52" s="152"/>
      <c r="DJ52" s="150"/>
      <c r="DK52" s="150"/>
      <c r="DL52" s="150"/>
      <c r="DM52" s="150"/>
      <c r="DN52" s="150"/>
      <c r="DO52" s="151"/>
      <c r="DP52" s="152"/>
      <c r="DQ52" s="150"/>
      <c r="DR52" s="150"/>
      <c r="DS52" s="150"/>
      <c r="DT52" s="150"/>
      <c r="DU52" s="150"/>
      <c r="DV52" s="151"/>
      <c r="DW52" s="152"/>
      <c r="DX52" s="150"/>
      <c r="DY52" s="150"/>
      <c r="DZ52" s="150"/>
      <c r="EA52" s="150"/>
      <c r="EB52" s="150"/>
      <c r="EC52" s="151"/>
      <c r="ED52" s="152"/>
      <c r="EE52" s="150"/>
      <c r="EF52" s="150"/>
      <c r="EG52" s="150"/>
      <c r="EH52" s="150"/>
      <c r="EI52" s="150"/>
      <c r="EJ52" s="151"/>
      <c r="EK52" s="152"/>
      <c r="EL52" s="150"/>
      <c r="EM52" s="150"/>
      <c r="EN52" s="150"/>
      <c r="EO52" s="150"/>
      <c r="EP52" s="150"/>
      <c r="EQ52" s="151"/>
      <c r="ER52" s="152"/>
      <c r="ES52" s="150"/>
      <c r="ET52" s="150"/>
      <c r="EU52" s="150"/>
      <c r="EV52" s="150"/>
      <c r="EW52" s="150"/>
      <c r="EX52" s="151"/>
      <c r="EY52" s="152"/>
      <c r="EZ52" s="150"/>
      <c r="FA52" s="150"/>
      <c r="FB52" s="150"/>
      <c r="FC52" s="150"/>
      <c r="FD52" s="150"/>
      <c r="FE52" s="151"/>
      <c r="FF52" s="152"/>
      <c r="FG52" s="150"/>
      <c r="FH52" s="150"/>
      <c r="FI52" s="150"/>
      <c r="FJ52" s="150"/>
      <c r="FK52" s="150"/>
      <c r="FL52" s="151"/>
      <c r="FM52" s="152"/>
      <c r="FN52" s="150"/>
      <c r="FO52" s="150"/>
      <c r="FP52" s="150"/>
      <c r="FQ52" s="150"/>
      <c r="FR52" s="150"/>
      <c r="FS52" s="151"/>
      <c r="FT52" s="152"/>
      <c r="FU52" s="150"/>
      <c r="FV52" s="150"/>
      <c r="FW52" s="150"/>
      <c r="FX52" s="150"/>
      <c r="FY52" s="150"/>
      <c r="FZ52" s="151"/>
      <c r="GA52" s="152"/>
      <c r="GB52" s="150"/>
      <c r="GC52" s="150"/>
      <c r="GD52" s="150"/>
      <c r="GE52" s="150"/>
      <c r="GF52" s="150"/>
      <c r="GG52" s="151"/>
      <c r="GH52" s="152"/>
      <c r="GI52" s="150"/>
      <c r="GJ52" s="150"/>
      <c r="GK52" s="150"/>
      <c r="GL52" s="150"/>
      <c r="GM52" s="150"/>
      <c r="GN52" s="151"/>
      <c r="GO52" s="152"/>
      <c r="GP52" s="150"/>
      <c r="GQ52" s="150"/>
      <c r="GR52" s="150"/>
      <c r="GS52" s="150"/>
      <c r="GT52" s="150"/>
      <c r="GU52" s="151"/>
      <c r="GV52" s="152"/>
      <c r="GW52" s="150"/>
      <c r="GX52" s="150"/>
      <c r="GY52" s="150"/>
      <c r="GZ52" s="150"/>
      <c r="HA52" s="150"/>
      <c r="HB52" s="151"/>
      <c r="HC52" s="152"/>
      <c r="HD52" s="150"/>
      <c r="HE52" s="150"/>
      <c r="HF52" s="150"/>
      <c r="HG52" s="150"/>
      <c r="HH52" s="150"/>
      <c r="HI52" s="151"/>
      <c r="HJ52" s="152"/>
      <c r="HK52" s="150"/>
      <c r="HL52" s="150"/>
      <c r="HM52" s="150"/>
      <c r="HN52" s="150"/>
      <c r="HO52" s="150"/>
      <c r="HP52" s="151"/>
      <c r="HQ52" s="152"/>
      <c r="HR52" s="150"/>
      <c r="HS52" s="150"/>
      <c r="HT52" s="150"/>
      <c r="HU52" s="150"/>
      <c r="HV52" s="150"/>
      <c r="HW52" s="151"/>
      <c r="HX52" s="152"/>
      <c r="HY52" s="150"/>
      <c r="HZ52" s="150"/>
      <c r="IA52" s="150"/>
      <c r="IB52" s="150"/>
      <c r="IC52" s="150"/>
      <c r="ID52" s="151"/>
      <c r="IE52" s="152"/>
      <c r="IF52" s="150"/>
      <c r="IG52" s="150"/>
      <c r="IH52" s="150"/>
      <c r="II52" s="150"/>
      <c r="IJ52" s="150"/>
      <c r="IK52" s="151"/>
      <c r="IL52" s="152"/>
      <c r="IM52" s="150"/>
      <c r="IN52" s="150"/>
      <c r="IO52" s="150"/>
      <c r="IP52" s="150"/>
      <c r="IQ52" s="150"/>
      <c r="IR52" s="151"/>
      <c r="IS52" s="152"/>
      <c r="IT52" s="150"/>
      <c r="IU52" s="150"/>
      <c r="IV52" s="150"/>
    </row>
    <row r="53" spans="1:256" x14ac:dyDescent="0.2">
      <c r="A53" s="152"/>
      <c r="B53" s="150"/>
      <c r="C53" s="150"/>
      <c r="D53" s="150"/>
      <c r="E53" s="150"/>
      <c r="F53" s="150"/>
      <c r="G53" s="151"/>
      <c r="H53" s="152"/>
      <c r="I53" s="150"/>
      <c r="J53" s="150"/>
      <c r="K53" s="150"/>
      <c r="L53" s="150"/>
      <c r="M53" s="150"/>
      <c r="N53" s="151"/>
      <c r="O53" s="152"/>
      <c r="P53" s="150"/>
      <c r="Q53" s="150"/>
      <c r="R53" s="150"/>
      <c r="S53" s="150"/>
      <c r="T53" s="150"/>
      <c r="U53" s="151"/>
      <c r="V53" s="152"/>
      <c r="W53" s="150"/>
      <c r="X53" s="150"/>
      <c r="Y53" s="150"/>
      <c r="Z53" s="150"/>
      <c r="AA53" s="150"/>
      <c r="AB53" s="151"/>
      <c r="AC53" s="152"/>
      <c r="AD53" s="150"/>
      <c r="AE53" s="150"/>
      <c r="AF53" s="150"/>
      <c r="AG53" s="150"/>
      <c r="AH53" s="150"/>
      <c r="AI53" s="151"/>
      <c r="AJ53" s="152"/>
      <c r="AK53" s="150"/>
      <c r="AL53" s="150"/>
      <c r="AM53" s="150"/>
      <c r="AN53" s="150"/>
      <c r="AO53" s="150"/>
      <c r="AP53" s="151"/>
      <c r="AQ53" s="152"/>
      <c r="AR53" s="150"/>
      <c r="AS53" s="150"/>
      <c r="AT53" s="150"/>
      <c r="AU53" s="150"/>
      <c r="AV53" s="150"/>
      <c r="AW53" s="151"/>
      <c r="AX53" s="152"/>
      <c r="AY53" s="150"/>
      <c r="AZ53" s="150"/>
      <c r="BA53" s="150"/>
      <c r="BB53" s="150"/>
      <c r="BC53" s="150"/>
      <c r="BD53" s="151"/>
      <c r="BE53" s="152"/>
      <c r="BF53" s="150"/>
      <c r="BG53" s="150"/>
      <c r="BH53" s="150"/>
      <c r="BI53" s="150"/>
      <c r="BJ53" s="150"/>
      <c r="BK53" s="151"/>
      <c r="BL53" s="152"/>
      <c r="BM53" s="150"/>
      <c r="BN53" s="150"/>
      <c r="BO53" s="150"/>
      <c r="BP53" s="150"/>
      <c r="BQ53" s="150"/>
      <c r="BR53" s="151"/>
      <c r="BS53" s="152"/>
      <c r="BT53" s="150"/>
      <c r="BU53" s="150"/>
      <c r="BV53" s="150"/>
      <c r="BW53" s="150"/>
      <c r="BX53" s="150"/>
      <c r="BY53" s="151"/>
      <c r="BZ53" s="152"/>
      <c r="CA53" s="150"/>
      <c r="CB53" s="150"/>
      <c r="CC53" s="150"/>
      <c r="CD53" s="150"/>
      <c r="CE53" s="150"/>
      <c r="CF53" s="151"/>
      <c r="CG53" s="152"/>
      <c r="CH53" s="150"/>
      <c r="CI53" s="150"/>
      <c r="CJ53" s="150"/>
      <c r="CK53" s="150"/>
      <c r="CL53" s="150"/>
      <c r="CM53" s="151"/>
      <c r="CN53" s="152"/>
      <c r="CO53" s="150"/>
      <c r="CP53" s="150"/>
      <c r="CQ53" s="150"/>
      <c r="CR53" s="150"/>
      <c r="CS53" s="150"/>
      <c r="CT53" s="151"/>
      <c r="CU53" s="152"/>
      <c r="CV53" s="150"/>
      <c r="CW53" s="150"/>
      <c r="CX53" s="150"/>
      <c r="CY53" s="150"/>
      <c r="CZ53" s="150"/>
      <c r="DA53" s="151"/>
      <c r="DB53" s="152"/>
      <c r="DC53" s="150"/>
      <c r="DD53" s="150"/>
      <c r="DE53" s="150"/>
      <c r="DF53" s="150"/>
      <c r="DG53" s="150"/>
      <c r="DH53" s="151"/>
      <c r="DI53" s="152"/>
      <c r="DJ53" s="150"/>
      <c r="DK53" s="150"/>
      <c r="DL53" s="150"/>
      <c r="DM53" s="150"/>
      <c r="DN53" s="150"/>
      <c r="DO53" s="151"/>
      <c r="DP53" s="152"/>
      <c r="DQ53" s="150"/>
      <c r="DR53" s="150"/>
      <c r="DS53" s="150"/>
      <c r="DT53" s="150"/>
      <c r="DU53" s="150"/>
      <c r="DV53" s="151"/>
      <c r="DW53" s="152"/>
      <c r="DX53" s="150"/>
      <c r="DY53" s="150"/>
      <c r="DZ53" s="150"/>
      <c r="EA53" s="150"/>
      <c r="EB53" s="150"/>
      <c r="EC53" s="151"/>
      <c r="ED53" s="152"/>
      <c r="EE53" s="150"/>
      <c r="EF53" s="150"/>
      <c r="EG53" s="150"/>
      <c r="EH53" s="150"/>
      <c r="EI53" s="150"/>
      <c r="EJ53" s="151"/>
      <c r="EK53" s="152"/>
      <c r="EL53" s="150"/>
      <c r="EM53" s="150"/>
      <c r="EN53" s="150"/>
      <c r="EO53" s="150"/>
      <c r="EP53" s="150"/>
      <c r="EQ53" s="151"/>
      <c r="ER53" s="152"/>
      <c r="ES53" s="150"/>
      <c r="ET53" s="150"/>
      <c r="EU53" s="150"/>
      <c r="EV53" s="150"/>
      <c r="EW53" s="150"/>
      <c r="EX53" s="151"/>
      <c r="EY53" s="152"/>
      <c r="EZ53" s="150"/>
      <c r="FA53" s="150"/>
      <c r="FB53" s="150"/>
      <c r="FC53" s="150"/>
      <c r="FD53" s="150"/>
      <c r="FE53" s="151"/>
      <c r="FF53" s="152"/>
      <c r="FG53" s="150"/>
      <c r="FH53" s="150"/>
      <c r="FI53" s="150"/>
      <c r="FJ53" s="150"/>
      <c r="FK53" s="150"/>
      <c r="FL53" s="151"/>
      <c r="FM53" s="152"/>
      <c r="FN53" s="150"/>
      <c r="FO53" s="150"/>
      <c r="FP53" s="150"/>
      <c r="FQ53" s="150"/>
      <c r="FR53" s="150"/>
      <c r="FS53" s="151"/>
      <c r="FT53" s="152"/>
      <c r="FU53" s="150"/>
      <c r="FV53" s="150"/>
      <c r="FW53" s="150"/>
      <c r="FX53" s="150"/>
      <c r="FY53" s="150"/>
      <c r="FZ53" s="151"/>
      <c r="GA53" s="152"/>
      <c r="GB53" s="150"/>
      <c r="GC53" s="150"/>
      <c r="GD53" s="150"/>
      <c r="GE53" s="150"/>
      <c r="GF53" s="150"/>
      <c r="GG53" s="151"/>
      <c r="GH53" s="152"/>
      <c r="GI53" s="150"/>
      <c r="GJ53" s="150"/>
      <c r="GK53" s="150"/>
      <c r="GL53" s="150"/>
      <c r="GM53" s="150"/>
      <c r="GN53" s="151"/>
      <c r="GO53" s="152"/>
      <c r="GP53" s="150"/>
      <c r="GQ53" s="150"/>
      <c r="GR53" s="150"/>
      <c r="GS53" s="150"/>
      <c r="GT53" s="150"/>
      <c r="GU53" s="151"/>
      <c r="GV53" s="152"/>
      <c r="GW53" s="150"/>
      <c r="GX53" s="150"/>
      <c r="GY53" s="150"/>
      <c r="GZ53" s="150"/>
      <c r="HA53" s="150"/>
      <c r="HB53" s="151"/>
      <c r="HC53" s="152"/>
      <c r="HD53" s="150"/>
      <c r="HE53" s="150"/>
      <c r="HF53" s="150"/>
      <c r="HG53" s="150"/>
      <c r="HH53" s="150"/>
      <c r="HI53" s="151"/>
      <c r="HJ53" s="152"/>
      <c r="HK53" s="150"/>
      <c r="HL53" s="150"/>
      <c r="HM53" s="150"/>
      <c r="HN53" s="150"/>
      <c r="HO53" s="150"/>
      <c r="HP53" s="151"/>
      <c r="HQ53" s="152"/>
      <c r="HR53" s="150"/>
      <c r="HS53" s="150"/>
      <c r="HT53" s="150"/>
      <c r="HU53" s="150"/>
      <c r="HV53" s="150"/>
      <c r="HW53" s="151"/>
      <c r="HX53" s="152"/>
      <c r="HY53" s="150"/>
      <c r="HZ53" s="150"/>
      <c r="IA53" s="150"/>
      <c r="IB53" s="150"/>
      <c r="IC53" s="150"/>
      <c r="ID53" s="151"/>
      <c r="IE53" s="152"/>
      <c r="IF53" s="150"/>
      <c r="IG53" s="150"/>
      <c r="IH53" s="150"/>
      <c r="II53" s="150"/>
      <c r="IJ53" s="150"/>
      <c r="IK53" s="151"/>
      <c r="IL53" s="152"/>
      <c r="IM53" s="150"/>
      <c r="IN53" s="150"/>
      <c r="IO53" s="150"/>
      <c r="IP53" s="150"/>
      <c r="IQ53" s="150"/>
      <c r="IR53" s="151"/>
      <c r="IS53" s="152"/>
      <c r="IT53" s="150"/>
      <c r="IU53" s="150"/>
      <c r="IV53" s="150"/>
    </row>
    <row r="54" spans="1:256" ht="12.75" x14ac:dyDescent="0.2">
      <c r="A54" s="211" t="s">
        <v>503</v>
      </c>
      <c r="B54" s="150"/>
      <c r="C54" s="150"/>
      <c r="D54" s="150"/>
      <c r="E54" s="150"/>
      <c r="F54" s="150"/>
      <c r="G54" s="151"/>
      <c r="H54" s="159"/>
      <c r="I54" s="150"/>
      <c r="J54" s="150"/>
      <c r="K54" s="150"/>
      <c r="L54" s="150"/>
      <c r="M54" s="150"/>
      <c r="N54" s="151"/>
      <c r="O54" s="159"/>
      <c r="P54" s="150"/>
      <c r="Q54" s="150"/>
      <c r="R54" s="150"/>
      <c r="S54" s="150"/>
      <c r="T54" s="150"/>
      <c r="U54" s="151"/>
      <c r="V54" s="159"/>
      <c r="W54" s="150"/>
      <c r="X54" s="150"/>
      <c r="Y54" s="150"/>
      <c r="Z54" s="150"/>
      <c r="AA54" s="150"/>
      <c r="AB54" s="151"/>
      <c r="AC54" s="159"/>
      <c r="AD54" s="150"/>
      <c r="AE54" s="150"/>
      <c r="AF54" s="150"/>
      <c r="AG54" s="150"/>
      <c r="AH54" s="150"/>
      <c r="AI54" s="151"/>
      <c r="AJ54" s="159"/>
      <c r="AK54" s="150"/>
      <c r="AL54" s="150"/>
      <c r="AM54" s="150"/>
      <c r="AN54" s="150"/>
      <c r="AO54" s="150"/>
      <c r="AP54" s="151"/>
      <c r="AQ54" s="159"/>
      <c r="AR54" s="150"/>
      <c r="AS54" s="150"/>
      <c r="AT54" s="150"/>
      <c r="AU54" s="150"/>
      <c r="AV54" s="150"/>
      <c r="AW54" s="151"/>
      <c r="AX54" s="159"/>
      <c r="AY54" s="150"/>
      <c r="AZ54" s="150"/>
      <c r="BA54" s="150"/>
      <c r="BB54" s="150"/>
      <c r="BC54" s="150"/>
      <c r="BD54" s="151"/>
      <c r="BE54" s="159"/>
      <c r="BF54" s="150"/>
      <c r="BG54" s="150"/>
      <c r="BH54" s="150"/>
      <c r="BI54" s="150"/>
      <c r="BJ54" s="150"/>
      <c r="BK54" s="151"/>
      <c r="BL54" s="159"/>
      <c r="BM54" s="150"/>
      <c r="BN54" s="150"/>
      <c r="BO54" s="150"/>
      <c r="BP54" s="150"/>
      <c r="BQ54" s="150"/>
      <c r="BR54" s="151"/>
      <c r="BS54" s="159"/>
      <c r="BT54" s="150"/>
      <c r="BU54" s="150"/>
      <c r="BV54" s="150"/>
      <c r="BW54" s="150"/>
      <c r="BX54" s="150"/>
      <c r="BY54" s="151"/>
      <c r="BZ54" s="159"/>
      <c r="CA54" s="150"/>
      <c r="CB54" s="150"/>
      <c r="CC54" s="150"/>
      <c r="CD54" s="150"/>
      <c r="CE54" s="150"/>
      <c r="CF54" s="151"/>
      <c r="CG54" s="159"/>
      <c r="CH54" s="150"/>
      <c r="CI54" s="150"/>
      <c r="CJ54" s="150"/>
      <c r="CK54" s="150"/>
      <c r="CL54" s="150"/>
      <c r="CM54" s="151"/>
      <c r="CN54" s="159"/>
      <c r="CO54" s="150"/>
      <c r="CP54" s="150"/>
      <c r="CQ54" s="150"/>
      <c r="CR54" s="150"/>
      <c r="CS54" s="150"/>
      <c r="CT54" s="151"/>
      <c r="CU54" s="159"/>
      <c r="CV54" s="150"/>
      <c r="CW54" s="150"/>
      <c r="CX54" s="150"/>
      <c r="CY54" s="150"/>
      <c r="CZ54" s="150"/>
      <c r="DA54" s="151"/>
      <c r="DB54" s="159"/>
      <c r="DC54" s="150"/>
      <c r="DD54" s="150"/>
      <c r="DE54" s="150"/>
      <c r="DF54" s="150"/>
      <c r="DG54" s="150"/>
      <c r="DH54" s="151"/>
      <c r="DI54" s="159"/>
      <c r="DJ54" s="150"/>
      <c r="DK54" s="150"/>
      <c r="DL54" s="150"/>
      <c r="DM54" s="150"/>
      <c r="DN54" s="150"/>
      <c r="DO54" s="151"/>
      <c r="DP54" s="159"/>
      <c r="DQ54" s="150"/>
      <c r="DR54" s="150"/>
      <c r="DS54" s="150"/>
      <c r="DT54" s="150"/>
      <c r="DU54" s="150"/>
      <c r="DV54" s="151"/>
      <c r="DW54" s="159"/>
      <c r="DX54" s="150"/>
      <c r="DY54" s="150"/>
      <c r="DZ54" s="150"/>
      <c r="EA54" s="150"/>
      <c r="EB54" s="150"/>
      <c r="EC54" s="151"/>
      <c r="ED54" s="159"/>
      <c r="EE54" s="150"/>
      <c r="EF54" s="150"/>
      <c r="EG54" s="150"/>
      <c r="EH54" s="150"/>
      <c r="EI54" s="150"/>
      <c r="EJ54" s="151"/>
      <c r="EK54" s="159"/>
      <c r="EL54" s="150"/>
      <c r="EM54" s="150"/>
      <c r="EN54" s="150"/>
      <c r="EO54" s="150"/>
      <c r="EP54" s="150"/>
      <c r="EQ54" s="151"/>
      <c r="ER54" s="159"/>
      <c r="ES54" s="150"/>
      <c r="ET54" s="150"/>
      <c r="EU54" s="150"/>
      <c r="EV54" s="150"/>
      <c r="EW54" s="150"/>
      <c r="EX54" s="151"/>
      <c r="EY54" s="159"/>
      <c r="EZ54" s="150"/>
      <c r="FA54" s="150"/>
      <c r="FB54" s="150"/>
      <c r="FC54" s="150"/>
      <c r="FD54" s="150"/>
      <c r="FE54" s="151"/>
      <c r="FF54" s="159"/>
      <c r="FG54" s="150"/>
      <c r="FH54" s="150"/>
      <c r="FI54" s="150"/>
      <c r="FJ54" s="150"/>
      <c r="FK54" s="150"/>
      <c r="FL54" s="151"/>
      <c r="FM54" s="159"/>
      <c r="FN54" s="150"/>
      <c r="FO54" s="150"/>
      <c r="FP54" s="150"/>
      <c r="FQ54" s="150"/>
      <c r="FR54" s="150"/>
      <c r="FS54" s="151"/>
      <c r="FT54" s="159"/>
      <c r="FU54" s="150"/>
      <c r="FV54" s="150"/>
      <c r="FW54" s="150"/>
      <c r="FX54" s="150"/>
      <c r="FY54" s="150"/>
      <c r="FZ54" s="151"/>
      <c r="GA54" s="159"/>
      <c r="GB54" s="150"/>
      <c r="GC54" s="150"/>
      <c r="GD54" s="150"/>
      <c r="GE54" s="150"/>
      <c r="GF54" s="150"/>
      <c r="GG54" s="151"/>
      <c r="GH54" s="159"/>
      <c r="GI54" s="150"/>
      <c r="GJ54" s="150"/>
      <c r="GK54" s="150"/>
      <c r="GL54" s="150"/>
      <c r="GM54" s="150"/>
      <c r="GN54" s="151"/>
      <c r="GO54" s="159"/>
      <c r="GP54" s="150"/>
      <c r="GQ54" s="150"/>
      <c r="GR54" s="150"/>
      <c r="GS54" s="150"/>
      <c r="GT54" s="150"/>
      <c r="GU54" s="151"/>
      <c r="GV54" s="159"/>
      <c r="GW54" s="150"/>
      <c r="GX54" s="150"/>
      <c r="GY54" s="150"/>
      <c r="GZ54" s="150"/>
      <c r="HA54" s="150"/>
      <c r="HB54" s="151"/>
      <c r="HC54" s="159"/>
      <c r="HD54" s="150"/>
      <c r="HE54" s="150"/>
      <c r="HF54" s="150"/>
      <c r="HG54" s="150"/>
      <c r="HH54" s="150"/>
      <c r="HI54" s="151"/>
      <c r="HJ54" s="159"/>
      <c r="HK54" s="150"/>
      <c r="HL54" s="150"/>
      <c r="HM54" s="150"/>
      <c r="HN54" s="150"/>
      <c r="HO54" s="150"/>
      <c r="HP54" s="151"/>
      <c r="HQ54" s="159"/>
      <c r="HR54" s="150"/>
      <c r="HS54" s="150"/>
      <c r="HT54" s="150"/>
      <c r="HU54" s="150"/>
      <c r="HV54" s="150"/>
      <c r="HW54" s="151"/>
      <c r="HX54" s="159"/>
      <c r="HY54" s="150"/>
      <c r="HZ54" s="150"/>
      <c r="IA54" s="150"/>
      <c r="IB54" s="150"/>
      <c r="IC54" s="150"/>
      <c r="ID54" s="151"/>
      <c r="IE54" s="159"/>
      <c r="IF54" s="150"/>
      <c r="IG54" s="150"/>
      <c r="IH54" s="150"/>
      <c r="II54" s="150"/>
      <c r="IJ54" s="150"/>
      <c r="IK54" s="151"/>
      <c r="IL54" s="159"/>
      <c r="IM54" s="150"/>
      <c r="IN54" s="150"/>
      <c r="IO54" s="150"/>
      <c r="IP54" s="150"/>
      <c r="IQ54" s="150"/>
      <c r="IR54" s="151"/>
      <c r="IS54" s="159"/>
      <c r="IT54" s="150"/>
      <c r="IU54" s="150"/>
      <c r="IV54" s="150"/>
    </row>
    <row r="55" spans="1:256" ht="12.75" x14ac:dyDescent="0.2">
      <c r="A55" s="212" t="s">
        <v>504</v>
      </c>
      <c r="B55" s="150"/>
      <c r="C55" s="150"/>
      <c r="D55" s="150"/>
      <c r="E55" s="150"/>
      <c r="F55" s="150"/>
      <c r="G55" s="151"/>
      <c r="H55" s="160"/>
      <c r="I55" s="150"/>
      <c r="J55" s="150"/>
      <c r="K55" s="150"/>
      <c r="L55" s="150"/>
      <c r="M55" s="150"/>
      <c r="N55" s="151"/>
      <c r="O55" s="160"/>
      <c r="P55" s="150"/>
      <c r="Q55" s="150"/>
      <c r="R55" s="150"/>
      <c r="S55" s="150"/>
      <c r="T55" s="150"/>
      <c r="U55" s="151"/>
      <c r="V55" s="160"/>
      <c r="W55" s="150"/>
      <c r="X55" s="150"/>
      <c r="Y55" s="150"/>
      <c r="Z55" s="150"/>
      <c r="AA55" s="150"/>
      <c r="AB55" s="151"/>
      <c r="AC55" s="160"/>
      <c r="AD55" s="150"/>
      <c r="AE55" s="150"/>
      <c r="AF55" s="150"/>
      <c r="AG55" s="150"/>
      <c r="AH55" s="150"/>
      <c r="AI55" s="151"/>
      <c r="AJ55" s="160"/>
      <c r="AK55" s="150"/>
      <c r="AL55" s="150"/>
      <c r="AM55" s="150"/>
      <c r="AN55" s="150"/>
      <c r="AO55" s="150"/>
      <c r="AP55" s="151"/>
      <c r="AQ55" s="160"/>
      <c r="AR55" s="150"/>
      <c r="AS55" s="150"/>
      <c r="AT55" s="150"/>
      <c r="AU55" s="150"/>
      <c r="AV55" s="150"/>
      <c r="AW55" s="151"/>
      <c r="AX55" s="160"/>
      <c r="AY55" s="150"/>
      <c r="AZ55" s="150"/>
      <c r="BA55" s="150"/>
      <c r="BB55" s="150"/>
      <c r="BC55" s="150"/>
      <c r="BD55" s="151"/>
      <c r="BE55" s="160"/>
      <c r="BF55" s="150"/>
      <c r="BG55" s="150"/>
      <c r="BH55" s="150"/>
      <c r="BI55" s="150"/>
      <c r="BJ55" s="150"/>
      <c r="BK55" s="151"/>
      <c r="BL55" s="160"/>
      <c r="BM55" s="150"/>
      <c r="BN55" s="150"/>
      <c r="BO55" s="150"/>
      <c r="BP55" s="150"/>
      <c r="BQ55" s="150"/>
      <c r="BR55" s="151"/>
      <c r="BS55" s="160"/>
      <c r="BT55" s="150"/>
      <c r="BU55" s="150"/>
      <c r="BV55" s="150"/>
      <c r="BW55" s="150"/>
      <c r="BX55" s="150"/>
      <c r="BY55" s="151"/>
      <c r="BZ55" s="160"/>
      <c r="CA55" s="150"/>
      <c r="CB55" s="150"/>
      <c r="CC55" s="150"/>
      <c r="CD55" s="150"/>
      <c r="CE55" s="150"/>
      <c r="CF55" s="151"/>
      <c r="CG55" s="160"/>
      <c r="CH55" s="150"/>
      <c r="CI55" s="150"/>
      <c r="CJ55" s="150"/>
      <c r="CK55" s="150"/>
      <c r="CL55" s="150"/>
      <c r="CM55" s="151"/>
      <c r="CN55" s="160"/>
      <c r="CO55" s="150"/>
      <c r="CP55" s="150"/>
      <c r="CQ55" s="150"/>
      <c r="CR55" s="150"/>
      <c r="CS55" s="150"/>
      <c r="CT55" s="151"/>
      <c r="CU55" s="160"/>
      <c r="CV55" s="150"/>
      <c r="CW55" s="150"/>
      <c r="CX55" s="150"/>
      <c r="CY55" s="150"/>
      <c r="CZ55" s="150"/>
      <c r="DA55" s="151"/>
      <c r="DB55" s="160"/>
      <c r="DC55" s="150"/>
      <c r="DD55" s="150"/>
      <c r="DE55" s="150"/>
      <c r="DF55" s="150"/>
      <c r="DG55" s="150"/>
      <c r="DH55" s="151"/>
      <c r="DI55" s="160"/>
      <c r="DJ55" s="150"/>
      <c r="DK55" s="150"/>
      <c r="DL55" s="150"/>
      <c r="DM55" s="150"/>
      <c r="DN55" s="150"/>
      <c r="DO55" s="151"/>
      <c r="DP55" s="160"/>
      <c r="DQ55" s="150"/>
      <c r="DR55" s="150"/>
      <c r="DS55" s="150"/>
      <c r="DT55" s="150"/>
      <c r="DU55" s="150"/>
      <c r="DV55" s="151"/>
      <c r="DW55" s="160"/>
      <c r="DX55" s="150"/>
      <c r="DY55" s="150"/>
      <c r="DZ55" s="150"/>
      <c r="EA55" s="150"/>
      <c r="EB55" s="150"/>
      <c r="EC55" s="151"/>
      <c r="ED55" s="160"/>
      <c r="EE55" s="150"/>
      <c r="EF55" s="150"/>
      <c r="EG55" s="150"/>
      <c r="EH55" s="150"/>
      <c r="EI55" s="150"/>
      <c r="EJ55" s="151"/>
      <c r="EK55" s="160"/>
      <c r="EL55" s="150"/>
      <c r="EM55" s="150"/>
      <c r="EN55" s="150"/>
      <c r="EO55" s="150"/>
      <c r="EP55" s="150"/>
      <c r="EQ55" s="151"/>
      <c r="ER55" s="160"/>
      <c r="ES55" s="150"/>
      <c r="ET55" s="150"/>
      <c r="EU55" s="150"/>
      <c r="EV55" s="150"/>
      <c r="EW55" s="150"/>
      <c r="EX55" s="151"/>
      <c r="EY55" s="160"/>
      <c r="EZ55" s="150"/>
      <c r="FA55" s="150"/>
      <c r="FB55" s="150"/>
      <c r="FC55" s="150"/>
      <c r="FD55" s="150"/>
      <c r="FE55" s="151"/>
      <c r="FF55" s="160"/>
      <c r="FG55" s="150"/>
      <c r="FH55" s="150"/>
      <c r="FI55" s="150"/>
      <c r="FJ55" s="150"/>
      <c r="FK55" s="150"/>
      <c r="FL55" s="151"/>
      <c r="FM55" s="160"/>
      <c r="FN55" s="150"/>
      <c r="FO55" s="150"/>
      <c r="FP55" s="150"/>
      <c r="FQ55" s="150"/>
      <c r="FR55" s="150"/>
      <c r="FS55" s="151"/>
      <c r="FT55" s="160"/>
      <c r="FU55" s="150"/>
      <c r="FV55" s="150"/>
      <c r="FW55" s="150"/>
      <c r="FX55" s="150"/>
      <c r="FY55" s="150"/>
      <c r="FZ55" s="151"/>
      <c r="GA55" s="160"/>
      <c r="GB55" s="150"/>
      <c r="GC55" s="150"/>
      <c r="GD55" s="150"/>
      <c r="GE55" s="150"/>
      <c r="GF55" s="150"/>
      <c r="GG55" s="151"/>
      <c r="GH55" s="160"/>
      <c r="GI55" s="150"/>
      <c r="GJ55" s="150"/>
      <c r="GK55" s="150"/>
      <c r="GL55" s="150"/>
      <c r="GM55" s="150"/>
      <c r="GN55" s="151"/>
      <c r="GO55" s="160"/>
      <c r="GP55" s="150"/>
      <c r="GQ55" s="150"/>
      <c r="GR55" s="150"/>
      <c r="GS55" s="150"/>
      <c r="GT55" s="150"/>
      <c r="GU55" s="151"/>
      <c r="GV55" s="160"/>
      <c r="GW55" s="150"/>
      <c r="GX55" s="150"/>
      <c r="GY55" s="150"/>
      <c r="GZ55" s="150"/>
      <c r="HA55" s="150"/>
      <c r="HB55" s="151"/>
      <c r="HC55" s="160"/>
      <c r="HD55" s="150"/>
      <c r="HE55" s="150"/>
      <c r="HF55" s="150"/>
      <c r="HG55" s="150"/>
      <c r="HH55" s="150"/>
      <c r="HI55" s="151"/>
      <c r="HJ55" s="160"/>
      <c r="HK55" s="150"/>
      <c r="HL55" s="150"/>
      <c r="HM55" s="150"/>
      <c r="HN55" s="150"/>
      <c r="HO55" s="150"/>
      <c r="HP55" s="151"/>
      <c r="HQ55" s="160"/>
      <c r="HR55" s="150"/>
      <c r="HS55" s="150"/>
      <c r="HT55" s="150"/>
      <c r="HU55" s="150"/>
      <c r="HV55" s="150"/>
      <c r="HW55" s="151"/>
      <c r="HX55" s="160"/>
      <c r="HY55" s="150"/>
      <c r="HZ55" s="150"/>
      <c r="IA55" s="150"/>
      <c r="IB55" s="150"/>
      <c r="IC55" s="150"/>
      <c r="ID55" s="151"/>
      <c r="IE55" s="160"/>
      <c r="IF55" s="150"/>
      <c r="IG55" s="150"/>
      <c r="IH55" s="150"/>
      <c r="II55" s="150"/>
      <c r="IJ55" s="150"/>
      <c r="IK55" s="151"/>
      <c r="IL55" s="160"/>
      <c r="IM55" s="150"/>
      <c r="IN55" s="150"/>
      <c r="IO55" s="150"/>
      <c r="IP55" s="150"/>
      <c r="IQ55" s="150"/>
      <c r="IR55" s="151"/>
      <c r="IS55" s="160"/>
      <c r="IT55" s="150"/>
      <c r="IU55" s="150"/>
      <c r="IV55" s="150"/>
    </row>
    <row r="56" spans="1:256" ht="12.75" x14ac:dyDescent="0.2">
      <c r="A56" s="211" t="s">
        <v>505</v>
      </c>
      <c r="B56" s="150"/>
      <c r="C56" s="150"/>
      <c r="D56" s="150"/>
      <c r="E56" s="150"/>
      <c r="F56" s="150"/>
      <c r="G56" s="151"/>
      <c r="H56" s="152"/>
      <c r="I56" s="150"/>
      <c r="J56" s="150"/>
      <c r="K56" s="150"/>
      <c r="L56" s="150"/>
      <c r="M56" s="150"/>
      <c r="N56" s="151"/>
      <c r="O56" s="152"/>
      <c r="P56" s="150"/>
      <c r="Q56" s="150"/>
      <c r="R56" s="150"/>
      <c r="S56" s="150"/>
      <c r="T56" s="150"/>
      <c r="U56" s="151"/>
      <c r="V56" s="152"/>
      <c r="W56" s="150"/>
      <c r="X56" s="150"/>
      <c r="Y56" s="150"/>
      <c r="Z56" s="150"/>
      <c r="AA56" s="150"/>
      <c r="AB56" s="151"/>
      <c r="AC56" s="152"/>
      <c r="AD56" s="150"/>
      <c r="AE56" s="150"/>
      <c r="AF56" s="150"/>
      <c r="AG56" s="150"/>
      <c r="AH56" s="150"/>
      <c r="AI56" s="151"/>
      <c r="AJ56" s="152"/>
      <c r="AK56" s="150"/>
      <c r="AL56" s="150"/>
      <c r="AM56" s="150"/>
      <c r="AN56" s="150"/>
      <c r="AO56" s="150"/>
      <c r="AP56" s="151"/>
      <c r="AQ56" s="152"/>
      <c r="AR56" s="150"/>
      <c r="AS56" s="150"/>
      <c r="AT56" s="150"/>
      <c r="AU56" s="150"/>
      <c r="AV56" s="150"/>
      <c r="AW56" s="151"/>
      <c r="AX56" s="152"/>
      <c r="AY56" s="150"/>
      <c r="AZ56" s="150"/>
      <c r="BA56" s="150"/>
      <c r="BB56" s="150"/>
      <c r="BC56" s="150"/>
      <c r="BD56" s="151"/>
      <c r="BE56" s="152"/>
      <c r="BF56" s="150"/>
      <c r="BG56" s="150"/>
      <c r="BH56" s="150"/>
      <c r="BI56" s="150"/>
      <c r="BJ56" s="150"/>
      <c r="BK56" s="151"/>
      <c r="BL56" s="152"/>
      <c r="BM56" s="150"/>
      <c r="BN56" s="150"/>
      <c r="BO56" s="150"/>
      <c r="BP56" s="150"/>
      <c r="BQ56" s="150"/>
      <c r="BR56" s="151"/>
      <c r="BS56" s="152"/>
      <c r="BT56" s="150"/>
      <c r="BU56" s="150"/>
      <c r="BV56" s="150"/>
      <c r="BW56" s="150"/>
      <c r="BX56" s="150"/>
      <c r="BY56" s="151"/>
      <c r="BZ56" s="152"/>
      <c r="CA56" s="150"/>
      <c r="CB56" s="150"/>
      <c r="CC56" s="150"/>
      <c r="CD56" s="150"/>
      <c r="CE56" s="150"/>
      <c r="CF56" s="151"/>
      <c r="CG56" s="152"/>
      <c r="CH56" s="150"/>
      <c r="CI56" s="150"/>
      <c r="CJ56" s="150"/>
      <c r="CK56" s="150"/>
      <c r="CL56" s="150"/>
      <c r="CM56" s="151"/>
      <c r="CN56" s="152"/>
      <c r="CO56" s="150"/>
      <c r="CP56" s="150"/>
      <c r="CQ56" s="150"/>
      <c r="CR56" s="150"/>
      <c r="CS56" s="150"/>
      <c r="CT56" s="151"/>
      <c r="CU56" s="152"/>
      <c r="CV56" s="150"/>
      <c r="CW56" s="150"/>
      <c r="CX56" s="150"/>
      <c r="CY56" s="150"/>
      <c r="CZ56" s="150"/>
      <c r="DA56" s="151"/>
      <c r="DB56" s="152"/>
      <c r="DC56" s="150"/>
      <c r="DD56" s="150"/>
      <c r="DE56" s="150"/>
      <c r="DF56" s="150"/>
      <c r="DG56" s="150"/>
      <c r="DH56" s="151"/>
      <c r="DI56" s="152"/>
      <c r="DJ56" s="150"/>
      <c r="DK56" s="150"/>
      <c r="DL56" s="150"/>
      <c r="DM56" s="150"/>
      <c r="DN56" s="150"/>
      <c r="DO56" s="151"/>
      <c r="DP56" s="152"/>
      <c r="DQ56" s="150"/>
      <c r="DR56" s="150"/>
      <c r="DS56" s="150"/>
      <c r="DT56" s="150"/>
      <c r="DU56" s="150"/>
      <c r="DV56" s="151"/>
      <c r="DW56" s="152"/>
      <c r="DX56" s="150"/>
      <c r="DY56" s="150"/>
      <c r="DZ56" s="150"/>
      <c r="EA56" s="150"/>
      <c r="EB56" s="150"/>
      <c r="EC56" s="151"/>
      <c r="ED56" s="152"/>
      <c r="EE56" s="150"/>
      <c r="EF56" s="150"/>
      <c r="EG56" s="150"/>
      <c r="EH56" s="150"/>
      <c r="EI56" s="150"/>
      <c r="EJ56" s="151"/>
      <c r="EK56" s="152"/>
      <c r="EL56" s="150"/>
      <c r="EM56" s="150"/>
      <c r="EN56" s="150"/>
      <c r="EO56" s="150"/>
      <c r="EP56" s="150"/>
      <c r="EQ56" s="151"/>
      <c r="ER56" s="152"/>
      <c r="ES56" s="150"/>
      <c r="ET56" s="150"/>
      <c r="EU56" s="150"/>
      <c r="EV56" s="150"/>
      <c r="EW56" s="150"/>
      <c r="EX56" s="151"/>
      <c r="EY56" s="152"/>
      <c r="EZ56" s="150"/>
      <c r="FA56" s="150"/>
      <c r="FB56" s="150"/>
      <c r="FC56" s="150"/>
      <c r="FD56" s="150"/>
      <c r="FE56" s="151"/>
      <c r="FF56" s="152"/>
      <c r="FG56" s="150"/>
      <c r="FH56" s="150"/>
      <c r="FI56" s="150"/>
      <c r="FJ56" s="150"/>
      <c r="FK56" s="150"/>
      <c r="FL56" s="151"/>
      <c r="FM56" s="152"/>
      <c r="FN56" s="150"/>
      <c r="FO56" s="150"/>
      <c r="FP56" s="150"/>
      <c r="FQ56" s="150"/>
      <c r="FR56" s="150"/>
      <c r="FS56" s="151"/>
      <c r="FT56" s="152"/>
      <c r="FU56" s="150"/>
      <c r="FV56" s="150"/>
      <c r="FW56" s="150"/>
      <c r="FX56" s="150"/>
      <c r="FY56" s="150"/>
      <c r="FZ56" s="151"/>
      <c r="GA56" s="152"/>
      <c r="GB56" s="150"/>
      <c r="GC56" s="150"/>
      <c r="GD56" s="150"/>
      <c r="GE56" s="150"/>
      <c r="GF56" s="150"/>
      <c r="GG56" s="151"/>
      <c r="GH56" s="152"/>
      <c r="GI56" s="150"/>
      <c r="GJ56" s="150"/>
      <c r="GK56" s="150"/>
      <c r="GL56" s="150"/>
      <c r="GM56" s="150"/>
      <c r="GN56" s="151"/>
      <c r="GO56" s="152"/>
      <c r="GP56" s="150"/>
      <c r="GQ56" s="150"/>
      <c r="GR56" s="150"/>
      <c r="GS56" s="150"/>
      <c r="GT56" s="150"/>
      <c r="GU56" s="151"/>
      <c r="GV56" s="152"/>
      <c r="GW56" s="150"/>
      <c r="GX56" s="150"/>
      <c r="GY56" s="150"/>
      <c r="GZ56" s="150"/>
      <c r="HA56" s="150"/>
      <c r="HB56" s="151"/>
      <c r="HC56" s="152"/>
      <c r="HD56" s="150"/>
      <c r="HE56" s="150"/>
      <c r="HF56" s="150"/>
      <c r="HG56" s="150"/>
      <c r="HH56" s="150"/>
      <c r="HI56" s="151"/>
      <c r="HJ56" s="152"/>
      <c r="HK56" s="150"/>
      <c r="HL56" s="150"/>
      <c r="HM56" s="150"/>
      <c r="HN56" s="150"/>
      <c r="HO56" s="150"/>
      <c r="HP56" s="151"/>
      <c r="HQ56" s="152"/>
      <c r="HR56" s="150"/>
      <c r="HS56" s="150"/>
      <c r="HT56" s="150"/>
      <c r="HU56" s="150"/>
      <c r="HV56" s="150"/>
      <c r="HW56" s="151"/>
      <c r="HX56" s="152"/>
      <c r="HY56" s="150"/>
      <c r="HZ56" s="150"/>
      <c r="IA56" s="150"/>
      <c r="IB56" s="150"/>
      <c r="IC56" s="150"/>
      <c r="ID56" s="151"/>
      <c r="IE56" s="152"/>
      <c r="IF56" s="150"/>
      <c r="IG56" s="150"/>
      <c r="IH56" s="150"/>
      <c r="II56" s="150"/>
      <c r="IJ56" s="150"/>
      <c r="IK56" s="151"/>
      <c r="IL56" s="152"/>
      <c r="IM56" s="150"/>
      <c r="IN56" s="150"/>
      <c r="IO56" s="150"/>
      <c r="IP56" s="150"/>
      <c r="IQ56" s="150"/>
      <c r="IR56" s="151"/>
      <c r="IS56" s="152"/>
      <c r="IT56" s="150"/>
      <c r="IU56" s="150"/>
      <c r="IV56" s="150"/>
    </row>
    <row r="57" spans="1:256" x14ac:dyDescent="0.2">
      <c r="A57" s="152"/>
      <c r="B57" s="150"/>
      <c r="C57" s="150"/>
      <c r="D57" s="150"/>
      <c r="E57" s="150"/>
      <c r="F57" s="150"/>
      <c r="G57" s="151"/>
      <c r="H57" s="152"/>
      <c r="I57" s="150"/>
      <c r="J57" s="150"/>
      <c r="K57" s="150"/>
      <c r="L57" s="150"/>
      <c r="M57" s="150"/>
      <c r="N57" s="151"/>
      <c r="O57" s="152"/>
      <c r="P57" s="150"/>
      <c r="Q57" s="150"/>
      <c r="R57" s="150"/>
      <c r="S57" s="150"/>
      <c r="T57" s="150"/>
      <c r="U57" s="151"/>
      <c r="V57" s="152"/>
      <c r="W57" s="150"/>
      <c r="X57" s="150"/>
      <c r="Y57" s="150"/>
      <c r="Z57" s="150"/>
      <c r="AA57" s="150"/>
      <c r="AB57" s="151"/>
      <c r="AC57" s="152"/>
      <c r="AD57" s="150"/>
      <c r="AE57" s="150"/>
      <c r="AF57" s="150"/>
      <c r="AG57" s="150"/>
      <c r="AH57" s="150"/>
      <c r="AI57" s="151"/>
      <c r="AJ57" s="152"/>
      <c r="AK57" s="150"/>
      <c r="AL57" s="150"/>
      <c r="AM57" s="150"/>
      <c r="AN57" s="150"/>
      <c r="AO57" s="150"/>
      <c r="AP57" s="151"/>
      <c r="AQ57" s="152"/>
      <c r="AR57" s="150"/>
      <c r="AS57" s="150"/>
      <c r="AT57" s="150"/>
      <c r="AU57" s="150"/>
      <c r="AV57" s="150"/>
      <c r="AW57" s="151"/>
      <c r="AX57" s="152"/>
      <c r="AY57" s="150"/>
      <c r="AZ57" s="150"/>
      <c r="BA57" s="150"/>
      <c r="BB57" s="150"/>
      <c r="BC57" s="150"/>
      <c r="BD57" s="151"/>
      <c r="BE57" s="152"/>
      <c r="BF57" s="150"/>
      <c r="BG57" s="150"/>
      <c r="BH57" s="150"/>
      <c r="BI57" s="150"/>
      <c r="BJ57" s="150"/>
      <c r="BK57" s="151"/>
      <c r="BL57" s="152"/>
      <c r="BM57" s="150"/>
      <c r="BN57" s="150"/>
      <c r="BO57" s="150"/>
      <c r="BP57" s="150"/>
      <c r="BQ57" s="150"/>
      <c r="BR57" s="151"/>
      <c r="BS57" s="152"/>
      <c r="BT57" s="150"/>
      <c r="BU57" s="150"/>
      <c r="BV57" s="150"/>
      <c r="BW57" s="150"/>
      <c r="BX57" s="150"/>
      <c r="BY57" s="151"/>
      <c r="BZ57" s="152"/>
      <c r="CA57" s="150"/>
      <c r="CB57" s="150"/>
      <c r="CC57" s="150"/>
      <c r="CD57" s="150"/>
      <c r="CE57" s="150"/>
      <c r="CF57" s="151"/>
      <c r="CG57" s="152"/>
      <c r="CH57" s="150"/>
      <c r="CI57" s="150"/>
      <c r="CJ57" s="150"/>
      <c r="CK57" s="150"/>
      <c r="CL57" s="150"/>
      <c r="CM57" s="151"/>
      <c r="CN57" s="152"/>
      <c r="CO57" s="150"/>
      <c r="CP57" s="150"/>
      <c r="CQ57" s="150"/>
      <c r="CR57" s="150"/>
      <c r="CS57" s="150"/>
      <c r="CT57" s="151"/>
      <c r="CU57" s="152"/>
      <c r="CV57" s="150"/>
      <c r="CW57" s="150"/>
      <c r="CX57" s="150"/>
      <c r="CY57" s="150"/>
      <c r="CZ57" s="150"/>
      <c r="DA57" s="151"/>
      <c r="DB57" s="152"/>
      <c r="DC57" s="150"/>
      <c r="DD57" s="150"/>
      <c r="DE57" s="150"/>
      <c r="DF57" s="150"/>
      <c r="DG57" s="150"/>
      <c r="DH57" s="151"/>
      <c r="DI57" s="152"/>
      <c r="DJ57" s="150"/>
      <c r="DK57" s="150"/>
      <c r="DL57" s="150"/>
      <c r="DM57" s="150"/>
      <c r="DN57" s="150"/>
      <c r="DO57" s="151"/>
      <c r="DP57" s="152"/>
      <c r="DQ57" s="150"/>
      <c r="DR57" s="150"/>
      <c r="DS57" s="150"/>
      <c r="DT57" s="150"/>
      <c r="DU57" s="150"/>
      <c r="DV57" s="151"/>
      <c r="DW57" s="152"/>
      <c r="DX57" s="150"/>
      <c r="DY57" s="150"/>
      <c r="DZ57" s="150"/>
      <c r="EA57" s="150"/>
      <c r="EB57" s="150"/>
      <c r="EC57" s="151"/>
      <c r="ED57" s="152"/>
      <c r="EE57" s="150"/>
      <c r="EF57" s="150"/>
      <c r="EG57" s="150"/>
      <c r="EH57" s="150"/>
      <c r="EI57" s="150"/>
      <c r="EJ57" s="151"/>
      <c r="EK57" s="152"/>
      <c r="EL57" s="150"/>
      <c r="EM57" s="150"/>
      <c r="EN57" s="150"/>
      <c r="EO57" s="150"/>
      <c r="EP57" s="150"/>
      <c r="EQ57" s="151"/>
      <c r="ER57" s="152"/>
      <c r="ES57" s="150"/>
      <c r="ET57" s="150"/>
      <c r="EU57" s="150"/>
      <c r="EV57" s="150"/>
      <c r="EW57" s="150"/>
      <c r="EX57" s="151"/>
      <c r="EY57" s="152"/>
      <c r="EZ57" s="150"/>
      <c r="FA57" s="150"/>
      <c r="FB57" s="150"/>
      <c r="FC57" s="150"/>
      <c r="FD57" s="150"/>
      <c r="FE57" s="151"/>
      <c r="FF57" s="152"/>
      <c r="FG57" s="150"/>
      <c r="FH57" s="150"/>
      <c r="FI57" s="150"/>
      <c r="FJ57" s="150"/>
      <c r="FK57" s="150"/>
      <c r="FL57" s="151"/>
      <c r="FM57" s="152"/>
      <c r="FN57" s="150"/>
      <c r="FO57" s="150"/>
      <c r="FP57" s="150"/>
      <c r="FQ57" s="150"/>
      <c r="FR57" s="150"/>
      <c r="FS57" s="151"/>
      <c r="FT57" s="152"/>
      <c r="FU57" s="150"/>
      <c r="FV57" s="150"/>
      <c r="FW57" s="150"/>
      <c r="FX57" s="150"/>
      <c r="FY57" s="150"/>
      <c r="FZ57" s="151"/>
      <c r="GA57" s="152"/>
      <c r="GB57" s="150"/>
      <c r="GC57" s="150"/>
      <c r="GD57" s="150"/>
      <c r="GE57" s="150"/>
      <c r="GF57" s="150"/>
      <c r="GG57" s="151"/>
      <c r="GH57" s="152"/>
      <c r="GI57" s="150"/>
      <c r="GJ57" s="150"/>
      <c r="GK57" s="150"/>
      <c r="GL57" s="150"/>
      <c r="GM57" s="150"/>
      <c r="GN57" s="151"/>
      <c r="GO57" s="152"/>
      <c r="GP57" s="150"/>
      <c r="GQ57" s="150"/>
      <c r="GR57" s="150"/>
      <c r="GS57" s="150"/>
      <c r="GT57" s="150"/>
      <c r="GU57" s="151"/>
      <c r="GV57" s="152"/>
      <c r="GW57" s="150"/>
      <c r="GX57" s="150"/>
      <c r="GY57" s="150"/>
      <c r="GZ57" s="150"/>
      <c r="HA57" s="150"/>
      <c r="HB57" s="151"/>
      <c r="HC57" s="152"/>
      <c r="HD57" s="150"/>
      <c r="HE57" s="150"/>
      <c r="HF57" s="150"/>
      <c r="HG57" s="150"/>
      <c r="HH57" s="150"/>
      <c r="HI57" s="151"/>
      <c r="HJ57" s="152"/>
      <c r="HK57" s="150"/>
      <c r="HL57" s="150"/>
      <c r="HM57" s="150"/>
      <c r="HN57" s="150"/>
      <c r="HO57" s="150"/>
      <c r="HP57" s="151"/>
      <c r="HQ57" s="152"/>
      <c r="HR57" s="150"/>
      <c r="HS57" s="150"/>
      <c r="HT57" s="150"/>
      <c r="HU57" s="150"/>
      <c r="HV57" s="150"/>
      <c r="HW57" s="151"/>
      <c r="HX57" s="152"/>
      <c r="HY57" s="150"/>
      <c r="HZ57" s="150"/>
      <c r="IA57" s="150"/>
      <c r="IB57" s="150"/>
      <c r="IC57" s="150"/>
      <c r="ID57" s="151"/>
      <c r="IE57" s="152"/>
      <c r="IF57" s="150"/>
      <c r="IG57" s="150"/>
      <c r="IH57" s="150"/>
      <c r="II57" s="150"/>
      <c r="IJ57" s="150"/>
      <c r="IK57" s="151"/>
      <c r="IL57" s="152"/>
      <c r="IM57" s="150"/>
      <c r="IN57" s="150"/>
      <c r="IO57" s="150"/>
      <c r="IP57" s="150"/>
      <c r="IQ57" s="150"/>
      <c r="IR57" s="151"/>
      <c r="IS57" s="152"/>
      <c r="IT57" s="150"/>
      <c r="IU57" s="150"/>
      <c r="IV57" s="150"/>
    </row>
    <row r="58" spans="1:256" ht="15.75" x14ac:dyDescent="0.25">
      <c r="A58" s="182" t="s">
        <v>45</v>
      </c>
      <c r="B58" s="150"/>
      <c r="C58" s="150"/>
      <c r="D58" s="150"/>
      <c r="E58" s="150"/>
      <c r="F58" s="150"/>
      <c r="G58" s="151"/>
      <c r="H58" s="152"/>
      <c r="I58" s="150"/>
      <c r="J58" s="150"/>
      <c r="K58" s="150"/>
      <c r="L58" s="150"/>
      <c r="M58" s="150"/>
      <c r="N58" s="151"/>
      <c r="O58" s="152"/>
      <c r="P58" s="150"/>
      <c r="Q58" s="150"/>
      <c r="R58" s="150"/>
      <c r="S58" s="150"/>
      <c r="T58" s="150"/>
      <c r="U58" s="151"/>
      <c r="V58" s="152"/>
      <c r="W58" s="150"/>
      <c r="X58" s="150"/>
      <c r="Y58" s="150"/>
      <c r="Z58" s="150"/>
      <c r="AA58" s="150"/>
      <c r="AB58" s="151"/>
      <c r="AC58" s="152"/>
      <c r="AD58" s="150"/>
      <c r="AE58" s="150"/>
      <c r="AF58" s="150"/>
      <c r="AG58" s="150"/>
      <c r="AH58" s="150"/>
      <c r="AI58" s="151"/>
      <c r="AJ58" s="152"/>
      <c r="AK58" s="150"/>
      <c r="AL58" s="150"/>
      <c r="AM58" s="150"/>
      <c r="AN58" s="150"/>
      <c r="AO58" s="150"/>
      <c r="AP58" s="151"/>
      <c r="AQ58" s="152"/>
      <c r="AR58" s="150"/>
      <c r="AS58" s="150"/>
      <c r="AT58" s="150"/>
      <c r="AU58" s="150"/>
      <c r="AV58" s="150"/>
      <c r="AW58" s="151"/>
      <c r="AX58" s="152"/>
      <c r="AY58" s="150"/>
      <c r="AZ58" s="150"/>
      <c r="BA58" s="150"/>
      <c r="BB58" s="150"/>
      <c r="BC58" s="150"/>
      <c r="BD58" s="151"/>
      <c r="BE58" s="152"/>
      <c r="BF58" s="150"/>
      <c r="BG58" s="150"/>
      <c r="BH58" s="150"/>
      <c r="BI58" s="150"/>
      <c r="BJ58" s="150"/>
      <c r="BK58" s="151"/>
      <c r="BL58" s="152"/>
      <c r="BM58" s="150"/>
      <c r="BN58" s="150"/>
      <c r="BO58" s="150"/>
      <c r="BP58" s="150"/>
      <c r="BQ58" s="150"/>
      <c r="BR58" s="151"/>
      <c r="BS58" s="152"/>
      <c r="BT58" s="150"/>
      <c r="BU58" s="150"/>
      <c r="BV58" s="150"/>
      <c r="BW58" s="150"/>
      <c r="BX58" s="150"/>
      <c r="BY58" s="151"/>
      <c r="BZ58" s="152"/>
      <c r="CA58" s="150"/>
      <c r="CB58" s="150"/>
      <c r="CC58" s="150"/>
      <c r="CD58" s="150"/>
      <c r="CE58" s="150"/>
      <c r="CF58" s="151"/>
      <c r="CG58" s="152"/>
      <c r="CH58" s="150"/>
      <c r="CI58" s="150"/>
      <c r="CJ58" s="150"/>
      <c r="CK58" s="150"/>
      <c r="CL58" s="150"/>
      <c r="CM58" s="151"/>
      <c r="CN58" s="152"/>
      <c r="CO58" s="150"/>
      <c r="CP58" s="150"/>
      <c r="CQ58" s="150"/>
      <c r="CR58" s="150"/>
      <c r="CS58" s="150"/>
      <c r="CT58" s="151"/>
      <c r="CU58" s="152"/>
      <c r="CV58" s="150"/>
      <c r="CW58" s="150"/>
      <c r="CX58" s="150"/>
      <c r="CY58" s="150"/>
      <c r="CZ58" s="150"/>
      <c r="DA58" s="151"/>
      <c r="DB58" s="152"/>
      <c r="DC58" s="150"/>
      <c r="DD58" s="150"/>
      <c r="DE58" s="150"/>
      <c r="DF58" s="150"/>
      <c r="DG58" s="150"/>
      <c r="DH58" s="151"/>
      <c r="DI58" s="152"/>
      <c r="DJ58" s="150"/>
      <c r="DK58" s="150"/>
      <c r="DL58" s="150"/>
      <c r="DM58" s="150"/>
      <c r="DN58" s="150"/>
      <c r="DO58" s="151"/>
      <c r="DP58" s="152"/>
      <c r="DQ58" s="150"/>
      <c r="DR58" s="150"/>
      <c r="DS58" s="150"/>
      <c r="DT58" s="150"/>
      <c r="DU58" s="150"/>
      <c r="DV58" s="151"/>
      <c r="DW58" s="152"/>
      <c r="DX58" s="150"/>
      <c r="DY58" s="150"/>
      <c r="DZ58" s="150"/>
      <c r="EA58" s="150"/>
      <c r="EB58" s="150"/>
      <c r="EC58" s="151"/>
      <c r="ED58" s="152"/>
      <c r="EE58" s="150"/>
      <c r="EF58" s="150"/>
      <c r="EG58" s="150"/>
      <c r="EH58" s="150"/>
      <c r="EI58" s="150"/>
      <c r="EJ58" s="151"/>
      <c r="EK58" s="152"/>
      <c r="EL58" s="150"/>
      <c r="EM58" s="150"/>
      <c r="EN58" s="150"/>
      <c r="EO58" s="150"/>
      <c r="EP58" s="150"/>
      <c r="EQ58" s="151"/>
      <c r="ER58" s="152"/>
      <c r="ES58" s="150"/>
      <c r="ET58" s="150"/>
      <c r="EU58" s="150"/>
      <c r="EV58" s="150"/>
      <c r="EW58" s="150"/>
      <c r="EX58" s="151"/>
      <c r="EY58" s="152"/>
      <c r="EZ58" s="150"/>
      <c r="FA58" s="150"/>
      <c r="FB58" s="150"/>
      <c r="FC58" s="150"/>
      <c r="FD58" s="150"/>
      <c r="FE58" s="151"/>
      <c r="FF58" s="152"/>
      <c r="FG58" s="150"/>
      <c r="FH58" s="150"/>
      <c r="FI58" s="150"/>
      <c r="FJ58" s="150"/>
      <c r="FK58" s="150"/>
      <c r="FL58" s="151"/>
      <c r="FM58" s="152"/>
      <c r="FN58" s="150"/>
      <c r="FO58" s="150"/>
      <c r="FP58" s="150"/>
      <c r="FQ58" s="150"/>
      <c r="FR58" s="150"/>
      <c r="FS58" s="151"/>
      <c r="FT58" s="152"/>
      <c r="FU58" s="150"/>
      <c r="FV58" s="150"/>
      <c r="FW58" s="150"/>
      <c r="FX58" s="150"/>
      <c r="FY58" s="150"/>
      <c r="FZ58" s="151"/>
      <c r="GA58" s="152"/>
      <c r="GB58" s="150"/>
      <c r="GC58" s="150"/>
      <c r="GD58" s="150"/>
      <c r="GE58" s="150"/>
      <c r="GF58" s="150"/>
      <c r="GG58" s="151"/>
      <c r="GH58" s="152"/>
      <c r="GI58" s="150"/>
      <c r="GJ58" s="150"/>
      <c r="GK58" s="150"/>
      <c r="GL58" s="150"/>
      <c r="GM58" s="150"/>
      <c r="GN58" s="151"/>
      <c r="GO58" s="152"/>
      <c r="GP58" s="150"/>
      <c r="GQ58" s="150"/>
      <c r="GR58" s="150"/>
      <c r="GS58" s="150"/>
      <c r="GT58" s="150"/>
      <c r="GU58" s="151"/>
      <c r="GV58" s="152"/>
      <c r="GW58" s="150"/>
      <c r="GX58" s="150"/>
      <c r="GY58" s="150"/>
      <c r="GZ58" s="150"/>
      <c r="HA58" s="150"/>
      <c r="HB58" s="151"/>
      <c r="HC58" s="152"/>
      <c r="HD58" s="150"/>
      <c r="HE58" s="150"/>
      <c r="HF58" s="150"/>
      <c r="HG58" s="150"/>
      <c r="HH58" s="150"/>
      <c r="HI58" s="151"/>
      <c r="HJ58" s="152"/>
      <c r="HK58" s="150"/>
      <c r="HL58" s="150"/>
      <c r="HM58" s="150"/>
      <c r="HN58" s="150"/>
      <c r="HO58" s="150"/>
      <c r="HP58" s="151"/>
      <c r="HQ58" s="152"/>
      <c r="HR58" s="150"/>
      <c r="HS58" s="150"/>
      <c r="HT58" s="150"/>
      <c r="HU58" s="150"/>
      <c r="HV58" s="150"/>
      <c r="HW58" s="151"/>
      <c r="HX58" s="152"/>
      <c r="HY58" s="150"/>
      <c r="HZ58" s="150"/>
      <c r="IA58" s="150"/>
      <c r="IB58" s="150"/>
      <c r="IC58" s="150"/>
      <c r="ID58" s="151"/>
      <c r="IE58" s="152"/>
      <c r="IF58" s="150"/>
      <c r="IG58" s="150"/>
      <c r="IH58" s="150"/>
      <c r="II58" s="150"/>
      <c r="IJ58" s="150"/>
      <c r="IK58" s="151"/>
      <c r="IL58" s="152"/>
      <c r="IM58" s="150"/>
      <c r="IN58" s="150"/>
      <c r="IO58" s="150"/>
      <c r="IP58" s="150"/>
      <c r="IQ58" s="150"/>
      <c r="IR58" s="151"/>
      <c r="IS58" s="152"/>
      <c r="IT58" s="150"/>
      <c r="IU58" s="150"/>
      <c r="IV58" s="150"/>
    </row>
    <row r="59" spans="1:256" x14ac:dyDescent="0.2">
      <c r="A59" s="152"/>
      <c r="B59" s="150"/>
      <c r="C59" s="150"/>
      <c r="D59" s="150"/>
      <c r="E59" s="150"/>
      <c r="F59" s="150"/>
      <c r="G59" s="151"/>
      <c r="H59" s="152"/>
      <c r="I59" s="150"/>
      <c r="J59" s="150"/>
      <c r="K59" s="150"/>
      <c r="L59" s="150"/>
      <c r="M59" s="150"/>
      <c r="N59" s="151"/>
      <c r="O59" s="152"/>
      <c r="P59" s="150"/>
      <c r="Q59" s="150"/>
      <c r="R59" s="150"/>
      <c r="S59" s="150"/>
      <c r="T59" s="150"/>
      <c r="U59" s="151"/>
      <c r="V59" s="152"/>
      <c r="W59" s="150"/>
      <c r="X59" s="150"/>
      <c r="Y59" s="150"/>
      <c r="Z59" s="150"/>
      <c r="AA59" s="150"/>
      <c r="AB59" s="151"/>
      <c r="AC59" s="152"/>
      <c r="AD59" s="150"/>
      <c r="AE59" s="150"/>
      <c r="AF59" s="150"/>
      <c r="AG59" s="150"/>
      <c r="AH59" s="150"/>
      <c r="AI59" s="151"/>
      <c r="AJ59" s="152"/>
      <c r="AK59" s="150"/>
      <c r="AL59" s="150"/>
      <c r="AM59" s="150"/>
      <c r="AN59" s="150"/>
      <c r="AO59" s="150"/>
      <c r="AP59" s="151"/>
      <c r="AQ59" s="152"/>
      <c r="AR59" s="150"/>
      <c r="AS59" s="150"/>
      <c r="AT59" s="150"/>
      <c r="AU59" s="150"/>
      <c r="AV59" s="150"/>
      <c r="AW59" s="151"/>
      <c r="AX59" s="152"/>
      <c r="AY59" s="150"/>
      <c r="AZ59" s="150"/>
      <c r="BA59" s="150"/>
      <c r="BB59" s="150"/>
      <c r="BC59" s="150"/>
      <c r="BD59" s="151"/>
      <c r="BE59" s="152"/>
      <c r="BF59" s="150"/>
      <c r="BG59" s="150"/>
      <c r="BH59" s="150"/>
      <c r="BI59" s="150"/>
      <c r="BJ59" s="150"/>
      <c r="BK59" s="151"/>
      <c r="BL59" s="152"/>
      <c r="BM59" s="150"/>
      <c r="BN59" s="150"/>
      <c r="BO59" s="150"/>
      <c r="BP59" s="150"/>
      <c r="BQ59" s="150"/>
      <c r="BR59" s="151"/>
      <c r="BS59" s="152"/>
      <c r="BT59" s="150"/>
      <c r="BU59" s="150"/>
      <c r="BV59" s="150"/>
      <c r="BW59" s="150"/>
      <c r="BX59" s="150"/>
      <c r="BY59" s="151"/>
      <c r="BZ59" s="152"/>
      <c r="CA59" s="150"/>
      <c r="CB59" s="150"/>
      <c r="CC59" s="150"/>
      <c r="CD59" s="150"/>
      <c r="CE59" s="150"/>
      <c r="CF59" s="151"/>
      <c r="CG59" s="152"/>
      <c r="CH59" s="150"/>
      <c r="CI59" s="150"/>
      <c r="CJ59" s="150"/>
      <c r="CK59" s="150"/>
      <c r="CL59" s="150"/>
      <c r="CM59" s="151"/>
      <c r="CN59" s="152"/>
      <c r="CO59" s="150"/>
      <c r="CP59" s="150"/>
      <c r="CQ59" s="150"/>
      <c r="CR59" s="150"/>
      <c r="CS59" s="150"/>
      <c r="CT59" s="151"/>
      <c r="CU59" s="152"/>
      <c r="CV59" s="150"/>
      <c r="CW59" s="150"/>
      <c r="CX59" s="150"/>
      <c r="CY59" s="150"/>
      <c r="CZ59" s="150"/>
      <c r="DA59" s="151"/>
      <c r="DB59" s="152"/>
      <c r="DC59" s="150"/>
      <c r="DD59" s="150"/>
      <c r="DE59" s="150"/>
      <c r="DF59" s="150"/>
      <c r="DG59" s="150"/>
      <c r="DH59" s="151"/>
      <c r="DI59" s="152"/>
      <c r="DJ59" s="150"/>
      <c r="DK59" s="150"/>
      <c r="DL59" s="150"/>
      <c r="DM59" s="150"/>
      <c r="DN59" s="150"/>
      <c r="DO59" s="151"/>
      <c r="DP59" s="152"/>
      <c r="DQ59" s="150"/>
      <c r="DR59" s="150"/>
      <c r="DS59" s="150"/>
      <c r="DT59" s="150"/>
      <c r="DU59" s="150"/>
      <c r="DV59" s="151"/>
      <c r="DW59" s="152"/>
      <c r="DX59" s="150"/>
      <c r="DY59" s="150"/>
      <c r="DZ59" s="150"/>
      <c r="EA59" s="150"/>
      <c r="EB59" s="150"/>
      <c r="EC59" s="151"/>
      <c r="ED59" s="152"/>
      <c r="EE59" s="150"/>
      <c r="EF59" s="150"/>
      <c r="EG59" s="150"/>
      <c r="EH59" s="150"/>
      <c r="EI59" s="150"/>
      <c r="EJ59" s="151"/>
      <c r="EK59" s="152"/>
      <c r="EL59" s="150"/>
      <c r="EM59" s="150"/>
      <c r="EN59" s="150"/>
      <c r="EO59" s="150"/>
      <c r="EP59" s="150"/>
      <c r="EQ59" s="151"/>
      <c r="ER59" s="152"/>
      <c r="ES59" s="150"/>
      <c r="ET59" s="150"/>
      <c r="EU59" s="150"/>
      <c r="EV59" s="150"/>
      <c r="EW59" s="150"/>
      <c r="EX59" s="151"/>
      <c r="EY59" s="152"/>
      <c r="EZ59" s="150"/>
      <c r="FA59" s="150"/>
      <c r="FB59" s="150"/>
      <c r="FC59" s="150"/>
      <c r="FD59" s="150"/>
      <c r="FE59" s="151"/>
      <c r="FF59" s="152"/>
      <c r="FG59" s="150"/>
      <c r="FH59" s="150"/>
      <c r="FI59" s="150"/>
      <c r="FJ59" s="150"/>
      <c r="FK59" s="150"/>
      <c r="FL59" s="151"/>
      <c r="FM59" s="152"/>
      <c r="FN59" s="150"/>
      <c r="FO59" s="150"/>
      <c r="FP59" s="150"/>
      <c r="FQ59" s="150"/>
      <c r="FR59" s="150"/>
      <c r="FS59" s="151"/>
      <c r="FT59" s="152"/>
      <c r="FU59" s="150"/>
      <c r="FV59" s="150"/>
      <c r="FW59" s="150"/>
      <c r="FX59" s="150"/>
      <c r="FY59" s="150"/>
      <c r="FZ59" s="151"/>
      <c r="GA59" s="152"/>
      <c r="GB59" s="150"/>
      <c r="GC59" s="150"/>
      <c r="GD59" s="150"/>
      <c r="GE59" s="150"/>
      <c r="GF59" s="150"/>
      <c r="GG59" s="151"/>
      <c r="GH59" s="152"/>
      <c r="GI59" s="150"/>
      <c r="GJ59" s="150"/>
      <c r="GK59" s="150"/>
      <c r="GL59" s="150"/>
      <c r="GM59" s="150"/>
      <c r="GN59" s="151"/>
      <c r="GO59" s="152"/>
      <c r="GP59" s="150"/>
      <c r="GQ59" s="150"/>
      <c r="GR59" s="150"/>
      <c r="GS59" s="150"/>
      <c r="GT59" s="150"/>
      <c r="GU59" s="151"/>
      <c r="GV59" s="152"/>
      <c r="GW59" s="150"/>
      <c r="GX59" s="150"/>
      <c r="GY59" s="150"/>
      <c r="GZ59" s="150"/>
      <c r="HA59" s="150"/>
      <c r="HB59" s="151"/>
      <c r="HC59" s="152"/>
      <c r="HD59" s="150"/>
      <c r="HE59" s="150"/>
      <c r="HF59" s="150"/>
      <c r="HG59" s="150"/>
      <c r="HH59" s="150"/>
      <c r="HI59" s="151"/>
      <c r="HJ59" s="152"/>
      <c r="HK59" s="150"/>
      <c r="HL59" s="150"/>
      <c r="HM59" s="150"/>
      <c r="HN59" s="150"/>
      <c r="HO59" s="150"/>
      <c r="HP59" s="151"/>
      <c r="HQ59" s="152"/>
      <c r="HR59" s="150"/>
      <c r="HS59" s="150"/>
      <c r="HT59" s="150"/>
      <c r="HU59" s="150"/>
      <c r="HV59" s="150"/>
      <c r="HW59" s="151"/>
      <c r="HX59" s="152"/>
      <c r="HY59" s="150"/>
      <c r="HZ59" s="150"/>
      <c r="IA59" s="150"/>
      <c r="IB59" s="150"/>
      <c r="IC59" s="150"/>
      <c r="ID59" s="151"/>
      <c r="IE59" s="152"/>
      <c r="IF59" s="150"/>
      <c r="IG59" s="150"/>
      <c r="IH59" s="150"/>
      <c r="II59" s="150"/>
      <c r="IJ59" s="150"/>
      <c r="IK59" s="151"/>
      <c r="IL59" s="152"/>
      <c r="IM59" s="150"/>
      <c r="IN59" s="150"/>
      <c r="IO59" s="150"/>
      <c r="IP59" s="150"/>
      <c r="IQ59" s="150"/>
      <c r="IR59" s="151"/>
      <c r="IS59" s="152"/>
      <c r="IT59" s="150"/>
      <c r="IU59" s="150"/>
      <c r="IV59" s="150"/>
    </row>
    <row r="60" spans="1:256" x14ac:dyDescent="0.2">
      <c r="A60" s="809" t="s">
        <v>507</v>
      </c>
      <c r="B60" s="810"/>
      <c r="C60" s="810"/>
      <c r="D60" s="810"/>
      <c r="E60" s="810"/>
      <c r="F60" s="810"/>
      <c r="G60" s="811"/>
      <c r="H60" s="152"/>
      <c r="I60" s="150"/>
      <c r="J60" s="150"/>
      <c r="K60" s="150"/>
      <c r="L60" s="150"/>
      <c r="M60" s="150"/>
      <c r="N60" s="151"/>
      <c r="O60" s="152"/>
      <c r="P60" s="150"/>
      <c r="Q60" s="150"/>
      <c r="R60" s="150"/>
      <c r="S60" s="150"/>
      <c r="T60" s="150"/>
      <c r="U60" s="151"/>
      <c r="V60" s="152"/>
      <c r="W60" s="150"/>
      <c r="X60" s="150"/>
      <c r="Y60" s="150"/>
      <c r="Z60" s="150"/>
      <c r="AA60" s="150"/>
      <c r="AB60" s="151"/>
      <c r="AC60" s="152"/>
      <c r="AD60" s="150"/>
      <c r="AE60" s="150"/>
      <c r="AF60" s="150"/>
      <c r="AG60" s="150"/>
      <c r="AH60" s="150"/>
      <c r="AI60" s="151"/>
      <c r="AJ60" s="152"/>
      <c r="AK60" s="150"/>
      <c r="AL60" s="150"/>
      <c r="AM60" s="150"/>
      <c r="AN60" s="150"/>
      <c r="AO60" s="150"/>
      <c r="AP60" s="151"/>
      <c r="AQ60" s="152"/>
      <c r="AR60" s="150"/>
      <c r="AS60" s="150"/>
      <c r="AT60" s="150"/>
      <c r="AU60" s="150"/>
      <c r="AV60" s="150"/>
      <c r="AW60" s="151"/>
      <c r="AX60" s="152"/>
      <c r="AY60" s="150"/>
      <c r="AZ60" s="150"/>
      <c r="BA60" s="150"/>
      <c r="BB60" s="150"/>
      <c r="BC60" s="150"/>
      <c r="BD60" s="151"/>
      <c r="BE60" s="152"/>
      <c r="BF60" s="150"/>
      <c r="BG60" s="150"/>
      <c r="BH60" s="150"/>
      <c r="BI60" s="150"/>
      <c r="BJ60" s="150"/>
      <c r="BK60" s="151"/>
      <c r="BL60" s="152"/>
      <c r="BM60" s="150"/>
      <c r="BN60" s="150"/>
      <c r="BO60" s="150"/>
      <c r="BP60" s="150"/>
      <c r="BQ60" s="150"/>
      <c r="BR60" s="151"/>
      <c r="BS60" s="152"/>
      <c r="BT60" s="150"/>
      <c r="BU60" s="150"/>
      <c r="BV60" s="150"/>
      <c r="BW60" s="150"/>
      <c r="BX60" s="150"/>
      <c r="BY60" s="151"/>
      <c r="BZ60" s="152"/>
      <c r="CA60" s="150"/>
      <c r="CB60" s="150"/>
      <c r="CC60" s="150"/>
      <c r="CD60" s="150"/>
      <c r="CE60" s="150"/>
      <c r="CF60" s="151"/>
      <c r="CG60" s="152"/>
      <c r="CH60" s="150"/>
      <c r="CI60" s="150"/>
      <c r="CJ60" s="150"/>
      <c r="CK60" s="150"/>
      <c r="CL60" s="150"/>
      <c r="CM60" s="151"/>
      <c r="CN60" s="152"/>
      <c r="CO60" s="150"/>
      <c r="CP60" s="150"/>
      <c r="CQ60" s="150"/>
      <c r="CR60" s="150"/>
      <c r="CS60" s="150"/>
      <c r="CT60" s="151"/>
      <c r="CU60" s="152"/>
      <c r="CV60" s="150"/>
      <c r="CW60" s="150"/>
      <c r="CX60" s="150"/>
      <c r="CY60" s="150"/>
      <c r="CZ60" s="150"/>
      <c r="DA60" s="151"/>
      <c r="DB60" s="152"/>
      <c r="DC60" s="150"/>
      <c r="DD60" s="150"/>
      <c r="DE60" s="150"/>
      <c r="DF60" s="150"/>
      <c r="DG60" s="150"/>
      <c r="DH60" s="151"/>
      <c r="DI60" s="152"/>
      <c r="DJ60" s="150"/>
      <c r="DK60" s="150"/>
      <c r="DL60" s="150"/>
      <c r="DM60" s="150"/>
      <c r="DN60" s="150"/>
      <c r="DO60" s="151"/>
      <c r="DP60" s="152"/>
      <c r="DQ60" s="150"/>
      <c r="DR60" s="150"/>
      <c r="DS60" s="150"/>
      <c r="DT60" s="150"/>
      <c r="DU60" s="150"/>
      <c r="DV60" s="151"/>
      <c r="DW60" s="152"/>
      <c r="DX60" s="150"/>
      <c r="DY60" s="150"/>
      <c r="DZ60" s="150"/>
      <c r="EA60" s="150"/>
      <c r="EB60" s="150"/>
      <c r="EC60" s="151"/>
      <c r="ED60" s="152"/>
      <c r="EE60" s="150"/>
      <c r="EF60" s="150"/>
      <c r="EG60" s="150"/>
      <c r="EH60" s="150"/>
      <c r="EI60" s="150"/>
      <c r="EJ60" s="151"/>
      <c r="EK60" s="152"/>
      <c r="EL60" s="150"/>
      <c r="EM60" s="150"/>
      <c r="EN60" s="150"/>
      <c r="EO60" s="150"/>
      <c r="EP60" s="150"/>
      <c r="EQ60" s="151"/>
      <c r="ER60" s="152"/>
      <c r="ES60" s="150"/>
      <c r="ET60" s="150"/>
      <c r="EU60" s="150"/>
      <c r="EV60" s="150"/>
      <c r="EW60" s="150"/>
      <c r="EX60" s="151"/>
      <c r="EY60" s="152"/>
      <c r="EZ60" s="150"/>
      <c r="FA60" s="150"/>
      <c r="FB60" s="150"/>
      <c r="FC60" s="150"/>
      <c r="FD60" s="150"/>
      <c r="FE60" s="151"/>
      <c r="FF60" s="152"/>
      <c r="FG60" s="150"/>
      <c r="FH60" s="150"/>
      <c r="FI60" s="150"/>
      <c r="FJ60" s="150"/>
      <c r="FK60" s="150"/>
      <c r="FL60" s="151"/>
      <c r="FM60" s="152"/>
      <c r="FN60" s="150"/>
      <c r="FO60" s="150"/>
      <c r="FP60" s="150"/>
      <c r="FQ60" s="150"/>
      <c r="FR60" s="150"/>
      <c r="FS60" s="151"/>
      <c r="FT60" s="152"/>
      <c r="FU60" s="150"/>
      <c r="FV60" s="150"/>
      <c r="FW60" s="150"/>
      <c r="FX60" s="150"/>
      <c r="FY60" s="150"/>
      <c r="FZ60" s="151"/>
      <c r="GA60" s="152"/>
      <c r="GB60" s="150"/>
      <c r="GC60" s="150"/>
      <c r="GD60" s="150"/>
      <c r="GE60" s="150"/>
      <c r="GF60" s="150"/>
      <c r="GG60" s="151"/>
      <c r="GH60" s="152"/>
      <c r="GI60" s="150"/>
      <c r="GJ60" s="150"/>
      <c r="GK60" s="150"/>
      <c r="GL60" s="150"/>
      <c r="GM60" s="150"/>
      <c r="GN60" s="151"/>
      <c r="GO60" s="152"/>
      <c r="GP60" s="150"/>
      <c r="GQ60" s="150"/>
      <c r="GR60" s="150"/>
      <c r="GS60" s="150"/>
      <c r="GT60" s="150"/>
      <c r="GU60" s="151"/>
      <c r="GV60" s="152"/>
      <c r="GW60" s="150"/>
      <c r="GX60" s="150"/>
      <c r="GY60" s="150"/>
      <c r="GZ60" s="150"/>
      <c r="HA60" s="150"/>
      <c r="HB60" s="151"/>
      <c r="HC60" s="152"/>
      <c r="HD60" s="150"/>
      <c r="HE60" s="150"/>
      <c r="HF60" s="150"/>
      <c r="HG60" s="150"/>
      <c r="HH60" s="150"/>
      <c r="HI60" s="151"/>
      <c r="HJ60" s="152"/>
      <c r="HK60" s="150"/>
      <c r="HL60" s="150"/>
      <c r="HM60" s="150"/>
      <c r="HN60" s="150"/>
      <c r="HO60" s="150"/>
      <c r="HP60" s="151"/>
      <c r="HQ60" s="152"/>
      <c r="HR60" s="150"/>
      <c r="HS60" s="150"/>
      <c r="HT60" s="150"/>
      <c r="HU60" s="150"/>
      <c r="HV60" s="150"/>
      <c r="HW60" s="151"/>
      <c r="HX60" s="152"/>
      <c r="HY60" s="150"/>
      <c r="HZ60" s="150"/>
      <c r="IA60" s="150"/>
      <c r="IB60" s="150"/>
      <c r="IC60" s="150"/>
      <c r="ID60" s="151"/>
      <c r="IE60" s="152"/>
      <c r="IF60" s="150"/>
      <c r="IG60" s="150"/>
      <c r="IH60" s="150"/>
      <c r="II60" s="150"/>
      <c r="IJ60" s="150"/>
      <c r="IK60" s="151"/>
      <c r="IL60" s="152"/>
      <c r="IM60" s="150"/>
      <c r="IN60" s="150"/>
      <c r="IO60" s="150"/>
      <c r="IP60" s="150"/>
      <c r="IQ60" s="150"/>
      <c r="IR60" s="151"/>
      <c r="IS60" s="152"/>
      <c r="IT60" s="150"/>
      <c r="IU60" s="150"/>
      <c r="IV60" s="150"/>
    </row>
    <row r="61" spans="1:256" x14ac:dyDescent="0.2">
      <c r="A61" s="809"/>
      <c r="B61" s="810"/>
      <c r="C61" s="810"/>
      <c r="D61" s="810"/>
      <c r="E61" s="810"/>
      <c r="F61" s="810"/>
      <c r="G61" s="811"/>
      <c r="H61" s="152"/>
      <c r="I61" s="150"/>
      <c r="J61" s="150"/>
      <c r="K61" s="150"/>
      <c r="L61" s="150"/>
      <c r="M61" s="150"/>
      <c r="N61" s="151"/>
      <c r="O61" s="152"/>
      <c r="P61" s="150"/>
      <c r="Q61" s="150"/>
      <c r="R61" s="150"/>
      <c r="S61" s="150"/>
      <c r="T61" s="150"/>
      <c r="U61" s="151"/>
      <c r="V61" s="152"/>
      <c r="W61" s="150"/>
      <c r="X61" s="150"/>
      <c r="Y61" s="150"/>
      <c r="Z61" s="150"/>
      <c r="AA61" s="150"/>
      <c r="AB61" s="151"/>
      <c r="AC61" s="152"/>
      <c r="AD61" s="150"/>
      <c r="AE61" s="150"/>
      <c r="AF61" s="150"/>
      <c r="AG61" s="150"/>
      <c r="AH61" s="150"/>
      <c r="AI61" s="151"/>
      <c r="AJ61" s="152"/>
      <c r="AK61" s="150"/>
      <c r="AL61" s="150"/>
      <c r="AM61" s="150"/>
      <c r="AN61" s="150"/>
      <c r="AO61" s="150"/>
      <c r="AP61" s="151"/>
      <c r="AQ61" s="152"/>
      <c r="AR61" s="150"/>
      <c r="AS61" s="150"/>
      <c r="AT61" s="150"/>
      <c r="AU61" s="150"/>
      <c r="AV61" s="150"/>
      <c r="AW61" s="151"/>
      <c r="AX61" s="152"/>
      <c r="AY61" s="150"/>
      <c r="AZ61" s="150"/>
      <c r="BA61" s="150"/>
      <c r="BB61" s="150"/>
      <c r="BC61" s="150"/>
      <c r="BD61" s="151"/>
      <c r="BE61" s="152"/>
      <c r="BF61" s="150"/>
      <c r="BG61" s="150"/>
      <c r="BH61" s="150"/>
      <c r="BI61" s="150"/>
      <c r="BJ61" s="150"/>
      <c r="BK61" s="151"/>
      <c r="BL61" s="152"/>
      <c r="BM61" s="150"/>
      <c r="BN61" s="150"/>
      <c r="BO61" s="150"/>
      <c r="BP61" s="150"/>
      <c r="BQ61" s="150"/>
      <c r="BR61" s="151"/>
      <c r="BS61" s="152"/>
      <c r="BT61" s="150"/>
      <c r="BU61" s="150"/>
      <c r="BV61" s="150"/>
      <c r="BW61" s="150"/>
      <c r="BX61" s="150"/>
      <c r="BY61" s="151"/>
      <c r="BZ61" s="152"/>
      <c r="CA61" s="150"/>
      <c r="CB61" s="150"/>
      <c r="CC61" s="150"/>
      <c r="CD61" s="150"/>
      <c r="CE61" s="150"/>
      <c r="CF61" s="151"/>
      <c r="CG61" s="152"/>
      <c r="CH61" s="150"/>
      <c r="CI61" s="150"/>
      <c r="CJ61" s="150"/>
      <c r="CK61" s="150"/>
      <c r="CL61" s="150"/>
      <c r="CM61" s="151"/>
      <c r="CN61" s="152"/>
      <c r="CO61" s="150"/>
      <c r="CP61" s="150"/>
      <c r="CQ61" s="150"/>
      <c r="CR61" s="150"/>
      <c r="CS61" s="150"/>
      <c r="CT61" s="151"/>
      <c r="CU61" s="152"/>
      <c r="CV61" s="150"/>
      <c r="CW61" s="150"/>
      <c r="CX61" s="150"/>
      <c r="CY61" s="150"/>
      <c r="CZ61" s="150"/>
      <c r="DA61" s="151"/>
      <c r="DB61" s="152"/>
      <c r="DC61" s="150"/>
      <c r="DD61" s="150"/>
      <c r="DE61" s="150"/>
      <c r="DF61" s="150"/>
      <c r="DG61" s="150"/>
      <c r="DH61" s="151"/>
      <c r="DI61" s="152"/>
      <c r="DJ61" s="150"/>
      <c r="DK61" s="150"/>
      <c r="DL61" s="150"/>
      <c r="DM61" s="150"/>
      <c r="DN61" s="150"/>
      <c r="DO61" s="151"/>
      <c r="DP61" s="152"/>
      <c r="DQ61" s="150"/>
      <c r="DR61" s="150"/>
      <c r="DS61" s="150"/>
      <c r="DT61" s="150"/>
      <c r="DU61" s="150"/>
      <c r="DV61" s="151"/>
      <c r="DW61" s="152"/>
      <c r="DX61" s="150"/>
      <c r="DY61" s="150"/>
      <c r="DZ61" s="150"/>
      <c r="EA61" s="150"/>
      <c r="EB61" s="150"/>
      <c r="EC61" s="151"/>
      <c r="ED61" s="152"/>
      <c r="EE61" s="150"/>
      <c r="EF61" s="150"/>
      <c r="EG61" s="150"/>
      <c r="EH61" s="150"/>
      <c r="EI61" s="150"/>
      <c r="EJ61" s="151"/>
      <c r="EK61" s="152"/>
      <c r="EL61" s="150"/>
      <c r="EM61" s="150"/>
      <c r="EN61" s="150"/>
      <c r="EO61" s="150"/>
      <c r="EP61" s="150"/>
      <c r="EQ61" s="151"/>
      <c r="ER61" s="152"/>
      <c r="ES61" s="150"/>
      <c r="ET61" s="150"/>
      <c r="EU61" s="150"/>
      <c r="EV61" s="150"/>
      <c r="EW61" s="150"/>
      <c r="EX61" s="151"/>
      <c r="EY61" s="152"/>
      <c r="EZ61" s="150"/>
      <c r="FA61" s="150"/>
      <c r="FB61" s="150"/>
      <c r="FC61" s="150"/>
      <c r="FD61" s="150"/>
      <c r="FE61" s="151"/>
      <c r="FF61" s="152"/>
      <c r="FG61" s="150"/>
      <c r="FH61" s="150"/>
      <c r="FI61" s="150"/>
      <c r="FJ61" s="150"/>
      <c r="FK61" s="150"/>
      <c r="FL61" s="151"/>
      <c r="FM61" s="152"/>
      <c r="FN61" s="150"/>
      <c r="FO61" s="150"/>
      <c r="FP61" s="150"/>
      <c r="FQ61" s="150"/>
      <c r="FR61" s="150"/>
      <c r="FS61" s="151"/>
      <c r="FT61" s="152"/>
      <c r="FU61" s="150"/>
      <c r="FV61" s="150"/>
      <c r="FW61" s="150"/>
      <c r="FX61" s="150"/>
      <c r="FY61" s="150"/>
      <c r="FZ61" s="151"/>
      <c r="GA61" s="152"/>
      <c r="GB61" s="150"/>
      <c r="GC61" s="150"/>
      <c r="GD61" s="150"/>
      <c r="GE61" s="150"/>
      <c r="GF61" s="150"/>
      <c r="GG61" s="151"/>
      <c r="GH61" s="152"/>
      <c r="GI61" s="150"/>
      <c r="GJ61" s="150"/>
      <c r="GK61" s="150"/>
      <c r="GL61" s="150"/>
      <c r="GM61" s="150"/>
      <c r="GN61" s="151"/>
      <c r="GO61" s="152"/>
      <c r="GP61" s="150"/>
      <c r="GQ61" s="150"/>
      <c r="GR61" s="150"/>
      <c r="GS61" s="150"/>
      <c r="GT61" s="150"/>
      <c r="GU61" s="151"/>
      <c r="GV61" s="152"/>
      <c r="GW61" s="150"/>
      <c r="GX61" s="150"/>
      <c r="GY61" s="150"/>
      <c r="GZ61" s="150"/>
      <c r="HA61" s="150"/>
      <c r="HB61" s="151"/>
      <c r="HC61" s="152"/>
      <c r="HD61" s="150"/>
      <c r="HE61" s="150"/>
      <c r="HF61" s="150"/>
      <c r="HG61" s="150"/>
      <c r="HH61" s="150"/>
      <c r="HI61" s="151"/>
      <c r="HJ61" s="152"/>
      <c r="HK61" s="150"/>
      <c r="HL61" s="150"/>
      <c r="HM61" s="150"/>
      <c r="HN61" s="150"/>
      <c r="HO61" s="150"/>
      <c r="HP61" s="151"/>
      <c r="HQ61" s="152"/>
      <c r="HR61" s="150"/>
      <c r="HS61" s="150"/>
      <c r="HT61" s="150"/>
      <c r="HU61" s="150"/>
      <c r="HV61" s="150"/>
      <c r="HW61" s="151"/>
      <c r="HX61" s="152"/>
      <c r="HY61" s="150"/>
      <c r="HZ61" s="150"/>
      <c r="IA61" s="150"/>
      <c r="IB61" s="150"/>
      <c r="IC61" s="150"/>
      <c r="ID61" s="151"/>
      <c r="IE61" s="152"/>
      <c r="IF61" s="150"/>
      <c r="IG61" s="150"/>
      <c r="IH61" s="150"/>
      <c r="II61" s="150"/>
      <c r="IJ61" s="150"/>
      <c r="IK61" s="151"/>
      <c r="IL61" s="152"/>
      <c r="IM61" s="150"/>
      <c r="IN61" s="150"/>
      <c r="IO61" s="150"/>
      <c r="IP61" s="150"/>
      <c r="IQ61" s="150"/>
      <c r="IR61" s="151"/>
      <c r="IS61" s="152"/>
      <c r="IT61" s="150"/>
      <c r="IU61" s="150"/>
      <c r="IV61" s="150"/>
    </row>
    <row r="62" spans="1:256" x14ac:dyDescent="0.2">
      <c r="A62" s="809"/>
      <c r="B62" s="810"/>
      <c r="C62" s="810"/>
      <c r="D62" s="810"/>
      <c r="E62" s="810"/>
      <c r="F62" s="810"/>
      <c r="G62" s="811"/>
      <c r="H62" s="152"/>
      <c r="I62" s="150"/>
      <c r="J62" s="150"/>
      <c r="K62" s="150"/>
      <c r="L62" s="150"/>
      <c r="M62" s="150"/>
      <c r="N62" s="151"/>
      <c r="O62" s="152"/>
      <c r="P62" s="150"/>
      <c r="Q62" s="150"/>
      <c r="R62" s="150"/>
      <c r="S62" s="150"/>
      <c r="T62" s="150"/>
      <c r="U62" s="151"/>
      <c r="V62" s="152"/>
      <c r="W62" s="150"/>
      <c r="X62" s="150"/>
      <c r="Y62" s="150"/>
      <c r="Z62" s="150"/>
      <c r="AA62" s="150"/>
      <c r="AB62" s="151"/>
      <c r="AC62" s="152"/>
      <c r="AD62" s="150"/>
      <c r="AE62" s="150"/>
      <c r="AF62" s="150"/>
      <c r="AG62" s="150"/>
      <c r="AH62" s="150"/>
      <c r="AI62" s="151"/>
      <c r="AJ62" s="152"/>
      <c r="AK62" s="150"/>
      <c r="AL62" s="150"/>
      <c r="AM62" s="150"/>
      <c r="AN62" s="150"/>
      <c r="AO62" s="150"/>
      <c r="AP62" s="151"/>
      <c r="AQ62" s="152"/>
      <c r="AR62" s="150"/>
      <c r="AS62" s="150"/>
      <c r="AT62" s="150"/>
      <c r="AU62" s="150"/>
      <c r="AV62" s="150"/>
      <c r="AW62" s="151"/>
      <c r="AX62" s="152"/>
      <c r="AY62" s="150"/>
      <c r="AZ62" s="150"/>
      <c r="BA62" s="150"/>
      <c r="BB62" s="150"/>
      <c r="BC62" s="150"/>
      <c r="BD62" s="151"/>
      <c r="BE62" s="152"/>
      <c r="BF62" s="150"/>
      <c r="BG62" s="150"/>
      <c r="BH62" s="150"/>
      <c r="BI62" s="150"/>
      <c r="BJ62" s="150"/>
      <c r="BK62" s="151"/>
      <c r="BL62" s="152"/>
      <c r="BM62" s="150"/>
      <c r="BN62" s="150"/>
      <c r="BO62" s="150"/>
      <c r="BP62" s="150"/>
      <c r="BQ62" s="150"/>
      <c r="BR62" s="151"/>
      <c r="BS62" s="152"/>
      <c r="BT62" s="150"/>
      <c r="BU62" s="150"/>
      <c r="BV62" s="150"/>
      <c r="BW62" s="150"/>
      <c r="BX62" s="150"/>
      <c r="BY62" s="151"/>
      <c r="BZ62" s="152"/>
      <c r="CA62" s="150"/>
      <c r="CB62" s="150"/>
      <c r="CC62" s="150"/>
      <c r="CD62" s="150"/>
      <c r="CE62" s="150"/>
      <c r="CF62" s="151"/>
      <c r="CG62" s="152"/>
      <c r="CH62" s="150"/>
      <c r="CI62" s="150"/>
      <c r="CJ62" s="150"/>
      <c r="CK62" s="150"/>
      <c r="CL62" s="150"/>
      <c r="CM62" s="151"/>
      <c r="CN62" s="152"/>
      <c r="CO62" s="150"/>
      <c r="CP62" s="150"/>
      <c r="CQ62" s="150"/>
      <c r="CR62" s="150"/>
      <c r="CS62" s="150"/>
      <c r="CT62" s="151"/>
      <c r="CU62" s="152"/>
      <c r="CV62" s="150"/>
      <c r="CW62" s="150"/>
      <c r="CX62" s="150"/>
      <c r="CY62" s="150"/>
      <c r="CZ62" s="150"/>
      <c r="DA62" s="151"/>
      <c r="DB62" s="152"/>
      <c r="DC62" s="150"/>
      <c r="DD62" s="150"/>
      <c r="DE62" s="150"/>
      <c r="DF62" s="150"/>
      <c r="DG62" s="150"/>
      <c r="DH62" s="151"/>
      <c r="DI62" s="152"/>
      <c r="DJ62" s="150"/>
      <c r="DK62" s="150"/>
      <c r="DL62" s="150"/>
      <c r="DM62" s="150"/>
      <c r="DN62" s="150"/>
      <c r="DO62" s="151"/>
      <c r="DP62" s="152"/>
      <c r="DQ62" s="150"/>
      <c r="DR62" s="150"/>
      <c r="DS62" s="150"/>
      <c r="DT62" s="150"/>
      <c r="DU62" s="150"/>
      <c r="DV62" s="151"/>
      <c r="DW62" s="152"/>
      <c r="DX62" s="150"/>
      <c r="DY62" s="150"/>
      <c r="DZ62" s="150"/>
      <c r="EA62" s="150"/>
      <c r="EB62" s="150"/>
      <c r="EC62" s="151"/>
      <c r="ED62" s="152"/>
      <c r="EE62" s="150"/>
      <c r="EF62" s="150"/>
      <c r="EG62" s="150"/>
      <c r="EH62" s="150"/>
      <c r="EI62" s="150"/>
      <c r="EJ62" s="151"/>
      <c r="EK62" s="152"/>
      <c r="EL62" s="150"/>
      <c r="EM62" s="150"/>
      <c r="EN62" s="150"/>
      <c r="EO62" s="150"/>
      <c r="EP62" s="150"/>
      <c r="EQ62" s="151"/>
      <c r="ER62" s="152"/>
      <c r="ES62" s="150"/>
      <c r="ET62" s="150"/>
      <c r="EU62" s="150"/>
      <c r="EV62" s="150"/>
      <c r="EW62" s="150"/>
      <c r="EX62" s="151"/>
      <c r="EY62" s="152"/>
      <c r="EZ62" s="150"/>
      <c r="FA62" s="150"/>
      <c r="FB62" s="150"/>
      <c r="FC62" s="150"/>
      <c r="FD62" s="150"/>
      <c r="FE62" s="151"/>
      <c r="FF62" s="152"/>
      <c r="FG62" s="150"/>
      <c r="FH62" s="150"/>
      <c r="FI62" s="150"/>
      <c r="FJ62" s="150"/>
      <c r="FK62" s="150"/>
      <c r="FL62" s="151"/>
      <c r="FM62" s="152"/>
      <c r="FN62" s="150"/>
      <c r="FO62" s="150"/>
      <c r="FP62" s="150"/>
      <c r="FQ62" s="150"/>
      <c r="FR62" s="150"/>
      <c r="FS62" s="151"/>
      <c r="FT62" s="152"/>
      <c r="FU62" s="150"/>
      <c r="FV62" s="150"/>
      <c r="FW62" s="150"/>
      <c r="FX62" s="150"/>
      <c r="FY62" s="150"/>
      <c r="FZ62" s="151"/>
      <c r="GA62" s="152"/>
      <c r="GB62" s="150"/>
      <c r="GC62" s="150"/>
      <c r="GD62" s="150"/>
      <c r="GE62" s="150"/>
      <c r="GF62" s="150"/>
      <c r="GG62" s="151"/>
      <c r="GH62" s="152"/>
      <c r="GI62" s="150"/>
      <c r="GJ62" s="150"/>
      <c r="GK62" s="150"/>
      <c r="GL62" s="150"/>
      <c r="GM62" s="150"/>
      <c r="GN62" s="151"/>
      <c r="GO62" s="152"/>
      <c r="GP62" s="150"/>
      <c r="GQ62" s="150"/>
      <c r="GR62" s="150"/>
      <c r="GS62" s="150"/>
      <c r="GT62" s="150"/>
      <c r="GU62" s="151"/>
      <c r="GV62" s="152"/>
      <c r="GW62" s="150"/>
      <c r="GX62" s="150"/>
      <c r="GY62" s="150"/>
      <c r="GZ62" s="150"/>
      <c r="HA62" s="150"/>
      <c r="HB62" s="151"/>
      <c r="HC62" s="152"/>
      <c r="HD62" s="150"/>
      <c r="HE62" s="150"/>
      <c r="HF62" s="150"/>
      <c r="HG62" s="150"/>
      <c r="HH62" s="150"/>
      <c r="HI62" s="151"/>
      <c r="HJ62" s="152"/>
      <c r="HK62" s="150"/>
      <c r="HL62" s="150"/>
      <c r="HM62" s="150"/>
      <c r="HN62" s="150"/>
      <c r="HO62" s="150"/>
      <c r="HP62" s="151"/>
      <c r="HQ62" s="152"/>
      <c r="HR62" s="150"/>
      <c r="HS62" s="150"/>
      <c r="HT62" s="150"/>
      <c r="HU62" s="150"/>
      <c r="HV62" s="150"/>
      <c r="HW62" s="151"/>
      <c r="HX62" s="152"/>
      <c r="HY62" s="150"/>
      <c r="HZ62" s="150"/>
      <c r="IA62" s="150"/>
      <c r="IB62" s="150"/>
      <c r="IC62" s="150"/>
      <c r="ID62" s="151"/>
      <c r="IE62" s="152"/>
      <c r="IF62" s="150"/>
      <c r="IG62" s="150"/>
      <c r="IH62" s="150"/>
      <c r="II62" s="150"/>
      <c r="IJ62" s="150"/>
      <c r="IK62" s="151"/>
      <c r="IL62" s="152"/>
      <c r="IM62" s="150"/>
      <c r="IN62" s="150"/>
      <c r="IO62" s="150"/>
      <c r="IP62" s="150"/>
      <c r="IQ62" s="150"/>
      <c r="IR62" s="151"/>
      <c r="IS62" s="152"/>
      <c r="IT62" s="150"/>
      <c r="IU62" s="150"/>
      <c r="IV62" s="150"/>
    </row>
    <row r="63" spans="1:256" ht="15.75" x14ac:dyDescent="0.25">
      <c r="A63" s="182" t="s">
        <v>46</v>
      </c>
      <c r="B63" s="150"/>
      <c r="C63" s="150"/>
      <c r="D63" s="150"/>
      <c r="E63" s="150"/>
      <c r="F63" s="150"/>
      <c r="G63" s="151"/>
      <c r="H63" s="152"/>
      <c r="I63" s="150"/>
      <c r="J63" s="150"/>
      <c r="K63" s="150"/>
      <c r="L63" s="150"/>
      <c r="M63" s="150"/>
      <c r="N63" s="151"/>
      <c r="O63" s="152"/>
      <c r="P63" s="150"/>
      <c r="Q63" s="150"/>
      <c r="R63" s="150"/>
      <c r="S63" s="150"/>
      <c r="T63" s="150"/>
      <c r="U63" s="151"/>
      <c r="V63" s="152"/>
      <c r="W63" s="150"/>
      <c r="X63" s="150"/>
      <c r="Y63" s="150"/>
      <c r="Z63" s="150"/>
      <c r="AA63" s="150"/>
      <c r="AB63" s="151"/>
      <c r="AC63" s="152"/>
      <c r="AD63" s="150"/>
      <c r="AE63" s="150"/>
      <c r="AF63" s="150"/>
      <c r="AG63" s="150"/>
      <c r="AH63" s="150"/>
      <c r="AI63" s="151"/>
      <c r="AJ63" s="152"/>
      <c r="AK63" s="150"/>
      <c r="AL63" s="150"/>
      <c r="AM63" s="150"/>
      <c r="AN63" s="150"/>
      <c r="AO63" s="150"/>
      <c r="AP63" s="151"/>
      <c r="AQ63" s="152"/>
      <c r="AR63" s="150"/>
      <c r="AS63" s="150"/>
      <c r="AT63" s="150"/>
      <c r="AU63" s="150"/>
      <c r="AV63" s="150"/>
      <c r="AW63" s="151"/>
      <c r="AX63" s="152"/>
      <c r="AY63" s="150"/>
      <c r="AZ63" s="150"/>
      <c r="BA63" s="150"/>
      <c r="BB63" s="150"/>
      <c r="BC63" s="150"/>
      <c r="BD63" s="151"/>
      <c r="BE63" s="152"/>
      <c r="BF63" s="150"/>
      <c r="BG63" s="150"/>
      <c r="BH63" s="150"/>
      <c r="BI63" s="150"/>
      <c r="BJ63" s="150"/>
      <c r="BK63" s="151"/>
      <c r="BL63" s="152"/>
      <c r="BM63" s="150"/>
      <c r="BN63" s="150"/>
      <c r="BO63" s="150"/>
      <c r="BP63" s="150"/>
      <c r="BQ63" s="150"/>
      <c r="BR63" s="151"/>
      <c r="BS63" s="152"/>
      <c r="BT63" s="150"/>
      <c r="BU63" s="150"/>
      <c r="BV63" s="150"/>
      <c r="BW63" s="150"/>
      <c r="BX63" s="150"/>
      <c r="BY63" s="151"/>
      <c r="BZ63" s="152"/>
      <c r="CA63" s="150"/>
      <c r="CB63" s="150"/>
      <c r="CC63" s="150"/>
      <c r="CD63" s="150"/>
      <c r="CE63" s="150"/>
      <c r="CF63" s="151"/>
      <c r="CG63" s="152"/>
      <c r="CH63" s="150"/>
      <c r="CI63" s="150"/>
      <c r="CJ63" s="150"/>
      <c r="CK63" s="150"/>
      <c r="CL63" s="150"/>
      <c r="CM63" s="151"/>
      <c r="CN63" s="152"/>
      <c r="CO63" s="150"/>
      <c r="CP63" s="150"/>
      <c r="CQ63" s="150"/>
      <c r="CR63" s="150"/>
      <c r="CS63" s="150"/>
      <c r="CT63" s="151"/>
      <c r="CU63" s="152"/>
      <c r="CV63" s="150"/>
      <c r="CW63" s="150"/>
      <c r="CX63" s="150"/>
      <c r="CY63" s="150"/>
      <c r="CZ63" s="150"/>
      <c r="DA63" s="151"/>
      <c r="DB63" s="152"/>
      <c r="DC63" s="150"/>
      <c r="DD63" s="150"/>
      <c r="DE63" s="150"/>
      <c r="DF63" s="150"/>
      <c r="DG63" s="150"/>
      <c r="DH63" s="151"/>
      <c r="DI63" s="152"/>
      <c r="DJ63" s="150"/>
      <c r="DK63" s="150"/>
      <c r="DL63" s="150"/>
      <c r="DM63" s="150"/>
      <c r="DN63" s="150"/>
      <c r="DO63" s="151"/>
      <c r="DP63" s="152"/>
      <c r="DQ63" s="150"/>
      <c r="DR63" s="150"/>
      <c r="DS63" s="150"/>
      <c r="DT63" s="150"/>
      <c r="DU63" s="150"/>
      <c r="DV63" s="151"/>
      <c r="DW63" s="152"/>
      <c r="DX63" s="150"/>
      <c r="DY63" s="150"/>
      <c r="DZ63" s="150"/>
      <c r="EA63" s="150"/>
      <c r="EB63" s="150"/>
      <c r="EC63" s="151"/>
      <c r="ED63" s="152"/>
      <c r="EE63" s="150"/>
      <c r="EF63" s="150"/>
      <c r="EG63" s="150"/>
      <c r="EH63" s="150"/>
      <c r="EI63" s="150"/>
      <c r="EJ63" s="151"/>
      <c r="EK63" s="152"/>
      <c r="EL63" s="150"/>
      <c r="EM63" s="150"/>
      <c r="EN63" s="150"/>
      <c r="EO63" s="150"/>
      <c r="EP63" s="150"/>
      <c r="EQ63" s="151"/>
      <c r="ER63" s="152"/>
      <c r="ES63" s="150"/>
      <c r="ET63" s="150"/>
      <c r="EU63" s="150"/>
      <c r="EV63" s="150"/>
      <c r="EW63" s="150"/>
      <c r="EX63" s="151"/>
      <c r="EY63" s="152"/>
      <c r="EZ63" s="150"/>
      <c r="FA63" s="150"/>
      <c r="FB63" s="150"/>
      <c r="FC63" s="150"/>
      <c r="FD63" s="150"/>
      <c r="FE63" s="151"/>
      <c r="FF63" s="152"/>
      <c r="FG63" s="150"/>
      <c r="FH63" s="150"/>
      <c r="FI63" s="150"/>
      <c r="FJ63" s="150"/>
      <c r="FK63" s="150"/>
      <c r="FL63" s="151"/>
      <c r="FM63" s="152"/>
      <c r="FN63" s="150"/>
      <c r="FO63" s="150"/>
      <c r="FP63" s="150"/>
      <c r="FQ63" s="150"/>
      <c r="FR63" s="150"/>
      <c r="FS63" s="151"/>
      <c r="FT63" s="152"/>
      <c r="FU63" s="150"/>
      <c r="FV63" s="150"/>
      <c r="FW63" s="150"/>
      <c r="FX63" s="150"/>
      <c r="FY63" s="150"/>
      <c r="FZ63" s="151"/>
      <c r="GA63" s="152"/>
      <c r="GB63" s="150"/>
      <c r="GC63" s="150"/>
      <c r="GD63" s="150"/>
      <c r="GE63" s="150"/>
      <c r="GF63" s="150"/>
      <c r="GG63" s="151"/>
      <c r="GH63" s="152"/>
      <c r="GI63" s="150"/>
      <c r="GJ63" s="150"/>
      <c r="GK63" s="150"/>
      <c r="GL63" s="150"/>
      <c r="GM63" s="150"/>
      <c r="GN63" s="151"/>
      <c r="GO63" s="152"/>
      <c r="GP63" s="150"/>
      <c r="GQ63" s="150"/>
      <c r="GR63" s="150"/>
      <c r="GS63" s="150"/>
      <c r="GT63" s="150"/>
      <c r="GU63" s="151"/>
      <c r="GV63" s="152"/>
      <c r="GW63" s="150"/>
      <c r="GX63" s="150"/>
      <c r="GY63" s="150"/>
      <c r="GZ63" s="150"/>
      <c r="HA63" s="150"/>
      <c r="HB63" s="151"/>
      <c r="HC63" s="152"/>
      <c r="HD63" s="150"/>
      <c r="HE63" s="150"/>
      <c r="HF63" s="150"/>
      <c r="HG63" s="150"/>
      <c r="HH63" s="150"/>
      <c r="HI63" s="151"/>
      <c r="HJ63" s="152"/>
      <c r="HK63" s="150"/>
      <c r="HL63" s="150"/>
      <c r="HM63" s="150"/>
      <c r="HN63" s="150"/>
      <c r="HO63" s="150"/>
      <c r="HP63" s="151"/>
      <c r="HQ63" s="152"/>
      <c r="HR63" s="150"/>
      <c r="HS63" s="150"/>
      <c r="HT63" s="150"/>
      <c r="HU63" s="150"/>
      <c r="HV63" s="150"/>
      <c r="HW63" s="151"/>
      <c r="HX63" s="152"/>
      <c r="HY63" s="150"/>
      <c r="HZ63" s="150"/>
      <c r="IA63" s="150"/>
      <c r="IB63" s="150"/>
      <c r="IC63" s="150"/>
      <c r="ID63" s="151"/>
      <c r="IE63" s="152"/>
      <c r="IF63" s="150"/>
      <c r="IG63" s="150"/>
      <c r="IH63" s="150"/>
      <c r="II63" s="150"/>
      <c r="IJ63" s="150"/>
      <c r="IK63" s="151"/>
      <c r="IL63" s="152"/>
      <c r="IM63" s="150"/>
      <c r="IN63" s="150"/>
      <c r="IO63" s="150"/>
      <c r="IP63" s="150"/>
      <c r="IQ63" s="150"/>
      <c r="IR63" s="151"/>
      <c r="IS63" s="152"/>
      <c r="IT63" s="150"/>
      <c r="IU63" s="150"/>
      <c r="IV63" s="150"/>
    </row>
    <row r="64" spans="1:256" x14ac:dyDescent="0.2">
      <c r="A64" s="152"/>
      <c r="B64" s="150"/>
      <c r="C64" s="150"/>
      <c r="D64" s="150"/>
      <c r="E64" s="150"/>
      <c r="F64" s="150"/>
      <c r="G64" s="151"/>
      <c r="H64" s="152"/>
      <c r="I64" s="150"/>
      <c r="J64" s="150"/>
      <c r="K64" s="150"/>
      <c r="L64" s="150"/>
      <c r="M64" s="150"/>
      <c r="N64" s="151"/>
      <c r="O64" s="152"/>
      <c r="P64" s="150"/>
      <c r="Q64" s="150"/>
      <c r="R64" s="150"/>
      <c r="S64" s="150"/>
      <c r="T64" s="150"/>
      <c r="U64" s="151"/>
      <c r="V64" s="152"/>
      <c r="W64" s="150"/>
      <c r="X64" s="150"/>
      <c r="Y64" s="150"/>
      <c r="Z64" s="150"/>
      <c r="AA64" s="150"/>
      <c r="AB64" s="151"/>
      <c r="AC64" s="152"/>
      <c r="AD64" s="150"/>
      <c r="AE64" s="150"/>
      <c r="AF64" s="150"/>
      <c r="AG64" s="150"/>
      <c r="AH64" s="150"/>
      <c r="AI64" s="151"/>
      <c r="AJ64" s="152"/>
      <c r="AK64" s="150"/>
      <c r="AL64" s="150"/>
      <c r="AM64" s="150"/>
      <c r="AN64" s="150"/>
      <c r="AO64" s="150"/>
      <c r="AP64" s="151"/>
      <c r="AQ64" s="152"/>
      <c r="AR64" s="150"/>
      <c r="AS64" s="150"/>
      <c r="AT64" s="150"/>
      <c r="AU64" s="150"/>
      <c r="AV64" s="150"/>
      <c r="AW64" s="151"/>
      <c r="AX64" s="152"/>
      <c r="AY64" s="150"/>
      <c r="AZ64" s="150"/>
      <c r="BA64" s="150"/>
      <c r="BB64" s="150"/>
      <c r="BC64" s="150"/>
      <c r="BD64" s="151"/>
      <c r="BE64" s="152"/>
      <c r="BF64" s="150"/>
      <c r="BG64" s="150"/>
      <c r="BH64" s="150"/>
      <c r="BI64" s="150"/>
      <c r="BJ64" s="150"/>
      <c r="BK64" s="151"/>
      <c r="BL64" s="152"/>
      <c r="BM64" s="150"/>
      <c r="BN64" s="150"/>
      <c r="BO64" s="150"/>
      <c r="BP64" s="150"/>
      <c r="BQ64" s="150"/>
      <c r="BR64" s="151"/>
      <c r="BS64" s="152"/>
      <c r="BT64" s="150"/>
      <c r="BU64" s="150"/>
      <c r="BV64" s="150"/>
      <c r="BW64" s="150"/>
      <c r="BX64" s="150"/>
      <c r="BY64" s="151"/>
      <c r="BZ64" s="152"/>
      <c r="CA64" s="150"/>
      <c r="CB64" s="150"/>
      <c r="CC64" s="150"/>
      <c r="CD64" s="150"/>
      <c r="CE64" s="150"/>
      <c r="CF64" s="151"/>
      <c r="CG64" s="152"/>
      <c r="CH64" s="150"/>
      <c r="CI64" s="150"/>
      <c r="CJ64" s="150"/>
      <c r="CK64" s="150"/>
      <c r="CL64" s="150"/>
      <c r="CM64" s="151"/>
      <c r="CN64" s="152"/>
      <c r="CO64" s="150"/>
      <c r="CP64" s="150"/>
      <c r="CQ64" s="150"/>
      <c r="CR64" s="150"/>
      <c r="CS64" s="150"/>
      <c r="CT64" s="151"/>
      <c r="CU64" s="152"/>
      <c r="CV64" s="150"/>
      <c r="CW64" s="150"/>
      <c r="CX64" s="150"/>
      <c r="CY64" s="150"/>
      <c r="CZ64" s="150"/>
      <c r="DA64" s="151"/>
      <c r="DB64" s="152"/>
      <c r="DC64" s="150"/>
      <c r="DD64" s="150"/>
      <c r="DE64" s="150"/>
      <c r="DF64" s="150"/>
      <c r="DG64" s="150"/>
      <c r="DH64" s="151"/>
      <c r="DI64" s="152"/>
      <c r="DJ64" s="150"/>
      <c r="DK64" s="150"/>
      <c r="DL64" s="150"/>
      <c r="DM64" s="150"/>
      <c r="DN64" s="150"/>
      <c r="DO64" s="151"/>
      <c r="DP64" s="152"/>
      <c r="DQ64" s="150"/>
      <c r="DR64" s="150"/>
      <c r="DS64" s="150"/>
      <c r="DT64" s="150"/>
      <c r="DU64" s="150"/>
      <c r="DV64" s="151"/>
      <c r="DW64" s="152"/>
      <c r="DX64" s="150"/>
      <c r="DY64" s="150"/>
      <c r="DZ64" s="150"/>
      <c r="EA64" s="150"/>
      <c r="EB64" s="150"/>
      <c r="EC64" s="151"/>
      <c r="ED64" s="152"/>
      <c r="EE64" s="150"/>
      <c r="EF64" s="150"/>
      <c r="EG64" s="150"/>
      <c r="EH64" s="150"/>
      <c r="EI64" s="150"/>
      <c r="EJ64" s="151"/>
      <c r="EK64" s="152"/>
      <c r="EL64" s="150"/>
      <c r="EM64" s="150"/>
      <c r="EN64" s="150"/>
      <c r="EO64" s="150"/>
      <c r="EP64" s="150"/>
      <c r="EQ64" s="151"/>
      <c r="ER64" s="152"/>
      <c r="ES64" s="150"/>
      <c r="ET64" s="150"/>
      <c r="EU64" s="150"/>
      <c r="EV64" s="150"/>
      <c r="EW64" s="150"/>
      <c r="EX64" s="151"/>
      <c r="EY64" s="152"/>
      <c r="EZ64" s="150"/>
      <c r="FA64" s="150"/>
      <c r="FB64" s="150"/>
      <c r="FC64" s="150"/>
      <c r="FD64" s="150"/>
      <c r="FE64" s="151"/>
      <c r="FF64" s="152"/>
      <c r="FG64" s="150"/>
      <c r="FH64" s="150"/>
      <c r="FI64" s="150"/>
      <c r="FJ64" s="150"/>
      <c r="FK64" s="150"/>
      <c r="FL64" s="151"/>
      <c r="FM64" s="152"/>
      <c r="FN64" s="150"/>
      <c r="FO64" s="150"/>
      <c r="FP64" s="150"/>
      <c r="FQ64" s="150"/>
      <c r="FR64" s="150"/>
      <c r="FS64" s="151"/>
      <c r="FT64" s="152"/>
      <c r="FU64" s="150"/>
      <c r="FV64" s="150"/>
      <c r="FW64" s="150"/>
      <c r="FX64" s="150"/>
      <c r="FY64" s="150"/>
      <c r="FZ64" s="151"/>
      <c r="GA64" s="152"/>
      <c r="GB64" s="150"/>
      <c r="GC64" s="150"/>
      <c r="GD64" s="150"/>
      <c r="GE64" s="150"/>
      <c r="GF64" s="150"/>
      <c r="GG64" s="151"/>
      <c r="GH64" s="152"/>
      <c r="GI64" s="150"/>
      <c r="GJ64" s="150"/>
      <c r="GK64" s="150"/>
      <c r="GL64" s="150"/>
      <c r="GM64" s="150"/>
      <c r="GN64" s="151"/>
      <c r="GO64" s="152"/>
      <c r="GP64" s="150"/>
      <c r="GQ64" s="150"/>
      <c r="GR64" s="150"/>
      <c r="GS64" s="150"/>
      <c r="GT64" s="150"/>
      <c r="GU64" s="151"/>
      <c r="GV64" s="152"/>
      <c r="GW64" s="150"/>
      <c r="GX64" s="150"/>
      <c r="GY64" s="150"/>
      <c r="GZ64" s="150"/>
      <c r="HA64" s="150"/>
      <c r="HB64" s="151"/>
      <c r="HC64" s="152"/>
      <c r="HD64" s="150"/>
      <c r="HE64" s="150"/>
      <c r="HF64" s="150"/>
      <c r="HG64" s="150"/>
      <c r="HH64" s="150"/>
      <c r="HI64" s="151"/>
      <c r="HJ64" s="152"/>
      <c r="HK64" s="150"/>
      <c r="HL64" s="150"/>
      <c r="HM64" s="150"/>
      <c r="HN64" s="150"/>
      <c r="HO64" s="150"/>
      <c r="HP64" s="151"/>
      <c r="HQ64" s="152"/>
      <c r="HR64" s="150"/>
      <c r="HS64" s="150"/>
      <c r="HT64" s="150"/>
      <c r="HU64" s="150"/>
      <c r="HV64" s="150"/>
      <c r="HW64" s="151"/>
      <c r="HX64" s="152"/>
      <c r="HY64" s="150"/>
      <c r="HZ64" s="150"/>
      <c r="IA64" s="150"/>
      <c r="IB64" s="150"/>
      <c r="IC64" s="150"/>
      <c r="ID64" s="151"/>
      <c r="IE64" s="152"/>
      <c r="IF64" s="150"/>
      <c r="IG64" s="150"/>
      <c r="IH64" s="150"/>
      <c r="II64" s="150"/>
      <c r="IJ64" s="150"/>
      <c r="IK64" s="151"/>
      <c r="IL64" s="152"/>
      <c r="IM64" s="150"/>
      <c r="IN64" s="150"/>
      <c r="IO64" s="150"/>
      <c r="IP64" s="150"/>
      <c r="IQ64" s="150"/>
      <c r="IR64" s="151"/>
      <c r="IS64" s="152"/>
      <c r="IT64" s="150"/>
      <c r="IU64" s="150"/>
      <c r="IV64" s="150"/>
    </row>
    <row r="65" spans="1:256" x14ac:dyDescent="0.2">
      <c r="A65" s="809" t="s">
        <v>1</v>
      </c>
      <c r="B65" s="810"/>
      <c r="C65" s="810"/>
      <c r="D65" s="810"/>
      <c r="E65" s="810"/>
      <c r="F65" s="810"/>
      <c r="G65" s="811"/>
      <c r="H65" s="152"/>
      <c r="I65" s="150"/>
      <c r="J65" s="150"/>
      <c r="K65" s="150"/>
      <c r="L65" s="150"/>
      <c r="M65" s="150"/>
      <c r="N65" s="151"/>
      <c r="O65" s="152"/>
      <c r="P65" s="150"/>
      <c r="Q65" s="150"/>
      <c r="R65" s="150"/>
      <c r="S65" s="150"/>
      <c r="T65" s="150"/>
      <c r="U65" s="151"/>
      <c r="V65" s="152"/>
      <c r="W65" s="150"/>
      <c r="X65" s="150"/>
      <c r="Y65" s="150"/>
      <c r="Z65" s="150"/>
      <c r="AA65" s="150"/>
      <c r="AB65" s="151"/>
      <c r="AC65" s="152"/>
      <c r="AD65" s="150"/>
      <c r="AE65" s="150"/>
      <c r="AF65" s="150"/>
      <c r="AG65" s="150"/>
      <c r="AH65" s="150"/>
      <c r="AI65" s="151"/>
      <c r="AJ65" s="152"/>
      <c r="AK65" s="150"/>
      <c r="AL65" s="150"/>
      <c r="AM65" s="150"/>
      <c r="AN65" s="150"/>
      <c r="AO65" s="150"/>
      <c r="AP65" s="151"/>
      <c r="AQ65" s="152"/>
      <c r="AR65" s="150"/>
      <c r="AS65" s="150"/>
      <c r="AT65" s="150"/>
      <c r="AU65" s="150"/>
      <c r="AV65" s="150"/>
      <c r="AW65" s="151"/>
      <c r="AX65" s="152"/>
      <c r="AY65" s="150"/>
      <c r="AZ65" s="150"/>
      <c r="BA65" s="150"/>
      <c r="BB65" s="150"/>
      <c r="BC65" s="150"/>
      <c r="BD65" s="151"/>
      <c r="BE65" s="152"/>
      <c r="BF65" s="150"/>
      <c r="BG65" s="150"/>
      <c r="BH65" s="150"/>
      <c r="BI65" s="150"/>
      <c r="BJ65" s="150"/>
      <c r="BK65" s="151"/>
      <c r="BL65" s="152"/>
      <c r="BM65" s="150"/>
      <c r="BN65" s="150"/>
      <c r="BO65" s="150"/>
      <c r="BP65" s="150"/>
      <c r="BQ65" s="150"/>
      <c r="BR65" s="151"/>
      <c r="BS65" s="152"/>
      <c r="BT65" s="150"/>
      <c r="BU65" s="150"/>
      <c r="BV65" s="150"/>
      <c r="BW65" s="150"/>
      <c r="BX65" s="150"/>
      <c r="BY65" s="151"/>
      <c r="BZ65" s="152"/>
      <c r="CA65" s="150"/>
      <c r="CB65" s="150"/>
      <c r="CC65" s="150"/>
      <c r="CD65" s="150"/>
      <c r="CE65" s="150"/>
      <c r="CF65" s="151"/>
      <c r="CG65" s="152"/>
      <c r="CH65" s="150"/>
      <c r="CI65" s="150"/>
      <c r="CJ65" s="150"/>
      <c r="CK65" s="150"/>
      <c r="CL65" s="150"/>
      <c r="CM65" s="151"/>
      <c r="CN65" s="152"/>
      <c r="CO65" s="150"/>
      <c r="CP65" s="150"/>
      <c r="CQ65" s="150"/>
      <c r="CR65" s="150"/>
      <c r="CS65" s="150"/>
      <c r="CT65" s="151"/>
      <c r="CU65" s="152"/>
      <c r="CV65" s="150"/>
      <c r="CW65" s="150"/>
      <c r="CX65" s="150"/>
      <c r="CY65" s="150"/>
      <c r="CZ65" s="150"/>
      <c r="DA65" s="151"/>
      <c r="DB65" s="152"/>
      <c r="DC65" s="150"/>
      <c r="DD65" s="150"/>
      <c r="DE65" s="150"/>
      <c r="DF65" s="150"/>
      <c r="DG65" s="150"/>
      <c r="DH65" s="151"/>
      <c r="DI65" s="152"/>
      <c r="DJ65" s="150"/>
      <c r="DK65" s="150"/>
      <c r="DL65" s="150"/>
      <c r="DM65" s="150"/>
      <c r="DN65" s="150"/>
      <c r="DO65" s="151"/>
      <c r="DP65" s="152"/>
      <c r="DQ65" s="150"/>
      <c r="DR65" s="150"/>
      <c r="DS65" s="150"/>
      <c r="DT65" s="150"/>
      <c r="DU65" s="150"/>
      <c r="DV65" s="151"/>
      <c r="DW65" s="152"/>
      <c r="DX65" s="150"/>
      <c r="DY65" s="150"/>
      <c r="DZ65" s="150"/>
      <c r="EA65" s="150"/>
      <c r="EB65" s="150"/>
      <c r="EC65" s="151"/>
      <c r="ED65" s="152"/>
      <c r="EE65" s="150"/>
      <c r="EF65" s="150"/>
      <c r="EG65" s="150"/>
      <c r="EH65" s="150"/>
      <c r="EI65" s="150"/>
      <c r="EJ65" s="151"/>
      <c r="EK65" s="152"/>
      <c r="EL65" s="150"/>
      <c r="EM65" s="150"/>
      <c r="EN65" s="150"/>
      <c r="EO65" s="150"/>
      <c r="EP65" s="150"/>
      <c r="EQ65" s="151"/>
      <c r="ER65" s="152"/>
      <c r="ES65" s="150"/>
      <c r="ET65" s="150"/>
      <c r="EU65" s="150"/>
      <c r="EV65" s="150"/>
      <c r="EW65" s="150"/>
      <c r="EX65" s="151"/>
      <c r="EY65" s="152"/>
      <c r="EZ65" s="150"/>
      <c r="FA65" s="150"/>
      <c r="FB65" s="150"/>
      <c r="FC65" s="150"/>
      <c r="FD65" s="150"/>
      <c r="FE65" s="151"/>
      <c r="FF65" s="152"/>
      <c r="FG65" s="150"/>
      <c r="FH65" s="150"/>
      <c r="FI65" s="150"/>
      <c r="FJ65" s="150"/>
      <c r="FK65" s="150"/>
      <c r="FL65" s="151"/>
      <c r="FM65" s="152"/>
      <c r="FN65" s="150"/>
      <c r="FO65" s="150"/>
      <c r="FP65" s="150"/>
      <c r="FQ65" s="150"/>
      <c r="FR65" s="150"/>
      <c r="FS65" s="151"/>
      <c r="FT65" s="152"/>
      <c r="FU65" s="150"/>
      <c r="FV65" s="150"/>
      <c r="FW65" s="150"/>
      <c r="FX65" s="150"/>
      <c r="FY65" s="150"/>
      <c r="FZ65" s="151"/>
      <c r="GA65" s="152"/>
      <c r="GB65" s="150"/>
      <c r="GC65" s="150"/>
      <c r="GD65" s="150"/>
      <c r="GE65" s="150"/>
      <c r="GF65" s="150"/>
      <c r="GG65" s="151"/>
      <c r="GH65" s="152"/>
      <c r="GI65" s="150"/>
      <c r="GJ65" s="150"/>
      <c r="GK65" s="150"/>
      <c r="GL65" s="150"/>
      <c r="GM65" s="150"/>
      <c r="GN65" s="151"/>
      <c r="GO65" s="152"/>
      <c r="GP65" s="150"/>
      <c r="GQ65" s="150"/>
      <c r="GR65" s="150"/>
      <c r="GS65" s="150"/>
      <c r="GT65" s="150"/>
      <c r="GU65" s="151"/>
      <c r="GV65" s="152"/>
      <c r="GW65" s="150"/>
      <c r="GX65" s="150"/>
      <c r="GY65" s="150"/>
      <c r="GZ65" s="150"/>
      <c r="HA65" s="150"/>
      <c r="HB65" s="151"/>
      <c r="HC65" s="152"/>
      <c r="HD65" s="150"/>
      <c r="HE65" s="150"/>
      <c r="HF65" s="150"/>
      <c r="HG65" s="150"/>
      <c r="HH65" s="150"/>
      <c r="HI65" s="151"/>
      <c r="HJ65" s="152"/>
      <c r="HK65" s="150"/>
      <c r="HL65" s="150"/>
      <c r="HM65" s="150"/>
      <c r="HN65" s="150"/>
      <c r="HO65" s="150"/>
      <c r="HP65" s="151"/>
      <c r="HQ65" s="152"/>
      <c r="HR65" s="150"/>
      <c r="HS65" s="150"/>
      <c r="HT65" s="150"/>
      <c r="HU65" s="150"/>
      <c r="HV65" s="150"/>
      <c r="HW65" s="151"/>
      <c r="HX65" s="152"/>
      <c r="HY65" s="150"/>
      <c r="HZ65" s="150"/>
      <c r="IA65" s="150"/>
      <c r="IB65" s="150"/>
      <c r="IC65" s="150"/>
      <c r="ID65" s="151"/>
      <c r="IE65" s="152"/>
      <c r="IF65" s="150"/>
      <c r="IG65" s="150"/>
      <c r="IH65" s="150"/>
      <c r="II65" s="150"/>
      <c r="IJ65" s="150"/>
      <c r="IK65" s="151"/>
      <c r="IL65" s="152"/>
      <c r="IM65" s="150"/>
      <c r="IN65" s="150"/>
      <c r="IO65" s="150"/>
      <c r="IP65" s="150"/>
      <c r="IQ65" s="150"/>
      <c r="IR65" s="151"/>
      <c r="IS65" s="152"/>
      <c r="IT65" s="150"/>
      <c r="IU65" s="150"/>
      <c r="IV65" s="150"/>
    </row>
    <row r="66" spans="1:256" x14ac:dyDescent="0.2">
      <c r="A66" s="809"/>
      <c r="B66" s="810"/>
      <c r="C66" s="810"/>
      <c r="D66" s="810"/>
      <c r="E66" s="810"/>
      <c r="F66" s="810"/>
      <c r="G66" s="811"/>
      <c r="H66" s="152"/>
      <c r="I66" s="150"/>
      <c r="J66" s="150"/>
      <c r="K66" s="150"/>
      <c r="L66" s="150"/>
      <c r="M66" s="150"/>
      <c r="N66" s="151"/>
      <c r="O66" s="152"/>
      <c r="P66" s="150"/>
      <c r="Q66" s="150"/>
      <c r="R66" s="150"/>
      <c r="S66" s="150"/>
      <c r="T66" s="150"/>
      <c r="U66" s="151"/>
      <c r="V66" s="152"/>
      <c r="W66" s="150"/>
      <c r="X66" s="150"/>
      <c r="Y66" s="150"/>
      <c r="Z66" s="150"/>
      <c r="AA66" s="150"/>
      <c r="AB66" s="151"/>
      <c r="AC66" s="152"/>
      <c r="AD66" s="150"/>
      <c r="AE66" s="150"/>
      <c r="AF66" s="150"/>
      <c r="AG66" s="150"/>
      <c r="AH66" s="150"/>
      <c r="AI66" s="151"/>
      <c r="AJ66" s="152"/>
      <c r="AK66" s="150"/>
      <c r="AL66" s="150"/>
      <c r="AM66" s="150"/>
      <c r="AN66" s="150"/>
      <c r="AO66" s="150"/>
      <c r="AP66" s="151"/>
      <c r="AQ66" s="152"/>
      <c r="AR66" s="150"/>
      <c r="AS66" s="150"/>
      <c r="AT66" s="150"/>
      <c r="AU66" s="150"/>
      <c r="AV66" s="150"/>
      <c r="AW66" s="151"/>
      <c r="AX66" s="152"/>
      <c r="AY66" s="150"/>
      <c r="AZ66" s="150"/>
      <c r="BA66" s="150"/>
      <c r="BB66" s="150"/>
      <c r="BC66" s="150"/>
      <c r="BD66" s="151"/>
      <c r="BE66" s="152"/>
      <c r="BF66" s="150"/>
      <c r="BG66" s="150"/>
      <c r="BH66" s="150"/>
      <c r="BI66" s="150"/>
      <c r="BJ66" s="150"/>
      <c r="BK66" s="151"/>
      <c r="BL66" s="152"/>
      <c r="BM66" s="150"/>
      <c r="BN66" s="150"/>
      <c r="BO66" s="150"/>
      <c r="BP66" s="150"/>
      <c r="BQ66" s="150"/>
      <c r="BR66" s="151"/>
      <c r="BS66" s="152"/>
      <c r="BT66" s="150"/>
      <c r="BU66" s="150"/>
      <c r="BV66" s="150"/>
      <c r="BW66" s="150"/>
      <c r="BX66" s="150"/>
      <c r="BY66" s="151"/>
      <c r="BZ66" s="152"/>
      <c r="CA66" s="150"/>
      <c r="CB66" s="150"/>
      <c r="CC66" s="150"/>
      <c r="CD66" s="150"/>
      <c r="CE66" s="150"/>
      <c r="CF66" s="151"/>
      <c r="CG66" s="152"/>
      <c r="CH66" s="150"/>
      <c r="CI66" s="150"/>
      <c r="CJ66" s="150"/>
      <c r="CK66" s="150"/>
      <c r="CL66" s="150"/>
      <c r="CM66" s="151"/>
      <c r="CN66" s="152"/>
      <c r="CO66" s="150"/>
      <c r="CP66" s="150"/>
      <c r="CQ66" s="150"/>
      <c r="CR66" s="150"/>
      <c r="CS66" s="150"/>
      <c r="CT66" s="151"/>
      <c r="CU66" s="152"/>
      <c r="CV66" s="150"/>
      <c r="CW66" s="150"/>
      <c r="CX66" s="150"/>
      <c r="CY66" s="150"/>
      <c r="CZ66" s="150"/>
      <c r="DA66" s="151"/>
      <c r="DB66" s="152"/>
      <c r="DC66" s="150"/>
      <c r="DD66" s="150"/>
      <c r="DE66" s="150"/>
      <c r="DF66" s="150"/>
      <c r="DG66" s="150"/>
      <c r="DH66" s="151"/>
      <c r="DI66" s="152"/>
      <c r="DJ66" s="150"/>
      <c r="DK66" s="150"/>
      <c r="DL66" s="150"/>
      <c r="DM66" s="150"/>
      <c r="DN66" s="150"/>
      <c r="DO66" s="151"/>
      <c r="DP66" s="152"/>
      <c r="DQ66" s="150"/>
      <c r="DR66" s="150"/>
      <c r="DS66" s="150"/>
      <c r="DT66" s="150"/>
      <c r="DU66" s="150"/>
      <c r="DV66" s="151"/>
      <c r="DW66" s="152"/>
      <c r="DX66" s="150"/>
      <c r="DY66" s="150"/>
      <c r="DZ66" s="150"/>
      <c r="EA66" s="150"/>
      <c r="EB66" s="150"/>
      <c r="EC66" s="151"/>
      <c r="ED66" s="152"/>
      <c r="EE66" s="150"/>
      <c r="EF66" s="150"/>
      <c r="EG66" s="150"/>
      <c r="EH66" s="150"/>
      <c r="EI66" s="150"/>
      <c r="EJ66" s="151"/>
      <c r="EK66" s="152"/>
      <c r="EL66" s="150"/>
      <c r="EM66" s="150"/>
      <c r="EN66" s="150"/>
      <c r="EO66" s="150"/>
      <c r="EP66" s="150"/>
      <c r="EQ66" s="151"/>
      <c r="ER66" s="152"/>
      <c r="ES66" s="150"/>
      <c r="ET66" s="150"/>
      <c r="EU66" s="150"/>
      <c r="EV66" s="150"/>
      <c r="EW66" s="150"/>
      <c r="EX66" s="151"/>
      <c r="EY66" s="152"/>
      <c r="EZ66" s="150"/>
      <c r="FA66" s="150"/>
      <c r="FB66" s="150"/>
      <c r="FC66" s="150"/>
      <c r="FD66" s="150"/>
      <c r="FE66" s="151"/>
      <c r="FF66" s="152"/>
      <c r="FG66" s="150"/>
      <c r="FH66" s="150"/>
      <c r="FI66" s="150"/>
      <c r="FJ66" s="150"/>
      <c r="FK66" s="150"/>
      <c r="FL66" s="151"/>
      <c r="FM66" s="152"/>
      <c r="FN66" s="150"/>
      <c r="FO66" s="150"/>
      <c r="FP66" s="150"/>
      <c r="FQ66" s="150"/>
      <c r="FR66" s="150"/>
      <c r="FS66" s="151"/>
      <c r="FT66" s="152"/>
      <c r="FU66" s="150"/>
      <c r="FV66" s="150"/>
      <c r="FW66" s="150"/>
      <c r="FX66" s="150"/>
      <c r="FY66" s="150"/>
      <c r="FZ66" s="151"/>
      <c r="GA66" s="152"/>
      <c r="GB66" s="150"/>
      <c r="GC66" s="150"/>
      <c r="GD66" s="150"/>
      <c r="GE66" s="150"/>
      <c r="GF66" s="150"/>
      <c r="GG66" s="151"/>
      <c r="GH66" s="152"/>
      <c r="GI66" s="150"/>
      <c r="GJ66" s="150"/>
      <c r="GK66" s="150"/>
      <c r="GL66" s="150"/>
      <c r="GM66" s="150"/>
      <c r="GN66" s="151"/>
      <c r="GO66" s="152"/>
      <c r="GP66" s="150"/>
      <c r="GQ66" s="150"/>
      <c r="GR66" s="150"/>
      <c r="GS66" s="150"/>
      <c r="GT66" s="150"/>
      <c r="GU66" s="151"/>
      <c r="GV66" s="152"/>
      <c r="GW66" s="150"/>
      <c r="GX66" s="150"/>
      <c r="GY66" s="150"/>
      <c r="GZ66" s="150"/>
      <c r="HA66" s="150"/>
      <c r="HB66" s="151"/>
      <c r="HC66" s="152"/>
      <c r="HD66" s="150"/>
      <c r="HE66" s="150"/>
      <c r="HF66" s="150"/>
      <c r="HG66" s="150"/>
      <c r="HH66" s="150"/>
      <c r="HI66" s="151"/>
      <c r="HJ66" s="152"/>
      <c r="HK66" s="150"/>
      <c r="HL66" s="150"/>
      <c r="HM66" s="150"/>
      <c r="HN66" s="150"/>
      <c r="HO66" s="150"/>
      <c r="HP66" s="151"/>
      <c r="HQ66" s="152"/>
      <c r="HR66" s="150"/>
      <c r="HS66" s="150"/>
      <c r="HT66" s="150"/>
      <c r="HU66" s="150"/>
      <c r="HV66" s="150"/>
      <c r="HW66" s="151"/>
      <c r="HX66" s="152"/>
      <c r="HY66" s="150"/>
      <c r="HZ66" s="150"/>
      <c r="IA66" s="150"/>
      <c r="IB66" s="150"/>
      <c r="IC66" s="150"/>
      <c r="ID66" s="151"/>
      <c r="IE66" s="152"/>
      <c r="IF66" s="150"/>
      <c r="IG66" s="150"/>
      <c r="IH66" s="150"/>
      <c r="II66" s="150"/>
      <c r="IJ66" s="150"/>
      <c r="IK66" s="151"/>
      <c r="IL66" s="152"/>
      <c r="IM66" s="150"/>
      <c r="IN66" s="150"/>
      <c r="IO66" s="150"/>
      <c r="IP66" s="150"/>
      <c r="IQ66" s="150"/>
      <c r="IR66" s="151"/>
      <c r="IS66" s="152"/>
      <c r="IT66" s="150"/>
      <c r="IU66" s="150"/>
      <c r="IV66" s="150"/>
    </row>
    <row r="67" spans="1:256" x14ac:dyDescent="0.2">
      <c r="A67" s="802" t="s">
        <v>506</v>
      </c>
      <c r="B67" s="803"/>
      <c r="C67" s="803"/>
      <c r="D67" s="803"/>
      <c r="E67" s="803"/>
      <c r="F67" s="803"/>
      <c r="G67" s="804"/>
      <c r="H67" s="152"/>
      <c r="I67" s="150"/>
      <c r="J67" s="150"/>
      <c r="K67" s="150"/>
      <c r="L67" s="150"/>
      <c r="M67" s="150"/>
      <c r="N67" s="151"/>
      <c r="O67" s="152"/>
      <c r="P67" s="150"/>
      <c r="Q67" s="150"/>
      <c r="R67" s="150"/>
      <c r="S67" s="150"/>
      <c r="T67" s="150"/>
      <c r="U67" s="151"/>
      <c r="V67" s="152"/>
      <c r="W67" s="150"/>
      <c r="X67" s="150"/>
      <c r="Y67" s="150"/>
      <c r="Z67" s="150"/>
      <c r="AA67" s="150"/>
      <c r="AB67" s="151"/>
      <c r="AC67" s="152"/>
      <c r="AD67" s="150"/>
      <c r="AE67" s="150"/>
      <c r="AF67" s="150"/>
      <c r="AG67" s="150"/>
      <c r="AH67" s="150"/>
      <c r="AI67" s="151"/>
      <c r="AJ67" s="152"/>
      <c r="AK67" s="150"/>
      <c r="AL67" s="150"/>
      <c r="AM67" s="150"/>
      <c r="AN67" s="150"/>
      <c r="AO67" s="150"/>
      <c r="AP67" s="151"/>
      <c r="AQ67" s="152"/>
      <c r="AR67" s="150"/>
      <c r="AS67" s="150"/>
      <c r="AT67" s="150"/>
      <c r="AU67" s="150"/>
      <c r="AV67" s="150"/>
      <c r="AW67" s="151"/>
      <c r="AX67" s="152"/>
      <c r="AY67" s="150"/>
      <c r="AZ67" s="150"/>
      <c r="BA67" s="150"/>
      <c r="BB67" s="150"/>
      <c r="BC67" s="150"/>
      <c r="BD67" s="151"/>
      <c r="BE67" s="152"/>
      <c r="BF67" s="150"/>
      <c r="BG67" s="150"/>
      <c r="BH67" s="150"/>
      <c r="BI67" s="150"/>
      <c r="BJ67" s="150"/>
      <c r="BK67" s="151"/>
      <c r="BL67" s="152"/>
      <c r="BM67" s="150"/>
      <c r="BN67" s="150"/>
      <c r="BO67" s="150"/>
      <c r="BP67" s="150"/>
      <c r="BQ67" s="150"/>
      <c r="BR67" s="151"/>
      <c r="BS67" s="152"/>
      <c r="BT67" s="150"/>
      <c r="BU67" s="150"/>
      <c r="BV67" s="150"/>
      <c r="BW67" s="150"/>
      <c r="BX67" s="150"/>
      <c r="BY67" s="151"/>
      <c r="BZ67" s="152"/>
      <c r="CA67" s="150"/>
      <c r="CB67" s="150"/>
      <c r="CC67" s="150"/>
      <c r="CD67" s="150"/>
      <c r="CE67" s="150"/>
      <c r="CF67" s="151"/>
      <c r="CG67" s="152"/>
      <c r="CH67" s="150"/>
      <c r="CI67" s="150"/>
      <c r="CJ67" s="150"/>
      <c r="CK67" s="150"/>
      <c r="CL67" s="150"/>
      <c r="CM67" s="151"/>
      <c r="CN67" s="152"/>
      <c r="CO67" s="150"/>
      <c r="CP67" s="150"/>
      <c r="CQ67" s="150"/>
      <c r="CR67" s="150"/>
      <c r="CS67" s="150"/>
      <c r="CT67" s="151"/>
      <c r="CU67" s="152"/>
      <c r="CV67" s="150"/>
      <c r="CW67" s="150"/>
      <c r="CX67" s="150"/>
      <c r="CY67" s="150"/>
      <c r="CZ67" s="150"/>
      <c r="DA67" s="151"/>
      <c r="DB67" s="152"/>
      <c r="DC67" s="150"/>
      <c r="DD67" s="150"/>
      <c r="DE67" s="150"/>
      <c r="DF67" s="150"/>
      <c r="DG67" s="150"/>
      <c r="DH67" s="151"/>
      <c r="DI67" s="152"/>
      <c r="DJ67" s="150"/>
      <c r="DK67" s="150"/>
      <c r="DL67" s="150"/>
      <c r="DM67" s="150"/>
      <c r="DN67" s="150"/>
      <c r="DO67" s="151"/>
      <c r="DP67" s="152"/>
      <c r="DQ67" s="150"/>
      <c r="DR67" s="150"/>
      <c r="DS67" s="150"/>
      <c r="DT67" s="150"/>
      <c r="DU67" s="150"/>
      <c r="DV67" s="151"/>
      <c r="DW67" s="152"/>
      <c r="DX67" s="150"/>
      <c r="DY67" s="150"/>
      <c r="DZ67" s="150"/>
      <c r="EA67" s="150"/>
      <c r="EB67" s="150"/>
      <c r="EC67" s="151"/>
      <c r="ED67" s="152"/>
      <c r="EE67" s="150"/>
      <c r="EF67" s="150"/>
      <c r="EG67" s="150"/>
      <c r="EH67" s="150"/>
      <c r="EI67" s="150"/>
      <c r="EJ67" s="151"/>
      <c r="EK67" s="152"/>
      <c r="EL67" s="150"/>
      <c r="EM67" s="150"/>
      <c r="EN67" s="150"/>
      <c r="EO67" s="150"/>
      <c r="EP67" s="150"/>
      <c r="EQ67" s="151"/>
      <c r="ER67" s="152"/>
      <c r="ES67" s="150"/>
      <c r="ET67" s="150"/>
      <c r="EU67" s="150"/>
      <c r="EV67" s="150"/>
      <c r="EW67" s="150"/>
      <c r="EX67" s="151"/>
      <c r="EY67" s="152"/>
      <c r="EZ67" s="150"/>
      <c r="FA67" s="150"/>
      <c r="FB67" s="150"/>
      <c r="FC67" s="150"/>
      <c r="FD67" s="150"/>
      <c r="FE67" s="151"/>
      <c r="FF67" s="152"/>
      <c r="FG67" s="150"/>
      <c r="FH67" s="150"/>
      <c r="FI67" s="150"/>
      <c r="FJ67" s="150"/>
      <c r="FK67" s="150"/>
      <c r="FL67" s="151"/>
      <c r="FM67" s="152"/>
      <c r="FN67" s="150"/>
      <c r="FO67" s="150"/>
      <c r="FP67" s="150"/>
      <c r="FQ67" s="150"/>
      <c r="FR67" s="150"/>
      <c r="FS67" s="151"/>
      <c r="FT67" s="152"/>
      <c r="FU67" s="150"/>
      <c r="FV67" s="150"/>
      <c r="FW67" s="150"/>
      <c r="FX67" s="150"/>
      <c r="FY67" s="150"/>
      <c r="FZ67" s="151"/>
      <c r="GA67" s="152"/>
      <c r="GB67" s="150"/>
      <c r="GC67" s="150"/>
      <c r="GD67" s="150"/>
      <c r="GE67" s="150"/>
      <c r="GF67" s="150"/>
      <c r="GG67" s="151"/>
      <c r="GH67" s="152"/>
      <c r="GI67" s="150"/>
      <c r="GJ67" s="150"/>
      <c r="GK67" s="150"/>
      <c r="GL67" s="150"/>
      <c r="GM67" s="150"/>
      <c r="GN67" s="151"/>
      <c r="GO67" s="152"/>
      <c r="GP67" s="150"/>
      <c r="GQ67" s="150"/>
      <c r="GR67" s="150"/>
      <c r="GS67" s="150"/>
      <c r="GT67" s="150"/>
      <c r="GU67" s="151"/>
      <c r="GV67" s="152"/>
      <c r="GW67" s="150"/>
      <c r="GX67" s="150"/>
      <c r="GY67" s="150"/>
      <c r="GZ67" s="150"/>
      <c r="HA67" s="150"/>
      <c r="HB67" s="151"/>
      <c r="HC67" s="152"/>
      <c r="HD67" s="150"/>
      <c r="HE67" s="150"/>
      <c r="HF67" s="150"/>
      <c r="HG67" s="150"/>
      <c r="HH67" s="150"/>
      <c r="HI67" s="151"/>
      <c r="HJ67" s="152"/>
      <c r="HK67" s="150"/>
      <c r="HL67" s="150"/>
      <c r="HM67" s="150"/>
      <c r="HN67" s="150"/>
      <c r="HO67" s="150"/>
      <c r="HP67" s="151"/>
      <c r="HQ67" s="152"/>
      <c r="HR67" s="150"/>
      <c r="HS67" s="150"/>
      <c r="HT67" s="150"/>
      <c r="HU67" s="150"/>
      <c r="HV67" s="150"/>
      <c r="HW67" s="151"/>
      <c r="HX67" s="152"/>
      <c r="HY67" s="150"/>
      <c r="HZ67" s="150"/>
      <c r="IA67" s="150"/>
      <c r="IB67" s="150"/>
      <c r="IC67" s="150"/>
      <c r="ID67" s="151"/>
      <c r="IE67" s="152"/>
      <c r="IF67" s="150"/>
      <c r="IG67" s="150"/>
      <c r="IH67" s="150"/>
      <c r="II67" s="150"/>
      <c r="IJ67" s="150"/>
      <c r="IK67" s="151"/>
      <c r="IL67" s="152"/>
      <c r="IM67" s="150"/>
      <c r="IN67" s="150"/>
      <c r="IO67" s="150"/>
      <c r="IP67" s="150"/>
      <c r="IQ67" s="150"/>
      <c r="IR67" s="151"/>
      <c r="IS67" s="152"/>
      <c r="IT67" s="150"/>
      <c r="IU67" s="150"/>
      <c r="IV67" s="150"/>
    </row>
    <row r="68" spans="1:256" ht="27" customHeight="1" x14ac:dyDescent="0.2">
      <c r="A68" s="802"/>
      <c r="B68" s="803"/>
      <c r="C68" s="803"/>
      <c r="D68" s="803"/>
      <c r="E68" s="803"/>
      <c r="F68" s="803"/>
      <c r="G68" s="804"/>
      <c r="H68" s="152"/>
      <c r="I68" s="150"/>
      <c r="J68" s="150"/>
      <c r="K68" s="150"/>
      <c r="L68" s="150"/>
      <c r="M68" s="150"/>
      <c r="N68" s="151"/>
      <c r="O68" s="152"/>
      <c r="P68" s="150"/>
      <c r="Q68" s="150"/>
      <c r="R68" s="150"/>
      <c r="S68" s="150"/>
      <c r="T68" s="150"/>
      <c r="U68" s="151"/>
      <c r="V68" s="152"/>
      <c r="W68" s="150"/>
      <c r="X68" s="150"/>
      <c r="Y68" s="150"/>
      <c r="Z68" s="150"/>
      <c r="AA68" s="150"/>
      <c r="AB68" s="151"/>
      <c r="AC68" s="152"/>
      <c r="AD68" s="150"/>
      <c r="AE68" s="150"/>
      <c r="AF68" s="150"/>
      <c r="AG68" s="150"/>
      <c r="AH68" s="150"/>
      <c r="AI68" s="151"/>
      <c r="AJ68" s="152"/>
      <c r="AK68" s="150"/>
      <c r="AL68" s="150"/>
      <c r="AM68" s="150"/>
      <c r="AN68" s="150"/>
      <c r="AO68" s="150"/>
      <c r="AP68" s="151"/>
      <c r="AQ68" s="152"/>
      <c r="AR68" s="150"/>
      <c r="AS68" s="150"/>
      <c r="AT68" s="150"/>
      <c r="AU68" s="150"/>
      <c r="AV68" s="150"/>
      <c r="AW68" s="151"/>
      <c r="AX68" s="152"/>
      <c r="AY68" s="150"/>
      <c r="AZ68" s="150"/>
      <c r="BA68" s="150"/>
      <c r="BB68" s="150"/>
      <c r="BC68" s="150"/>
      <c r="BD68" s="151"/>
      <c r="BE68" s="152"/>
      <c r="BF68" s="150"/>
      <c r="BG68" s="150"/>
      <c r="BH68" s="150"/>
      <c r="BI68" s="150"/>
      <c r="BJ68" s="150"/>
      <c r="BK68" s="151"/>
      <c r="BL68" s="152"/>
      <c r="BM68" s="150"/>
      <c r="BN68" s="150"/>
      <c r="BO68" s="150"/>
      <c r="BP68" s="150"/>
      <c r="BQ68" s="150"/>
      <c r="BR68" s="151"/>
      <c r="BS68" s="152"/>
      <c r="BT68" s="150"/>
      <c r="BU68" s="150"/>
      <c r="BV68" s="150"/>
      <c r="BW68" s="150"/>
      <c r="BX68" s="150"/>
      <c r="BY68" s="151"/>
      <c r="BZ68" s="152"/>
      <c r="CA68" s="150"/>
      <c r="CB68" s="150"/>
      <c r="CC68" s="150"/>
      <c r="CD68" s="150"/>
      <c r="CE68" s="150"/>
      <c r="CF68" s="151"/>
      <c r="CG68" s="152"/>
      <c r="CH68" s="150"/>
      <c r="CI68" s="150"/>
      <c r="CJ68" s="150"/>
      <c r="CK68" s="150"/>
      <c r="CL68" s="150"/>
      <c r="CM68" s="151"/>
      <c r="CN68" s="152"/>
      <c r="CO68" s="150"/>
      <c r="CP68" s="150"/>
      <c r="CQ68" s="150"/>
      <c r="CR68" s="150"/>
      <c r="CS68" s="150"/>
      <c r="CT68" s="151"/>
      <c r="CU68" s="152"/>
      <c r="CV68" s="150"/>
      <c r="CW68" s="150"/>
      <c r="CX68" s="150"/>
      <c r="CY68" s="150"/>
      <c r="CZ68" s="150"/>
      <c r="DA68" s="151"/>
      <c r="DB68" s="152"/>
      <c r="DC68" s="150"/>
      <c r="DD68" s="150"/>
      <c r="DE68" s="150"/>
      <c r="DF68" s="150"/>
      <c r="DG68" s="150"/>
      <c r="DH68" s="151"/>
      <c r="DI68" s="152"/>
      <c r="DJ68" s="150"/>
      <c r="DK68" s="150"/>
      <c r="DL68" s="150"/>
      <c r="DM68" s="150"/>
      <c r="DN68" s="150"/>
      <c r="DO68" s="151"/>
      <c r="DP68" s="152"/>
      <c r="DQ68" s="150"/>
      <c r="DR68" s="150"/>
      <c r="DS68" s="150"/>
      <c r="DT68" s="150"/>
      <c r="DU68" s="150"/>
      <c r="DV68" s="151"/>
      <c r="DW68" s="152"/>
      <c r="DX68" s="150"/>
      <c r="DY68" s="150"/>
      <c r="DZ68" s="150"/>
      <c r="EA68" s="150"/>
      <c r="EB68" s="150"/>
      <c r="EC68" s="151"/>
      <c r="ED68" s="152"/>
      <c r="EE68" s="150"/>
      <c r="EF68" s="150"/>
      <c r="EG68" s="150"/>
      <c r="EH68" s="150"/>
      <c r="EI68" s="150"/>
      <c r="EJ68" s="151"/>
      <c r="EK68" s="152"/>
      <c r="EL68" s="150"/>
      <c r="EM68" s="150"/>
      <c r="EN68" s="150"/>
      <c r="EO68" s="150"/>
      <c r="EP68" s="150"/>
      <c r="EQ68" s="151"/>
      <c r="ER68" s="152"/>
      <c r="ES68" s="150"/>
      <c r="ET68" s="150"/>
      <c r="EU68" s="150"/>
      <c r="EV68" s="150"/>
      <c r="EW68" s="150"/>
      <c r="EX68" s="151"/>
      <c r="EY68" s="152"/>
      <c r="EZ68" s="150"/>
      <c r="FA68" s="150"/>
      <c r="FB68" s="150"/>
      <c r="FC68" s="150"/>
      <c r="FD68" s="150"/>
      <c r="FE68" s="151"/>
      <c r="FF68" s="152"/>
      <c r="FG68" s="150"/>
      <c r="FH68" s="150"/>
      <c r="FI68" s="150"/>
      <c r="FJ68" s="150"/>
      <c r="FK68" s="150"/>
      <c r="FL68" s="151"/>
      <c r="FM68" s="152"/>
      <c r="FN68" s="150"/>
      <c r="FO68" s="150"/>
      <c r="FP68" s="150"/>
      <c r="FQ68" s="150"/>
      <c r="FR68" s="150"/>
      <c r="FS68" s="151"/>
      <c r="FT68" s="152"/>
      <c r="FU68" s="150"/>
      <c r="FV68" s="150"/>
      <c r="FW68" s="150"/>
      <c r="FX68" s="150"/>
      <c r="FY68" s="150"/>
      <c r="FZ68" s="151"/>
      <c r="GA68" s="152"/>
      <c r="GB68" s="150"/>
      <c r="GC68" s="150"/>
      <c r="GD68" s="150"/>
      <c r="GE68" s="150"/>
      <c r="GF68" s="150"/>
      <c r="GG68" s="151"/>
      <c r="GH68" s="152"/>
      <c r="GI68" s="150"/>
      <c r="GJ68" s="150"/>
      <c r="GK68" s="150"/>
      <c r="GL68" s="150"/>
      <c r="GM68" s="150"/>
      <c r="GN68" s="151"/>
      <c r="GO68" s="152"/>
      <c r="GP68" s="150"/>
      <c r="GQ68" s="150"/>
      <c r="GR68" s="150"/>
      <c r="GS68" s="150"/>
      <c r="GT68" s="150"/>
      <c r="GU68" s="151"/>
      <c r="GV68" s="152"/>
      <c r="GW68" s="150"/>
      <c r="GX68" s="150"/>
      <c r="GY68" s="150"/>
      <c r="GZ68" s="150"/>
      <c r="HA68" s="150"/>
      <c r="HB68" s="151"/>
      <c r="HC68" s="152"/>
      <c r="HD68" s="150"/>
      <c r="HE68" s="150"/>
      <c r="HF68" s="150"/>
      <c r="HG68" s="150"/>
      <c r="HH68" s="150"/>
      <c r="HI68" s="151"/>
      <c r="HJ68" s="152"/>
      <c r="HK68" s="150"/>
      <c r="HL68" s="150"/>
      <c r="HM68" s="150"/>
      <c r="HN68" s="150"/>
      <c r="HO68" s="150"/>
      <c r="HP68" s="151"/>
      <c r="HQ68" s="152"/>
      <c r="HR68" s="150"/>
      <c r="HS68" s="150"/>
      <c r="HT68" s="150"/>
      <c r="HU68" s="150"/>
      <c r="HV68" s="150"/>
      <c r="HW68" s="151"/>
      <c r="HX68" s="152"/>
      <c r="HY68" s="150"/>
      <c r="HZ68" s="150"/>
      <c r="IA68" s="150"/>
      <c r="IB68" s="150"/>
      <c r="IC68" s="150"/>
      <c r="ID68" s="151"/>
      <c r="IE68" s="152"/>
      <c r="IF68" s="150"/>
      <c r="IG68" s="150"/>
      <c r="IH68" s="150"/>
      <c r="II68" s="150"/>
      <c r="IJ68" s="150"/>
      <c r="IK68" s="151"/>
      <c r="IL68" s="152"/>
      <c r="IM68" s="150"/>
      <c r="IN68" s="150"/>
      <c r="IO68" s="150"/>
      <c r="IP68" s="150"/>
      <c r="IQ68" s="150"/>
      <c r="IR68" s="151"/>
      <c r="IS68" s="152"/>
      <c r="IT68" s="150"/>
      <c r="IU68" s="150"/>
      <c r="IV68" s="150"/>
    </row>
    <row r="69" spans="1:256" x14ac:dyDescent="0.2">
      <c r="A69" s="802" t="s">
        <v>472</v>
      </c>
      <c r="B69" s="803"/>
      <c r="C69" s="803"/>
      <c r="D69" s="803"/>
      <c r="E69" s="803"/>
      <c r="F69" s="803"/>
      <c r="G69" s="804"/>
      <c r="H69" s="152"/>
      <c r="I69" s="150"/>
      <c r="J69" s="150"/>
      <c r="K69" s="150"/>
      <c r="L69" s="150"/>
      <c r="M69" s="150"/>
      <c r="N69" s="151"/>
      <c r="O69" s="152"/>
      <c r="P69" s="150"/>
      <c r="Q69" s="150"/>
      <c r="R69" s="150"/>
      <c r="S69" s="150"/>
      <c r="T69" s="150"/>
      <c r="U69" s="151"/>
      <c r="V69" s="152"/>
      <c r="W69" s="150"/>
      <c r="X69" s="150"/>
      <c r="Y69" s="150"/>
      <c r="Z69" s="150"/>
      <c r="AA69" s="150"/>
      <c r="AB69" s="151"/>
      <c r="AC69" s="152"/>
      <c r="AD69" s="150"/>
      <c r="AE69" s="150"/>
      <c r="AF69" s="150"/>
      <c r="AG69" s="150"/>
      <c r="AH69" s="150"/>
      <c r="AI69" s="151"/>
      <c r="AJ69" s="152"/>
      <c r="AK69" s="150"/>
      <c r="AL69" s="150"/>
      <c r="AM69" s="150"/>
      <c r="AN69" s="150"/>
      <c r="AO69" s="150"/>
      <c r="AP69" s="151"/>
      <c r="AQ69" s="152"/>
      <c r="AR69" s="150"/>
      <c r="AS69" s="150"/>
      <c r="AT69" s="150"/>
      <c r="AU69" s="150"/>
      <c r="AV69" s="150"/>
      <c r="AW69" s="151"/>
      <c r="AX69" s="152"/>
      <c r="AY69" s="150"/>
      <c r="AZ69" s="150"/>
      <c r="BA69" s="150"/>
      <c r="BB69" s="150"/>
      <c r="BC69" s="150"/>
      <c r="BD69" s="151"/>
      <c r="BE69" s="152"/>
      <c r="BF69" s="150"/>
      <c r="BG69" s="150"/>
      <c r="BH69" s="150"/>
      <c r="BI69" s="150"/>
      <c r="BJ69" s="150"/>
      <c r="BK69" s="151"/>
      <c r="BL69" s="152"/>
      <c r="BM69" s="150"/>
      <c r="BN69" s="150"/>
      <c r="BO69" s="150"/>
      <c r="BP69" s="150"/>
      <c r="BQ69" s="150"/>
      <c r="BR69" s="151"/>
      <c r="BS69" s="152"/>
      <c r="BT69" s="150"/>
      <c r="BU69" s="150"/>
      <c r="BV69" s="150"/>
      <c r="BW69" s="150"/>
      <c r="BX69" s="150"/>
      <c r="BY69" s="151"/>
      <c r="BZ69" s="152"/>
      <c r="CA69" s="150"/>
      <c r="CB69" s="150"/>
      <c r="CC69" s="150"/>
      <c r="CD69" s="150"/>
      <c r="CE69" s="150"/>
      <c r="CF69" s="151"/>
      <c r="CG69" s="152"/>
      <c r="CH69" s="150"/>
      <c r="CI69" s="150"/>
      <c r="CJ69" s="150"/>
      <c r="CK69" s="150"/>
      <c r="CL69" s="150"/>
      <c r="CM69" s="151"/>
      <c r="CN69" s="152"/>
      <c r="CO69" s="150"/>
      <c r="CP69" s="150"/>
      <c r="CQ69" s="150"/>
      <c r="CR69" s="150"/>
      <c r="CS69" s="150"/>
      <c r="CT69" s="151"/>
      <c r="CU69" s="152"/>
      <c r="CV69" s="150"/>
      <c r="CW69" s="150"/>
      <c r="CX69" s="150"/>
      <c r="CY69" s="150"/>
      <c r="CZ69" s="150"/>
      <c r="DA69" s="151"/>
      <c r="DB69" s="152"/>
      <c r="DC69" s="150"/>
      <c r="DD69" s="150"/>
      <c r="DE69" s="150"/>
      <c r="DF69" s="150"/>
      <c r="DG69" s="150"/>
      <c r="DH69" s="151"/>
      <c r="DI69" s="152"/>
      <c r="DJ69" s="150"/>
      <c r="DK69" s="150"/>
      <c r="DL69" s="150"/>
      <c r="DM69" s="150"/>
      <c r="DN69" s="150"/>
      <c r="DO69" s="151"/>
      <c r="DP69" s="152"/>
      <c r="DQ69" s="150"/>
      <c r="DR69" s="150"/>
      <c r="DS69" s="150"/>
      <c r="DT69" s="150"/>
      <c r="DU69" s="150"/>
      <c r="DV69" s="151"/>
      <c r="DW69" s="152"/>
      <c r="DX69" s="150"/>
      <c r="DY69" s="150"/>
      <c r="DZ69" s="150"/>
      <c r="EA69" s="150"/>
      <c r="EB69" s="150"/>
      <c r="EC69" s="151"/>
      <c r="ED69" s="152"/>
      <c r="EE69" s="150"/>
      <c r="EF69" s="150"/>
      <c r="EG69" s="150"/>
      <c r="EH69" s="150"/>
      <c r="EI69" s="150"/>
      <c r="EJ69" s="151"/>
      <c r="EK69" s="152"/>
      <c r="EL69" s="150"/>
      <c r="EM69" s="150"/>
      <c r="EN69" s="150"/>
      <c r="EO69" s="150"/>
      <c r="EP69" s="150"/>
      <c r="EQ69" s="151"/>
      <c r="ER69" s="152"/>
      <c r="ES69" s="150"/>
      <c r="ET69" s="150"/>
      <c r="EU69" s="150"/>
      <c r="EV69" s="150"/>
      <c r="EW69" s="150"/>
      <c r="EX69" s="151"/>
      <c r="EY69" s="152"/>
      <c r="EZ69" s="150"/>
      <c r="FA69" s="150"/>
      <c r="FB69" s="150"/>
      <c r="FC69" s="150"/>
      <c r="FD69" s="150"/>
      <c r="FE69" s="151"/>
      <c r="FF69" s="152"/>
      <c r="FG69" s="150"/>
      <c r="FH69" s="150"/>
      <c r="FI69" s="150"/>
      <c r="FJ69" s="150"/>
      <c r="FK69" s="150"/>
      <c r="FL69" s="151"/>
      <c r="FM69" s="152"/>
      <c r="FN69" s="150"/>
      <c r="FO69" s="150"/>
      <c r="FP69" s="150"/>
      <c r="FQ69" s="150"/>
      <c r="FR69" s="150"/>
      <c r="FS69" s="151"/>
      <c r="FT69" s="152"/>
      <c r="FU69" s="150"/>
      <c r="FV69" s="150"/>
      <c r="FW69" s="150"/>
      <c r="FX69" s="150"/>
      <c r="FY69" s="150"/>
      <c r="FZ69" s="151"/>
      <c r="GA69" s="152"/>
      <c r="GB69" s="150"/>
      <c r="GC69" s="150"/>
      <c r="GD69" s="150"/>
      <c r="GE69" s="150"/>
      <c r="GF69" s="150"/>
      <c r="GG69" s="151"/>
      <c r="GH69" s="152"/>
      <c r="GI69" s="150"/>
      <c r="GJ69" s="150"/>
      <c r="GK69" s="150"/>
      <c r="GL69" s="150"/>
      <c r="GM69" s="150"/>
      <c r="GN69" s="151"/>
      <c r="GO69" s="152"/>
      <c r="GP69" s="150"/>
      <c r="GQ69" s="150"/>
      <c r="GR69" s="150"/>
      <c r="GS69" s="150"/>
      <c r="GT69" s="150"/>
      <c r="GU69" s="151"/>
      <c r="GV69" s="152"/>
      <c r="GW69" s="150"/>
      <c r="GX69" s="150"/>
      <c r="GY69" s="150"/>
      <c r="GZ69" s="150"/>
      <c r="HA69" s="150"/>
      <c r="HB69" s="151"/>
      <c r="HC69" s="152"/>
      <c r="HD69" s="150"/>
      <c r="HE69" s="150"/>
      <c r="HF69" s="150"/>
      <c r="HG69" s="150"/>
      <c r="HH69" s="150"/>
      <c r="HI69" s="151"/>
      <c r="HJ69" s="152"/>
      <c r="HK69" s="150"/>
      <c r="HL69" s="150"/>
      <c r="HM69" s="150"/>
      <c r="HN69" s="150"/>
      <c r="HO69" s="150"/>
      <c r="HP69" s="151"/>
      <c r="HQ69" s="152"/>
      <c r="HR69" s="150"/>
      <c r="HS69" s="150"/>
      <c r="HT69" s="150"/>
      <c r="HU69" s="150"/>
      <c r="HV69" s="150"/>
      <c r="HW69" s="151"/>
      <c r="HX69" s="152"/>
      <c r="HY69" s="150"/>
      <c r="HZ69" s="150"/>
      <c r="IA69" s="150"/>
      <c r="IB69" s="150"/>
      <c r="IC69" s="150"/>
      <c r="ID69" s="151"/>
      <c r="IE69" s="152"/>
      <c r="IF69" s="150"/>
      <c r="IG69" s="150"/>
      <c r="IH69" s="150"/>
      <c r="II69" s="150"/>
      <c r="IJ69" s="150"/>
      <c r="IK69" s="151"/>
      <c r="IL69" s="152"/>
      <c r="IM69" s="150"/>
      <c r="IN69" s="150"/>
      <c r="IO69" s="150"/>
      <c r="IP69" s="150"/>
      <c r="IQ69" s="150"/>
      <c r="IR69" s="151"/>
      <c r="IS69" s="152"/>
      <c r="IT69" s="150"/>
      <c r="IU69" s="150"/>
      <c r="IV69" s="150"/>
    </row>
    <row r="70" spans="1:256" x14ac:dyDescent="0.2">
      <c r="A70" s="802"/>
      <c r="B70" s="803"/>
      <c r="C70" s="803"/>
      <c r="D70" s="803"/>
      <c r="E70" s="803"/>
      <c r="F70" s="803"/>
      <c r="G70" s="804"/>
      <c r="H70" s="152"/>
      <c r="I70" s="150"/>
      <c r="J70" s="150"/>
      <c r="K70" s="150"/>
      <c r="L70" s="150"/>
      <c r="M70" s="150"/>
      <c r="N70" s="151"/>
      <c r="O70" s="152"/>
      <c r="P70" s="150"/>
      <c r="Q70" s="150"/>
      <c r="R70" s="150"/>
      <c r="S70" s="150"/>
      <c r="T70" s="150"/>
      <c r="U70" s="151"/>
      <c r="V70" s="152"/>
      <c r="W70" s="150"/>
      <c r="X70" s="150"/>
      <c r="Y70" s="150"/>
      <c r="Z70" s="150"/>
      <c r="AA70" s="150"/>
      <c r="AB70" s="151"/>
      <c r="AC70" s="152"/>
      <c r="AD70" s="150"/>
      <c r="AE70" s="150"/>
      <c r="AF70" s="150"/>
      <c r="AG70" s="150"/>
      <c r="AH70" s="150"/>
      <c r="AI70" s="151"/>
      <c r="AJ70" s="152"/>
      <c r="AK70" s="150"/>
      <c r="AL70" s="150"/>
      <c r="AM70" s="150"/>
      <c r="AN70" s="150"/>
      <c r="AO70" s="150"/>
      <c r="AP70" s="151"/>
      <c r="AQ70" s="152"/>
      <c r="AR70" s="150"/>
      <c r="AS70" s="150"/>
      <c r="AT70" s="150"/>
      <c r="AU70" s="150"/>
      <c r="AV70" s="150"/>
      <c r="AW70" s="151"/>
      <c r="AX70" s="152"/>
      <c r="AY70" s="150"/>
      <c r="AZ70" s="150"/>
      <c r="BA70" s="150"/>
      <c r="BB70" s="150"/>
      <c r="BC70" s="150"/>
      <c r="BD70" s="151"/>
      <c r="BE70" s="152"/>
      <c r="BF70" s="150"/>
      <c r="BG70" s="150"/>
      <c r="BH70" s="150"/>
      <c r="BI70" s="150"/>
      <c r="BJ70" s="150"/>
      <c r="BK70" s="151"/>
      <c r="BL70" s="152"/>
      <c r="BM70" s="150"/>
      <c r="BN70" s="150"/>
      <c r="BO70" s="150"/>
      <c r="BP70" s="150"/>
      <c r="BQ70" s="150"/>
      <c r="BR70" s="151"/>
      <c r="BS70" s="152"/>
      <c r="BT70" s="150"/>
      <c r="BU70" s="150"/>
      <c r="BV70" s="150"/>
      <c r="BW70" s="150"/>
      <c r="BX70" s="150"/>
      <c r="BY70" s="151"/>
      <c r="BZ70" s="152"/>
      <c r="CA70" s="150"/>
      <c r="CB70" s="150"/>
      <c r="CC70" s="150"/>
      <c r="CD70" s="150"/>
      <c r="CE70" s="150"/>
      <c r="CF70" s="151"/>
      <c r="CG70" s="152"/>
      <c r="CH70" s="150"/>
      <c r="CI70" s="150"/>
      <c r="CJ70" s="150"/>
      <c r="CK70" s="150"/>
      <c r="CL70" s="150"/>
      <c r="CM70" s="151"/>
      <c r="CN70" s="152"/>
      <c r="CO70" s="150"/>
      <c r="CP70" s="150"/>
      <c r="CQ70" s="150"/>
      <c r="CR70" s="150"/>
      <c r="CS70" s="150"/>
      <c r="CT70" s="151"/>
      <c r="CU70" s="152"/>
      <c r="CV70" s="150"/>
      <c r="CW70" s="150"/>
      <c r="CX70" s="150"/>
      <c r="CY70" s="150"/>
      <c r="CZ70" s="150"/>
      <c r="DA70" s="151"/>
      <c r="DB70" s="152"/>
      <c r="DC70" s="150"/>
      <c r="DD70" s="150"/>
      <c r="DE70" s="150"/>
      <c r="DF70" s="150"/>
      <c r="DG70" s="150"/>
      <c r="DH70" s="151"/>
      <c r="DI70" s="152"/>
      <c r="DJ70" s="150"/>
      <c r="DK70" s="150"/>
      <c r="DL70" s="150"/>
      <c r="DM70" s="150"/>
      <c r="DN70" s="150"/>
      <c r="DO70" s="151"/>
      <c r="DP70" s="152"/>
      <c r="DQ70" s="150"/>
      <c r="DR70" s="150"/>
      <c r="DS70" s="150"/>
      <c r="DT70" s="150"/>
      <c r="DU70" s="150"/>
      <c r="DV70" s="151"/>
      <c r="DW70" s="152"/>
      <c r="DX70" s="150"/>
      <c r="DY70" s="150"/>
      <c r="DZ70" s="150"/>
      <c r="EA70" s="150"/>
      <c r="EB70" s="150"/>
      <c r="EC70" s="151"/>
      <c r="ED70" s="152"/>
      <c r="EE70" s="150"/>
      <c r="EF70" s="150"/>
      <c r="EG70" s="150"/>
      <c r="EH70" s="150"/>
      <c r="EI70" s="150"/>
      <c r="EJ70" s="151"/>
      <c r="EK70" s="152"/>
      <c r="EL70" s="150"/>
      <c r="EM70" s="150"/>
      <c r="EN70" s="150"/>
      <c r="EO70" s="150"/>
      <c r="EP70" s="150"/>
      <c r="EQ70" s="151"/>
      <c r="ER70" s="152"/>
      <c r="ES70" s="150"/>
      <c r="ET70" s="150"/>
      <c r="EU70" s="150"/>
      <c r="EV70" s="150"/>
      <c r="EW70" s="150"/>
      <c r="EX70" s="151"/>
      <c r="EY70" s="152"/>
      <c r="EZ70" s="150"/>
      <c r="FA70" s="150"/>
      <c r="FB70" s="150"/>
      <c r="FC70" s="150"/>
      <c r="FD70" s="150"/>
      <c r="FE70" s="151"/>
      <c r="FF70" s="152"/>
      <c r="FG70" s="150"/>
      <c r="FH70" s="150"/>
      <c r="FI70" s="150"/>
      <c r="FJ70" s="150"/>
      <c r="FK70" s="150"/>
      <c r="FL70" s="151"/>
      <c r="FM70" s="152"/>
      <c r="FN70" s="150"/>
      <c r="FO70" s="150"/>
      <c r="FP70" s="150"/>
      <c r="FQ70" s="150"/>
      <c r="FR70" s="150"/>
      <c r="FS70" s="151"/>
      <c r="FT70" s="152"/>
      <c r="FU70" s="150"/>
      <c r="FV70" s="150"/>
      <c r="FW70" s="150"/>
      <c r="FX70" s="150"/>
      <c r="FY70" s="150"/>
      <c r="FZ70" s="151"/>
      <c r="GA70" s="152"/>
      <c r="GB70" s="150"/>
      <c r="GC70" s="150"/>
      <c r="GD70" s="150"/>
      <c r="GE70" s="150"/>
      <c r="GF70" s="150"/>
      <c r="GG70" s="151"/>
      <c r="GH70" s="152"/>
      <c r="GI70" s="150"/>
      <c r="GJ70" s="150"/>
      <c r="GK70" s="150"/>
      <c r="GL70" s="150"/>
      <c r="GM70" s="150"/>
      <c r="GN70" s="151"/>
      <c r="GO70" s="152"/>
      <c r="GP70" s="150"/>
      <c r="GQ70" s="150"/>
      <c r="GR70" s="150"/>
      <c r="GS70" s="150"/>
      <c r="GT70" s="150"/>
      <c r="GU70" s="151"/>
      <c r="GV70" s="152"/>
      <c r="GW70" s="150"/>
      <c r="GX70" s="150"/>
      <c r="GY70" s="150"/>
      <c r="GZ70" s="150"/>
      <c r="HA70" s="150"/>
      <c r="HB70" s="151"/>
      <c r="HC70" s="152"/>
      <c r="HD70" s="150"/>
      <c r="HE70" s="150"/>
      <c r="HF70" s="150"/>
      <c r="HG70" s="150"/>
      <c r="HH70" s="150"/>
      <c r="HI70" s="151"/>
      <c r="HJ70" s="152"/>
      <c r="HK70" s="150"/>
      <c r="HL70" s="150"/>
      <c r="HM70" s="150"/>
      <c r="HN70" s="150"/>
      <c r="HO70" s="150"/>
      <c r="HP70" s="151"/>
      <c r="HQ70" s="152"/>
      <c r="HR70" s="150"/>
      <c r="HS70" s="150"/>
      <c r="HT70" s="150"/>
      <c r="HU70" s="150"/>
      <c r="HV70" s="150"/>
      <c r="HW70" s="151"/>
      <c r="HX70" s="152"/>
      <c r="HY70" s="150"/>
      <c r="HZ70" s="150"/>
      <c r="IA70" s="150"/>
      <c r="IB70" s="150"/>
      <c r="IC70" s="150"/>
      <c r="ID70" s="151"/>
      <c r="IE70" s="152"/>
      <c r="IF70" s="150"/>
      <c r="IG70" s="150"/>
      <c r="IH70" s="150"/>
      <c r="II70" s="150"/>
      <c r="IJ70" s="150"/>
      <c r="IK70" s="151"/>
      <c r="IL70" s="152"/>
      <c r="IM70" s="150"/>
      <c r="IN70" s="150"/>
      <c r="IO70" s="150"/>
      <c r="IP70" s="150"/>
      <c r="IQ70" s="150"/>
      <c r="IR70" s="151"/>
      <c r="IS70" s="152"/>
      <c r="IT70" s="150"/>
      <c r="IU70" s="150"/>
      <c r="IV70" s="150"/>
    </row>
    <row r="71" spans="1:256" ht="12.75" x14ac:dyDescent="0.2">
      <c r="A71" s="213"/>
      <c r="B71" s="214"/>
      <c r="C71" s="214"/>
      <c r="D71" s="214"/>
      <c r="E71" s="214"/>
      <c r="F71" s="214"/>
      <c r="G71" s="215"/>
      <c r="H71" s="152"/>
      <c r="I71" s="150"/>
      <c r="J71" s="150"/>
      <c r="K71" s="150"/>
      <c r="L71" s="150"/>
      <c r="M71" s="150"/>
      <c r="N71" s="151"/>
      <c r="O71" s="152"/>
      <c r="P71" s="150"/>
      <c r="Q71" s="150"/>
      <c r="R71" s="150"/>
      <c r="S71" s="150"/>
      <c r="T71" s="150"/>
      <c r="U71" s="151"/>
      <c r="V71" s="152"/>
      <c r="W71" s="150"/>
      <c r="X71" s="150"/>
      <c r="Y71" s="150"/>
      <c r="Z71" s="150"/>
      <c r="AA71" s="150"/>
      <c r="AB71" s="151"/>
      <c r="AC71" s="152"/>
      <c r="AD71" s="150"/>
      <c r="AE71" s="150"/>
      <c r="AF71" s="150"/>
      <c r="AG71" s="150"/>
      <c r="AH71" s="150"/>
      <c r="AI71" s="151"/>
      <c r="AJ71" s="152"/>
      <c r="AK71" s="150"/>
      <c r="AL71" s="150"/>
      <c r="AM71" s="150"/>
      <c r="AN71" s="150"/>
      <c r="AO71" s="150"/>
      <c r="AP71" s="151"/>
      <c r="AQ71" s="152"/>
      <c r="AR71" s="150"/>
      <c r="AS71" s="150"/>
      <c r="AT71" s="150"/>
      <c r="AU71" s="150"/>
      <c r="AV71" s="150"/>
      <c r="AW71" s="151"/>
      <c r="AX71" s="152"/>
      <c r="AY71" s="150"/>
      <c r="AZ71" s="150"/>
      <c r="BA71" s="150"/>
      <c r="BB71" s="150"/>
      <c r="BC71" s="150"/>
      <c r="BD71" s="151"/>
      <c r="BE71" s="152"/>
      <c r="BF71" s="150"/>
      <c r="BG71" s="150"/>
      <c r="BH71" s="150"/>
      <c r="BI71" s="150"/>
      <c r="BJ71" s="150"/>
      <c r="BK71" s="151"/>
      <c r="BL71" s="152"/>
      <c r="BM71" s="150"/>
      <c r="BN71" s="150"/>
      <c r="BO71" s="150"/>
      <c r="BP71" s="150"/>
      <c r="BQ71" s="150"/>
      <c r="BR71" s="151"/>
      <c r="BS71" s="152"/>
      <c r="BT71" s="150"/>
      <c r="BU71" s="150"/>
      <c r="BV71" s="150"/>
      <c r="BW71" s="150"/>
      <c r="BX71" s="150"/>
      <c r="BY71" s="151"/>
      <c r="BZ71" s="152"/>
      <c r="CA71" s="150"/>
      <c r="CB71" s="150"/>
      <c r="CC71" s="150"/>
      <c r="CD71" s="150"/>
      <c r="CE71" s="150"/>
      <c r="CF71" s="151"/>
      <c r="CG71" s="152"/>
      <c r="CH71" s="150"/>
      <c r="CI71" s="150"/>
      <c r="CJ71" s="150"/>
      <c r="CK71" s="150"/>
      <c r="CL71" s="150"/>
      <c r="CM71" s="151"/>
      <c r="CN71" s="152"/>
      <c r="CO71" s="150"/>
      <c r="CP71" s="150"/>
      <c r="CQ71" s="150"/>
      <c r="CR71" s="150"/>
      <c r="CS71" s="150"/>
      <c r="CT71" s="151"/>
      <c r="CU71" s="152"/>
      <c r="CV71" s="150"/>
      <c r="CW71" s="150"/>
      <c r="CX71" s="150"/>
      <c r="CY71" s="150"/>
      <c r="CZ71" s="150"/>
      <c r="DA71" s="151"/>
      <c r="DB71" s="152"/>
      <c r="DC71" s="150"/>
      <c r="DD71" s="150"/>
      <c r="DE71" s="150"/>
      <c r="DF71" s="150"/>
      <c r="DG71" s="150"/>
      <c r="DH71" s="151"/>
      <c r="DI71" s="152"/>
      <c r="DJ71" s="150"/>
      <c r="DK71" s="150"/>
      <c r="DL71" s="150"/>
      <c r="DM71" s="150"/>
      <c r="DN71" s="150"/>
      <c r="DO71" s="151"/>
      <c r="DP71" s="152"/>
      <c r="DQ71" s="150"/>
      <c r="DR71" s="150"/>
      <c r="DS71" s="150"/>
      <c r="DT71" s="150"/>
      <c r="DU71" s="150"/>
      <c r="DV71" s="151"/>
      <c r="DW71" s="152"/>
      <c r="DX71" s="150"/>
      <c r="DY71" s="150"/>
      <c r="DZ71" s="150"/>
      <c r="EA71" s="150"/>
      <c r="EB71" s="150"/>
      <c r="EC71" s="151"/>
      <c r="ED71" s="152"/>
      <c r="EE71" s="150"/>
      <c r="EF71" s="150"/>
      <c r="EG71" s="150"/>
      <c r="EH71" s="150"/>
      <c r="EI71" s="150"/>
      <c r="EJ71" s="151"/>
      <c r="EK71" s="152"/>
      <c r="EL71" s="150"/>
      <c r="EM71" s="150"/>
      <c r="EN71" s="150"/>
      <c r="EO71" s="150"/>
      <c r="EP71" s="150"/>
      <c r="EQ71" s="151"/>
      <c r="ER71" s="152"/>
      <c r="ES71" s="150"/>
      <c r="ET71" s="150"/>
      <c r="EU71" s="150"/>
      <c r="EV71" s="150"/>
      <c r="EW71" s="150"/>
      <c r="EX71" s="151"/>
      <c r="EY71" s="152"/>
      <c r="EZ71" s="150"/>
      <c r="FA71" s="150"/>
      <c r="FB71" s="150"/>
      <c r="FC71" s="150"/>
      <c r="FD71" s="150"/>
      <c r="FE71" s="151"/>
      <c r="FF71" s="152"/>
      <c r="FG71" s="150"/>
      <c r="FH71" s="150"/>
      <c r="FI71" s="150"/>
      <c r="FJ71" s="150"/>
      <c r="FK71" s="150"/>
      <c r="FL71" s="151"/>
      <c r="FM71" s="152"/>
      <c r="FN71" s="150"/>
      <c r="FO71" s="150"/>
      <c r="FP71" s="150"/>
      <c r="FQ71" s="150"/>
      <c r="FR71" s="150"/>
      <c r="FS71" s="151"/>
      <c r="FT71" s="152"/>
      <c r="FU71" s="150"/>
      <c r="FV71" s="150"/>
      <c r="FW71" s="150"/>
      <c r="FX71" s="150"/>
      <c r="FY71" s="150"/>
      <c r="FZ71" s="151"/>
      <c r="GA71" s="152"/>
      <c r="GB71" s="150"/>
      <c r="GC71" s="150"/>
      <c r="GD71" s="150"/>
      <c r="GE71" s="150"/>
      <c r="GF71" s="150"/>
      <c r="GG71" s="151"/>
      <c r="GH71" s="152"/>
      <c r="GI71" s="150"/>
      <c r="GJ71" s="150"/>
      <c r="GK71" s="150"/>
      <c r="GL71" s="150"/>
      <c r="GM71" s="150"/>
      <c r="GN71" s="151"/>
      <c r="GO71" s="152"/>
      <c r="GP71" s="150"/>
      <c r="GQ71" s="150"/>
      <c r="GR71" s="150"/>
      <c r="GS71" s="150"/>
      <c r="GT71" s="150"/>
      <c r="GU71" s="151"/>
      <c r="GV71" s="152"/>
      <c r="GW71" s="150"/>
      <c r="GX71" s="150"/>
      <c r="GY71" s="150"/>
      <c r="GZ71" s="150"/>
      <c r="HA71" s="150"/>
      <c r="HB71" s="151"/>
      <c r="HC71" s="152"/>
      <c r="HD71" s="150"/>
      <c r="HE71" s="150"/>
      <c r="HF71" s="150"/>
      <c r="HG71" s="150"/>
      <c r="HH71" s="150"/>
      <c r="HI71" s="151"/>
      <c r="HJ71" s="152"/>
      <c r="HK71" s="150"/>
      <c r="HL71" s="150"/>
      <c r="HM71" s="150"/>
      <c r="HN71" s="150"/>
      <c r="HO71" s="150"/>
      <c r="HP71" s="151"/>
      <c r="HQ71" s="152"/>
      <c r="HR71" s="150"/>
      <c r="HS71" s="150"/>
      <c r="HT71" s="150"/>
      <c r="HU71" s="150"/>
      <c r="HV71" s="150"/>
      <c r="HW71" s="151"/>
      <c r="HX71" s="152"/>
      <c r="HY71" s="150"/>
      <c r="HZ71" s="150"/>
      <c r="IA71" s="150"/>
      <c r="IB71" s="150"/>
      <c r="IC71" s="150"/>
      <c r="ID71" s="151"/>
      <c r="IE71" s="152"/>
      <c r="IF71" s="150"/>
      <c r="IG71" s="150"/>
      <c r="IH71" s="150"/>
      <c r="II71" s="150"/>
      <c r="IJ71" s="150"/>
      <c r="IK71" s="151"/>
      <c r="IL71" s="152"/>
      <c r="IM71" s="150"/>
      <c r="IN71" s="150"/>
      <c r="IO71" s="150"/>
      <c r="IP71" s="150"/>
      <c r="IQ71" s="150"/>
      <c r="IR71" s="151"/>
      <c r="IS71" s="152"/>
      <c r="IT71" s="150"/>
      <c r="IU71" s="150"/>
      <c r="IV71" s="150"/>
    </row>
    <row r="72" spans="1:256" ht="15.75" x14ac:dyDescent="0.25">
      <c r="A72" s="182" t="s">
        <v>24</v>
      </c>
      <c r="B72" s="150"/>
      <c r="C72" s="150"/>
      <c r="D72" s="150"/>
      <c r="E72" s="150"/>
      <c r="F72" s="150"/>
      <c r="G72" s="151"/>
      <c r="H72" s="152"/>
      <c r="I72" s="150"/>
      <c r="J72" s="150"/>
      <c r="K72" s="150"/>
      <c r="L72" s="150"/>
      <c r="M72" s="150"/>
      <c r="N72" s="151"/>
      <c r="O72" s="152"/>
      <c r="P72" s="150"/>
      <c r="Q72" s="150"/>
      <c r="R72" s="150"/>
      <c r="S72" s="150"/>
      <c r="T72" s="150"/>
      <c r="U72" s="151"/>
      <c r="V72" s="152"/>
      <c r="W72" s="150"/>
      <c r="X72" s="150"/>
      <c r="Y72" s="150"/>
      <c r="Z72" s="150"/>
      <c r="AA72" s="150"/>
      <c r="AB72" s="151"/>
      <c r="AC72" s="152"/>
      <c r="AD72" s="150"/>
      <c r="AE72" s="150"/>
      <c r="AF72" s="150"/>
      <c r="AG72" s="150"/>
      <c r="AH72" s="150"/>
      <c r="AI72" s="151"/>
      <c r="AJ72" s="152"/>
      <c r="AK72" s="150"/>
      <c r="AL72" s="150"/>
      <c r="AM72" s="150"/>
      <c r="AN72" s="150"/>
      <c r="AO72" s="150"/>
      <c r="AP72" s="151"/>
      <c r="AQ72" s="152"/>
      <c r="AR72" s="150"/>
      <c r="AS72" s="150"/>
      <c r="AT72" s="150"/>
      <c r="AU72" s="150"/>
      <c r="AV72" s="150"/>
      <c r="AW72" s="151"/>
      <c r="AX72" s="152"/>
      <c r="AY72" s="150"/>
      <c r="AZ72" s="150"/>
      <c r="BA72" s="150"/>
      <c r="BB72" s="150"/>
      <c r="BC72" s="150"/>
      <c r="BD72" s="151"/>
      <c r="BE72" s="152"/>
      <c r="BF72" s="150"/>
      <c r="BG72" s="150"/>
      <c r="BH72" s="150"/>
      <c r="BI72" s="150"/>
      <c r="BJ72" s="150"/>
      <c r="BK72" s="151"/>
      <c r="BL72" s="152"/>
      <c r="BM72" s="150"/>
      <c r="BN72" s="150"/>
      <c r="BO72" s="150"/>
      <c r="BP72" s="150"/>
      <c r="BQ72" s="150"/>
      <c r="BR72" s="151"/>
      <c r="BS72" s="152"/>
      <c r="BT72" s="150"/>
      <c r="BU72" s="150"/>
      <c r="BV72" s="150"/>
      <c r="BW72" s="150"/>
      <c r="BX72" s="150"/>
      <c r="BY72" s="151"/>
      <c r="BZ72" s="152"/>
      <c r="CA72" s="150"/>
      <c r="CB72" s="150"/>
      <c r="CC72" s="150"/>
      <c r="CD72" s="150"/>
      <c r="CE72" s="150"/>
      <c r="CF72" s="151"/>
      <c r="CG72" s="152"/>
      <c r="CH72" s="150"/>
      <c r="CI72" s="150"/>
      <c r="CJ72" s="150"/>
      <c r="CK72" s="150"/>
      <c r="CL72" s="150"/>
      <c r="CM72" s="151"/>
      <c r="CN72" s="152"/>
      <c r="CO72" s="150"/>
      <c r="CP72" s="150"/>
      <c r="CQ72" s="150"/>
      <c r="CR72" s="150"/>
      <c r="CS72" s="150"/>
      <c r="CT72" s="151"/>
      <c r="CU72" s="152"/>
      <c r="CV72" s="150"/>
      <c r="CW72" s="150"/>
      <c r="CX72" s="150"/>
      <c r="CY72" s="150"/>
      <c r="CZ72" s="150"/>
      <c r="DA72" s="151"/>
      <c r="DB72" s="152"/>
      <c r="DC72" s="150"/>
      <c r="DD72" s="150"/>
      <c r="DE72" s="150"/>
      <c r="DF72" s="150"/>
      <c r="DG72" s="150"/>
      <c r="DH72" s="151"/>
      <c r="DI72" s="152"/>
      <c r="DJ72" s="150"/>
      <c r="DK72" s="150"/>
      <c r="DL72" s="150"/>
      <c r="DM72" s="150"/>
      <c r="DN72" s="150"/>
      <c r="DO72" s="151"/>
      <c r="DP72" s="152"/>
      <c r="DQ72" s="150"/>
      <c r="DR72" s="150"/>
      <c r="DS72" s="150"/>
      <c r="DT72" s="150"/>
      <c r="DU72" s="150"/>
      <c r="DV72" s="151"/>
      <c r="DW72" s="152"/>
      <c r="DX72" s="150"/>
      <c r="DY72" s="150"/>
      <c r="DZ72" s="150"/>
      <c r="EA72" s="150"/>
      <c r="EB72" s="150"/>
      <c r="EC72" s="151"/>
      <c r="ED72" s="152"/>
      <c r="EE72" s="150"/>
      <c r="EF72" s="150"/>
      <c r="EG72" s="150"/>
      <c r="EH72" s="150"/>
      <c r="EI72" s="150"/>
      <c r="EJ72" s="151"/>
      <c r="EK72" s="152"/>
      <c r="EL72" s="150"/>
      <c r="EM72" s="150"/>
      <c r="EN72" s="150"/>
      <c r="EO72" s="150"/>
      <c r="EP72" s="150"/>
      <c r="EQ72" s="151"/>
      <c r="ER72" s="152"/>
      <c r="ES72" s="150"/>
      <c r="ET72" s="150"/>
      <c r="EU72" s="150"/>
      <c r="EV72" s="150"/>
      <c r="EW72" s="150"/>
      <c r="EX72" s="151"/>
      <c r="EY72" s="152"/>
      <c r="EZ72" s="150"/>
      <c r="FA72" s="150"/>
      <c r="FB72" s="150"/>
      <c r="FC72" s="150"/>
      <c r="FD72" s="150"/>
      <c r="FE72" s="151"/>
      <c r="FF72" s="152"/>
      <c r="FG72" s="150"/>
      <c r="FH72" s="150"/>
      <c r="FI72" s="150"/>
      <c r="FJ72" s="150"/>
      <c r="FK72" s="150"/>
      <c r="FL72" s="151"/>
      <c r="FM72" s="152"/>
      <c r="FN72" s="150"/>
      <c r="FO72" s="150"/>
      <c r="FP72" s="150"/>
      <c r="FQ72" s="150"/>
      <c r="FR72" s="150"/>
      <c r="FS72" s="151"/>
      <c r="FT72" s="152"/>
      <c r="FU72" s="150"/>
      <c r="FV72" s="150"/>
      <c r="FW72" s="150"/>
      <c r="FX72" s="150"/>
      <c r="FY72" s="150"/>
      <c r="FZ72" s="151"/>
      <c r="GA72" s="152"/>
      <c r="GB72" s="150"/>
      <c r="GC72" s="150"/>
      <c r="GD72" s="150"/>
      <c r="GE72" s="150"/>
      <c r="GF72" s="150"/>
      <c r="GG72" s="151"/>
      <c r="GH72" s="152"/>
      <c r="GI72" s="150"/>
      <c r="GJ72" s="150"/>
      <c r="GK72" s="150"/>
      <c r="GL72" s="150"/>
      <c r="GM72" s="150"/>
      <c r="GN72" s="151"/>
      <c r="GO72" s="152"/>
      <c r="GP72" s="150"/>
      <c r="GQ72" s="150"/>
      <c r="GR72" s="150"/>
      <c r="GS72" s="150"/>
      <c r="GT72" s="150"/>
      <c r="GU72" s="151"/>
      <c r="GV72" s="152"/>
      <c r="GW72" s="150"/>
      <c r="GX72" s="150"/>
      <c r="GY72" s="150"/>
      <c r="GZ72" s="150"/>
      <c r="HA72" s="150"/>
      <c r="HB72" s="151"/>
      <c r="HC72" s="152"/>
      <c r="HD72" s="150"/>
      <c r="HE72" s="150"/>
      <c r="HF72" s="150"/>
      <c r="HG72" s="150"/>
      <c r="HH72" s="150"/>
      <c r="HI72" s="151"/>
      <c r="HJ72" s="152"/>
      <c r="HK72" s="150"/>
      <c r="HL72" s="150"/>
      <c r="HM72" s="150"/>
      <c r="HN72" s="150"/>
      <c r="HO72" s="150"/>
      <c r="HP72" s="151"/>
      <c r="HQ72" s="152"/>
      <c r="HR72" s="150"/>
      <c r="HS72" s="150"/>
      <c r="HT72" s="150"/>
      <c r="HU72" s="150"/>
      <c r="HV72" s="150"/>
      <c r="HW72" s="151"/>
      <c r="HX72" s="152"/>
      <c r="HY72" s="150"/>
      <c r="HZ72" s="150"/>
      <c r="IA72" s="150"/>
      <c r="IB72" s="150"/>
      <c r="IC72" s="150"/>
      <c r="ID72" s="151"/>
      <c r="IE72" s="152"/>
      <c r="IF72" s="150"/>
      <c r="IG72" s="150"/>
      <c r="IH72" s="150"/>
      <c r="II72" s="150"/>
      <c r="IJ72" s="150"/>
      <c r="IK72" s="151"/>
      <c r="IL72" s="152"/>
      <c r="IM72" s="150"/>
      <c r="IN72" s="150"/>
      <c r="IO72" s="150"/>
      <c r="IP72" s="150"/>
      <c r="IQ72" s="150"/>
      <c r="IR72" s="151"/>
      <c r="IS72" s="152"/>
      <c r="IT72" s="150"/>
      <c r="IU72" s="150"/>
      <c r="IV72" s="150"/>
    </row>
    <row r="73" spans="1:256" x14ac:dyDescent="0.2">
      <c r="A73" s="152"/>
      <c r="B73" s="150"/>
      <c r="C73" s="150"/>
      <c r="D73" s="150"/>
      <c r="E73" s="150"/>
      <c r="F73" s="150"/>
      <c r="G73" s="151"/>
      <c r="H73" s="152"/>
      <c r="I73" s="150"/>
      <c r="J73" s="150"/>
      <c r="K73" s="150"/>
      <c r="L73" s="150"/>
      <c r="M73" s="150"/>
      <c r="N73" s="151"/>
      <c r="O73" s="152"/>
      <c r="P73" s="150"/>
      <c r="Q73" s="150"/>
      <c r="R73" s="150"/>
      <c r="S73" s="150"/>
      <c r="T73" s="150"/>
      <c r="U73" s="151"/>
      <c r="V73" s="152"/>
      <c r="W73" s="150"/>
      <c r="X73" s="150"/>
      <c r="Y73" s="150"/>
      <c r="Z73" s="150"/>
      <c r="AA73" s="150"/>
      <c r="AB73" s="151"/>
      <c r="AC73" s="152"/>
      <c r="AD73" s="150"/>
      <c r="AE73" s="150"/>
      <c r="AF73" s="150"/>
      <c r="AG73" s="150"/>
      <c r="AH73" s="150"/>
      <c r="AI73" s="151"/>
      <c r="AJ73" s="152"/>
      <c r="AK73" s="150"/>
      <c r="AL73" s="150"/>
      <c r="AM73" s="150"/>
      <c r="AN73" s="150"/>
      <c r="AO73" s="150"/>
      <c r="AP73" s="151"/>
      <c r="AQ73" s="152"/>
      <c r="AR73" s="150"/>
      <c r="AS73" s="150"/>
      <c r="AT73" s="150"/>
      <c r="AU73" s="150"/>
      <c r="AV73" s="150"/>
      <c r="AW73" s="151"/>
      <c r="AX73" s="152"/>
      <c r="AY73" s="150"/>
      <c r="AZ73" s="150"/>
      <c r="BA73" s="150"/>
      <c r="BB73" s="150"/>
      <c r="BC73" s="150"/>
      <c r="BD73" s="151"/>
      <c r="BE73" s="152"/>
      <c r="BF73" s="150"/>
      <c r="BG73" s="150"/>
      <c r="BH73" s="150"/>
      <c r="BI73" s="150"/>
      <c r="BJ73" s="150"/>
      <c r="BK73" s="151"/>
      <c r="BL73" s="152"/>
      <c r="BM73" s="150"/>
      <c r="BN73" s="150"/>
      <c r="BO73" s="150"/>
      <c r="BP73" s="150"/>
      <c r="BQ73" s="150"/>
      <c r="BR73" s="151"/>
      <c r="BS73" s="152"/>
      <c r="BT73" s="150"/>
      <c r="BU73" s="150"/>
      <c r="BV73" s="150"/>
      <c r="BW73" s="150"/>
      <c r="BX73" s="150"/>
      <c r="BY73" s="151"/>
      <c r="BZ73" s="152"/>
      <c r="CA73" s="150"/>
      <c r="CB73" s="150"/>
      <c r="CC73" s="150"/>
      <c r="CD73" s="150"/>
      <c r="CE73" s="150"/>
      <c r="CF73" s="151"/>
      <c r="CG73" s="152"/>
      <c r="CH73" s="150"/>
      <c r="CI73" s="150"/>
      <c r="CJ73" s="150"/>
      <c r="CK73" s="150"/>
      <c r="CL73" s="150"/>
      <c r="CM73" s="151"/>
      <c r="CN73" s="152"/>
      <c r="CO73" s="150"/>
      <c r="CP73" s="150"/>
      <c r="CQ73" s="150"/>
      <c r="CR73" s="150"/>
      <c r="CS73" s="150"/>
      <c r="CT73" s="151"/>
      <c r="CU73" s="152"/>
      <c r="CV73" s="150"/>
      <c r="CW73" s="150"/>
      <c r="CX73" s="150"/>
      <c r="CY73" s="150"/>
      <c r="CZ73" s="150"/>
      <c r="DA73" s="151"/>
      <c r="DB73" s="152"/>
      <c r="DC73" s="150"/>
      <c r="DD73" s="150"/>
      <c r="DE73" s="150"/>
      <c r="DF73" s="150"/>
      <c r="DG73" s="150"/>
      <c r="DH73" s="151"/>
      <c r="DI73" s="152"/>
      <c r="DJ73" s="150"/>
      <c r="DK73" s="150"/>
      <c r="DL73" s="150"/>
      <c r="DM73" s="150"/>
      <c r="DN73" s="150"/>
      <c r="DO73" s="151"/>
      <c r="DP73" s="152"/>
      <c r="DQ73" s="150"/>
      <c r="DR73" s="150"/>
      <c r="DS73" s="150"/>
      <c r="DT73" s="150"/>
      <c r="DU73" s="150"/>
      <c r="DV73" s="151"/>
      <c r="DW73" s="152"/>
      <c r="DX73" s="150"/>
      <c r="DY73" s="150"/>
      <c r="DZ73" s="150"/>
      <c r="EA73" s="150"/>
      <c r="EB73" s="150"/>
      <c r="EC73" s="151"/>
      <c r="ED73" s="152"/>
      <c r="EE73" s="150"/>
      <c r="EF73" s="150"/>
      <c r="EG73" s="150"/>
      <c r="EH73" s="150"/>
      <c r="EI73" s="150"/>
      <c r="EJ73" s="151"/>
      <c r="EK73" s="152"/>
      <c r="EL73" s="150"/>
      <c r="EM73" s="150"/>
      <c r="EN73" s="150"/>
      <c r="EO73" s="150"/>
      <c r="EP73" s="150"/>
      <c r="EQ73" s="151"/>
      <c r="ER73" s="152"/>
      <c r="ES73" s="150"/>
      <c r="ET73" s="150"/>
      <c r="EU73" s="150"/>
      <c r="EV73" s="150"/>
      <c r="EW73" s="150"/>
      <c r="EX73" s="151"/>
      <c r="EY73" s="152"/>
      <c r="EZ73" s="150"/>
      <c r="FA73" s="150"/>
      <c r="FB73" s="150"/>
      <c r="FC73" s="150"/>
      <c r="FD73" s="150"/>
      <c r="FE73" s="151"/>
      <c r="FF73" s="152"/>
      <c r="FG73" s="150"/>
      <c r="FH73" s="150"/>
      <c r="FI73" s="150"/>
      <c r="FJ73" s="150"/>
      <c r="FK73" s="150"/>
      <c r="FL73" s="151"/>
      <c r="FM73" s="152"/>
      <c r="FN73" s="150"/>
      <c r="FO73" s="150"/>
      <c r="FP73" s="150"/>
      <c r="FQ73" s="150"/>
      <c r="FR73" s="150"/>
      <c r="FS73" s="151"/>
      <c r="FT73" s="152"/>
      <c r="FU73" s="150"/>
      <c r="FV73" s="150"/>
      <c r="FW73" s="150"/>
      <c r="FX73" s="150"/>
      <c r="FY73" s="150"/>
      <c r="FZ73" s="151"/>
      <c r="GA73" s="152"/>
      <c r="GB73" s="150"/>
      <c r="GC73" s="150"/>
      <c r="GD73" s="150"/>
      <c r="GE73" s="150"/>
      <c r="GF73" s="150"/>
      <c r="GG73" s="151"/>
      <c r="GH73" s="152"/>
      <c r="GI73" s="150"/>
      <c r="GJ73" s="150"/>
      <c r="GK73" s="150"/>
      <c r="GL73" s="150"/>
      <c r="GM73" s="150"/>
      <c r="GN73" s="151"/>
      <c r="GO73" s="152"/>
      <c r="GP73" s="150"/>
      <c r="GQ73" s="150"/>
      <c r="GR73" s="150"/>
      <c r="GS73" s="150"/>
      <c r="GT73" s="150"/>
      <c r="GU73" s="151"/>
      <c r="GV73" s="152"/>
      <c r="GW73" s="150"/>
      <c r="GX73" s="150"/>
      <c r="GY73" s="150"/>
      <c r="GZ73" s="150"/>
      <c r="HA73" s="150"/>
      <c r="HB73" s="151"/>
      <c r="HC73" s="152"/>
      <c r="HD73" s="150"/>
      <c r="HE73" s="150"/>
      <c r="HF73" s="150"/>
      <c r="HG73" s="150"/>
      <c r="HH73" s="150"/>
      <c r="HI73" s="151"/>
      <c r="HJ73" s="152"/>
      <c r="HK73" s="150"/>
      <c r="HL73" s="150"/>
      <c r="HM73" s="150"/>
      <c r="HN73" s="150"/>
      <c r="HO73" s="150"/>
      <c r="HP73" s="151"/>
      <c r="HQ73" s="152"/>
      <c r="HR73" s="150"/>
      <c r="HS73" s="150"/>
      <c r="HT73" s="150"/>
      <c r="HU73" s="150"/>
      <c r="HV73" s="150"/>
      <c r="HW73" s="151"/>
      <c r="HX73" s="152"/>
      <c r="HY73" s="150"/>
      <c r="HZ73" s="150"/>
      <c r="IA73" s="150"/>
      <c r="IB73" s="150"/>
      <c r="IC73" s="150"/>
      <c r="ID73" s="151"/>
      <c r="IE73" s="152"/>
      <c r="IF73" s="150"/>
      <c r="IG73" s="150"/>
      <c r="IH73" s="150"/>
      <c r="II73" s="150"/>
      <c r="IJ73" s="150"/>
      <c r="IK73" s="151"/>
      <c r="IL73" s="152"/>
      <c r="IM73" s="150"/>
      <c r="IN73" s="150"/>
      <c r="IO73" s="150"/>
      <c r="IP73" s="150"/>
      <c r="IQ73" s="150"/>
      <c r="IR73" s="151"/>
      <c r="IS73" s="152"/>
      <c r="IT73" s="150"/>
      <c r="IU73" s="150"/>
      <c r="IV73" s="150"/>
    </row>
    <row r="74" spans="1:256" ht="12.75" x14ac:dyDescent="0.2">
      <c r="A74" s="211" t="s">
        <v>473</v>
      </c>
      <c r="B74" s="150"/>
      <c r="C74" s="150"/>
      <c r="D74" s="150"/>
      <c r="E74" s="150"/>
      <c r="F74" s="150"/>
      <c r="G74" s="151"/>
      <c r="H74" s="152"/>
      <c r="I74" s="150"/>
      <c r="J74" s="150"/>
      <c r="K74" s="150"/>
      <c r="L74" s="150"/>
      <c r="M74" s="150"/>
      <c r="N74" s="151"/>
      <c r="O74" s="152"/>
      <c r="P74" s="150"/>
      <c r="Q74" s="150"/>
      <c r="R74" s="150"/>
      <c r="S74" s="150"/>
      <c r="T74" s="150"/>
      <c r="U74" s="151"/>
      <c r="V74" s="152"/>
      <c r="W74" s="150"/>
      <c r="X74" s="150"/>
      <c r="Y74" s="150"/>
      <c r="Z74" s="150"/>
      <c r="AA74" s="150"/>
      <c r="AB74" s="151"/>
      <c r="AC74" s="152"/>
      <c r="AD74" s="150"/>
      <c r="AE74" s="150"/>
      <c r="AF74" s="150"/>
      <c r="AG74" s="150"/>
      <c r="AH74" s="150"/>
      <c r="AI74" s="151"/>
      <c r="AJ74" s="152"/>
      <c r="AK74" s="150"/>
      <c r="AL74" s="150"/>
      <c r="AM74" s="150"/>
      <c r="AN74" s="150"/>
      <c r="AO74" s="150"/>
      <c r="AP74" s="151"/>
      <c r="AQ74" s="152"/>
      <c r="AR74" s="150"/>
      <c r="AS74" s="150"/>
      <c r="AT74" s="150"/>
      <c r="AU74" s="150"/>
      <c r="AV74" s="150"/>
      <c r="AW74" s="151"/>
      <c r="AX74" s="152"/>
      <c r="AY74" s="150"/>
      <c r="AZ74" s="150"/>
      <c r="BA74" s="150"/>
      <c r="BB74" s="150"/>
      <c r="BC74" s="150"/>
      <c r="BD74" s="151"/>
      <c r="BE74" s="152"/>
      <c r="BF74" s="150"/>
      <c r="BG74" s="150"/>
      <c r="BH74" s="150"/>
      <c r="BI74" s="150"/>
      <c r="BJ74" s="150"/>
      <c r="BK74" s="151"/>
      <c r="BL74" s="152"/>
      <c r="BM74" s="150"/>
      <c r="BN74" s="150"/>
      <c r="BO74" s="150"/>
      <c r="BP74" s="150"/>
      <c r="BQ74" s="150"/>
      <c r="BR74" s="151"/>
      <c r="BS74" s="152"/>
      <c r="BT74" s="150"/>
      <c r="BU74" s="150"/>
      <c r="BV74" s="150"/>
      <c r="BW74" s="150"/>
      <c r="BX74" s="150"/>
      <c r="BY74" s="151"/>
      <c r="BZ74" s="152"/>
      <c r="CA74" s="150"/>
      <c r="CB74" s="150"/>
      <c r="CC74" s="150"/>
      <c r="CD74" s="150"/>
      <c r="CE74" s="150"/>
      <c r="CF74" s="151"/>
      <c r="CG74" s="152"/>
      <c r="CH74" s="150"/>
      <c r="CI74" s="150"/>
      <c r="CJ74" s="150"/>
      <c r="CK74" s="150"/>
      <c r="CL74" s="150"/>
      <c r="CM74" s="151"/>
      <c r="CN74" s="152"/>
      <c r="CO74" s="150"/>
      <c r="CP74" s="150"/>
      <c r="CQ74" s="150"/>
      <c r="CR74" s="150"/>
      <c r="CS74" s="150"/>
      <c r="CT74" s="151"/>
      <c r="CU74" s="152"/>
      <c r="CV74" s="150"/>
      <c r="CW74" s="150"/>
      <c r="CX74" s="150"/>
      <c r="CY74" s="150"/>
      <c r="CZ74" s="150"/>
      <c r="DA74" s="151"/>
      <c r="DB74" s="152"/>
      <c r="DC74" s="150"/>
      <c r="DD74" s="150"/>
      <c r="DE74" s="150"/>
      <c r="DF74" s="150"/>
      <c r="DG74" s="150"/>
      <c r="DH74" s="151"/>
      <c r="DI74" s="152"/>
      <c r="DJ74" s="150"/>
      <c r="DK74" s="150"/>
      <c r="DL74" s="150"/>
      <c r="DM74" s="150"/>
      <c r="DN74" s="150"/>
      <c r="DO74" s="151"/>
      <c r="DP74" s="152"/>
      <c r="DQ74" s="150"/>
      <c r="DR74" s="150"/>
      <c r="DS74" s="150"/>
      <c r="DT74" s="150"/>
      <c r="DU74" s="150"/>
      <c r="DV74" s="151"/>
      <c r="DW74" s="152"/>
      <c r="DX74" s="150"/>
      <c r="DY74" s="150"/>
      <c r="DZ74" s="150"/>
      <c r="EA74" s="150"/>
      <c r="EB74" s="150"/>
      <c r="EC74" s="151"/>
      <c r="ED74" s="152"/>
      <c r="EE74" s="150"/>
      <c r="EF74" s="150"/>
      <c r="EG74" s="150"/>
      <c r="EH74" s="150"/>
      <c r="EI74" s="150"/>
      <c r="EJ74" s="151"/>
      <c r="EK74" s="152"/>
      <c r="EL74" s="150"/>
      <c r="EM74" s="150"/>
      <c r="EN74" s="150"/>
      <c r="EO74" s="150"/>
      <c r="EP74" s="150"/>
      <c r="EQ74" s="151"/>
      <c r="ER74" s="152"/>
      <c r="ES74" s="150"/>
      <c r="ET74" s="150"/>
      <c r="EU74" s="150"/>
      <c r="EV74" s="150"/>
      <c r="EW74" s="150"/>
      <c r="EX74" s="151"/>
      <c r="EY74" s="152"/>
      <c r="EZ74" s="150"/>
      <c r="FA74" s="150"/>
      <c r="FB74" s="150"/>
      <c r="FC74" s="150"/>
      <c r="FD74" s="150"/>
      <c r="FE74" s="151"/>
      <c r="FF74" s="152"/>
      <c r="FG74" s="150"/>
      <c r="FH74" s="150"/>
      <c r="FI74" s="150"/>
      <c r="FJ74" s="150"/>
      <c r="FK74" s="150"/>
      <c r="FL74" s="151"/>
      <c r="FM74" s="152"/>
      <c r="FN74" s="150"/>
      <c r="FO74" s="150"/>
      <c r="FP74" s="150"/>
      <c r="FQ74" s="150"/>
      <c r="FR74" s="150"/>
      <c r="FS74" s="151"/>
      <c r="FT74" s="152"/>
      <c r="FU74" s="150"/>
      <c r="FV74" s="150"/>
      <c r="FW74" s="150"/>
      <c r="FX74" s="150"/>
      <c r="FY74" s="150"/>
      <c r="FZ74" s="151"/>
      <c r="GA74" s="152"/>
      <c r="GB74" s="150"/>
      <c r="GC74" s="150"/>
      <c r="GD74" s="150"/>
      <c r="GE74" s="150"/>
      <c r="GF74" s="150"/>
      <c r="GG74" s="151"/>
      <c r="GH74" s="152"/>
      <c r="GI74" s="150"/>
      <c r="GJ74" s="150"/>
      <c r="GK74" s="150"/>
      <c r="GL74" s="150"/>
      <c r="GM74" s="150"/>
      <c r="GN74" s="151"/>
      <c r="GO74" s="152"/>
      <c r="GP74" s="150"/>
      <c r="GQ74" s="150"/>
      <c r="GR74" s="150"/>
      <c r="GS74" s="150"/>
      <c r="GT74" s="150"/>
      <c r="GU74" s="151"/>
      <c r="GV74" s="152"/>
      <c r="GW74" s="150"/>
      <c r="GX74" s="150"/>
      <c r="GY74" s="150"/>
      <c r="GZ74" s="150"/>
      <c r="HA74" s="150"/>
      <c r="HB74" s="151"/>
      <c r="HC74" s="152"/>
      <c r="HD74" s="150"/>
      <c r="HE74" s="150"/>
      <c r="HF74" s="150"/>
      <c r="HG74" s="150"/>
      <c r="HH74" s="150"/>
      <c r="HI74" s="151"/>
      <c r="HJ74" s="152"/>
      <c r="HK74" s="150"/>
      <c r="HL74" s="150"/>
      <c r="HM74" s="150"/>
      <c r="HN74" s="150"/>
      <c r="HO74" s="150"/>
      <c r="HP74" s="151"/>
      <c r="HQ74" s="152"/>
      <c r="HR74" s="150"/>
      <c r="HS74" s="150"/>
      <c r="HT74" s="150"/>
      <c r="HU74" s="150"/>
      <c r="HV74" s="150"/>
      <c r="HW74" s="151"/>
      <c r="HX74" s="152"/>
      <c r="HY74" s="150"/>
      <c r="HZ74" s="150"/>
      <c r="IA74" s="150"/>
      <c r="IB74" s="150"/>
      <c r="IC74" s="150"/>
      <c r="ID74" s="151"/>
      <c r="IE74" s="152"/>
      <c r="IF74" s="150"/>
      <c r="IG74" s="150"/>
      <c r="IH74" s="150"/>
      <c r="II74" s="150"/>
      <c r="IJ74" s="150"/>
      <c r="IK74" s="151"/>
      <c r="IL74" s="152"/>
      <c r="IM74" s="150"/>
      <c r="IN74" s="150"/>
      <c r="IO74" s="150"/>
      <c r="IP74" s="150"/>
      <c r="IQ74" s="150"/>
      <c r="IR74" s="151"/>
      <c r="IS74" s="152"/>
      <c r="IT74" s="150"/>
      <c r="IU74" s="150"/>
      <c r="IV74" s="150"/>
    </row>
    <row r="75" spans="1:256" x14ac:dyDescent="0.2">
      <c r="A75" s="802" t="s">
        <v>485</v>
      </c>
      <c r="B75" s="803"/>
      <c r="C75" s="803"/>
      <c r="D75" s="803"/>
      <c r="E75" s="803"/>
      <c r="F75" s="803"/>
      <c r="G75" s="804"/>
      <c r="H75" s="152"/>
      <c r="I75" s="150"/>
      <c r="J75" s="150"/>
      <c r="K75" s="150"/>
      <c r="L75" s="150"/>
      <c r="M75" s="150"/>
      <c r="N75" s="151"/>
      <c r="O75" s="152"/>
      <c r="P75" s="150"/>
      <c r="Q75" s="150"/>
      <c r="R75" s="150"/>
      <c r="S75" s="150"/>
      <c r="T75" s="150"/>
      <c r="U75" s="151"/>
      <c r="V75" s="152"/>
      <c r="W75" s="150"/>
      <c r="X75" s="150"/>
      <c r="Y75" s="150"/>
      <c r="Z75" s="150"/>
      <c r="AA75" s="150"/>
      <c r="AB75" s="151"/>
      <c r="AC75" s="152"/>
      <c r="AD75" s="150"/>
      <c r="AE75" s="150"/>
      <c r="AF75" s="150"/>
      <c r="AG75" s="150"/>
      <c r="AH75" s="150"/>
      <c r="AI75" s="151"/>
      <c r="AJ75" s="152"/>
      <c r="AK75" s="150"/>
      <c r="AL75" s="150"/>
      <c r="AM75" s="150"/>
      <c r="AN75" s="150"/>
      <c r="AO75" s="150"/>
      <c r="AP75" s="151"/>
      <c r="AQ75" s="152"/>
      <c r="AR75" s="150"/>
      <c r="AS75" s="150"/>
      <c r="AT75" s="150"/>
      <c r="AU75" s="150"/>
      <c r="AV75" s="150"/>
      <c r="AW75" s="151"/>
      <c r="AX75" s="152"/>
      <c r="AY75" s="150"/>
      <c r="AZ75" s="150"/>
      <c r="BA75" s="150"/>
      <c r="BB75" s="150"/>
      <c r="BC75" s="150"/>
      <c r="BD75" s="151"/>
      <c r="BE75" s="152"/>
      <c r="BF75" s="150"/>
      <c r="BG75" s="150"/>
      <c r="BH75" s="150"/>
      <c r="BI75" s="150"/>
      <c r="BJ75" s="150"/>
      <c r="BK75" s="151"/>
      <c r="BL75" s="152"/>
      <c r="BM75" s="150"/>
      <c r="BN75" s="150"/>
      <c r="BO75" s="150"/>
      <c r="BP75" s="150"/>
      <c r="BQ75" s="150"/>
      <c r="BR75" s="151"/>
      <c r="BS75" s="152"/>
      <c r="BT75" s="150"/>
      <c r="BU75" s="150"/>
      <c r="BV75" s="150"/>
      <c r="BW75" s="150"/>
      <c r="BX75" s="150"/>
      <c r="BY75" s="151"/>
      <c r="BZ75" s="152"/>
      <c r="CA75" s="150"/>
      <c r="CB75" s="150"/>
      <c r="CC75" s="150"/>
      <c r="CD75" s="150"/>
      <c r="CE75" s="150"/>
      <c r="CF75" s="151"/>
      <c r="CG75" s="152"/>
      <c r="CH75" s="150"/>
      <c r="CI75" s="150"/>
      <c r="CJ75" s="150"/>
      <c r="CK75" s="150"/>
      <c r="CL75" s="150"/>
      <c r="CM75" s="151"/>
      <c r="CN75" s="152"/>
      <c r="CO75" s="150"/>
      <c r="CP75" s="150"/>
      <c r="CQ75" s="150"/>
      <c r="CR75" s="150"/>
      <c r="CS75" s="150"/>
      <c r="CT75" s="151"/>
      <c r="CU75" s="152"/>
      <c r="CV75" s="150"/>
      <c r="CW75" s="150"/>
      <c r="CX75" s="150"/>
      <c r="CY75" s="150"/>
      <c r="CZ75" s="150"/>
      <c r="DA75" s="151"/>
      <c r="DB75" s="152"/>
      <c r="DC75" s="150"/>
      <c r="DD75" s="150"/>
      <c r="DE75" s="150"/>
      <c r="DF75" s="150"/>
      <c r="DG75" s="150"/>
      <c r="DH75" s="151"/>
      <c r="DI75" s="152"/>
      <c r="DJ75" s="150"/>
      <c r="DK75" s="150"/>
      <c r="DL75" s="150"/>
      <c r="DM75" s="150"/>
      <c r="DN75" s="150"/>
      <c r="DO75" s="151"/>
      <c r="DP75" s="152"/>
      <c r="DQ75" s="150"/>
      <c r="DR75" s="150"/>
      <c r="DS75" s="150"/>
      <c r="DT75" s="150"/>
      <c r="DU75" s="150"/>
      <c r="DV75" s="151"/>
      <c r="DW75" s="152"/>
      <c r="DX75" s="150"/>
      <c r="DY75" s="150"/>
      <c r="DZ75" s="150"/>
      <c r="EA75" s="150"/>
      <c r="EB75" s="150"/>
      <c r="EC75" s="151"/>
      <c r="ED75" s="152"/>
      <c r="EE75" s="150"/>
      <c r="EF75" s="150"/>
      <c r="EG75" s="150"/>
      <c r="EH75" s="150"/>
      <c r="EI75" s="150"/>
      <c r="EJ75" s="151"/>
      <c r="EK75" s="152"/>
      <c r="EL75" s="150"/>
      <c r="EM75" s="150"/>
      <c r="EN75" s="150"/>
      <c r="EO75" s="150"/>
      <c r="EP75" s="150"/>
      <c r="EQ75" s="151"/>
      <c r="ER75" s="152"/>
      <c r="ES75" s="150"/>
      <c r="ET75" s="150"/>
      <c r="EU75" s="150"/>
      <c r="EV75" s="150"/>
      <c r="EW75" s="150"/>
      <c r="EX75" s="151"/>
      <c r="EY75" s="152"/>
      <c r="EZ75" s="150"/>
      <c r="FA75" s="150"/>
      <c r="FB75" s="150"/>
      <c r="FC75" s="150"/>
      <c r="FD75" s="150"/>
      <c r="FE75" s="151"/>
      <c r="FF75" s="152"/>
      <c r="FG75" s="150"/>
      <c r="FH75" s="150"/>
      <c r="FI75" s="150"/>
      <c r="FJ75" s="150"/>
      <c r="FK75" s="150"/>
      <c r="FL75" s="151"/>
      <c r="FM75" s="152"/>
      <c r="FN75" s="150"/>
      <c r="FO75" s="150"/>
      <c r="FP75" s="150"/>
      <c r="FQ75" s="150"/>
      <c r="FR75" s="150"/>
      <c r="FS75" s="151"/>
      <c r="FT75" s="152"/>
      <c r="FU75" s="150"/>
      <c r="FV75" s="150"/>
      <c r="FW75" s="150"/>
      <c r="FX75" s="150"/>
      <c r="FY75" s="150"/>
      <c r="FZ75" s="151"/>
      <c r="GA75" s="152"/>
      <c r="GB75" s="150"/>
      <c r="GC75" s="150"/>
      <c r="GD75" s="150"/>
      <c r="GE75" s="150"/>
      <c r="GF75" s="150"/>
      <c r="GG75" s="151"/>
      <c r="GH75" s="152"/>
      <c r="GI75" s="150"/>
      <c r="GJ75" s="150"/>
      <c r="GK75" s="150"/>
      <c r="GL75" s="150"/>
      <c r="GM75" s="150"/>
      <c r="GN75" s="151"/>
      <c r="GO75" s="152"/>
      <c r="GP75" s="150"/>
      <c r="GQ75" s="150"/>
      <c r="GR75" s="150"/>
      <c r="GS75" s="150"/>
      <c r="GT75" s="150"/>
      <c r="GU75" s="151"/>
      <c r="GV75" s="152"/>
      <c r="GW75" s="150"/>
      <c r="GX75" s="150"/>
      <c r="GY75" s="150"/>
      <c r="GZ75" s="150"/>
      <c r="HA75" s="150"/>
      <c r="HB75" s="151"/>
      <c r="HC75" s="152"/>
      <c r="HD75" s="150"/>
      <c r="HE75" s="150"/>
      <c r="HF75" s="150"/>
      <c r="HG75" s="150"/>
      <c r="HH75" s="150"/>
      <c r="HI75" s="151"/>
      <c r="HJ75" s="152"/>
      <c r="HK75" s="150"/>
      <c r="HL75" s="150"/>
      <c r="HM75" s="150"/>
      <c r="HN75" s="150"/>
      <c r="HO75" s="150"/>
      <c r="HP75" s="151"/>
      <c r="HQ75" s="152"/>
      <c r="HR75" s="150"/>
      <c r="HS75" s="150"/>
      <c r="HT75" s="150"/>
      <c r="HU75" s="150"/>
      <c r="HV75" s="150"/>
      <c r="HW75" s="151"/>
      <c r="HX75" s="152"/>
      <c r="HY75" s="150"/>
      <c r="HZ75" s="150"/>
      <c r="IA75" s="150"/>
      <c r="IB75" s="150"/>
      <c r="IC75" s="150"/>
      <c r="ID75" s="151"/>
      <c r="IE75" s="152"/>
      <c r="IF75" s="150"/>
      <c r="IG75" s="150"/>
      <c r="IH75" s="150"/>
      <c r="II75" s="150"/>
      <c r="IJ75" s="150"/>
      <c r="IK75" s="151"/>
      <c r="IL75" s="152"/>
      <c r="IM75" s="150"/>
      <c r="IN75" s="150"/>
      <c r="IO75" s="150"/>
      <c r="IP75" s="150"/>
      <c r="IQ75" s="150"/>
      <c r="IR75" s="151"/>
      <c r="IS75" s="152"/>
      <c r="IT75" s="150"/>
      <c r="IU75" s="150"/>
      <c r="IV75" s="150"/>
    </row>
    <row r="76" spans="1:256" x14ac:dyDescent="0.2">
      <c r="A76" s="802"/>
      <c r="B76" s="803"/>
      <c r="C76" s="803"/>
      <c r="D76" s="803"/>
      <c r="E76" s="803"/>
      <c r="F76" s="803"/>
      <c r="G76" s="804"/>
      <c r="H76" s="152"/>
      <c r="I76" s="150"/>
      <c r="J76" s="150"/>
      <c r="K76" s="150"/>
      <c r="L76" s="150"/>
      <c r="M76" s="150"/>
      <c r="N76" s="151"/>
      <c r="O76" s="152"/>
      <c r="P76" s="150"/>
      <c r="Q76" s="150"/>
      <c r="R76" s="150"/>
      <c r="S76" s="150"/>
      <c r="T76" s="150"/>
      <c r="U76" s="151"/>
      <c r="V76" s="152"/>
      <c r="W76" s="150"/>
      <c r="X76" s="150"/>
      <c r="Y76" s="150"/>
      <c r="Z76" s="150"/>
      <c r="AA76" s="150"/>
      <c r="AB76" s="151"/>
      <c r="AC76" s="152"/>
      <c r="AD76" s="150"/>
      <c r="AE76" s="150"/>
      <c r="AF76" s="150"/>
      <c r="AG76" s="150"/>
      <c r="AH76" s="150"/>
      <c r="AI76" s="151"/>
      <c r="AJ76" s="152"/>
      <c r="AK76" s="150"/>
      <c r="AL76" s="150"/>
      <c r="AM76" s="150"/>
      <c r="AN76" s="150"/>
      <c r="AO76" s="150"/>
      <c r="AP76" s="151"/>
      <c r="AQ76" s="152"/>
      <c r="AR76" s="150"/>
      <c r="AS76" s="150"/>
      <c r="AT76" s="150"/>
      <c r="AU76" s="150"/>
      <c r="AV76" s="150"/>
      <c r="AW76" s="151"/>
      <c r="AX76" s="152"/>
      <c r="AY76" s="150"/>
      <c r="AZ76" s="150"/>
      <c r="BA76" s="150"/>
      <c r="BB76" s="150"/>
      <c r="BC76" s="150"/>
      <c r="BD76" s="151"/>
      <c r="BE76" s="152"/>
      <c r="BF76" s="150"/>
      <c r="BG76" s="150"/>
      <c r="BH76" s="150"/>
      <c r="BI76" s="150"/>
      <c r="BJ76" s="150"/>
      <c r="BK76" s="151"/>
      <c r="BL76" s="152"/>
      <c r="BM76" s="150"/>
      <c r="BN76" s="150"/>
      <c r="BO76" s="150"/>
      <c r="BP76" s="150"/>
      <c r="BQ76" s="150"/>
      <c r="BR76" s="151"/>
      <c r="BS76" s="152"/>
      <c r="BT76" s="150"/>
      <c r="BU76" s="150"/>
      <c r="BV76" s="150"/>
      <c r="BW76" s="150"/>
      <c r="BX76" s="150"/>
      <c r="BY76" s="151"/>
      <c r="BZ76" s="152"/>
      <c r="CA76" s="150"/>
      <c r="CB76" s="150"/>
      <c r="CC76" s="150"/>
      <c r="CD76" s="150"/>
      <c r="CE76" s="150"/>
      <c r="CF76" s="151"/>
      <c r="CG76" s="152"/>
      <c r="CH76" s="150"/>
      <c r="CI76" s="150"/>
      <c r="CJ76" s="150"/>
      <c r="CK76" s="150"/>
      <c r="CL76" s="150"/>
      <c r="CM76" s="151"/>
      <c r="CN76" s="152"/>
      <c r="CO76" s="150"/>
      <c r="CP76" s="150"/>
      <c r="CQ76" s="150"/>
      <c r="CR76" s="150"/>
      <c r="CS76" s="150"/>
      <c r="CT76" s="151"/>
      <c r="CU76" s="152"/>
      <c r="CV76" s="150"/>
      <c r="CW76" s="150"/>
      <c r="CX76" s="150"/>
      <c r="CY76" s="150"/>
      <c r="CZ76" s="150"/>
      <c r="DA76" s="151"/>
      <c r="DB76" s="152"/>
      <c r="DC76" s="150"/>
      <c r="DD76" s="150"/>
      <c r="DE76" s="150"/>
      <c r="DF76" s="150"/>
      <c r="DG76" s="150"/>
      <c r="DH76" s="151"/>
      <c r="DI76" s="152"/>
      <c r="DJ76" s="150"/>
      <c r="DK76" s="150"/>
      <c r="DL76" s="150"/>
      <c r="DM76" s="150"/>
      <c r="DN76" s="150"/>
      <c r="DO76" s="151"/>
      <c r="DP76" s="152"/>
      <c r="DQ76" s="150"/>
      <c r="DR76" s="150"/>
      <c r="DS76" s="150"/>
      <c r="DT76" s="150"/>
      <c r="DU76" s="150"/>
      <c r="DV76" s="151"/>
      <c r="DW76" s="152"/>
      <c r="DX76" s="150"/>
      <c r="DY76" s="150"/>
      <c r="DZ76" s="150"/>
      <c r="EA76" s="150"/>
      <c r="EB76" s="150"/>
      <c r="EC76" s="151"/>
      <c r="ED76" s="152"/>
      <c r="EE76" s="150"/>
      <c r="EF76" s="150"/>
      <c r="EG76" s="150"/>
      <c r="EH76" s="150"/>
      <c r="EI76" s="150"/>
      <c r="EJ76" s="151"/>
      <c r="EK76" s="152"/>
      <c r="EL76" s="150"/>
      <c r="EM76" s="150"/>
      <c r="EN76" s="150"/>
      <c r="EO76" s="150"/>
      <c r="EP76" s="150"/>
      <c r="EQ76" s="151"/>
      <c r="ER76" s="152"/>
      <c r="ES76" s="150"/>
      <c r="ET76" s="150"/>
      <c r="EU76" s="150"/>
      <c r="EV76" s="150"/>
      <c r="EW76" s="150"/>
      <c r="EX76" s="151"/>
      <c r="EY76" s="152"/>
      <c r="EZ76" s="150"/>
      <c r="FA76" s="150"/>
      <c r="FB76" s="150"/>
      <c r="FC76" s="150"/>
      <c r="FD76" s="150"/>
      <c r="FE76" s="151"/>
      <c r="FF76" s="152"/>
      <c r="FG76" s="150"/>
      <c r="FH76" s="150"/>
      <c r="FI76" s="150"/>
      <c r="FJ76" s="150"/>
      <c r="FK76" s="150"/>
      <c r="FL76" s="151"/>
      <c r="FM76" s="152"/>
      <c r="FN76" s="150"/>
      <c r="FO76" s="150"/>
      <c r="FP76" s="150"/>
      <c r="FQ76" s="150"/>
      <c r="FR76" s="150"/>
      <c r="FS76" s="151"/>
      <c r="FT76" s="152"/>
      <c r="FU76" s="150"/>
      <c r="FV76" s="150"/>
      <c r="FW76" s="150"/>
      <c r="FX76" s="150"/>
      <c r="FY76" s="150"/>
      <c r="FZ76" s="151"/>
      <c r="GA76" s="152"/>
      <c r="GB76" s="150"/>
      <c r="GC76" s="150"/>
      <c r="GD76" s="150"/>
      <c r="GE76" s="150"/>
      <c r="GF76" s="150"/>
      <c r="GG76" s="151"/>
      <c r="GH76" s="152"/>
      <c r="GI76" s="150"/>
      <c r="GJ76" s="150"/>
      <c r="GK76" s="150"/>
      <c r="GL76" s="150"/>
      <c r="GM76" s="150"/>
      <c r="GN76" s="151"/>
      <c r="GO76" s="152"/>
      <c r="GP76" s="150"/>
      <c r="GQ76" s="150"/>
      <c r="GR76" s="150"/>
      <c r="GS76" s="150"/>
      <c r="GT76" s="150"/>
      <c r="GU76" s="151"/>
      <c r="GV76" s="152"/>
      <c r="GW76" s="150"/>
      <c r="GX76" s="150"/>
      <c r="GY76" s="150"/>
      <c r="GZ76" s="150"/>
      <c r="HA76" s="150"/>
      <c r="HB76" s="151"/>
      <c r="HC76" s="152"/>
      <c r="HD76" s="150"/>
      <c r="HE76" s="150"/>
      <c r="HF76" s="150"/>
      <c r="HG76" s="150"/>
      <c r="HH76" s="150"/>
      <c r="HI76" s="151"/>
      <c r="HJ76" s="152"/>
      <c r="HK76" s="150"/>
      <c r="HL76" s="150"/>
      <c r="HM76" s="150"/>
      <c r="HN76" s="150"/>
      <c r="HO76" s="150"/>
      <c r="HP76" s="151"/>
      <c r="HQ76" s="152"/>
      <c r="HR76" s="150"/>
      <c r="HS76" s="150"/>
      <c r="HT76" s="150"/>
      <c r="HU76" s="150"/>
      <c r="HV76" s="150"/>
      <c r="HW76" s="151"/>
      <c r="HX76" s="152"/>
      <c r="HY76" s="150"/>
      <c r="HZ76" s="150"/>
      <c r="IA76" s="150"/>
      <c r="IB76" s="150"/>
      <c r="IC76" s="150"/>
      <c r="ID76" s="151"/>
      <c r="IE76" s="152"/>
      <c r="IF76" s="150"/>
      <c r="IG76" s="150"/>
      <c r="IH76" s="150"/>
      <c r="II76" s="150"/>
      <c r="IJ76" s="150"/>
      <c r="IK76" s="151"/>
      <c r="IL76" s="152"/>
      <c r="IM76" s="150"/>
      <c r="IN76" s="150"/>
      <c r="IO76" s="150"/>
      <c r="IP76" s="150"/>
      <c r="IQ76" s="150"/>
      <c r="IR76" s="151"/>
      <c r="IS76" s="152"/>
      <c r="IT76" s="150"/>
      <c r="IU76" s="150"/>
      <c r="IV76" s="150"/>
    </row>
    <row r="77" spans="1:256" ht="12.75" x14ac:dyDescent="0.2">
      <c r="A77" s="211" t="s">
        <v>474</v>
      </c>
      <c r="B77" s="150"/>
      <c r="C77" s="150"/>
      <c r="D77" s="150"/>
      <c r="E77" s="150"/>
      <c r="F77" s="150"/>
      <c r="G77" s="151"/>
      <c r="H77" s="152"/>
      <c r="I77" s="150"/>
      <c r="J77" s="150"/>
      <c r="K77" s="150"/>
      <c r="L77" s="150"/>
      <c r="M77" s="150"/>
      <c r="N77" s="151"/>
      <c r="O77" s="152"/>
      <c r="P77" s="150"/>
      <c r="Q77" s="150"/>
      <c r="R77" s="150"/>
      <c r="S77" s="150"/>
      <c r="T77" s="150"/>
      <c r="U77" s="151"/>
      <c r="V77" s="152"/>
      <c r="W77" s="150"/>
      <c r="X77" s="150"/>
      <c r="Y77" s="150"/>
      <c r="Z77" s="150"/>
      <c r="AA77" s="150"/>
      <c r="AB77" s="151"/>
      <c r="AC77" s="152"/>
      <c r="AD77" s="150"/>
      <c r="AE77" s="150"/>
      <c r="AF77" s="150"/>
      <c r="AG77" s="150"/>
      <c r="AH77" s="150"/>
      <c r="AI77" s="151"/>
      <c r="AJ77" s="152"/>
      <c r="AK77" s="150"/>
      <c r="AL77" s="150"/>
      <c r="AM77" s="150"/>
      <c r="AN77" s="150"/>
      <c r="AO77" s="150"/>
      <c r="AP77" s="151"/>
      <c r="AQ77" s="152"/>
      <c r="AR77" s="150"/>
      <c r="AS77" s="150"/>
      <c r="AT77" s="150"/>
      <c r="AU77" s="150"/>
      <c r="AV77" s="150"/>
      <c r="AW77" s="151"/>
      <c r="AX77" s="152"/>
      <c r="AY77" s="150"/>
      <c r="AZ77" s="150"/>
      <c r="BA77" s="150"/>
      <c r="BB77" s="150"/>
      <c r="BC77" s="150"/>
      <c r="BD77" s="151"/>
      <c r="BE77" s="152"/>
      <c r="BF77" s="150"/>
      <c r="BG77" s="150"/>
      <c r="BH77" s="150"/>
      <c r="BI77" s="150"/>
      <c r="BJ77" s="150"/>
      <c r="BK77" s="151"/>
      <c r="BL77" s="152"/>
      <c r="BM77" s="150"/>
      <c r="BN77" s="150"/>
      <c r="BO77" s="150"/>
      <c r="BP77" s="150"/>
      <c r="BQ77" s="150"/>
      <c r="BR77" s="151"/>
      <c r="BS77" s="152"/>
      <c r="BT77" s="150"/>
      <c r="BU77" s="150"/>
      <c r="BV77" s="150"/>
      <c r="BW77" s="150"/>
      <c r="BX77" s="150"/>
      <c r="BY77" s="151"/>
      <c r="BZ77" s="152"/>
      <c r="CA77" s="150"/>
      <c r="CB77" s="150"/>
      <c r="CC77" s="150"/>
      <c r="CD77" s="150"/>
      <c r="CE77" s="150"/>
      <c r="CF77" s="151"/>
      <c r="CG77" s="152"/>
      <c r="CH77" s="150"/>
      <c r="CI77" s="150"/>
      <c r="CJ77" s="150"/>
      <c r="CK77" s="150"/>
      <c r="CL77" s="150"/>
      <c r="CM77" s="151"/>
      <c r="CN77" s="152"/>
      <c r="CO77" s="150"/>
      <c r="CP77" s="150"/>
      <c r="CQ77" s="150"/>
      <c r="CR77" s="150"/>
      <c r="CS77" s="150"/>
      <c r="CT77" s="151"/>
      <c r="CU77" s="152"/>
      <c r="CV77" s="150"/>
      <c r="CW77" s="150"/>
      <c r="CX77" s="150"/>
      <c r="CY77" s="150"/>
      <c r="CZ77" s="150"/>
      <c r="DA77" s="151"/>
      <c r="DB77" s="152"/>
      <c r="DC77" s="150"/>
      <c r="DD77" s="150"/>
      <c r="DE77" s="150"/>
      <c r="DF77" s="150"/>
      <c r="DG77" s="150"/>
      <c r="DH77" s="151"/>
      <c r="DI77" s="152"/>
      <c r="DJ77" s="150"/>
      <c r="DK77" s="150"/>
      <c r="DL77" s="150"/>
      <c r="DM77" s="150"/>
      <c r="DN77" s="150"/>
      <c r="DO77" s="151"/>
      <c r="DP77" s="152"/>
      <c r="DQ77" s="150"/>
      <c r="DR77" s="150"/>
      <c r="DS77" s="150"/>
      <c r="DT77" s="150"/>
      <c r="DU77" s="150"/>
      <c r="DV77" s="151"/>
      <c r="DW77" s="152"/>
      <c r="DX77" s="150"/>
      <c r="DY77" s="150"/>
      <c r="DZ77" s="150"/>
      <c r="EA77" s="150"/>
      <c r="EB77" s="150"/>
      <c r="EC77" s="151"/>
      <c r="ED77" s="152"/>
      <c r="EE77" s="150"/>
      <c r="EF77" s="150"/>
      <c r="EG77" s="150"/>
      <c r="EH77" s="150"/>
      <c r="EI77" s="150"/>
      <c r="EJ77" s="151"/>
      <c r="EK77" s="152"/>
      <c r="EL77" s="150"/>
      <c r="EM77" s="150"/>
      <c r="EN77" s="150"/>
      <c r="EO77" s="150"/>
      <c r="EP77" s="150"/>
      <c r="EQ77" s="151"/>
      <c r="ER77" s="152"/>
      <c r="ES77" s="150"/>
      <c r="ET77" s="150"/>
      <c r="EU77" s="150"/>
      <c r="EV77" s="150"/>
      <c r="EW77" s="150"/>
      <c r="EX77" s="151"/>
      <c r="EY77" s="152"/>
      <c r="EZ77" s="150"/>
      <c r="FA77" s="150"/>
      <c r="FB77" s="150"/>
      <c r="FC77" s="150"/>
      <c r="FD77" s="150"/>
      <c r="FE77" s="151"/>
      <c r="FF77" s="152"/>
      <c r="FG77" s="150"/>
      <c r="FH77" s="150"/>
      <c r="FI77" s="150"/>
      <c r="FJ77" s="150"/>
      <c r="FK77" s="150"/>
      <c r="FL77" s="151"/>
      <c r="FM77" s="152"/>
      <c r="FN77" s="150"/>
      <c r="FO77" s="150"/>
      <c r="FP77" s="150"/>
      <c r="FQ77" s="150"/>
      <c r="FR77" s="150"/>
      <c r="FS77" s="151"/>
      <c r="FT77" s="152"/>
      <c r="FU77" s="150"/>
      <c r="FV77" s="150"/>
      <c r="FW77" s="150"/>
      <c r="FX77" s="150"/>
      <c r="FY77" s="150"/>
      <c r="FZ77" s="151"/>
      <c r="GA77" s="152"/>
      <c r="GB77" s="150"/>
      <c r="GC77" s="150"/>
      <c r="GD77" s="150"/>
      <c r="GE77" s="150"/>
      <c r="GF77" s="150"/>
      <c r="GG77" s="151"/>
      <c r="GH77" s="152"/>
      <c r="GI77" s="150"/>
      <c r="GJ77" s="150"/>
      <c r="GK77" s="150"/>
      <c r="GL77" s="150"/>
      <c r="GM77" s="150"/>
      <c r="GN77" s="151"/>
      <c r="GO77" s="152"/>
      <c r="GP77" s="150"/>
      <c r="GQ77" s="150"/>
      <c r="GR77" s="150"/>
      <c r="GS77" s="150"/>
      <c r="GT77" s="150"/>
      <c r="GU77" s="151"/>
      <c r="GV77" s="152"/>
      <c r="GW77" s="150"/>
      <c r="GX77" s="150"/>
      <c r="GY77" s="150"/>
      <c r="GZ77" s="150"/>
      <c r="HA77" s="150"/>
      <c r="HB77" s="151"/>
      <c r="HC77" s="152"/>
      <c r="HD77" s="150"/>
      <c r="HE77" s="150"/>
      <c r="HF77" s="150"/>
      <c r="HG77" s="150"/>
      <c r="HH77" s="150"/>
      <c r="HI77" s="151"/>
      <c r="HJ77" s="152"/>
      <c r="HK77" s="150"/>
      <c r="HL77" s="150"/>
      <c r="HM77" s="150"/>
      <c r="HN77" s="150"/>
      <c r="HO77" s="150"/>
      <c r="HP77" s="151"/>
      <c r="HQ77" s="152"/>
      <c r="HR77" s="150"/>
      <c r="HS77" s="150"/>
      <c r="HT77" s="150"/>
      <c r="HU77" s="150"/>
      <c r="HV77" s="150"/>
      <c r="HW77" s="151"/>
      <c r="HX77" s="152"/>
      <c r="HY77" s="150"/>
      <c r="HZ77" s="150"/>
      <c r="IA77" s="150"/>
      <c r="IB77" s="150"/>
      <c r="IC77" s="150"/>
      <c r="ID77" s="151"/>
      <c r="IE77" s="152"/>
      <c r="IF77" s="150"/>
      <c r="IG77" s="150"/>
      <c r="IH77" s="150"/>
      <c r="II77" s="150"/>
      <c r="IJ77" s="150"/>
      <c r="IK77" s="151"/>
      <c r="IL77" s="152"/>
      <c r="IM77" s="150"/>
      <c r="IN77" s="150"/>
      <c r="IO77" s="150"/>
      <c r="IP77" s="150"/>
      <c r="IQ77" s="150"/>
      <c r="IR77" s="151"/>
      <c r="IS77" s="152"/>
      <c r="IT77" s="150"/>
      <c r="IU77" s="150"/>
      <c r="IV77" s="150"/>
    </row>
    <row r="78" spans="1:256" ht="12.75" thickBot="1" x14ac:dyDescent="0.25">
      <c r="A78" s="216"/>
      <c r="B78" s="154"/>
      <c r="C78" s="154"/>
      <c r="D78" s="154"/>
      <c r="E78" s="154"/>
      <c r="F78" s="154"/>
      <c r="G78" s="155"/>
      <c r="H78" s="152"/>
      <c r="I78" s="150"/>
      <c r="J78" s="150"/>
      <c r="K78" s="150"/>
      <c r="L78" s="150"/>
      <c r="M78" s="150"/>
      <c r="N78" s="151"/>
      <c r="O78" s="152"/>
      <c r="P78" s="150"/>
      <c r="Q78" s="150"/>
      <c r="R78" s="150"/>
      <c r="S78" s="150"/>
      <c r="T78" s="150"/>
      <c r="U78" s="151"/>
      <c r="V78" s="152"/>
      <c r="W78" s="150"/>
      <c r="X78" s="150"/>
      <c r="Y78" s="150"/>
      <c r="Z78" s="150"/>
      <c r="AA78" s="150"/>
      <c r="AB78" s="151"/>
      <c r="AC78" s="152"/>
      <c r="AD78" s="150"/>
      <c r="AE78" s="150"/>
      <c r="AF78" s="150"/>
      <c r="AG78" s="150"/>
      <c r="AH78" s="150"/>
      <c r="AI78" s="151"/>
      <c r="AJ78" s="152"/>
      <c r="AK78" s="150"/>
      <c r="AL78" s="150"/>
      <c r="AM78" s="150"/>
      <c r="AN78" s="150"/>
      <c r="AO78" s="150"/>
      <c r="AP78" s="151"/>
      <c r="AQ78" s="152"/>
      <c r="AR78" s="150"/>
      <c r="AS78" s="150"/>
      <c r="AT78" s="150"/>
      <c r="AU78" s="150"/>
      <c r="AV78" s="150"/>
      <c r="AW78" s="151"/>
      <c r="AX78" s="152"/>
      <c r="AY78" s="150"/>
      <c r="AZ78" s="150"/>
      <c r="BA78" s="150"/>
      <c r="BB78" s="150"/>
      <c r="BC78" s="150"/>
      <c r="BD78" s="151"/>
      <c r="BE78" s="152"/>
      <c r="BF78" s="150"/>
      <c r="BG78" s="150"/>
      <c r="BH78" s="150"/>
      <c r="BI78" s="150"/>
      <c r="BJ78" s="150"/>
      <c r="BK78" s="151"/>
      <c r="BL78" s="152"/>
      <c r="BM78" s="150"/>
      <c r="BN78" s="150"/>
      <c r="BO78" s="150"/>
      <c r="BP78" s="150"/>
      <c r="BQ78" s="150"/>
      <c r="BR78" s="151"/>
      <c r="BS78" s="152"/>
      <c r="BT78" s="150"/>
      <c r="BU78" s="150"/>
      <c r="BV78" s="150"/>
      <c r="BW78" s="150"/>
      <c r="BX78" s="150"/>
      <c r="BY78" s="151"/>
      <c r="BZ78" s="152"/>
      <c r="CA78" s="150"/>
      <c r="CB78" s="150"/>
      <c r="CC78" s="150"/>
      <c r="CD78" s="150"/>
      <c r="CE78" s="150"/>
      <c r="CF78" s="151"/>
      <c r="CG78" s="152"/>
      <c r="CH78" s="150"/>
      <c r="CI78" s="150"/>
      <c r="CJ78" s="150"/>
      <c r="CK78" s="150"/>
      <c r="CL78" s="150"/>
      <c r="CM78" s="151"/>
      <c r="CN78" s="152"/>
      <c r="CO78" s="150"/>
      <c r="CP78" s="150"/>
      <c r="CQ78" s="150"/>
      <c r="CR78" s="150"/>
      <c r="CS78" s="150"/>
      <c r="CT78" s="151"/>
      <c r="CU78" s="152"/>
      <c r="CV78" s="150"/>
      <c r="CW78" s="150"/>
      <c r="CX78" s="150"/>
      <c r="CY78" s="150"/>
      <c r="CZ78" s="150"/>
      <c r="DA78" s="151"/>
      <c r="DB78" s="152"/>
      <c r="DC78" s="150"/>
      <c r="DD78" s="150"/>
      <c r="DE78" s="150"/>
      <c r="DF78" s="150"/>
      <c r="DG78" s="150"/>
      <c r="DH78" s="151"/>
      <c r="DI78" s="152"/>
      <c r="DJ78" s="150"/>
      <c r="DK78" s="150"/>
      <c r="DL78" s="150"/>
      <c r="DM78" s="150"/>
      <c r="DN78" s="150"/>
      <c r="DO78" s="151"/>
      <c r="DP78" s="152"/>
      <c r="DQ78" s="150"/>
      <c r="DR78" s="150"/>
      <c r="DS78" s="150"/>
      <c r="DT78" s="150"/>
      <c r="DU78" s="150"/>
      <c r="DV78" s="151"/>
      <c r="DW78" s="152"/>
      <c r="DX78" s="150"/>
      <c r="DY78" s="150"/>
      <c r="DZ78" s="150"/>
      <c r="EA78" s="150"/>
      <c r="EB78" s="150"/>
      <c r="EC78" s="151"/>
      <c r="ED78" s="152"/>
      <c r="EE78" s="150"/>
      <c r="EF78" s="150"/>
      <c r="EG78" s="150"/>
      <c r="EH78" s="150"/>
      <c r="EI78" s="150"/>
      <c r="EJ78" s="151"/>
      <c r="EK78" s="152"/>
      <c r="EL78" s="150"/>
      <c r="EM78" s="150"/>
      <c r="EN78" s="150"/>
      <c r="EO78" s="150"/>
      <c r="EP78" s="150"/>
      <c r="EQ78" s="151"/>
      <c r="ER78" s="152"/>
      <c r="ES78" s="150"/>
      <c r="ET78" s="150"/>
      <c r="EU78" s="150"/>
      <c r="EV78" s="150"/>
      <c r="EW78" s="150"/>
      <c r="EX78" s="151"/>
      <c r="EY78" s="152"/>
      <c r="EZ78" s="150"/>
      <c r="FA78" s="150"/>
      <c r="FB78" s="150"/>
      <c r="FC78" s="150"/>
      <c r="FD78" s="150"/>
      <c r="FE78" s="151"/>
      <c r="FF78" s="152"/>
      <c r="FG78" s="150"/>
      <c r="FH78" s="150"/>
      <c r="FI78" s="150"/>
      <c r="FJ78" s="150"/>
      <c r="FK78" s="150"/>
      <c r="FL78" s="151"/>
      <c r="FM78" s="152"/>
      <c r="FN78" s="150"/>
      <c r="FO78" s="150"/>
      <c r="FP78" s="150"/>
      <c r="FQ78" s="150"/>
      <c r="FR78" s="150"/>
      <c r="FS78" s="151"/>
      <c r="FT78" s="152"/>
      <c r="FU78" s="150"/>
      <c r="FV78" s="150"/>
      <c r="FW78" s="150"/>
      <c r="FX78" s="150"/>
      <c r="FY78" s="150"/>
      <c r="FZ78" s="151"/>
      <c r="GA78" s="152"/>
      <c r="GB78" s="150"/>
      <c r="GC78" s="150"/>
      <c r="GD78" s="150"/>
      <c r="GE78" s="150"/>
      <c r="GF78" s="150"/>
      <c r="GG78" s="151"/>
      <c r="GH78" s="152"/>
      <c r="GI78" s="150"/>
      <c r="GJ78" s="150"/>
      <c r="GK78" s="150"/>
      <c r="GL78" s="150"/>
      <c r="GM78" s="150"/>
      <c r="GN78" s="151"/>
      <c r="GO78" s="152"/>
      <c r="GP78" s="150"/>
      <c r="GQ78" s="150"/>
      <c r="GR78" s="150"/>
      <c r="GS78" s="150"/>
      <c r="GT78" s="150"/>
      <c r="GU78" s="151"/>
      <c r="GV78" s="152"/>
      <c r="GW78" s="150"/>
      <c r="GX78" s="150"/>
      <c r="GY78" s="150"/>
      <c r="GZ78" s="150"/>
      <c r="HA78" s="150"/>
      <c r="HB78" s="151"/>
      <c r="HC78" s="152"/>
      <c r="HD78" s="150"/>
      <c r="HE78" s="150"/>
      <c r="HF78" s="150"/>
      <c r="HG78" s="150"/>
      <c r="HH78" s="150"/>
      <c r="HI78" s="151"/>
      <c r="HJ78" s="152"/>
      <c r="HK78" s="150"/>
      <c r="HL78" s="150"/>
      <c r="HM78" s="150"/>
      <c r="HN78" s="150"/>
      <c r="HO78" s="150"/>
      <c r="HP78" s="151"/>
      <c r="HQ78" s="152"/>
      <c r="HR78" s="150"/>
      <c r="HS78" s="150"/>
      <c r="HT78" s="150"/>
      <c r="HU78" s="150"/>
      <c r="HV78" s="150"/>
      <c r="HW78" s="151"/>
      <c r="HX78" s="152"/>
      <c r="HY78" s="150"/>
      <c r="HZ78" s="150"/>
      <c r="IA78" s="150"/>
      <c r="IB78" s="150"/>
      <c r="IC78" s="150"/>
      <c r="ID78" s="151"/>
      <c r="IE78" s="152"/>
      <c r="IF78" s="150"/>
      <c r="IG78" s="150"/>
      <c r="IH78" s="150"/>
      <c r="II78" s="150"/>
      <c r="IJ78" s="150"/>
      <c r="IK78" s="151"/>
      <c r="IL78" s="152"/>
      <c r="IM78" s="150"/>
      <c r="IN78" s="150"/>
      <c r="IO78" s="150"/>
      <c r="IP78" s="150"/>
      <c r="IQ78" s="150"/>
      <c r="IR78" s="151"/>
      <c r="IS78" s="152"/>
      <c r="IT78" s="150"/>
      <c r="IU78" s="150"/>
      <c r="IV78" s="150"/>
    </row>
    <row r="122" spans="2:2" x14ac:dyDescent="0.2">
      <c r="B122" s="642"/>
    </row>
  </sheetData>
  <sheetProtection password="C677" sheet="1" objects="1" scenarios="1" formatCells="0" formatColumns="0"/>
  <mergeCells count="21">
    <mergeCell ref="A1:G1"/>
    <mergeCell ref="B3:D3"/>
    <mergeCell ref="B5:F5"/>
    <mergeCell ref="G2:G4"/>
    <mergeCell ref="A28:G28"/>
    <mergeCell ref="A9:G11"/>
    <mergeCell ref="A12:G14"/>
    <mergeCell ref="A8:G8"/>
    <mergeCell ref="A17:G19"/>
    <mergeCell ref="A15:G15"/>
    <mergeCell ref="A69:G70"/>
    <mergeCell ref="A49:G50"/>
    <mergeCell ref="A21:G21"/>
    <mergeCell ref="A75:G76"/>
    <mergeCell ref="A31:G32"/>
    <mergeCell ref="A45:G45"/>
    <mergeCell ref="A60:G62"/>
    <mergeCell ref="A65:G66"/>
    <mergeCell ref="A23:G23"/>
    <mergeCell ref="A67:G68"/>
    <mergeCell ref="A25:G25"/>
  </mergeCells>
  <phoneticPr fontId="1" type="noConversion"/>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BS260"/>
  <sheetViews>
    <sheetView showGridLines="0" tabSelected="1" topLeftCell="A28" zoomScale="80" zoomScaleNormal="80" workbookViewId="0">
      <selection activeCell="H26" sqref="H26"/>
    </sheetView>
  </sheetViews>
  <sheetFormatPr baseColWidth="10" defaultColWidth="0" defaultRowHeight="24.95" customHeight="1" x14ac:dyDescent="0.2"/>
  <cols>
    <col min="1" max="1" width="14" style="768" customWidth="1"/>
    <col min="2" max="2" width="51" style="670" customWidth="1"/>
    <col min="3" max="3" width="16.285156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140625" style="712" customWidth="1"/>
    <col min="20" max="20" width="60.140625" style="686" customWidth="1"/>
    <col min="21" max="21" width="16.140625" style="275" customWidth="1"/>
    <col min="22" max="23" width="14.7109375" style="275" customWidth="1"/>
    <col min="24" max="24" width="16" style="275" customWidth="1"/>
    <col min="25" max="25" width="15.5703125" style="275" customWidth="1"/>
    <col min="26" max="26" width="14.7109375" style="275" customWidth="1"/>
    <col min="27" max="28" width="15.85546875" style="275" customWidth="1"/>
    <col min="29" max="29" width="14.7109375" style="275" customWidth="1"/>
    <col min="30" max="30" width="16" style="275" customWidth="1"/>
    <col min="31" max="31" width="15.85546875" style="275" customWidth="1"/>
    <col min="32" max="32" width="14.7109375" style="275" customWidth="1"/>
    <col min="33" max="33" width="15.855468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2.710937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6" width="18.85546875" style="275" customWidth="1"/>
    <col min="57" max="57" width="22.85546875" style="275" customWidth="1"/>
    <col min="58" max="58" width="36.140625" style="275" customWidth="1"/>
    <col min="59" max="59" width="72.7109375" style="275" customWidth="1"/>
    <col min="60" max="63" width="17.5703125" style="275" customWidth="1"/>
    <col min="64" max="64" width="31.5703125" style="275" customWidth="1"/>
    <col min="65" max="65" width="76" style="275" customWidth="1"/>
    <col min="66" max="66" width="17.140625" style="275" customWidth="1"/>
    <col min="67" max="67" width="14.7109375" style="275" customWidth="1"/>
    <col min="68" max="68" width="17" style="275" customWidth="1"/>
    <col min="69" max="69" width="22"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2.75"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9</v>
      </c>
      <c r="AP2" s="283" t="s">
        <v>8</v>
      </c>
      <c r="AQ2" s="284"/>
      <c r="AR2" s="3"/>
      <c r="AS2" s="3"/>
      <c r="AT2" s="3"/>
      <c r="AU2" s="3"/>
      <c r="AV2" s="3"/>
      <c r="AW2" s="3"/>
      <c r="AX2" s="3"/>
      <c r="AY2" s="3"/>
      <c r="AZ2" s="4"/>
      <c r="BB2" s="899" t="s">
        <v>404</v>
      </c>
      <c r="BC2" s="901"/>
      <c r="BD2" s="51" t="s">
        <v>392</v>
      </c>
      <c r="BE2" s="281" t="str">
        <f>+L3</f>
        <v>SEPTIEMBRE</v>
      </c>
      <c r="BF2" s="276"/>
      <c r="BG2" s="899" t="s">
        <v>405</v>
      </c>
      <c r="BH2" s="901"/>
      <c r="BI2" s="901"/>
      <c r="BJ2" s="51" t="s">
        <v>392</v>
      </c>
      <c r="BK2" s="281" t="str">
        <f>+BE2</f>
        <v>SEPTIEMBRE</v>
      </c>
      <c r="BM2" s="899" t="s">
        <v>405</v>
      </c>
      <c r="BN2" s="901"/>
      <c r="BO2" s="901"/>
      <c r="BP2" s="51" t="s">
        <v>392</v>
      </c>
      <c r="BQ2" s="281" t="str">
        <f>+BK2</f>
        <v>SEPTIEMBRE</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377</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SEPTIEMBRE</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298"/>
    </row>
    <row r="5" spans="1:69" ht="42" customHeight="1" thickTop="1" thickBot="1" x14ac:dyDescent="0.3">
      <c r="A5" s="935" t="s">
        <v>19</v>
      </c>
      <c r="B5" s="937" t="s">
        <v>20</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943" t="s">
        <v>370</v>
      </c>
      <c r="BG5" s="520" t="s">
        <v>34</v>
      </c>
      <c r="BH5" s="875" t="str">
        <f>+CONCATENATE("ACUMULADO ",N3)</f>
        <v>ACUMULADO 2015</v>
      </c>
      <c r="BI5" s="876"/>
      <c r="BJ5" s="876"/>
      <c r="BK5" s="940"/>
      <c r="BL5" s="941" t="s">
        <v>371</v>
      </c>
      <c r="BM5" s="910" t="s">
        <v>34</v>
      </c>
      <c r="BN5" s="311" t="str">
        <f>+CONCATENATE("ACUMULADO ",BQ3)</f>
        <v>ACUMULADO 2015</v>
      </c>
      <c r="BO5" s="312"/>
      <c r="BP5" s="313"/>
      <c r="BQ5" s="521"/>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SEPTIEMBRE</v>
      </c>
      <c r="AS6" s="319" t="str">
        <f>AR6</f>
        <v>SEPTIEMBRE</v>
      </c>
      <c r="AT6" s="319" t="str">
        <f>AR6</f>
        <v>SEPTIEMBRE</v>
      </c>
      <c r="AU6" s="319" t="s">
        <v>16</v>
      </c>
      <c r="AV6" s="319" t="s">
        <v>31</v>
      </c>
      <c r="AW6" s="319"/>
      <c r="AX6" s="319"/>
      <c r="AY6" s="319" t="s">
        <v>16</v>
      </c>
      <c r="AZ6" s="320" t="s">
        <v>31</v>
      </c>
      <c r="BB6" s="321"/>
      <c r="BC6" s="322" t="s">
        <v>47</v>
      </c>
      <c r="BD6" s="323" t="s">
        <v>48</v>
      </c>
      <c r="BE6" s="324" t="s">
        <v>49</v>
      </c>
      <c r="BF6" s="944"/>
      <c r="BG6" s="522"/>
      <c r="BH6" s="523" t="s">
        <v>47</v>
      </c>
      <c r="BI6" s="523" t="s">
        <v>50</v>
      </c>
      <c r="BJ6" s="523" t="s">
        <v>51</v>
      </c>
      <c r="BK6" s="524" t="s">
        <v>52</v>
      </c>
      <c r="BL6" s="942"/>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1395117330</v>
      </c>
      <c r="AS7" s="330">
        <f>L22</f>
        <v>817005247</v>
      </c>
      <c r="AT7" s="13"/>
      <c r="AU7" s="331">
        <f t="shared" ref="AU7:AU17" si="0">IF(AQ7=0," ",AR7/AQ7)</f>
        <v>0.79324130166664009</v>
      </c>
      <c r="AV7" s="331">
        <f t="shared" ref="AV7:AV17" si="1">IF(AQ7=0," ",AS7/AQ7)</f>
        <v>0.46453605848244667</v>
      </c>
      <c r="AW7" s="330">
        <f>I23/AO$2*12+I24</f>
        <v>1723622291</v>
      </c>
      <c r="AX7" s="330">
        <f>L23/AO$2*12+L24</f>
        <v>952806180.33333325</v>
      </c>
      <c r="AY7" s="330">
        <f t="shared" ref="AY7:AY16" si="2">AW7-AQ7</f>
        <v>-35132992</v>
      </c>
      <c r="AZ7" s="332">
        <f t="shared" ref="AZ7:AZ16" si="3">AX7-AQ7</f>
        <v>-805949102.66666675</v>
      </c>
      <c r="BB7" s="333" t="s">
        <v>55</v>
      </c>
      <c r="BC7" s="54">
        <f>F10</f>
        <v>90342061</v>
      </c>
      <c r="BD7" s="55">
        <f>I10</f>
        <v>90342061</v>
      </c>
      <c r="BE7" s="56">
        <f>K10</f>
        <v>0</v>
      </c>
      <c r="BF7" s="53">
        <f>+BE7+AGOSTO!BE7+JULIO!BE7+JUNIO!BF7</f>
        <v>90342061</v>
      </c>
      <c r="BG7" s="91" t="s">
        <v>56</v>
      </c>
      <c r="BH7" s="117">
        <f>+SUM(BH8:BH11)</f>
        <v>2821019353</v>
      </c>
      <c r="BI7" s="117">
        <f>+SUM(BI8:BI11)</f>
        <v>1999393294</v>
      </c>
      <c r="BJ7" s="117">
        <f>+SUM(BJ8:BJ11)</f>
        <v>1870783339</v>
      </c>
      <c r="BK7" s="117">
        <f>+SUM(BK8:BK11)</f>
        <v>222881074</v>
      </c>
      <c r="BL7" s="40">
        <f>+BK7+AGOSTO!BK7+JULIO!BK7+JUNIO!BL7</f>
        <v>1600871207</v>
      </c>
      <c r="BM7" s="61" t="s">
        <v>56</v>
      </c>
      <c r="BN7" s="62">
        <f>BN8+BN15+BN22</f>
        <v>2821019353</v>
      </c>
      <c r="BO7" s="63">
        <f>BO8+BO15+BO22</f>
        <v>1999393294</v>
      </c>
      <c r="BP7" s="63">
        <f>BP8+BP15+BP22</f>
        <v>1870783339</v>
      </c>
      <c r="BQ7" s="64">
        <f>BQ8+BQ15+BQ22</f>
        <v>222881074</v>
      </c>
    </row>
    <row r="8" spans="1:69" s="9" customFormat="1" ht="24.95" customHeight="1" thickBot="1" x14ac:dyDescent="0.3">
      <c r="A8" s="744">
        <f>+IF(AGOSTO!A8=0,"",AGOSTO!A8)</f>
        <v>1</v>
      </c>
      <c r="B8" s="643" t="str">
        <f>+IF(AGOSTO!B8=0,"",AGOSTO!B8)</f>
        <v>INGRESOS</v>
      </c>
      <c r="C8" s="334">
        <f>C10+C17+C113</f>
        <v>3135701014</v>
      </c>
      <c r="D8" s="334">
        <f>D10+D17+D113</f>
        <v>0</v>
      </c>
      <c r="E8" s="334">
        <f t="shared" ref="E8:Q8" si="4">E10+E17+E113</f>
        <v>754899733</v>
      </c>
      <c r="F8" s="334">
        <f t="shared" si="4"/>
        <v>3890600747</v>
      </c>
      <c r="G8" s="334">
        <f t="shared" si="4"/>
        <v>2736673966</v>
      </c>
      <c r="H8" s="334">
        <f t="shared" si="4"/>
        <v>288628342</v>
      </c>
      <c r="I8" s="334">
        <f t="shared" si="4"/>
        <v>3025302308</v>
      </c>
      <c r="J8" s="334">
        <f t="shared" si="4"/>
        <v>1880555992</v>
      </c>
      <c r="K8" s="334">
        <f t="shared" si="4"/>
        <v>305187593</v>
      </c>
      <c r="L8" s="334">
        <f t="shared" si="4"/>
        <v>2185743585</v>
      </c>
      <c r="M8" s="334">
        <f t="shared" si="4"/>
        <v>865298439</v>
      </c>
      <c r="N8" s="334">
        <f t="shared" si="4"/>
        <v>1704857162</v>
      </c>
      <c r="O8" s="336"/>
      <c r="P8" s="337">
        <f t="shared" si="4"/>
        <v>0</v>
      </c>
      <c r="Q8" s="335">
        <f t="shared" si="4"/>
        <v>0</v>
      </c>
      <c r="S8" s="715" t="str">
        <f>+IF(AGOSTO!S8=0,"",AGOSTO!S8)</f>
        <v/>
      </c>
      <c r="T8" s="687" t="str">
        <f>+IF(AGOSTO!T8=0,"",AGOSTO!T8)</f>
        <v>GASTOS</v>
      </c>
      <c r="U8" s="338">
        <f t="shared" ref="U8:AM8" si="5">U10+U207+U220+U232</f>
        <v>3135701014</v>
      </c>
      <c r="V8" s="339">
        <f t="shared" si="5"/>
        <v>0</v>
      </c>
      <c r="W8" s="339">
        <f t="shared" si="5"/>
        <v>754899733</v>
      </c>
      <c r="X8" s="340">
        <f t="shared" si="5"/>
        <v>3890600747</v>
      </c>
      <c r="Y8" s="341">
        <f t="shared" si="5"/>
        <v>2503870689</v>
      </c>
      <c r="Z8" s="339">
        <f t="shared" si="5"/>
        <v>222215987</v>
      </c>
      <c r="AA8" s="340">
        <f t="shared" si="5"/>
        <v>2726086676</v>
      </c>
      <c r="AB8" s="341">
        <f t="shared" si="5"/>
        <v>2254741142</v>
      </c>
      <c r="AC8" s="339">
        <f t="shared" si="5"/>
        <v>291369301</v>
      </c>
      <c r="AD8" s="340">
        <f t="shared" si="5"/>
        <v>2546110443</v>
      </c>
      <c r="AE8" s="341">
        <f t="shared" si="5"/>
        <v>1791957842</v>
      </c>
      <c r="AF8" s="339">
        <f t="shared" si="5"/>
        <v>262319384</v>
      </c>
      <c r="AG8" s="340">
        <f t="shared" si="5"/>
        <v>2054277226</v>
      </c>
      <c r="AH8" s="341">
        <f t="shared" si="5"/>
        <v>1164514071</v>
      </c>
      <c r="AI8" s="339">
        <f t="shared" si="5"/>
        <v>1344490304</v>
      </c>
      <c r="AJ8" s="342">
        <f t="shared" si="5"/>
        <v>1836323521</v>
      </c>
      <c r="AL8" s="343">
        <f t="shared" si="5"/>
        <v>0</v>
      </c>
      <c r="AM8" s="344">
        <f t="shared" si="5"/>
        <v>0</v>
      </c>
      <c r="AO8" s="21"/>
      <c r="AP8" s="11" t="s">
        <v>58</v>
      </c>
      <c r="AQ8" s="12">
        <f>F25</f>
        <v>945539330</v>
      </c>
      <c r="AR8" s="12">
        <f>I25</f>
        <v>685227161</v>
      </c>
      <c r="AS8" s="12">
        <f>L25</f>
        <v>489985240</v>
      </c>
      <c r="AT8" s="13"/>
      <c r="AU8" s="345">
        <f t="shared" si="0"/>
        <v>0.72469450953457426</v>
      </c>
      <c r="AV8" s="345">
        <f t="shared" si="1"/>
        <v>0.51820714850645078</v>
      </c>
      <c r="AW8" s="12">
        <f>I26/AO$2*12+I27</f>
        <v>896995038.33333337</v>
      </c>
      <c r="AX8" s="12">
        <f>L26/AO$2*12+L27</f>
        <v>636672477</v>
      </c>
      <c r="AY8" s="12">
        <f t="shared" si="2"/>
        <v>-48544291.666666627</v>
      </c>
      <c r="AZ8" s="346">
        <f t="shared" si="3"/>
        <v>-308866853</v>
      </c>
      <c r="BB8" s="143" t="s">
        <v>59</v>
      </c>
      <c r="BC8" s="65">
        <f>BC9+BC19</f>
        <v>3195036512</v>
      </c>
      <c r="BD8" s="66">
        <f>BD9+BD19</f>
        <v>2388229492</v>
      </c>
      <c r="BE8" s="67" t="e">
        <f>BE9+BE19</f>
        <v>#VALUE!</v>
      </c>
      <c r="BF8" s="53" t="e">
        <f>+BE8+AGOSTO!BE8+JULIO!BE8+JUNIO!BF8</f>
        <v>#VALUE!</v>
      </c>
      <c r="BG8" s="68" t="s">
        <v>60</v>
      </c>
      <c r="BH8" s="69">
        <f>BN9+BN13</f>
        <v>1707852065</v>
      </c>
      <c r="BI8" s="69">
        <f>BO9+BO13</f>
        <v>1158447893</v>
      </c>
      <c r="BJ8" s="69">
        <f>BP9+BP13</f>
        <v>1158447893</v>
      </c>
      <c r="BK8" s="69">
        <f>BQ9+BQ13</f>
        <v>127128791</v>
      </c>
      <c r="BL8" s="40">
        <f>+BK8+AGOSTO!BK8+JULIO!BK8+JUNIO!BL8</f>
        <v>1048226988</v>
      </c>
      <c r="BM8" s="71" t="s">
        <v>61</v>
      </c>
      <c r="BN8" s="72">
        <f>BN9+BN14+BN13</f>
        <v>2098181582</v>
      </c>
      <c r="BO8" s="69">
        <f>BO9+BO14+BO13</f>
        <v>1515696393</v>
      </c>
      <c r="BP8" s="69">
        <f>BP9+BP14+BP13</f>
        <v>1419770783</v>
      </c>
      <c r="BQ8" s="70">
        <f>BQ9+BQ14+BQ13</f>
        <v>166789531</v>
      </c>
    </row>
    <row r="9" spans="1:69" s="9" customFormat="1" ht="24.95" customHeight="1" thickBot="1" x14ac:dyDescent="0.3">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244146079</v>
      </c>
      <c r="AS9" s="12">
        <f>L28+L75</f>
        <v>237325602</v>
      </c>
      <c r="AT9" s="13"/>
      <c r="AU9" s="353">
        <f t="shared" si="0"/>
        <v>0.69611463825630127</v>
      </c>
      <c r="AV9" s="353">
        <f t="shared" si="1"/>
        <v>0.67666794511653383</v>
      </c>
      <c r="AW9" s="354">
        <f>(I30+I33+I36+I76)/AO$2*12+I31+I34+I37+I38+I39+I40+I77</f>
        <v>246944559.33333334</v>
      </c>
      <c r="AX9" s="354">
        <f>(L30+L33+L36+L76)/AO$2*12+L31+L34+L37+L38+L39+L40+L77</f>
        <v>239090195.33333334</v>
      </c>
      <c r="AY9" s="354">
        <f t="shared" si="2"/>
        <v>-103782268.66666666</v>
      </c>
      <c r="AZ9" s="355">
        <f t="shared" si="3"/>
        <v>-111636632.66666666</v>
      </c>
      <c r="BB9" s="356" t="s">
        <v>437</v>
      </c>
      <c r="BC9" s="73">
        <f>BC10+BC18</f>
        <v>3087854833</v>
      </c>
      <c r="BD9" s="74">
        <f>BD10+BD18</f>
        <v>2311210606</v>
      </c>
      <c r="BE9" s="75" t="e">
        <f>BE10+BE18</f>
        <v>#VALUE!</v>
      </c>
      <c r="BF9" s="53" t="e">
        <f>+BE9+AGOSTO!BE9+JULIO!BE9+JUNIO!BF9</f>
        <v>#VALUE!</v>
      </c>
      <c r="BG9" s="77" t="s">
        <v>64</v>
      </c>
      <c r="BH9" s="78">
        <f t="shared" ref="BH9:BK10" si="6">BN14</f>
        <v>390329517</v>
      </c>
      <c r="BI9" s="78">
        <f t="shared" si="6"/>
        <v>357248500</v>
      </c>
      <c r="BJ9" s="78">
        <f t="shared" si="6"/>
        <v>261322890</v>
      </c>
      <c r="BK9" s="78">
        <f t="shared" si="6"/>
        <v>39660740</v>
      </c>
      <c r="BL9" s="40">
        <f>+BK9+AGOSTO!BK9+JULIO!BK9+JUNIO!BL9</f>
        <v>221034436</v>
      </c>
      <c r="BM9" s="140" t="s">
        <v>65</v>
      </c>
      <c r="BN9" s="80">
        <f>SUM(BN10:BN12)</f>
        <v>1254304402</v>
      </c>
      <c r="BO9" s="78">
        <f>SUM(BO10:BO12)</f>
        <v>857958328</v>
      </c>
      <c r="BP9" s="78">
        <f>SUM(BP10:BP12)</f>
        <v>857958328</v>
      </c>
      <c r="BQ9" s="79">
        <f>SUM(BQ10:BQ12)</f>
        <v>97854052</v>
      </c>
    </row>
    <row r="10" spans="1:69" s="9" customFormat="1" ht="24.95" customHeight="1" x14ac:dyDescent="0.25">
      <c r="A10" s="745">
        <f>+IF(AGOSTO!A10=0,"",AGOSTO!A10)</f>
        <v>10</v>
      </c>
      <c r="B10" s="645" t="str">
        <f>+IF(AGOSTO!B10=0,"",AGOSTO!B10)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+IF(AGOSTO!S10=0,"",AGOSTO!S10)</f>
        <v>A</v>
      </c>
      <c r="T10" s="688" t="str">
        <f>+IF(AGOSTO!T10=0,"",AGOSTO!T10)</f>
        <v>GASTOS DE FUNCIONAMIENTO</v>
      </c>
      <c r="U10" s="361">
        <f t="shared" ref="U10:AJ10" si="8">U12+U110+U170+U193</f>
        <v>2832701014</v>
      </c>
      <c r="V10" s="362">
        <f t="shared" si="8"/>
        <v>103000000</v>
      </c>
      <c r="W10" s="362">
        <f t="shared" si="8"/>
        <v>576899733</v>
      </c>
      <c r="X10" s="365">
        <f t="shared" si="8"/>
        <v>3512600747</v>
      </c>
      <c r="Y10" s="364">
        <f t="shared" si="8"/>
        <v>2383709355</v>
      </c>
      <c r="Z10" s="362">
        <f t="shared" si="8"/>
        <v>220946995</v>
      </c>
      <c r="AA10" s="365">
        <f t="shared" si="8"/>
        <v>2604656350</v>
      </c>
      <c r="AB10" s="364">
        <f t="shared" si="8"/>
        <v>2195793142</v>
      </c>
      <c r="AC10" s="362">
        <f t="shared" si="8"/>
        <v>268444309</v>
      </c>
      <c r="AD10" s="365">
        <f t="shared" si="8"/>
        <v>2464237451</v>
      </c>
      <c r="AE10" s="364">
        <f t="shared" si="8"/>
        <v>1743637842</v>
      </c>
      <c r="AF10" s="362">
        <f t="shared" si="8"/>
        <v>247178384</v>
      </c>
      <c r="AG10" s="365">
        <f t="shared" si="8"/>
        <v>1990816226</v>
      </c>
      <c r="AH10" s="364">
        <f t="shared" si="8"/>
        <v>907944397</v>
      </c>
      <c r="AI10" s="362">
        <f t="shared" si="8"/>
        <v>1048363296</v>
      </c>
      <c r="AJ10" s="363">
        <f t="shared" si="8"/>
        <v>1521784521</v>
      </c>
      <c r="AL10" s="366">
        <f>AL12+AL110+AL170+AL193</f>
        <v>0</v>
      </c>
      <c r="AM10" s="367">
        <f>AM12+AM110+AM170+AM193</f>
        <v>0</v>
      </c>
      <c r="AO10" s="352"/>
      <c r="AP10" s="11" t="s">
        <v>67</v>
      </c>
      <c r="AQ10" s="12">
        <f>F42</f>
        <v>111280673</v>
      </c>
      <c r="AR10" s="12">
        <f>I42</f>
        <v>67464121</v>
      </c>
      <c r="AS10" s="12">
        <f>L42</f>
        <v>65005392</v>
      </c>
      <c r="AT10" s="13"/>
      <c r="AU10" s="353">
        <f t="shared" si="0"/>
        <v>0.60625191402284206</v>
      </c>
      <c r="AV10" s="353">
        <f t="shared" si="1"/>
        <v>0.58415707101268155</v>
      </c>
      <c r="AW10" s="354">
        <f>I43/AO$2*12+I44</f>
        <v>89952161.333333328</v>
      </c>
      <c r="AX10" s="354">
        <f>L43/AO$2*12+L44</f>
        <v>86673856</v>
      </c>
      <c r="AY10" s="354">
        <f t="shared" si="2"/>
        <v>-21328511.666666672</v>
      </c>
      <c r="AZ10" s="355">
        <f t="shared" si="3"/>
        <v>-24606817</v>
      </c>
      <c r="BB10" s="368" t="s">
        <v>438</v>
      </c>
      <c r="BC10" s="73">
        <f>BC11+BC12+BC13+BC14+BC16+BC17+BC15</f>
        <v>3013140862</v>
      </c>
      <c r="BD10" s="74">
        <f>BD11+BD12+BD13+BD14+BD16+BD17+BD15</f>
        <v>2173338810</v>
      </c>
      <c r="BE10" s="75">
        <f>BE11+BE12+BE13+BE14+BE16+BE17+BE15</f>
        <v>280722709</v>
      </c>
      <c r="BF10" s="53">
        <f>+BE10+AGOSTO!BE10+JULIO!BE10+JUNIO!BF10</f>
        <v>1333780087</v>
      </c>
      <c r="BG10" s="68" t="s">
        <v>68</v>
      </c>
      <c r="BH10" s="81">
        <f t="shared" si="6"/>
        <v>657265487</v>
      </c>
      <c r="BI10" s="81">
        <f t="shared" si="6"/>
        <v>451524737</v>
      </c>
      <c r="BJ10" s="81">
        <f t="shared" si="6"/>
        <v>418840392</v>
      </c>
      <c r="BK10" s="81">
        <f t="shared" si="6"/>
        <v>52719844</v>
      </c>
      <c r="BL10" s="40">
        <f>+BK10+AGOSTO!BK10+JULIO!BK10+JUNIO!BL10</f>
        <v>305509887</v>
      </c>
      <c r="BM10" s="137" t="s">
        <v>450</v>
      </c>
      <c r="BN10" s="83">
        <f>X17+X66</f>
        <v>943171180</v>
      </c>
      <c r="BO10" s="81">
        <f>AA17+AA66</f>
        <v>701547252</v>
      </c>
      <c r="BP10" s="81">
        <f>AD17+AD66</f>
        <v>701547252</v>
      </c>
      <c r="BQ10" s="82">
        <f>AF17+AF66</f>
        <v>79036575</v>
      </c>
    </row>
    <row r="11" spans="1:69" s="9" customFormat="1" ht="24.95" customHeight="1" x14ac:dyDescent="0.25">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559</v>
      </c>
      <c r="AQ11" s="12">
        <f>F88</f>
        <v>0</v>
      </c>
      <c r="AR11" s="12">
        <f>I88</f>
        <v>0</v>
      </c>
      <c r="AS11" s="12">
        <f>L88</f>
        <v>0</v>
      </c>
      <c r="AT11" s="374">
        <f>AO2/12</f>
        <v>0.75</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635303632</v>
      </c>
      <c r="BE11" s="75">
        <f>K26</f>
        <v>76505285</v>
      </c>
      <c r="BF11" s="53">
        <f>+BE11+AGOSTO!BE11+JULIO!BE11+JUNIO!BF11</f>
        <v>440061711</v>
      </c>
      <c r="BG11" s="68" t="s">
        <v>69</v>
      </c>
      <c r="BH11" s="84">
        <f>BN22</f>
        <v>65572284</v>
      </c>
      <c r="BI11" s="84">
        <f>BO22</f>
        <v>32172164</v>
      </c>
      <c r="BJ11" s="84">
        <f>BP22</f>
        <v>32172164</v>
      </c>
      <c r="BK11" s="84">
        <f>BQ22</f>
        <v>3371699</v>
      </c>
      <c r="BL11" s="40">
        <f>+BK11+AGOSTO!BK11+JULIO!BK11+JUNIO!BL11</f>
        <v>26099896</v>
      </c>
      <c r="BM11" s="138" t="s">
        <v>451</v>
      </c>
      <c r="BN11" s="86">
        <f>X18+X67</f>
        <v>138639980</v>
      </c>
      <c r="BO11" s="84">
        <f>AA18+AA67</f>
        <v>119045861</v>
      </c>
      <c r="BP11" s="84">
        <f>AD18+AD67</f>
        <v>119045861</v>
      </c>
      <c r="BQ11" s="85">
        <f>AF18+AF67</f>
        <v>12499107</v>
      </c>
    </row>
    <row r="12" spans="1:69" s="9" customFormat="1" ht="24.95" customHeight="1" x14ac:dyDescent="0.25">
      <c r="A12" s="618">
        <f>+IF(AGOSTO!A12=0,"",AGOSTO!A12)</f>
        <v>1001</v>
      </c>
      <c r="B12" s="646" t="str">
        <f>+IF(AGOSTO!B12=0,"",AGOSTO!B12)</f>
        <v>Bienestar Social (Caja, Bancos, Inversiones Tempor.) a Dic-31-2014</v>
      </c>
      <c r="C12" s="375">
        <f>+ENERO!C12</f>
        <v>0</v>
      </c>
      <c r="D12" s="376">
        <f>AGOSTO!D12+SEPTIEMBRE!P12</f>
        <v>0</v>
      </c>
      <c r="E12" s="376">
        <f>AGOSTO!E12+SEPTIEMBRE!Q12</f>
        <v>81553</v>
      </c>
      <c r="F12" s="146">
        <f>SUM(C12:E12)</f>
        <v>81553</v>
      </c>
      <c r="G12" s="222">
        <f>AGOSTO!I12</f>
        <v>81553</v>
      </c>
      <c r="H12" s="377">
        <v>0</v>
      </c>
      <c r="I12" s="146">
        <f>SUM(G12:H12)</f>
        <v>81553</v>
      </c>
      <c r="J12" s="222">
        <f>AGOSTO!L12</f>
        <v>81553</v>
      </c>
      <c r="K12" s="134">
        <v>0</v>
      </c>
      <c r="L12" s="146">
        <f>SUM(J12:K12)</f>
        <v>81553</v>
      </c>
      <c r="M12" s="222">
        <f>F12-I12</f>
        <v>0</v>
      </c>
      <c r="N12" s="146">
        <f>F12-L12</f>
        <v>0</v>
      </c>
      <c r="O12" s="297"/>
      <c r="P12" s="375">
        <v>0</v>
      </c>
      <c r="Q12" s="378">
        <v>0</v>
      </c>
      <c r="S12" s="716">
        <f>+IF(AGOSTO!S12=0,"",AGOSTO!S12)</f>
        <v>1000000</v>
      </c>
      <c r="T12" s="690" t="str">
        <f>+IF(AGOSTO!T12=0,"",AGOSTO!T12)</f>
        <v>GASTOS DE PERSONAL</v>
      </c>
      <c r="U12" s="379">
        <f t="shared" ref="U12:AJ12" si="9">U14+U63</f>
        <v>1994472741</v>
      </c>
      <c r="V12" s="380">
        <f t="shared" si="9"/>
        <v>90300000</v>
      </c>
      <c r="W12" s="380">
        <f t="shared" si="9"/>
        <v>152721141</v>
      </c>
      <c r="X12" s="381">
        <f t="shared" si="9"/>
        <v>2237493882</v>
      </c>
      <c r="Y12" s="366">
        <f t="shared" si="9"/>
        <v>1508153632</v>
      </c>
      <c r="Z12" s="380">
        <f t="shared" si="9"/>
        <v>146855061</v>
      </c>
      <c r="AA12" s="381">
        <f t="shared" si="9"/>
        <v>1655008693</v>
      </c>
      <c r="AB12" s="366">
        <f t="shared" si="9"/>
        <v>1374908652</v>
      </c>
      <c r="AC12" s="380">
        <f t="shared" si="9"/>
        <v>184174431</v>
      </c>
      <c r="AD12" s="381">
        <f t="shared" si="9"/>
        <v>1559083083</v>
      </c>
      <c r="AE12" s="366">
        <f t="shared" si="9"/>
        <v>1225593890</v>
      </c>
      <c r="AF12" s="380">
        <f t="shared" si="9"/>
        <v>166789531</v>
      </c>
      <c r="AG12" s="381">
        <f t="shared" si="9"/>
        <v>1392383421</v>
      </c>
      <c r="AH12" s="366">
        <f t="shared" si="9"/>
        <v>582485189</v>
      </c>
      <c r="AI12" s="380">
        <f t="shared" si="9"/>
        <v>678410799</v>
      </c>
      <c r="AJ12" s="367">
        <f t="shared" si="9"/>
        <v>845110461</v>
      </c>
      <c r="AK12" s="10"/>
      <c r="AL12" s="382">
        <f>AL14+AL63</f>
        <v>0</v>
      </c>
      <c r="AM12" s="383">
        <f>AM14+AM63</f>
        <v>0</v>
      </c>
      <c r="AO12" s="373"/>
      <c r="AP12" s="536" t="s">
        <v>560</v>
      </c>
      <c r="AQ12" s="12">
        <f>F89</f>
        <v>50000000</v>
      </c>
      <c r="AR12" s="12">
        <f>I89</f>
        <v>29658686</v>
      </c>
      <c r="AS12" s="12">
        <f>L89</f>
        <v>22329343</v>
      </c>
      <c r="AT12" s="13"/>
      <c r="AU12" s="353">
        <f t="shared" si="0"/>
        <v>0.59317372000000002</v>
      </c>
      <c r="AV12" s="353">
        <f t="shared" si="1"/>
        <v>0.44658685999999997</v>
      </c>
      <c r="AW12" s="354">
        <f>I89</f>
        <v>29658686</v>
      </c>
      <c r="AX12" s="354">
        <f>L89</f>
        <v>22329343</v>
      </c>
      <c r="AY12" s="354">
        <f t="shared" si="2"/>
        <v>-20341314</v>
      </c>
      <c r="AZ12" s="355">
        <f t="shared" si="3"/>
        <v>-27670657</v>
      </c>
      <c r="BB12" s="368" t="s">
        <v>440</v>
      </c>
      <c r="BC12" s="73">
        <f>F23</f>
        <v>1323143662</v>
      </c>
      <c r="BD12" s="74">
        <f>I23</f>
        <v>985514883</v>
      </c>
      <c r="BE12" s="75">
        <f>K23</f>
        <v>120093515</v>
      </c>
      <c r="BF12" s="53">
        <f>+BE12+AGOSTO!BE12+JULIO!BE12+JUNIO!BF12</f>
        <v>407402800</v>
      </c>
      <c r="BG12" s="384" t="s">
        <v>395</v>
      </c>
      <c r="BH12" s="84">
        <f>BN25</f>
        <v>349217338</v>
      </c>
      <c r="BI12" s="84">
        <f>BO25</f>
        <v>262899000</v>
      </c>
      <c r="BJ12" s="84">
        <f>BP25</f>
        <v>251090056</v>
      </c>
      <c r="BK12" s="84">
        <f>BQ25</f>
        <v>21273150</v>
      </c>
      <c r="BL12" s="40">
        <f>+BK12+AGOSTO!BK12+JULIO!BK12+JUNIO!BL12</f>
        <v>86107572</v>
      </c>
      <c r="BM12" s="139" t="s">
        <v>452</v>
      </c>
      <c r="BN12" s="86">
        <f>X16+X65-X81-X33-BN10-BN11</f>
        <v>172493242</v>
      </c>
      <c r="BO12" s="84">
        <f>AA16+AA65-AA81-AA33-BO10-BO11</f>
        <v>37365215</v>
      </c>
      <c r="BP12" s="84">
        <f>AD16+AD65-AD81-AD33-BP10-BP11</f>
        <v>37365215</v>
      </c>
      <c r="BQ12" s="85">
        <f>AF16+AF65-AF81-AF33-BQ10-BQ11</f>
        <v>6318370</v>
      </c>
    </row>
    <row r="13" spans="1:69" s="9" customFormat="1" ht="24.95" customHeight="1" x14ac:dyDescent="0.25">
      <c r="A13" s="618">
        <f>+IF(AGOSTO!A13=0,"",AGOSTO!A13)</f>
        <v>1002</v>
      </c>
      <c r="B13" s="646" t="str">
        <f>+IF(AGOSTO!B13=0,"",AGOSTO!B13)</f>
        <v>Fondo Vivienda (Caja, Bancos, Inversiones Tempor.) a Dic-31-2014</v>
      </c>
      <c r="C13" s="375">
        <f>+ENERO!C13</f>
        <v>0</v>
      </c>
      <c r="D13" s="376">
        <f>AGOSTO!D13+SEPTIEMBRE!P13</f>
        <v>0</v>
      </c>
      <c r="E13" s="376">
        <f>AGOSTO!E13+SEPTIEMBRE!Q13</f>
        <v>0</v>
      </c>
      <c r="F13" s="146">
        <f>SUM(C13:E13)</f>
        <v>0</v>
      </c>
      <c r="G13" s="222">
        <f>AGOSTO!I13</f>
        <v>0</v>
      </c>
      <c r="H13" s="377">
        <v>0</v>
      </c>
      <c r="I13" s="146">
        <f>SUM(G13:H13)</f>
        <v>0</v>
      </c>
      <c r="J13" s="222">
        <f>AGOSTO!L13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561</v>
      </c>
      <c r="AQ13" s="12">
        <f>F90</f>
        <v>24000000</v>
      </c>
      <c r="AR13" s="12">
        <f>I90</f>
        <v>9600000</v>
      </c>
      <c r="AS13" s="12">
        <f>L90</f>
        <v>9600000</v>
      </c>
      <c r="AT13" s="13"/>
      <c r="AU13" s="353">
        <f t="shared" si="0"/>
        <v>0.4</v>
      </c>
      <c r="AV13" s="353">
        <f t="shared" si="1"/>
        <v>0.4</v>
      </c>
      <c r="AW13" s="354">
        <f>I90</f>
        <v>9600000</v>
      </c>
      <c r="AX13" s="354">
        <f>L90</f>
        <v>9600000</v>
      </c>
      <c r="AY13" s="354">
        <f t="shared" si="2"/>
        <v>-14400000</v>
      </c>
      <c r="AZ13" s="355">
        <f t="shared" si="3"/>
        <v>-14400000</v>
      </c>
      <c r="BA13" s="385"/>
      <c r="BB13" s="386" t="s">
        <v>441</v>
      </c>
      <c r="BC13" s="87">
        <f>+F30+F33+F36+F38+F39+F40</f>
        <v>350726828</v>
      </c>
      <c r="BD13" s="88">
        <f>+I30+I33+I36+I38+I39+I40</f>
        <v>244146079</v>
      </c>
      <c r="BE13" s="89">
        <f>+K30+K33+K36+K38+K39+K40</f>
        <v>36035811</v>
      </c>
      <c r="BF13" s="53">
        <f>+BE13+AGOSTO!BE13+JULIO!BE13+JUNIO!BF13</f>
        <v>237325602</v>
      </c>
      <c r="BG13" s="91" t="s">
        <v>72</v>
      </c>
      <c r="BH13" s="84">
        <f t="shared" ref="BH13:BK15" si="10">BN29</f>
        <v>378000000</v>
      </c>
      <c r="BI13" s="84">
        <f t="shared" si="10"/>
        <v>121430326</v>
      </c>
      <c r="BJ13" s="84">
        <f t="shared" si="10"/>
        <v>81872992</v>
      </c>
      <c r="BK13" s="84">
        <f t="shared" si="10"/>
        <v>15141000</v>
      </c>
      <c r="BL13" s="40">
        <f>+BK13+AGOSTO!BK13+JULIO!BK13+JUNIO!BL13</f>
        <v>63461000</v>
      </c>
      <c r="BM13" s="142" t="s">
        <v>453</v>
      </c>
      <c r="BN13" s="83">
        <f>X43-X55+X57-X61+X90-X102+X104-X108</f>
        <v>453547663</v>
      </c>
      <c r="BO13" s="81">
        <f>AA43-AA55+AA57-AA61+AA90-AA102+AA104-AA108</f>
        <v>300489565</v>
      </c>
      <c r="BP13" s="81">
        <f>AD43-AD55+AD57-AD61+AD90-AD102+AD104-AD108</f>
        <v>300489565</v>
      </c>
      <c r="BQ13" s="82">
        <f>AF43-AF55+AF57-AF61+AF90-AF102+AF104-AF108</f>
        <v>29274739</v>
      </c>
    </row>
    <row r="14" spans="1:69" s="9" customFormat="1" ht="24.95" customHeight="1" x14ac:dyDescent="0.25">
      <c r="A14" s="618">
        <f>+IF(AGOSTO!A14=0,"",AGOSTO!A14)</f>
        <v>1003</v>
      </c>
      <c r="B14" s="646" t="str">
        <f>+IF(AGOSTO!B14=0,"",AGOSTO!B14)</f>
        <v>Fondos Comunes y Especiales (Caja, Bancos, Invers. Tempor.) a Dic-31-2014</v>
      </c>
      <c r="C14" s="375">
        <f>+ENERO!C14</f>
        <v>0</v>
      </c>
      <c r="D14" s="376">
        <f>AGOSTO!D14+SEPTIEMBRE!P14</f>
        <v>0</v>
      </c>
      <c r="E14" s="376">
        <f>AGOSTO!E14+SEPTIEMBRE!Q14</f>
        <v>11310362</v>
      </c>
      <c r="F14" s="146">
        <f>SUM(C14:E14)</f>
        <v>11310362</v>
      </c>
      <c r="G14" s="222">
        <f>AGOSTO!I14</f>
        <v>11310362</v>
      </c>
      <c r="H14" s="377">
        <v>0</v>
      </c>
      <c r="I14" s="146">
        <f>SUM(G14:H14)</f>
        <v>11310362</v>
      </c>
      <c r="J14" s="222">
        <f>AGOSTO!L14</f>
        <v>11310362</v>
      </c>
      <c r="K14" s="134">
        <v>0</v>
      </c>
      <c r="L14" s="146">
        <f>SUM(J14:K14)</f>
        <v>11310362</v>
      </c>
      <c r="M14" s="222">
        <f>F14-I14</f>
        <v>0</v>
      </c>
      <c r="N14" s="146">
        <f>F14-L14</f>
        <v>0</v>
      </c>
      <c r="O14" s="385"/>
      <c r="P14" s="375">
        <v>0</v>
      </c>
      <c r="Q14" s="378">
        <v>0</v>
      </c>
      <c r="S14" s="717">
        <f>+IF(AGOSTO!S14=0,"",AGOSTO!S14)</f>
        <v>1010000</v>
      </c>
      <c r="T14" s="691" t="str">
        <f>+IF(AGOSTO!T14=0,"",AGOSTO!T14)</f>
        <v>Gastos de Administración</v>
      </c>
      <c r="U14" s="135">
        <f t="shared" ref="U14:AJ14" si="11">U16+U35+U43+U57</f>
        <v>717551072</v>
      </c>
      <c r="V14" s="124">
        <f t="shared" si="11"/>
        <v>3000000</v>
      </c>
      <c r="W14" s="124">
        <f t="shared" si="11"/>
        <v>74426723</v>
      </c>
      <c r="X14" s="132">
        <f t="shared" si="11"/>
        <v>794977795</v>
      </c>
      <c r="Y14" s="131">
        <f t="shared" si="11"/>
        <v>553193596</v>
      </c>
      <c r="Z14" s="124">
        <f t="shared" si="11"/>
        <v>35422629</v>
      </c>
      <c r="AA14" s="132">
        <f t="shared" si="11"/>
        <v>588616225</v>
      </c>
      <c r="AB14" s="131">
        <f t="shared" si="11"/>
        <v>472698616</v>
      </c>
      <c r="AC14" s="124">
        <f t="shared" si="11"/>
        <v>60591999</v>
      </c>
      <c r="AD14" s="132">
        <f t="shared" si="11"/>
        <v>533290615</v>
      </c>
      <c r="AE14" s="131">
        <f t="shared" si="11"/>
        <v>418935677</v>
      </c>
      <c r="AF14" s="124">
        <f t="shared" si="11"/>
        <v>55797970</v>
      </c>
      <c r="AG14" s="132">
        <f t="shared" si="11"/>
        <v>474733647</v>
      </c>
      <c r="AH14" s="131">
        <f t="shared" si="11"/>
        <v>206361570</v>
      </c>
      <c r="AI14" s="124">
        <f t="shared" si="11"/>
        <v>261687180</v>
      </c>
      <c r="AJ14" s="133">
        <f t="shared" si="11"/>
        <v>320244148</v>
      </c>
      <c r="AK14" s="10"/>
      <c r="AL14" s="131">
        <f>AL16+AL35+AL43+AL57</f>
        <v>0</v>
      </c>
      <c r="AM14" s="133">
        <f>AM16+AM35+AM43+AM57</f>
        <v>0</v>
      </c>
      <c r="AO14" s="21"/>
      <c r="AP14" s="11" t="s">
        <v>75</v>
      </c>
      <c r="AQ14" s="12">
        <f>F19-AQ7-AQ8-AQ9-AQ10-AQ11-AQ12-AQ13</f>
        <v>318225176</v>
      </c>
      <c r="AR14" s="12">
        <f>I19-AR7-AR8-AR9-AR10-AR11-AR12-AR13</f>
        <v>237067418</v>
      </c>
      <c r="AS14" s="12">
        <f>L19-AS7-AS8-AS9-AS10-AS11-AS12-AS13</f>
        <v>187471248</v>
      </c>
      <c r="AT14" s="385"/>
      <c r="AU14" s="353">
        <f t="shared" si="0"/>
        <v>0.74496751319260801</v>
      </c>
      <c r="AV14" s="353">
        <f t="shared" si="1"/>
        <v>0.58911507366092242</v>
      </c>
      <c r="AW14" s="354">
        <f>(I41+I46+I49+I52+I55+I58+I61+I64+I67+I70+I73+I78+I81+I82+I83+I85+I94+I104)/AO$2*12+I47+I50+I53+I56+I59+I62+I65+I68+I71+I74</f>
        <v>643257045</v>
      </c>
      <c r="AX14" s="354">
        <f>(L41+L46+L49+L52+L55+L58+L61+L64+L67+L70+L73+L78+L81+L82+L83+L85+L94+L104)/AO$2*12+L47+L50+L53+L56+L59+L62+L65+L68+L71+L74</f>
        <v>567356361</v>
      </c>
      <c r="AY14" s="354">
        <f t="shared" si="2"/>
        <v>325031869</v>
      </c>
      <c r="AZ14" s="355">
        <f t="shared" si="3"/>
        <v>249131185</v>
      </c>
      <c r="BB14" s="386" t="s">
        <v>442</v>
      </c>
      <c r="BC14" s="92">
        <f>+F64</f>
        <v>22951026</v>
      </c>
      <c r="BD14" s="93">
        <f>+I64</f>
        <v>22121153</v>
      </c>
      <c r="BE14" s="94">
        <f>K64</f>
        <v>4303316</v>
      </c>
      <c r="BF14" s="53">
        <f>+BE14+AGOSTO!BE14+JULIO!BE14+JUNIO!BF14</f>
        <v>11763111</v>
      </c>
      <c r="BG14" s="91" t="s">
        <v>76</v>
      </c>
      <c r="BH14" s="81">
        <f t="shared" si="10"/>
        <v>0</v>
      </c>
      <c r="BI14" s="81">
        <f t="shared" si="10"/>
        <v>0</v>
      </c>
      <c r="BJ14" s="81">
        <f t="shared" si="10"/>
        <v>0</v>
      </c>
      <c r="BK14" s="81">
        <f t="shared" si="10"/>
        <v>0</v>
      </c>
      <c r="BL14" s="40">
        <f>+BK14+AGOSTO!BK14+JULIO!BK14+JUNIO!BL14</f>
        <v>0</v>
      </c>
      <c r="BM14" s="141" t="s">
        <v>449</v>
      </c>
      <c r="BN14" s="86">
        <f>X35-X41+X83-X88</f>
        <v>390329517</v>
      </c>
      <c r="BO14" s="84">
        <f>AA35-AA41+AA83-AA88</f>
        <v>357248500</v>
      </c>
      <c r="BP14" s="84">
        <f>AD35-AD41+AD83-AD88</f>
        <v>261322890</v>
      </c>
      <c r="BQ14" s="85">
        <f>AF35-AF41+AF83-AF88</f>
        <v>39660740</v>
      </c>
    </row>
    <row r="15" spans="1:69" s="9" customFormat="1" ht="24.95" customHeight="1" thickBot="1" x14ac:dyDescent="0.3">
      <c r="A15" s="619">
        <f>+IF(AGOSTO!A15=0,"",AGOSTO!A15)</f>
        <v>1004</v>
      </c>
      <c r="B15" s="646" t="str">
        <f>+IF(AGOSTO!B15=0,"",AGOSTO!B15)</f>
        <v>Cesantias Ley 50/1990 a Dic-31-2014</v>
      </c>
      <c r="C15" s="387">
        <f>+ENERO!C15</f>
        <v>0</v>
      </c>
      <c r="D15" s="388">
        <f>AGOSTO!D15+SEPTIEMBRE!P15</f>
        <v>0</v>
      </c>
      <c r="E15" s="388">
        <f>AGOSTO!E15+SEPTIEMBRE!Q15</f>
        <v>78950146</v>
      </c>
      <c r="F15" s="389">
        <f>SUM(C15:E15)</f>
        <v>78950146</v>
      </c>
      <c r="G15" s="390">
        <f>AGOSTO!I15</f>
        <v>78950146</v>
      </c>
      <c r="H15" s="391">
        <v>0</v>
      </c>
      <c r="I15" s="389">
        <f>SUM(G15:H15)</f>
        <v>78950146</v>
      </c>
      <c r="J15" s="390">
        <f>AGOSTO!L15</f>
        <v>78950146</v>
      </c>
      <c r="K15" s="168">
        <v>0</v>
      </c>
      <c r="L15" s="389">
        <f>SUM(J15:K15)</f>
        <v>78950146</v>
      </c>
      <c r="M15" s="390">
        <f>F15-I15</f>
        <v>0</v>
      </c>
      <c r="N15" s="389">
        <f>F15-L15</f>
        <v>0</v>
      </c>
      <c r="O15" s="385"/>
      <c r="P15" s="387">
        <v>0</v>
      </c>
      <c r="Q15" s="392">
        <v>0</v>
      </c>
      <c r="S15" s="369" t="str">
        <f>+IF(AGOSTO!S15=0,"",AGOSTO!S15)</f>
        <v/>
      </c>
      <c r="T15" s="708" t="str">
        <f>+IF(AGOSTO!T15=0,"",AGOSTO!T15)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51708770</v>
      </c>
      <c r="AS15" s="12">
        <f>L113</f>
        <v>51708770</v>
      </c>
      <c r="AT15" s="13"/>
      <c r="AU15" s="345">
        <f t="shared" si="0"/>
        <v>0.8641785798074616</v>
      </c>
      <c r="AV15" s="353">
        <f t="shared" si="1"/>
        <v>0.8641785798074616</v>
      </c>
      <c r="AW15" s="12">
        <f>+AR15</f>
        <v>51708770</v>
      </c>
      <c r="AX15" s="12">
        <f>+AS15</f>
        <v>51708770</v>
      </c>
      <c r="AY15" s="12">
        <f t="shared" si="2"/>
        <v>-8126976</v>
      </c>
      <c r="AZ15" s="346">
        <f t="shared" si="3"/>
        <v>-8126976</v>
      </c>
      <c r="BA15" s="385"/>
      <c r="BB15" s="386" t="s">
        <v>79</v>
      </c>
      <c r="BC15" s="92">
        <f>F46+F49</f>
        <v>0</v>
      </c>
      <c r="BD15" s="93">
        <f>I46+I49</f>
        <v>0</v>
      </c>
      <c r="BE15" s="94">
        <f>K46+K49</f>
        <v>0</v>
      </c>
      <c r="BF15" s="53">
        <f>+BE15+AGOSTO!BE15+JULIO!BE15+JUNIO!BF15</f>
        <v>0</v>
      </c>
      <c r="BG15" s="91" t="s">
        <v>80</v>
      </c>
      <c r="BH15" s="81">
        <f t="shared" si="10"/>
        <v>342364056</v>
      </c>
      <c r="BI15" s="81">
        <f t="shared" si="10"/>
        <v>342364056</v>
      </c>
      <c r="BJ15" s="81">
        <f t="shared" si="10"/>
        <v>342364056</v>
      </c>
      <c r="BK15" s="81">
        <f t="shared" si="10"/>
        <v>3024160</v>
      </c>
      <c r="BL15" s="40">
        <f>+BK15+AGOSTO!BK15+JULIO!BK15+JUNIO!BL15</f>
        <v>303837447</v>
      </c>
      <c r="BM15" s="71" t="s">
        <v>68</v>
      </c>
      <c r="BN15" s="83">
        <f>SUM(BN16:BN21)</f>
        <v>657265487</v>
      </c>
      <c r="BO15" s="81">
        <f>SUM(BO16:BO21)</f>
        <v>451524737</v>
      </c>
      <c r="BP15" s="81">
        <f>SUM(BP16:BP21)</f>
        <v>418840392</v>
      </c>
      <c r="BQ15" s="82">
        <f>SUM(BQ16:BQ21)</f>
        <v>52719844</v>
      </c>
    </row>
    <row r="16" spans="1:69" s="9" customFormat="1" ht="24.95" customHeight="1" thickBot="1" x14ac:dyDescent="0.3">
      <c r="A16" s="746" t="str">
        <f>+IF(AGOSTO!A16=0,"",AGOSTO!A16)</f>
        <v/>
      </c>
      <c r="B16" s="647" t="str">
        <f>+IF(AGOSTO!B16=0,"",AGOSTO!B16)</f>
        <v/>
      </c>
      <c r="C16" s="393"/>
      <c r="D16" s="393"/>
      <c r="E16" s="393"/>
      <c r="F16" s="393"/>
      <c r="G16" s="393"/>
      <c r="H16" s="393"/>
      <c r="I16" s="393"/>
      <c r="J16" s="393"/>
      <c r="K16" s="393"/>
      <c r="L16" s="393"/>
      <c r="M16" s="393"/>
      <c r="N16" s="394"/>
      <c r="O16" s="385"/>
      <c r="P16" s="395"/>
      <c r="Q16" s="396"/>
      <c r="S16" s="718">
        <f>+IF(AGOSTO!S16=0,"",AGOSTO!S16)</f>
        <v>1010100</v>
      </c>
      <c r="T16" s="692" t="str">
        <f>+IF(AGOSTO!T16=0,"",AGOSTO!T16)</f>
        <v>Servicios Personales Asociados a Nómina</v>
      </c>
      <c r="U16" s="135">
        <f t="shared" ref="U16:AJ16" si="12">SUM(U17:U20)+U33</f>
        <v>372660589</v>
      </c>
      <c r="V16" s="124">
        <f t="shared" si="12"/>
        <v>3000000</v>
      </c>
      <c r="W16" s="124">
        <f t="shared" si="12"/>
        <v>2702630</v>
      </c>
      <c r="X16" s="132">
        <f t="shared" si="12"/>
        <v>378363219</v>
      </c>
      <c r="Y16" s="131">
        <f t="shared" si="12"/>
        <v>217958439</v>
      </c>
      <c r="Z16" s="124">
        <f t="shared" si="12"/>
        <v>26817363</v>
      </c>
      <c r="AA16" s="132">
        <f t="shared" si="12"/>
        <v>244775802</v>
      </c>
      <c r="AB16" s="131">
        <f t="shared" si="12"/>
        <v>217958439</v>
      </c>
      <c r="AC16" s="124">
        <f t="shared" si="12"/>
        <v>26817363</v>
      </c>
      <c r="AD16" s="132">
        <f t="shared" si="12"/>
        <v>244775802</v>
      </c>
      <c r="AE16" s="131">
        <f t="shared" si="12"/>
        <v>217216087</v>
      </c>
      <c r="AF16" s="124">
        <f t="shared" si="12"/>
        <v>26817364</v>
      </c>
      <c r="AG16" s="132">
        <f t="shared" si="12"/>
        <v>244033451</v>
      </c>
      <c r="AH16" s="131">
        <f t="shared" si="12"/>
        <v>133587417</v>
      </c>
      <c r="AI16" s="124">
        <f t="shared" si="12"/>
        <v>133587417</v>
      </c>
      <c r="AJ16" s="133">
        <f t="shared" si="12"/>
        <v>134329768</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67464121</v>
      </c>
      <c r="BE16" s="75">
        <f>K43</f>
        <v>9703105</v>
      </c>
      <c r="BF16" s="53">
        <f>+BE16+AGOSTO!BE16+JULIO!BE16+JUNIO!BF16</f>
        <v>65005392</v>
      </c>
      <c r="BG16" s="91" t="s">
        <v>84</v>
      </c>
      <c r="BH16" s="96">
        <f>BH7+BH12+BH13+BH14+BH15</f>
        <v>3890600747</v>
      </c>
      <c r="BI16" s="96">
        <f>BI7+BI12+BI13+BI14+BI15</f>
        <v>2726086676</v>
      </c>
      <c r="BJ16" s="96">
        <f>BJ7+BJ12+BJ13+BJ14+BJ15</f>
        <v>2546110443</v>
      </c>
      <c r="BK16" s="96">
        <f>BK7+BK12+BK13+BK14+BK15</f>
        <v>262319384</v>
      </c>
      <c r="BL16" s="40">
        <f>+BK16+AGOSTO!BK16+JULIO!BK16+JUNIO!BL16</f>
        <v>2054277226</v>
      </c>
      <c r="BM16" s="140" t="s">
        <v>85</v>
      </c>
      <c r="BN16" s="83">
        <f>X114-X121+X147-X148-X153</f>
        <v>161782184</v>
      </c>
      <c r="BO16" s="81">
        <f>AA114-AA121+AA147-AA148-AA153</f>
        <v>99088706</v>
      </c>
      <c r="BP16" s="81">
        <f>AD114-AD121+AD147-AD148-AD153</f>
        <v>99088706</v>
      </c>
      <c r="BQ16" s="82">
        <f>AF114-AF121+AF147-AF148-AF153</f>
        <v>11052499</v>
      </c>
    </row>
    <row r="17" spans="1:70" s="385" customFormat="1" ht="24.95" customHeight="1" thickBot="1" x14ac:dyDescent="0.3">
      <c r="A17" s="745">
        <f>+IF(AGOSTO!A17=0,"",AGOSTO!A17)</f>
        <v>11</v>
      </c>
      <c r="B17" s="648" t="str">
        <f>+IF(AGOSTO!B17=0,"",AGOSTO!B17)</f>
        <v>INGRESOS  CORRIENTES</v>
      </c>
      <c r="C17" s="337">
        <f>C19+C94+C104</f>
        <v>3103041868</v>
      </c>
      <c r="D17" s="334">
        <f t="shared" ref="D17:Q17" si="13">D19+D94+D104</f>
        <v>0</v>
      </c>
      <c r="E17" s="334">
        <f t="shared" si="13"/>
        <v>637381072</v>
      </c>
      <c r="F17" s="334">
        <f t="shared" si="13"/>
        <v>3740422940</v>
      </c>
      <c r="G17" s="334">
        <f t="shared" si="13"/>
        <v>2601557441</v>
      </c>
      <c r="H17" s="334">
        <f t="shared" si="13"/>
        <v>281694036</v>
      </c>
      <c r="I17" s="334">
        <f t="shared" si="13"/>
        <v>2883251477</v>
      </c>
      <c r="J17" s="334">
        <f t="shared" si="13"/>
        <v>1745439467</v>
      </c>
      <c r="K17" s="334">
        <f t="shared" si="13"/>
        <v>298253287</v>
      </c>
      <c r="L17" s="334">
        <f t="shared" si="13"/>
        <v>2043692754</v>
      </c>
      <c r="M17" s="334">
        <f t="shared" si="13"/>
        <v>857171463</v>
      </c>
      <c r="N17" s="335">
        <f t="shared" si="13"/>
        <v>1696730186</v>
      </c>
      <c r="P17" s="177">
        <f t="shared" si="13"/>
        <v>0</v>
      </c>
      <c r="Q17" s="178">
        <f t="shared" si="13"/>
        <v>0</v>
      </c>
      <c r="R17" s="9"/>
      <c r="S17" s="719">
        <f>+IF(AGOSTO!S17=0,"",AGOSTO!S17)</f>
        <v>1010101</v>
      </c>
      <c r="T17" s="693" t="str">
        <f>+IF(AGOSTO!T17=0,"",AGOSTO!T17)</f>
        <v>Sueldos del Personal de nómina</v>
      </c>
      <c r="U17" s="27">
        <f>+ENERO!U17</f>
        <v>304405836</v>
      </c>
      <c r="V17" s="15">
        <f>AGOSTO!V17+SEPTIEMBRE!AL17</f>
        <v>0</v>
      </c>
      <c r="W17" s="15">
        <f>AGOSTO!W17+SEPTIEMBRE!AM17</f>
        <v>0</v>
      </c>
      <c r="X17" s="18">
        <f>SUM(U17:W17)</f>
        <v>304405836</v>
      </c>
      <c r="Y17" s="19">
        <f>AGOSTO!AA17</f>
        <v>201429868</v>
      </c>
      <c r="Z17" s="377">
        <v>24372233</v>
      </c>
      <c r="AA17" s="18">
        <f>SUM(Y17:Z17)</f>
        <v>225802101</v>
      </c>
      <c r="AB17" s="19">
        <f>AGOSTO!AD17</f>
        <v>201429868</v>
      </c>
      <c r="AC17" s="377">
        <v>24372233</v>
      </c>
      <c r="AD17" s="18">
        <f>SUM(AB17:AC17)</f>
        <v>225802101</v>
      </c>
      <c r="AE17" s="19">
        <f>AGOSTO!AG17</f>
        <v>201429867</v>
      </c>
      <c r="AF17" s="377">
        <f>24372233+1</f>
        <v>24372234</v>
      </c>
      <c r="AG17" s="18">
        <f>SUM(AE17:AF17)</f>
        <v>225802101</v>
      </c>
      <c r="AH17" s="19">
        <f>X17-AA17</f>
        <v>78603735</v>
      </c>
      <c r="AI17" s="15">
        <f>X17-AD17</f>
        <v>78603735</v>
      </c>
      <c r="AJ17" s="16">
        <f>X17-AG17</f>
        <v>78603735</v>
      </c>
      <c r="AK17" s="9"/>
      <c r="AL17" s="375">
        <v>0</v>
      </c>
      <c r="AM17" s="378">
        <v>0</v>
      </c>
      <c r="AN17" s="9"/>
      <c r="AO17" s="352"/>
      <c r="AP17" s="402" t="s">
        <v>87</v>
      </c>
      <c r="AQ17" s="403">
        <f>SUM(AQ7:AQ16)</f>
        <v>3708705097</v>
      </c>
      <c r="AR17" s="404">
        <f>SUM(AR7:AR16)</f>
        <v>2810331626</v>
      </c>
      <c r="AS17" s="405">
        <f>SUM(AS7:AS16)</f>
        <v>1970772903</v>
      </c>
      <c r="AT17" s="406"/>
      <c r="AU17" s="404">
        <f t="shared" si="0"/>
        <v>0.7577662694920928</v>
      </c>
      <c r="AV17" s="404">
        <f t="shared" si="1"/>
        <v>0.53139110591299732</v>
      </c>
      <c r="AW17" s="407">
        <f>SUM(AX7:AX16)</f>
        <v>2656579243.6666665</v>
      </c>
      <c r="AX17" s="407">
        <f>SUM(AX7:AX16)</f>
        <v>2656579243.6666665</v>
      </c>
      <c r="AY17" s="407">
        <f>SUM(AY7:AY16)</f>
        <v>73375515.00000006</v>
      </c>
      <c r="AZ17" s="408">
        <f>SUM(AZ7:AZ16)</f>
        <v>-1052125853.3333335</v>
      </c>
      <c r="BA17" s="9"/>
      <c r="BB17" s="368" t="s">
        <v>444</v>
      </c>
      <c r="BC17" s="73">
        <f>F41+F52+F55+F58+F61+F67+F70+F73+F76+F79+F82+F86+F87+F88+F89+F90+F91</f>
        <v>331051770</v>
      </c>
      <c r="BD17" s="74">
        <f>I41+I52+I55+I58+I61+I67+I70+I73+I76+I79+I82+I86+I87+I88+I89+I90+I91</f>
        <v>218788942</v>
      </c>
      <c r="BE17" s="75">
        <f>K41+K52+K55+K58+K61+K67+K70+K73+K76+K79+K82+K86+K87+K88+K89+K90+K91</f>
        <v>34081677</v>
      </c>
      <c r="BF17" s="53">
        <f>+BE17+AGOSTO!BE17+JULIO!BE17+JUNIO!BF17</f>
        <v>172221471</v>
      </c>
      <c r="BG17" s="98" t="s">
        <v>88</v>
      </c>
      <c r="BH17" s="99">
        <f>BC23-BH16</f>
        <v>-3890600747</v>
      </c>
      <c r="BI17" s="99"/>
      <c r="BJ17" s="99"/>
      <c r="BK17" s="99"/>
      <c r="BL17" s="40">
        <f>+BK17+AGOSTO!BK17+JULIO!BK17+JUNIO!BL17</f>
        <v>0</v>
      </c>
      <c r="BM17" s="140" t="s">
        <v>459</v>
      </c>
      <c r="BN17" s="83">
        <f>X123-X126-X139+X155-X156-X167-X168</f>
        <v>264763207</v>
      </c>
      <c r="BO17" s="81">
        <f>AA123-AA126-AA139+AA155-AA156-AA167-AA168</f>
        <v>186303943</v>
      </c>
      <c r="BP17" s="81">
        <f>AD123-AD126-AD139+AD155-AD156-AD167-AD168</f>
        <v>163046444</v>
      </c>
      <c r="BQ17" s="82">
        <f>AF123-AF126-AF139+AF155-AF156-AF167-AF168</f>
        <v>17005159</v>
      </c>
      <c r="BR17" s="9"/>
    </row>
    <row r="18" spans="1:70" s="9" customFormat="1" ht="24.95" customHeight="1" thickBot="1" x14ac:dyDescent="0.3">
      <c r="A18" s="618" t="str">
        <f>+IF(AGOSTO!A18=0,"",AGOSTO!A18)</f>
        <v/>
      </c>
      <c r="B18" s="649" t="str">
        <f>+IF(AGOSTO!B18=0,"",AGOSTO!B18)</f>
        <v/>
      </c>
      <c r="C18" s="297"/>
      <c r="D18" s="297"/>
      <c r="E18" s="297"/>
      <c r="F18" s="297"/>
      <c r="G18" s="297"/>
      <c r="H18" s="297"/>
      <c r="I18" s="297"/>
      <c r="J18" s="297"/>
      <c r="K18" s="297"/>
      <c r="L18" s="297"/>
      <c r="M18" s="297"/>
      <c r="N18" s="466"/>
      <c r="P18" s="410"/>
      <c r="Q18" s="409"/>
      <c r="S18" s="719">
        <f>+IF(AGOSTO!S18=0,"",AGOSTO!S18)</f>
        <v>1010102</v>
      </c>
      <c r="T18" s="693" t="str">
        <f>+IF(AGOSTO!T18=0,"",AGOSTO!T18)</f>
        <v>Horas Extras,Dominic.,Festivos y Rec. Nocturnos</v>
      </c>
      <c r="U18" s="27">
        <f>+ENERO!U18</f>
        <v>12090252</v>
      </c>
      <c r="V18" s="15">
        <f>AGOSTO!V18+SEPTIEMBRE!AL18</f>
        <v>3000000</v>
      </c>
      <c r="W18" s="15">
        <f>AGOSTO!W18+SEPTIEMBRE!AM18</f>
        <v>0</v>
      </c>
      <c r="X18" s="18">
        <f>SUM(U18:W18)</f>
        <v>15090252</v>
      </c>
      <c r="Y18" s="19">
        <f>AGOSTO!AA18</f>
        <v>10872718</v>
      </c>
      <c r="Z18" s="377">
        <v>2371130</v>
      </c>
      <c r="AA18" s="18">
        <f>SUM(Y18:Z18)</f>
        <v>13243848</v>
      </c>
      <c r="AB18" s="19">
        <f>AGOSTO!AD18</f>
        <v>10872718</v>
      </c>
      <c r="AC18" s="377">
        <v>2371130</v>
      </c>
      <c r="AD18" s="18">
        <f>SUM(AB18:AC18)</f>
        <v>13243848</v>
      </c>
      <c r="AE18" s="19">
        <f>AGOSTO!AG18</f>
        <v>10872719</v>
      </c>
      <c r="AF18" s="377">
        <f>2371130-1</f>
        <v>2371129</v>
      </c>
      <c r="AG18" s="18">
        <f>SUM(AE18:AF18)</f>
        <v>13243848</v>
      </c>
      <c r="AH18" s="19">
        <f>X18-AA18</f>
        <v>1846404</v>
      </c>
      <c r="AI18" s="15">
        <f>X18-AD18</f>
        <v>1846404</v>
      </c>
      <c r="AJ18" s="16">
        <f>X18-AG18</f>
        <v>1846404</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137871796</v>
      </c>
      <c r="BE18" s="75" t="e">
        <f>+K95+K96+K97+K99+K100+K101</f>
        <v>#VALUE!</v>
      </c>
      <c r="BF18" s="53" t="e">
        <f>+BE18+AGOSTO!BE18+JULIO!BE18+JUNIO!BF18</f>
        <v>#VALUE!</v>
      </c>
      <c r="BM18" s="140" t="s">
        <v>89</v>
      </c>
      <c r="BN18" s="83">
        <f>X148+X156</f>
        <v>156785051</v>
      </c>
      <c r="BO18" s="81">
        <f>AA148+AA156</f>
        <v>110298826</v>
      </c>
      <c r="BP18" s="81">
        <f>AD148+AD156</f>
        <v>100871980</v>
      </c>
      <c r="BQ18" s="82">
        <f>AF148+AF156</f>
        <v>8661782</v>
      </c>
      <c r="BR18" s="385"/>
    </row>
    <row r="19" spans="1:70" s="9" customFormat="1" ht="24.95" customHeight="1" thickBot="1" x14ac:dyDescent="0.3">
      <c r="A19" s="747">
        <f>+IF(AGOSTO!A19=0,"",AGOSTO!A19)</f>
        <v>113</v>
      </c>
      <c r="B19" s="650" t="str">
        <f>+IF(AGOSTO!B19=0,"",AGOSTO!B19)</f>
        <v>VENTA DE SERVICIOS</v>
      </c>
      <c r="C19" s="337">
        <f t="shared" ref="C19:N19" si="14">C21+C85</f>
        <v>2995860189</v>
      </c>
      <c r="D19" s="334">
        <f t="shared" si="14"/>
        <v>0</v>
      </c>
      <c r="E19" s="334">
        <f t="shared" si="14"/>
        <v>562667101</v>
      </c>
      <c r="F19" s="335">
        <f t="shared" si="14"/>
        <v>3558527290</v>
      </c>
      <c r="G19" s="337">
        <f t="shared" si="14"/>
        <v>2395592175</v>
      </c>
      <c r="H19" s="334">
        <f t="shared" si="14"/>
        <v>272688620</v>
      </c>
      <c r="I19" s="335">
        <f t="shared" si="14"/>
        <v>2668280795</v>
      </c>
      <c r="J19" s="337">
        <f t="shared" si="14"/>
        <v>1539474201</v>
      </c>
      <c r="K19" s="334">
        <f t="shared" si="14"/>
        <v>289247871</v>
      </c>
      <c r="L19" s="335">
        <f t="shared" si="14"/>
        <v>1828722072</v>
      </c>
      <c r="M19" s="337">
        <f t="shared" si="14"/>
        <v>890246495</v>
      </c>
      <c r="N19" s="335">
        <f t="shared" si="14"/>
        <v>1729805218</v>
      </c>
      <c r="O19" s="385"/>
      <c r="P19" s="43">
        <f>P21+P85</f>
        <v>0</v>
      </c>
      <c r="Q19" s="45">
        <f>Q21+Q85</f>
        <v>0</v>
      </c>
      <c r="S19" s="719">
        <f>+IF(AGOSTO!S19=0,"",AGOSTO!S19)</f>
        <v>1010103</v>
      </c>
      <c r="T19" s="693" t="str">
        <f>+IF(AGOSTO!T19=0,"",AGOSTO!T19)</f>
        <v>Prima Técnica</v>
      </c>
      <c r="U19" s="27">
        <f>+ENERO!U19</f>
        <v>0</v>
      </c>
      <c r="V19" s="15">
        <f>AGOSTO!V19+SEPTIEMBRE!AL19</f>
        <v>0</v>
      </c>
      <c r="W19" s="15">
        <f>AGOSTO!W19+SEPTIEMBRE!AM19</f>
        <v>0</v>
      </c>
      <c r="X19" s="18">
        <f>SUM(U19:W19)</f>
        <v>0</v>
      </c>
      <c r="Y19" s="19">
        <f>AGOSTO!AA19</f>
        <v>0</v>
      </c>
      <c r="Z19" s="377">
        <v>0</v>
      </c>
      <c r="AA19" s="18">
        <f>SUM(Y19:Z19)</f>
        <v>0</v>
      </c>
      <c r="AB19" s="19">
        <f>AGOSTO!AD19</f>
        <v>0</v>
      </c>
      <c r="AC19" s="377">
        <v>0</v>
      </c>
      <c r="AD19" s="18">
        <f>SUM(AB19:AC19)</f>
        <v>0</v>
      </c>
      <c r="AE19" s="19">
        <f>AGOSTO!AG19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77018886</v>
      </c>
      <c r="BE19" s="94">
        <f>+K105+K106+K107+K108+K109+K110+K98</f>
        <v>7438750</v>
      </c>
      <c r="BF19" s="53">
        <f>+BE19+AGOSTO!BE19+JULIO!BE19+JUNIO!BF19</f>
        <v>77018886</v>
      </c>
      <c r="BG19" s="385"/>
      <c r="BH19" s="385">
        <f>BN33</f>
        <v>0</v>
      </c>
      <c r="BI19" s="385"/>
      <c r="BJ19" s="385"/>
      <c r="BK19" s="385"/>
      <c r="BM19" s="140" t="s">
        <v>96</v>
      </c>
      <c r="BN19" s="83">
        <f>X126+X167</f>
        <v>55492147</v>
      </c>
      <c r="BO19" s="81">
        <f>AA126+AA167</f>
        <v>42071130</v>
      </c>
      <c r="BP19" s="81">
        <f>AD126+AD167</f>
        <v>42071130</v>
      </c>
      <c r="BQ19" s="82">
        <f>AF126+AF167</f>
        <v>8338469</v>
      </c>
    </row>
    <row r="20" spans="1:70" s="425" customFormat="1" ht="24.95" customHeight="1" thickBot="1" x14ac:dyDescent="0.3">
      <c r="A20" s="618" t="str">
        <f>+IF(AGOSTO!A20=0,"",AGOSTO!A20)</f>
        <v/>
      </c>
      <c r="B20" s="651" t="str">
        <f>+IF(AGOSTO!B20=0,"",AGOSTO!B20)</f>
        <v/>
      </c>
      <c r="C20" s="297"/>
      <c r="D20" s="297"/>
      <c r="E20" s="297"/>
      <c r="F20" s="297"/>
      <c r="G20" s="297"/>
      <c r="H20" s="297"/>
      <c r="I20" s="297"/>
      <c r="J20" s="297"/>
      <c r="K20" s="297"/>
      <c r="L20" s="297"/>
      <c r="M20" s="297"/>
      <c r="N20" s="466"/>
      <c r="O20" s="9"/>
      <c r="P20" s="410"/>
      <c r="Q20" s="409"/>
      <c r="R20" s="9"/>
      <c r="S20" s="719">
        <f>+IF(AGOSTO!S20=0,"",AGOSTO!S20)</f>
        <v>1010104</v>
      </c>
      <c r="T20" s="693" t="str">
        <f>+IF(AGOSTO!T20=0,"",AGOSTO!T20)</f>
        <v>Otros</v>
      </c>
      <c r="U20" s="27">
        <f t="shared" ref="U20:AJ20" si="15">SUM(U21:U32)</f>
        <v>56164501</v>
      </c>
      <c r="V20" s="15">
        <f t="shared" si="15"/>
        <v>0</v>
      </c>
      <c r="W20" s="15">
        <f t="shared" si="15"/>
        <v>0</v>
      </c>
      <c r="X20" s="18">
        <f t="shared" si="15"/>
        <v>56164501</v>
      </c>
      <c r="Y20" s="19">
        <f t="shared" si="15"/>
        <v>2953223</v>
      </c>
      <c r="Z20" s="145">
        <f t="shared" si="15"/>
        <v>74000</v>
      </c>
      <c r="AA20" s="18">
        <f t="shared" si="15"/>
        <v>3027223</v>
      </c>
      <c r="AB20" s="19">
        <f t="shared" si="15"/>
        <v>2953223</v>
      </c>
      <c r="AC20" s="145">
        <f t="shared" si="15"/>
        <v>74000</v>
      </c>
      <c r="AD20" s="18">
        <f t="shared" si="15"/>
        <v>3027223</v>
      </c>
      <c r="AE20" s="19">
        <f t="shared" si="15"/>
        <v>2953222</v>
      </c>
      <c r="AF20" s="145">
        <f t="shared" si="15"/>
        <v>74001</v>
      </c>
      <c r="AG20" s="18">
        <f t="shared" si="15"/>
        <v>3027223</v>
      </c>
      <c r="AH20" s="19">
        <f t="shared" si="15"/>
        <v>53137278</v>
      </c>
      <c r="AI20" s="15">
        <f t="shared" si="15"/>
        <v>53137278</v>
      </c>
      <c r="AJ20" s="16">
        <f t="shared" si="15"/>
        <v>53137278</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41646636</v>
      </c>
      <c r="BE20" s="67">
        <f>+K115+K117+K119+K120+K121+K123+K124</f>
        <v>972579</v>
      </c>
      <c r="BF20" s="53">
        <f>+BE20+AGOSTO!BE20+JULIO!BE20+JUNIO!BF20</f>
        <v>41644079</v>
      </c>
      <c r="BG20" s="385"/>
      <c r="BH20" s="385">
        <f>BH19-BH16</f>
        <v>-3890600747</v>
      </c>
      <c r="BI20" s="385"/>
      <c r="BJ20" s="385"/>
      <c r="BK20" s="385"/>
      <c r="BL20" s="385"/>
      <c r="BM20" s="142" t="s">
        <v>454</v>
      </c>
      <c r="BN20" s="83">
        <f>+X141-X143</f>
        <v>18442898</v>
      </c>
      <c r="BO20" s="81">
        <f>+AA141-AA143</f>
        <v>13762132</v>
      </c>
      <c r="BP20" s="81">
        <f>+AD141-AD143</f>
        <v>13762132</v>
      </c>
      <c r="BQ20" s="82">
        <f>+AF141-AF143</f>
        <v>7661935</v>
      </c>
      <c r="BR20" s="9"/>
    </row>
    <row r="21" spans="1:70" s="425" customFormat="1" ht="24.95" customHeight="1" thickBot="1" x14ac:dyDescent="0.3">
      <c r="A21" s="748">
        <f>+IF(AGOSTO!A21=0,"",AGOSTO!A21)</f>
        <v>11301</v>
      </c>
      <c r="B21" s="652" t="str">
        <f>+IF(AGOSTO!B21=0,"",AGOSTO!B21)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2371333489</v>
      </c>
      <c r="H21" s="357">
        <f t="shared" si="16"/>
        <v>257688620</v>
      </c>
      <c r="I21" s="357">
        <f t="shared" si="16"/>
        <v>2629022109</v>
      </c>
      <c r="J21" s="357">
        <f t="shared" si="16"/>
        <v>1522544858</v>
      </c>
      <c r="K21" s="357">
        <f t="shared" si="16"/>
        <v>274247871</v>
      </c>
      <c r="L21" s="357">
        <f t="shared" si="16"/>
        <v>1796792729</v>
      </c>
      <c r="M21" s="357">
        <f t="shared" si="16"/>
        <v>855505181</v>
      </c>
      <c r="N21" s="178">
        <f t="shared" si="16"/>
        <v>1687734561</v>
      </c>
      <c r="O21" s="385"/>
      <c r="P21" s="43">
        <f>P22+P25+P28+P41+P42+P45+P48+P51+P54+P57+P60+P63+P66+P69+P72+P75+P78+P81</f>
        <v>0</v>
      </c>
      <c r="Q21" s="45">
        <f>Q22+Q25+Q28+Q41+Q42+Q45+Q48+Q51+Q54+Q57+Q60+Q63+Q66+Q69+Q72+Q75+Q78+Q81</f>
        <v>0</v>
      </c>
      <c r="R21" s="9"/>
      <c r="S21" s="720" t="str">
        <f>+IF(AGOSTO!S21=0,"",AGOSTO!S21)</f>
        <v>1010104-1</v>
      </c>
      <c r="T21" s="694" t="str">
        <f>+IF(AGOSTO!T21=0,"",AGOSTO!T21)</f>
        <v xml:space="preserve">Prima de Navidad </v>
      </c>
      <c r="U21" s="27">
        <f>+ENERO!U21</f>
        <v>27481083</v>
      </c>
      <c r="V21" s="15">
        <f>AGOSTO!V21+SEPTIEMBRE!AL21</f>
        <v>0</v>
      </c>
      <c r="W21" s="15">
        <f>AGOSTO!W21+SEPTIEMBRE!AM21</f>
        <v>0</v>
      </c>
      <c r="X21" s="18">
        <f t="shared" ref="X21:X33" si="17">SUM(U21:W21)</f>
        <v>27481083</v>
      </c>
      <c r="Y21" s="19">
        <f>AGOSTO!AA21</f>
        <v>0</v>
      </c>
      <c r="Z21" s="377">
        <v>0</v>
      </c>
      <c r="AA21" s="18">
        <f t="shared" ref="AA21:AA33" si="18">SUM(Y21:Z21)</f>
        <v>0</v>
      </c>
      <c r="AB21" s="19">
        <f>AGOSTO!AD21</f>
        <v>0</v>
      </c>
      <c r="AC21" s="377">
        <v>0</v>
      </c>
      <c r="AD21" s="18">
        <f t="shared" ref="AD21:AD33" si="19">SUM(AB21:AC21)</f>
        <v>0</v>
      </c>
      <c r="AE21" s="19">
        <f>AGOSTO!AG21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SEPTIEMBRE</v>
      </c>
      <c r="AS21" s="429" t="str">
        <f>AR6</f>
        <v>SEPTIEMBRE</v>
      </c>
      <c r="AT21" s="428" t="str">
        <f>AR6</f>
        <v>SEPTIEMBRE</v>
      </c>
      <c r="AU21" s="428" t="s">
        <v>46</v>
      </c>
      <c r="AV21" s="428" t="s">
        <v>24</v>
      </c>
      <c r="AW21" s="430"/>
      <c r="AX21" s="430"/>
      <c r="AY21" s="428" t="s">
        <v>46</v>
      </c>
      <c r="AZ21" s="431" t="s">
        <v>24</v>
      </c>
      <c r="BA21" s="9"/>
      <c r="BB21" s="101" t="s">
        <v>447</v>
      </c>
      <c r="BC21" s="65">
        <f>SUMIF($B8:B122,$B24,F8:F122)+F122</f>
        <v>577451227</v>
      </c>
      <c r="BD21" s="66">
        <f>SUMIF($B8:B122,$B24,I8:I122)+I122</f>
        <v>505084119</v>
      </c>
      <c r="BE21" s="67">
        <f>SUMIF($B8:B122,$B24,K8:K122)+K122</f>
        <v>14486889</v>
      </c>
      <c r="BF21" s="53">
        <f>+BE21+AGOSTO!BE21+JULIO!BE21+JUNIO!BF21</f>
        <v>505084119</v>
      </c>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+IF(AGOSTO!A22=0,"",AGOSTO!A22)</f>
        <v>1130101</v>
      </c>
      <c r="B22" s="653" t="str">
        <f>+IF(AGOSTO!B22=0,"",AGOSTO!B22)</f>
        <v>EPS - REGIMEN CONTRIBUTIVO</v>
      </c>
      <c r="C22" s="43">
        <f t="shared" ref="C22:N22" si="24">SUM(C23:C24)</f>
        <v>1323143662</v>
      </c>
      <c r="D22" s="44">
        <f t="shared" si="24"/>
        <v>0</v>
      </c>
      <c r="E22" s="44">
        <f t="shared" si="24"/>
        <v>435611621</v>
      </c>
      <c r="F22" s="44">
        <f t="shared" si="24"/>
        <v>1758755283</v>
      </c>
      <c r="G22" s="44">
        <f t="shared" si="24"/>
        <v>1281404872</v>
      </c>
      <c r="H22" s="44">
        <f t="shared" si="24"/>
        <v>113712458</v>
      </c>
      <c r="I22" s="44">
        <f t="shared" si="24"/>
        <v>1395117330</v>
      </c>
      <c r="J22" s="44">
        <f t="shared" si="24"/>
        <v>696911732</v>
      </c>
      <c r="K22" s="44">
        <f t="shared" si="24"/>
        <v>120093515</v>
      </c>
      <c r="L22" s="44">
        <f t="shared" si="24"/>
        <v>817005247</v>
      </c>
      <c r="M22" s="44">
        <f t="shared" si="24"/>
        <v>363637953</v>
      </c>
      <c r="N22" s="45">
        <f t="shared" si="24"/>
        <v>941750036</v>
      </c>
      <c r="P22" s="43">
        <f>SUM(P23:P24)</f>
        <v>0</v>
      </c>
      <c r="Q22" s="45">
        <f>SUM(Q23:Q24)</f>
        <v>0</v>
      </c>
      <c r="S22" s="720" t="str">
        <f>+IF(AGOSTO!S22=0,"",AGOSTO!S22)</f>
        <v>1010104-2</v>
      </c>
      <c r="T22" s="694" t="str">
        <f>+IF(AGOSTO!T22=0,"",AGOSTO!T22)</f>
        <v>Prima Vida Cara</v>
      </c>
      <c r="U22" s="27">
        <f>+ENERO!U22</f>
        <v>0</v>
      </c>
      <c r="V22" s="15">
        <f>AGOSTO!V22+SEPTIEMBRE!AL22</f>
        <v>0</v>
      </c>
      <c r="W22" s="15">
        <f>AGOSTO!W22+SEPTIEMBRE!AM22</f>
        <v>0</v>
      </c>
      <c r="X22" s="18">
        <f t="shared" si="17"/>
        <v>0</v>
      </c>
      <c r="Y22" s="19">
        <f>AGOSTO!AA22</f>
        <v>0</v>
      </c>
      <c r="Z22" s="377">
        <v>0</v>
      </c>
      <c r="AA22" s="18">
        <f t="shared" si="18"/>
        <v>0</v>
      </c>
      <c r="AB22" s="19">
        <f>AGOSTO!AD22</f>
        <v>0</v>
      </c>
      <c r="AC22" s="377">
        <v>0</v>
      </c>
      <c r="AD22" s="18">
        <f t="shared" si="19"/>
        <v>0</v>
      </c>
      <c r="AE22" s="19">
        <f>AGOSTO!AG22</f>
        <v>0</v>
      </c>
      <c r="AF22" s="377">
        <v>0</v>
      </c>
      <c r="AG22" s="18">
        <f t="shared" si="20"/>
        <v>0</v>
      </c>
      <c r="AH22" s="19">
        <f t="shared" si="21"/>
        <v>0</v>
      </c>
      <c r="AI22" s="15">
        <f t="shared" si="22"/>
        <v>0</v>
      </c>
      <c r="AJ22" s="16">
        <f t="shared" si="23"/>
        <v>0</v>
      </c>
      <c r="AL22" s="375">
        <v>0</v>
      </c>
      <c r="AM22" s="378">
        <v>0</v>
      </c>
      <c r="AO22" s="21"/>
      <c r="AP22" s="432" t="s">
        <v>106</v>
      </c>
      <c r="AQ22" s="433">
        <f>X17+X66</f>
        <v>943171180</v>
      </c>
      <c r="AR22" s="433">
        <f>AD17+AD66</f>
        <v>701547252</v>
      </c>
      <c r="AS22" s="433">
        <f>AG17+AG66</f>
        <v>671543837</v>
      </c>
      <c r="AT22" s="434"/>
      <c r="AU22" s="435">
        <f t="shared" ref="AU22:AU32" si="25">IF(AQ22=0," ",AR22/AQ22)</f>
        <v>0.74381752419534275</v>
      </c>
      <c r="AV22" s="435">
        <f t="shared" ref="AV22:AV32" si="26">IF(AQ22=0," ",AS22/AQ22)</f>
        <v>0.71200631575701878</v>
      </c>
      <c r="AW22" s="436">
        <f>AR22/$AO$2*12</f>
        <v>935396336</v>
      </c>
      <c r="AX22" s="436">
        <f>AS22/$AO$2*12</f>
        <v>895391782.66666675</v>
      </c>
      <c r="AY22" s="436">
        <f t="shared" ref="AY22:AY31" si="27">AW22-AQ22</f>
        <v>-7774844</v>
      </c>
      <c r="AZ22" s="437">
        <f t="shared" ref="AZ22:AZ31" si="28">AQ22-AX22</f>
        <v>47779397.333333254</v>
      </c>
      <c r="BA22" s="385"/>
      <c r="BB22" s="102" t="s">
        <v>111</v>
      </c>
      <c r="BC22" s="103">
        <f>BC7+BC8+BC20+BC21</f>
        <v>3890600747</v>
      </c>
      <c r="BD22" s="104">
        <f>BD7+BD8+BD20+BD21</f>
        <v>3025302308</v>
      </c>
      <c r="BE22" s="105" t="e">
        <f>BE7+BE8+BE20+BE21</f>
        <v>#VALUE!</v>
      </c>
      <c r="BF22" s="53" t="e">
        <f>+BE22+AGOSTO!BE22+JULIO!BE22+JUNIO!BF22</f>
        <v>#VALUE!</v>
      </c>
      <c r="BG22" s="385"/>
      <c r="BH22" s="385"/>
      <c r="BI22" s="385"/>
      <c r="BJ22" s="385"/>
      <c r="BK22" s="385"/>
      <c r="BM22" s="71" t="s">
        <v>69</v>
      </c>
      <c r="BN22" s="83">
        <f>BN23+BN24</f>
        <v>65572284</v>
      </c>
      <c r="BO22" s="81">
        <f>BO23+BO24</f>
        <v>32172164</v>
      </c>
      <c r="BP22" s="81">
        <f>BP23+BP24</f>
        <v>32172164</v>
      </c>
      <c r="BQ22" s="82">
        <f>BQ23+BQ24</f>
        <v>3371699</v>
      </c>
      <c r="BR22" s="385"/>
    </row>
    <row r="23" spans="1:70" s="425" customFormat="1" ht="24.95" customHeight="1" x14ac:dyDescent="0.2">
      <c r="A23" s="618" t="str">
        <f>+IF(AGOSTO!A23=0,"",AGOSTO!A23)</f>
        <v>1130101-1</v>
      </c>
      <c r="B23" s="654" t="str">
        <f>+CONCATENATE("Vigencia ",INSTRUCCIONES!$F$3)</f>
        <v>Vigencia 2015</v>
      </c>
      <c r="C23" s="375">
        <f>+ENERO!C23</f>
        <v>1323143662</v>
      </c>
      <c r="D23" s="376">
        <f>AGOSTO!D23+SEPTIEMBRE!P23</f>
        <v>0</v>
      </c>
      <c r="E23" s="376">
        <f>AGOSTO!E23+SEPTIEMBRE!Q23</f>
        <v>0</v>
      </c>
      <c r="F23" s="376">
        <f>SUM(C23:E23)</f>
        <v>1323143662</v>
      </c>
      <c r="G23" s="376">
        <f>AGOSTO!I23</f>
        <v>871802425</v>
      </c>
      <c r="H23" s="377">
        <v>113712458</v>
      </c>
      <c r="I23" s="376">
        <f>SUM(G23:H23)</f>
        <v>985514883</v>
      </c>
      <c r="J23" s="376">
        <f>AGOSTO!L23</f>
        <v>287309285</v>
      </c>
      <c r="K23" s="377">
        <v>120093515</v>
      </c>
      <c r="L23" s="376">
        <f>SUM(J23:K23)</f>
        <v>407402800</v>
      </c>
      <c r="M23" s="376">
        <f>F23-I23</f>
        <v>337628779</v>
      </c>
      <c r="N23" s="146">
        <f>F23-L23</f>
        <v>915740862</v>
      </c>
      <c r="O23" s="9"/>
      <c r="P23" s="375">
        <v>0</v>
      </c>
      <c r="Q23" s="378">
        <v>0</v>
      </c>
      <c r="R23" s="9"/>
      <c r="S23" s="720" t="str">
        <f>+IF(AGOSTO!S23=0,"",AGOSTO!S23)</f>
        <v>1010104-3</v>
      </c>
      <c r="T23" s="694" t="str">
        <f>+IF(AGOSTO!T23=0,"",AGOSTO!T23)</f>
        <v>Prima de Vacaciones</v>
      </c>
      <c r="U23" s="27">
        <f>+ENERO!U23</f>
        <v>12683577</v>
      </c>
      <c r="V23" s="15">
        <f>AGOSTO!V23+SEPTIEMBRE!AL23</f>
        <v>0</v>
      </c>
      <c r="W23" s="15">
        <f>AGOSTO!W23+SEPTIEMBRE!AM23</f>
        <v>0</v>
      </c>
      <c r="X23" s="18">
        <f t="shared" si="17"/>
        <v>12683577</v>
      </c>
      <c r="Y23" s="19">
        <f>AGOSTO!AA23</f>
        <v>2128961</v>
      </c>
      <c r="Z23" s="377">
        <v>0</v>
      </c>
      <c r="AA23" s="18">
        <f t="shared" si="18"/>
        <v>2128961</v>
      </c>
      <c r="AB23" s="19">
        <f>AGOSTO!AD23</f>
        <v>2128961</v>
      </c>
      <c r="AC23" s="377">
        <v>0</v>
      </c>
      <c r="AD23" s="18">
        <f t="shared" si="19"/>
        <v>2128961</v>
      </c>
      <c r="AE23" s="19">
        <f>AGOSTO!AG23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327491529</v>
      </c>
      <c r="AR23" s="439">
        <f>AD16+AD65-AR22</f>
        <v>172769383</v>
      </c>
      <c r="AS23" s="439">
        <f>AG16+AG65-AS22</f>
        <v>145794943</v>
      </c>
      <c r="AT23" s="330"/>
      <c r="AU23" s="345">
        <f t="shared" si="25"/>
        <v>0.52755374628331231</v>
      </c>
      <c r="AV23" s="345">
        <f t="shared" si="26"/>
        <v>0.4451869135216624</v>
      </c>
      <c r="AW23" s="439">
        <f>(AR23-AD21-AD22-AD23-AD25-AD30-AD33-AD70-AD71-AD72-AD74-AD78-AD81)/$AO$2*12+AX22/12*2.5+AD30+AD33+AD78+AD81</f>
        <v>366660191.05555558</v>
      </c>
      <c r="AX23" s="439">
        <f>(AS23-AG21-AG22-AG23-AG25-AG30-AG33-AG70-AG71-AG72-AG74-AG78-AG81)/$AO$2*12+AX22/12*2.5+AG30+AG33+AG78+AG81</f>
        <v>350881655.72222221</v>
      </c>
      <c r="AY23" s="439">
        <f t="shared" si="27"/>
        <v>39168662.055555582</v>
      </c>
      <c r="AZ23" s="46">
        <f t="shared" si="28"/>
        <v>-23390126.722222209</v>
      </c>
      <c r="BA23" s="385"/>
      <c r="BF23" s="385"/>
      <c r="BG23" s="385"/>
      <c r="BH23" s="385"/>
      <c r="BI23" s="385"/>
      <c r="BJ23" s="385"/>
      <c r="BK23" s="385"/>
      <c r="BL23" s="385"/>
      <c r="BM23" s="140" t="s">
        <v>107</v>
      </c>
      <c r="BN23" s="83">
        <f>X177</f>
        <v>39279816</v>
      </c>
      <c r="BO23" s="81">
        <f>AA177</f>
        <v>22897362</v>
      </c>
      <c r="BP23" s="81">
        <f>AD177</f>
        <v>22897362</v>
      </c>
      <c r="BQ23" s="82">
        <f>AF177</f>
        <v>2544030</v>
      </c>
      <c r="BR23" s="9"/>
    </row>
    <row r="24" spans="1:70" s="425" customFormat="1" ht="24.95" customHeight="1" x14ac:dyDescent="0.2">
      <c r="A24" s="618" t="str">
        <f>+IF(AGOSTO!A24=0,"",AGOSTO!A24)</f>
        <v>1130101-2</v>
      </c>
      <c r="B24" s="654" t="str">
        <f>+IF(AGOSTO!B24=0,"",AGOSTO!B24)</f>
        <v>Vigencia Anterior</v>
      </c>
      <c r="C24" s="375">
        <f>+ENERO!C24</f>
        <v>0</v>
      </c>
      <c r="D24" s="376">
        <f>AGOSTO!D24+SEPTIEMBRE!P24</f>
        <v>0</v>
      </c>
      <c r="E24" s="376">
        <f>AGOSTO!E24+SEPTIEMBRE!Q24</f>
        <v>435611621</v>
      </c>
      <c r="F24" s="376">
        <f>SUM(C24:E24)</f>
        <v>435611621</v>
      </c>
      <c r="G24" s="376">
        <f>AGOSTO!I24</f>
        <v>409602447</v>
      </c>
      <c r="H24" s="377">
        <v>0</v>
      </c>
      <c r="I24" s="376">
        <f>SUM(G24:H24)</f>
        <v>409602447</v>
      </c>
      <c r="J24" s="376">
        <f>AGOSTO!L24</f>
        <v>409602447</v>
      </c>
      <c r="K24" s="377">
        <v>0</v>
      </c>
      <c r="L24" s="376">
        <f>SUM(J24:K24)</f>
        <v>409602447</v>
      </c>
      <c r="M24" s="376">
        <f>F24-I24</f>
        <v>26009174</v>
      </c>
      <c r="N24" s="146">
        <f>F24-L24</f>
        <v>26009174</v>
      </c>
      <c r="O24" s="385"/>
      <c r="P24" s="375">
        <v>0</v>
      </c>
      <c r="Q24" s="378">
        <v>0</v>
      </c>
      <c r="R24" s="9"/>
      <c r="S24" s="720" t="str">
        <f>+IF(AGOSTO!S24=0,"",AGOSTO!S24)</f>
        <v>1010104-4</v>
      </c>
      <c r="T24" s="694" t="str">
        <f>+IF(AGOSTO!T24=0,"",AGOSTO!T24)</f>
        <v>Prima Clima</v>
      </c>
      <c r="U24" s="27">
        <f>+ENERO!U24</f>
        <v>0</v>
      </c>
      <c r="V24" s="15">
        <f>AGOSTO!V24+SEPTIEMBRE!AL24</f>
        <v>0</v>
      </c>
      <c r="W24" s="15">
        <f>AGOSTO!W24+SEPTIEMBRE!AM24</f>
        <v>0</v>
      </c>
      <c r="X24" s="18">
        <f t="shared" si="17"/>
        <v>0</v>
      </c>
      <c r="Y24" s="19">
        <f>AGOSTO!AA24</f>
        <v>0</v>
      </c>
      <c r="Z24" s="377">
        <v>0</v>
      </c>
      <c r="AA24" s="18">
        <f t="shared" si="18"/>
        <v>0</v>
      </c>
      <c r="AB24" s="19">
        <f>AGOSTO!AD24</f>
        <v>0</v>
      </c>
      <c r="AC24" s="377">
        <v>0</v>
      </c>
      <c r="AD24" s="18">
        <f t="shared" si="19"/>
        <v>0</v>
      </c>
      <c r="AE24" s="19">
        <f>AGOSTO!AG24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295277368</v>
      </c>
      <c r="AS24" s="434">
        <f>AG35+AG83</f>
        <v>248039060</v>
      </c>
      <c r="AT24" s="434"/>
      <c r="AU24" s="376">
        <f t="shared" si="25"/>
        <v>0.69594274467034756</v>
      </c>
      <c r="AV24" s="376">
        <f t="shared" si="26"/>
        <v>0.58460621405245328</v>
      </c>
      <c r="AW24" s="376">
        <f>(AR24-AD41-AD88)/$AO$2*12+AD41+AD88</f>
        <v>382384998</v>
      </c>
      <c r="AX24" s="376">
        <f>(AS24-AG41-AG88)/$AO$2*12+AG41+AG88</f>
        <v>321717205.33333331</v>
      </c>
      <c r="AY24" s="376">
        <f t="shared" si="27"/>
        <v>-41898997</v>
      </c>
      <c r="AZ24" s="146">
        <f t="shared" si="28"/>
        <v>102566789.66666669</v>
      </c>
      <c r="BA24" s="9"/>
      <c r="BB24" s="440"/>
      <c r="BC24" s="385"/>
      <c r="BD24" s="385"/>
      <c r="BE24" s="385"/>
      <c r="BF24" s="385"/>
      <c r="BG24" s="385"/>
      <c r="BH24" s="385"/>
      <c r="BI24" s="385"/>
      <c r="BJ24" s="385"/>
      <c r="BK24" s="385"/>
      <c r="BL24" s="385"/>
      <c r="BM24" s="140" t="s">
        <v>112</v>
      </c>
      <c r="BN24" s="83">
        <f>X170-X177-X174-X183-X191</f>
        <v>26292468</v>
      </c>
      <c r="BO24" s="81">
        <f>AA170-AA177-AA174-AA183-AA191</f>
        <v>9274802</v>
      </c>
      <c r="BP24" s="81">
        <f>AD170-AD177-AD174-AD183-AD191</f>
        <v>9274802</v>
      </c>
      <c r="BQ24" s="82">
        <f>AF170-AF177-AF174-AF183-AF191</f>
        <v>827669</v>
      </c>
      <c r="BR24" s="385"/>
    </row>
    <row r="25" spans="1:70" s="385" customFormat="1" ht="24.95" customHeight="1" x14ac:dyDescent="0.25">
      <c r="A25" s="747">
        <f>+IF(AGOSTO!A25=0,"",AGOSTO!A25)</f>
        <v>1130102</v>
      </c>
      <c r="B25" s="653" t="str">
        <f>+IF(AGOSTO!B25=0,"",AGOSTO!B25)</f>
        <v>ARS - REGIMEN SUBSIDIADO</v>
      </c>
      <c r="C25" s="43">
        <f t="shared" ref="C25:N25" si="29">SUM(C26:C27)</f>
        <v>873986903</v>
      </c>
      <c r="D25" s="44">
        <f t="shared" si="29"/>
        <v>0</v>
      </c>
      <c r="E25" s="44">
        <f t="shared" si="29"/>
        <v>71552427</v>
      </c>
      <c r="F25" s="44">
        <f t="shared" si="29"/>
        <v>945539330</v>
      </c>
      <c r="G25" s="44">
        <f t="shared" si="29"/>
        <v>596438413</v>
      </c>
      <c r="H25" s="44">
        <f t="shared" si="29"/>
        <v>88788748</v>
      </c>
      <c r="I25" s="44">
        <f t="shared" si="29"/>
        <v>685227161</v>
      </c>
      <c r="J25" s="44">
        <f t="shared" si="29"/>
        <v>404954793</v>
      </c>
      <c r="K25" s="44">
        <f t="shared" si="29"/>
        <v>85030447</v>
      </c>
      <c r="L25" s="44">
        <f t="shared" si="29"/>
        <v>489985240</v>
      </c>
      <c r="M25" s="44">
        <f t="shared" si="29"/>
        <v>260312169</v>
      </c>
      <c r="N25" s="45">
        <f t="shared" si="29"/>
        <v>455554090</v>
      </c>
      <c r="P25" s="43">
        <f>SUM(P26:P27)</f>
        <v>0</v>
      </c>
      <c r="Q25" s="45">
        <f>SUM(Q26:Q27)</f>
        <v>0</v>
      </c>
      <c r="R25" s="9"/>
      <c r="S25" s="720" t="str">
        <f>+IF(AGOSTO!S25=0,"",AGOSTO!S25)</f>
        <v>1010104-5</v>
      </c>
      <c r="T25" s="694" t="str">
        <f>+IF(AGOSTO!T25=0,"",AGOSTO!T25)</f>
        <v>Prima de Servicios</v>
      </c>
      <c r="U25" s="27">
        <f>+ENERO!U25</f>
        <v>12683577</v>
      </c>
      <c r="V25" s="15">
        <f>AGOSTO!V25+SEPTIEMBRE!AL25</f>
        <v>0</v>
      </c>
      <c r="W25" s="15">
        <f>AGOSTO!W25+SEPTIEMBRE!AM25</f>
        <v>0</v>
      </c>
      <c r="X25" s="18">
        <f t="shared" si="17"/>
        <v>12683577</v>
      </c>
      <c r="Y25" s="19">
        <f>AGOSTO!AA25</f>
        <v>0</v>
      </c>
      <c r="Z25" s="377">
        <v>0</v>
      </c>
      <c r="AA25" s="18">
        <f t="shared" si="18"/>
        <v>0</v>
      </c>
      <c r="AB25" s="19">
        <f>AGOSTO!AD25</f>
        <v>0</v>
      </c>
      <c r="AC25" s="377">
        <v>0</v>
      </c>
      <c r="AD25" s="18">
        <f t="shared" si="19"/>
        <v>0</v>
      </c>
      <c r="AE25" s="19">
        <f>AGOSTO!AG25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389489080</v>
      </c>
      <c r="AS25" s="376">
        <f>AG43+AG57+AG90+AG104</f>
        <v>327005581</v>
      </c>
      <c r="AT25" s="434"/>
      <c r="AU25" s="376">
        <f t="shared" si="25"/>
        <v>0.71788979059070879</v>
      </c>
      <c r="AV25" s="376">
        <f t="shared" si="26"/>
        <v>0.60272284929293285</v>
      </c>
      <c r="AW25" s="376">
        <f>(AR25-AD55-AD61-AD102-AD108)/$AO$2*12+AD55+AD61+AD102+AD108</f>
        <v>489652268.33333331</v>
      </c>
      <c r="AX25" s="376">
        <f>(AS25-AG55-AG61-AG102-AG108)/$AO$2*12+AG55+AG61+AG102+AG108</f>
        <v>406998576</v>
      </c>
      <c r="AY25" s="376">
        <f t="shared" si="27"/>
        <v>-52894909.666666687</v>
      </c>
      <c r="AZ25" s="146">
        <f t="shared" si="28"/>
        <v>135548602</v>
      </c>
      <c r="BM25" s="143" t="s">
        <v>455</v>
      </c>
      <c r="BN25" s="106">
        <f>+SUM(BN26:BN28)</f>
        <v>349217338</v>
      </c>
      <c r="BO25" s="107">
        <f>+SUM(BO26:BO28)</f>
        <v>262899000</v>
      </c>
      <c r="BP25" s="107">
        <f>+SUM(BP26:BP28)</f>
        <v>251090056</v>
      </c>
      <c r="BQ25" s="108">
        <f>+SUM(BQ26:BQ28)</f>
        <v>21273150</v>
      </c>
    </row>
    <row r="26" spans="1:70" s="9" customFormat="1" ht="24.95" customHeight="1" x14ac:dyDescent="0.2">
      <c r="A26" s="618" t="str">
        <f>+IF(AGOSTO!A26=0,"",AGOSTO!A26)</f>
        <v>1130102-1</v>
      </c>
      <c r="B26" s="654" t="str">
        <f>+CONCATENATE("Vigencia ",INSTRUCCIONES!$F$3)</f>
        <v>Vigencia 2015</v>
      </c>
      <c r="C26" s="375">
        <f>+ENERO!C26</f>
        <v>873986903</v>
      </c>
      <c r="D26" s="376">
        <f>AGOSTO!D26+SEPTIEMBRE!P26</f>
        <v>0</v>
      </c>
      <c r="E26" s="376">
        <f>AGOSTO!E26+SEPTIEMBRE!Q26</f>
        <v>0</v>
      </c>
      <c r="F26" s="376">
        <f>SUM(C26:E26)</f>
        <v>873986903</v>
      </c>
      <c r="G26" s="376">
        <f>AGOSTO!I26</f>
        <v>555040046</v>
      </c>
      <c r="H26" s="377">
        <f>56975884+18603200+4684502</f>
        <v>80263586</v>
      </c>
      <c r="I26" s="376">
        <f>SUM(G26:H26)</f>
        <v>635303632</v>
      </c>
      <c r="J26" s="376">
        <f>AGOSTO!L26</f>
        <v>363556426</v>
      </c>
      <c r="K26" s="377">
        <v>76505285</v>
      </c>
      <c r="L26" s="376">
        <f>SUM(J26:K26)</f>
        <v>440061711</v>
      </c>
      <c r="M26" s="376">
        <f>F26-I26</f>
        <v>238683271</v>
      </c>
      <c r="N26" s="146">
        <f>F26-L26</f>
        <v>433925192</v>
      </c>
      <c r="P26" s="375">
        <v>0</v>
      </c>
      <c r="Q26" s="378">
        <v>0</v>
      </c>
      <c r="S26" s="720" t="str">
        <f>+IF(AGOSTO!S26=0,"",AGOSTO!S26)</f>
        <v>1010104-8</v>
      </c>
      <c r="T26" s="694" t="str">
        <f>+IF(AGOSTO!T26=0,"",AGOSTO!T26)</f>
        <v>Bonific. por Servicios Prestados (Convencional)</v>
      </c>
      <c r="U26" s="27">
        <f>+ENERO!U26</f>
        <v>0</v>
      </c>
      <c r="V26" s="15">
        <f>AGOSTO!V26+SEPTIEMBRE!AL26</f>
        <v>0</v>
      </c>
      <c r="W26" s="15">
        <f>AGOSTO!W26+SEPTIEMBRE!AM26</f>
        <v>0</v>
      </c>
      <c r="X26" s="18">
        <f t="shared" si="17"/>
        <v>0</v>
      </c>
      <c r="Y26" s="19">
        <f>AGOSTO!AA26</f>
        <v>0</v>
      </c>
      <c r="Z26" s="377">
        <v>0</v>
      </c>
      <c r="AA26" s="18">
        <f t="shared" si="18"/>
        <v>0</v>
      </c>
      <c r="AB26" s="19">
        <f>AGOSTO!AD26</f>
        <v>0</v>
      </c>
      <c r="AC26" s="377">
        <v>0</v>
      </c>
      <c r="AD26" s="18">
        <f t="shared" si="19"/>
        <v>0</v>
      </c>
      <c r="AE26" s="19">
        <f>AGOSTO!AG26</f>
        <v>0</v>
      </c>
      <c r="AF26" s="377">
        <v>0</v>
      </c>
      <c r="AG26" s="18">
        <f t="shared" si="20"/>
        <v>0</v>
      </c>
      <c r="AH26" s="19">
        <f t="shared" si="21"/>
        <v>0</v>
      </c>
      <c r="AI26" s="15">
        <f t="shared" si="22"/>
        <v>0</v>
      </c>
      <c r="AJ26" s="16">
        <f t="shared" si="23"/>
        <v>0</v>
      </c>
      <c r="AL26" s="375">
        <v>0</v>
      </c>
      <c r="AM26" s="378">
        <v>0</v>
      </c>
      <c r="AO26" s="21"/>
      <c r="AP26" s="442" t="s">
        <v>122</v>
      </c>
      <c r="AQ26" s="330">
        <f>X110</f>
        <v>759559501</v>
      </c>
      <c r="AR26" s="330">
        <f>AD110</f>
        <v>521134406</v>
      </c>
      <c r="AS26" s="330">
        <f>AG110</f>
        <v>385706058</v>
      </c>
      <c r="AT26" s="374">
        <f>AO2/12</f>
        <v>0.75</v>
      </c>
      <c r="AU26" s="345">
        <f t="shared" si="25"/>
        <v>0.68610083254030685</v>
      </c>
      <c r="AV26" s="345">
        <f t="shared" si="26"/>
        <v>0.50780229526745135</v>
      </c>
      <c r="AW26" s="439">
        <f>(AR26-AD121-AD139-AD143-AD153-AD168)/$AO$2*12+AD121+AD139+AD143+AD153+AD168</f>
        <v>660747870</v>
      </c>
      <c r="AX26" s="439">
        <f>(AS26-AG121-AG139-AG143-AG153-AG168)/$AO$2*12+AG121+AG139+AG143+AG153+AG168</f>
        <v>487542687</v>
      </c>
      <c r="AY26" s="439">
        <f t="shared" si="27"/>
        <v>-98811631</v>
      </c>
      <c r="AZ26" s="46">
        <f t="shared" si="28"/>
        <v>272016814</v>
      </c>
      <c r="BA26" s="385"/>
      <c r="BB26" s="385"/>
      <c r="BC26" s="385"/>
      <c r="BD26" s="385"/>
      <c r="BE26" s="385"/>
      <c r="BF26" s="385"/>
      <c r="BG26" s="385"/>
      <c r="BH26" s="385"/>
      <c r="BI26" s="385"/>
      <c r="BJ26" s="385"/>
      <c r="BK26" s="385"/>
      <c r="BM26" s="109" t="s">
        <v>456</v>
      </c>
      <c r="BN26" s="86">
        <f>+X196+X212</f>
        <v>211675731</v>
      </c>
      <c r="BO26" s="84">
        <f>+AA196+AA212</f>
        <v>153166071</v>
      </c>
      <c r="BP26" s="84">
        <f>+AD196+AD212</f>
        <v>141397907</v>
      </c>
      <c r="BQ26" s="85">
        <f>+AF196+AF212</f>
        <v>9191273</v>
      </c>
      <c r="BR26" s="385"/>
    </row>
    <row r="27" spans="1:70" s="425" customFormat="1" ht="24.95" customHeight="1" x14ac:dyDescent="0.2">
      <c r="A27" s="618" t="str">
        <f>+IF(AGOSTO!A27=0,"",AGOSTO!A27)</f>
        <v>1130102-2</v>
      </c>
      <c r="B27" s="654" t="str">
        <f>+IF(AGOSTO!B27=0,"",AGOSTO!B27)</f>
        <v>Vigencia Anterior</v>
      </c>
      <c r="C27" s="375">
        <f>+ENERO!C27</f>
        <v>0</v>
      </c>
      <c r="D27" s="376">
        <f>AGOSTO!D27+SEPTIEMBRE!P27</f>
        <v>0</v>
      </c>
      <c r="E27" s="376">
        <f>AGOSTO!E27+SEPTIEMBRE!Q27</f>
        <v>71552427</v>
      </c>
      <c r="F27" s="376">
        <f>SUM(C27:E27)</f>
        <v>71552427</v>
      </c>
      <c r="G27" s="376">
        <f>AGOSTO!I27</f>
        <v>41398367</v>
      </c>
      <c r="H27" s="377">
        <f>8525162</f>
        <v>8525162</v>
      </c>
      <c r="I27" s="376">
        <f>SUM(G27:H27)</f>
        <v>49923529</v>
      </c>
      <c r="J27" s="376">
        <f>AGOSTO!L27</f>
        <v>41398367</v>
      </c>
      <c r="K27" s="377">
        <f>8525162</f>
        <v>8525162</v>
      </c>
      <c r="L27" s="376">
        <f>SUM(J27:K27)</f>
        <v>49923529</v>
      </c>
      <c r="M27" s="376">
        <f>F27-I27</f>
        <v>21628898</v>
      </c>
      <c r="N27" s="146">
        <f>F27-L27</f>
        <v>21628898</v>
      </c>
      <c r="O27" s="385"/>
      <c r="P27" s="375">
        <v>0</v>
      </c>
      <c r="Q27" s="378">
        <v>0</v>
      </c>
      <c r="R27" s="9"/>
      <c r="S27" s="720" t="str">
        <f>+IF(AGOSTO!S27=0,"",AGOSTO!S27)</f>
        <v>1010104-9</v>
      </c>
      <c r="T27" s="694" t="str">
        <f>+IF(AGOSTO!T27=0,"",AGOSTO!T27)</f>
        <v>Auxilio de Transporte</v>
      </c>
      <c r="U27" s="27">
        <f>+ENERO!U27</f>
        <v>1625120</v>
      </c>
      <c r="V27" s="15">
        <f>AGOSTO!V27+SEPTIEMBRE!AL27</f>
        <v>0</v>
      </c>
      <c r="W27" s="15">
        <f>AGOSTO!W27+SEPTIEMBRE!AM27</f>
        <v>0</v>
      </c>
      <c r="X27" s="18">
        <f t="shared" si="17"/>
        <v>1625120</v>
      </c>
      <c r="Y27" s="19">
        <f>AGOSTO!AA27</f>
        <v>540400</v>
      </c>
      <c r="Z27" s="377">
        <v>74000</v>
      </c>
      <c r="AA27" s="18">
        <f t="shared" si="18"/>
        <v>614400</v>
      </c>
      <c r="AB27" s="19">
        <f>AGOSTO!AD27</f>
        <v>540400</v>
      </c>
      <c r="AC27" s="377">
        <v>74000</v>
      </c>
      <c r="AD27" s="18">
        <f t="shared" si="19"/>
        <v>614400</v>
      </c>
      <c r="AE27" s="19">
        <f>AGOSTO!AG27</f>
        <v>540399</v>
      </c>
      <c r="AF27" s="377">
        <f>74000+1</f>
        <v>74001</v>
      </c>
      <c r="AG27" s="18">
        <f t="shared" si="20"/>
        <v>614400</v>
      </c>
      <c r="AH27" s="19">
        <f t="shared" si="21"/>
        <v>1010720</v>
      </c>
      <c r="AI27" s="15">
        <f t="shared" si="22"/>
        <v>1010720</v>
      </c>
      <c r="AJ27" s="16">
        <f t="shared" si="23"/>
        <v>1010720</v>
      </c>
      <c r="AK27" s="9"/>
      <c r="AL27" s="375">
        <v>0</v>
      </c>
      <c r="AM27" s="378">
        <v>0</v>
      </c>
      <c r="AN27" s="9"/>
      <c r="AO27" s="352"/>
      <c r="AP27" s="441" t="s">
        <v>126</v>
      </c>
      <c r="AQ27" s="376">
        <f>X170</f>
        <v>74494094</v>
      </c>
      <c r="AR27" s="376">
        <f>AD170</f>
        <v>41093974</v>
      </c>
      <c r="AS27" s="376">
        <f>AG170</f>
        <v>35009605</v>
      </c>
      <c r="AT27" s="434"/>
      <c r="AU27" s="376">
        <f t="shared" si="25"/>
        <v>0.55164069785183234</v>
      </c>
      <c r="AV27" s="376">
        <f t="shared" si="26"/>
        <v>0.46996484043419601</v>
      </c>
      <c r="AW27" s="376">
        <f>(AR27-AD174-AD183-AD191)/$AO$2*12+AD174+AD183+AD191</f>
        <v>51818028.666666672</v>
      </c>
      <c r="AX27" s="376">
        <f>(AS27-AG174-AG183-AG191)/$AO$2*12+AG174+AG183+AG191</f>
        <v>43709570.333333336</v>
      </c>
      <c r="AY27" s="376">
        <f t="shared" si="27"/>
        <v>-22676065.333333328</v>
      </c>
      <c r="AZ27" s="146">
        <f t="shared" si="28"/>
        <v>30784523.666666664</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+IF(AGOSTO!A28=0,"",AGOSTO!A28)</f>
        <v>1130103</v>
      </c>
      <c r="B28" s="630" t="str">
        <f>+IF(AGOSTO!B28=0,"",AGOSTO!B28)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219504075</v>
      </c>
      <c r="H28" s="44">
        <f t="shared" si="30"/>
        <v>24642004</v>
      </c>
      <c r="I28" s="44">
        <f t="shared" si="30"/>
        <v>244146079</v>
      </c>
      <c r="J28" s="44">
        <f t="shared" si="30"/>
        <v>201289791</v>
      </c>
      <c r="K28" s="44">
        <f t="shared" si="30"/>
        <v>36035811</v>
      </c>
      <c r="L28" s="44">
        <f t="shared" si="30"/>
        <v>237325602</v>
      </c>
      <c r="M28" s="44">
        <f t="shared" si="30"/>
        <v>106580749</v>
      </c>
      <c r="N28" s="45">
        <f t="shared" si="30"/>
        <v>113401226</v>
      </c>
      <c r="O28" s="385"/>
      <c r="P28" s="43">
        <f>P29+P32+P35+P38+P39+P940</f>
        <v>0</v>
      </c>
      <c r="Q28" s="45">
        <f>Q29+Q32+Q35+Q38+Q39+Q40</f>
        <v>0</v>
      </c>
      <c r="R28" s="9"/>
      <c r="S28" s="720" t="str">
        <f>+IF(AGOSTO!S28=0,"",AGOSTO!S28)</f>
        <v>1010104-10</v>
      </c>
      <c r="T28" s="694" t="str">
        <f>+IF(AGOSTO!T28=0,"",AGOSTO!T28)</f>
        <v>Subsidio de Alimentación</v>
      </c>
      <c r="U28" s="27">
        <f>+ENERO!U28</f>
        <v>0</v>
      </c>
      <c r="V28" s="15">
        <f>AGOSTO!V28+SEPTIEMBRE!AL28</f>
        <v>0</v>
      </c>
      <c r="W28" s="15">
        <f>AGOSTO!W28+SEPTIEMBRE!AM28</f>
        <v>0</v>
      </c>
      <c r="X28" s="18">
        <f t="shared" si="17"/>
        <v>0</v>
      </c>
      <c r="Y28" s="19">
        <f>AGOSTO!AA28</f>
        <v>0</v>
      </c>
      <c r="Z28" s="377">
        <v>0</v>
      </c>
      <c r="AA28" s="18">
        <f t="shared" si="18"/>
        <v>0</v>
      </c>
      <c r="AB28" s="19">
        <f>AGOSTO!AD28</f>
        <v>0</v>
      </c>
      <c r="AC28" s="377">
        <v>0</v>
      </c>
      <c r="AD28" s="18">
        <f t="shared" si="19"/>
        <v>0</v>
      </c>
      <c r="AE28" s="19">
        <f>AGOSTO!AG28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441053270</v>
      </c>
      <c r="AR28" s="434">
        <f>AD193</f>
        <v>342925988</v>
      </c>
      <c r="AS28" s="434">
        <f>AG193</f>
        <v>177717142</v>
      </c>
      <c r="AT28" s="434"/>
      <c r="AU28" s="376">
        <f t="shared" si="25"/>
        <v>0.77751603111342993</v>
      </c>
      <c r="AV28" s="376">
        <f t="shared" si="26"/>
        <v>0.40293804419588591</v>
      </c>
      <c r="AW28" s="376">
        <f>(AR28-AD205)/$AO$2*12+AD205</f>
        <v>426622673.33333337</v>
      </c>
      <c r="AX28" s="376">
        <f>(AS28-AG205)/$AO$2*12+AG205</f>
        <v>206419666</v>
      </c>
      <c r="AY28" s="376">
        <f t="shared" si="27"/>
        <v>-14430596.666666627</v>
      </c>
      <c r="AZ28" s="146">
        <f t="shared" si="28"/>
        <v>234633604</v>
      </c>
      <c r="BA28" s="385"/>
      <c r="BB28" s="385"/>
      <c r="BC28" s="385"/>
      <c r="BD28" s="385"/>
      <c r="BE28" s="385"/>
      <c r="BF28" s="385"/>
      <c r="BG28" s="385"/>
      <c r="BH28" s="385"/>
      <c r="BI28" s="385"/>
      <c r="BJ28" s="385"/>
      <c r="BK28" s="385"/>
      <c r="BL28" s="385"/>
      <c r="BM28" s="71" t="s">
        <v>458</v>
      </c>
      <c r="BN28" s="83">
        <f>+X194-X196-X205</f>
        <v>137541607</v>
      </c>
      <c r="BO28" s="81">
        <f>+AA194-AA196-AA205</f>
        <v>109732929</v>
      </c>
      <c r="BP28" s="81">
        <f>+AD194-AD196-AD205</f>
        <v>109692149</v>
      </c>
      <c r="BQ28" s="82">
        <f>+AF194-AF196-AF205</f>
        <v>12081877</v>
      </c>
      <c r="BR28" s="9"/>
    </row>
    <row r="29" spans="1:70" s="9" customFormat="1" ht="24.95" customHeight="1" x14ac:dyDescent="0.25">
      <c r="A29" s="618" t="str">
        <f>+IF(AGOSTO!A29=0,"",AGOSTO!A29)</f>
        <v>1130103-1</v>
      </c>
      <c r="B29" s="655" t="str">
        <f>+IF(AGOSTO!B29=0,"",AGOSTO!B29)</f>
        <v>Prestación de Servicios de salud  1er Nivel</v>
      </c>
      <c r="C29" s="19">
        <f t="shared" ref="C29:N29" si="31">SUM(C30:C31)</f>
        <v>24095828</v>
      </c>
      <c r="D29" s="15">
        <f t="shared" si="31"/>
        <v>0</v>
      </c>
      <c r="E29" s="15">
        <f t="shared" si="31"/>
        <v>0</v>
      </c>
      <c r="F29" s="15">
        <f t="shared" si="31"/>
        <v>24095828</v>
      </c>
      <c r="G29" s="15">
        <f t="shared" si="31"/>
        <v>8569084</v>
      </c>
      <c r="H29" s="15">
        <f t="shared" si="31"/>
        <v>-173643</v>
      </c>
      <c r="I29" s="15">
        <f t="shared" si="31"/>
        <v>8395441</v>
      </c>
      <c r="J29" s="15">
        <f t="shared" si="31"/>
        <v>2764615</v>
      </c>
      <c r="K29" s="15">
        <f t="shared" si="31"/>
        <v>2529165</v>
      </c>
      <c r="L29" s="15">
        <f t="shared" si="31"/>
        <v>5293780</v>
      </c>
      <c r="M29" s="15">
        <f t="shared" si="31"/>
        <v>15700387</v>
      </c>
      <c r="N29" s="16">
        <f t="shared" si="31"/>
        <v>18802048</v>
      </c>
      <c r="O29" s="385"/>
      <c r="P29" s="147">
        <f>SUM(P30:P31)</f>
        <v>0</v>
      </c>
      <c r="Q29" s="148">
        <f>SUM(Q30:Q31)</f>
        <v>0</v>
      </c>
      <c r="S29" s="720" t="str">
        <f>+IF(AGOSTO!S29=0,"",AGOSTO!S29)</f>
        <v>1010104-11</v>
      </c>
      <c r="T29" s="694" t="str">
        <f>+IF(AGOSTO!T29=0,"",AGOSTO!T29)</f>
        <v>Gastos de Representación</v>
      </c>
      <c r="U29" s="27">
        <f>+ENERO!U29</f>
        <v>0</v>
      </c>
      <c r="V29" s="15">
        <f>AGOSTO!V29+SEPTIEMBRE!AL29</f>
        <v>0</v>
      </c>
      <c r="W29" s="15">
        <f>AGOSTO!W29+SEPTIEMBRE!AM29</f>
        <v>0</v>
      </c>
      <c r="X29" s="18">
        <f t="shared" si="17"/>
        <v>0</v>
      </c>
      <c r="Y29" s="19">
        <f>AGOSTO!AA29</f>
        <v>0</v>
      </c>
      <c r="Z29" s="377">
        <v>0</v>
      </c>
      <c r="AA29" s="18">
        <f t="shared" si="18"/>
        <v>0</v>
      </c>
      <c r="AB29" s="19">
        <f>AGOSTO!AD29</f>
        <v>0</v>
      </c>
      <c r="AC29" s="377">
        <v>0</v>
      </c>
      <c r="AD29" s="18">
        <f t="shared" si="19"/>
        <v>0</v>
      </c>
      <c r="AE29" s="19">
        <f>AGOSTO!AG29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378000000</v>
      </c>
      <c r="BO29" s="107">
        <f>AA232-AA256-AA241</f>
        <v>121430326</v>
      </c>
      <c r="BP29" s="107">
        <f>AD232-AD256-AD241</f>
        <v>81872992</v>
      </c>
      <c r="BQ29" s="108">
        <f>AF232-AF256-AF241</f>
        <v>15141000</v>
      </c>
      <c r="BR29" s="385"/>
    </row>
    <row r="30" spans="1:70" s="425" customFormat="1" ht="24.95" customHeight="1" x14ac:dyDescent="0.25">
      <c r="A30" s="618" t="str">
        <f>+IF(AGOSTO!A30=0,"",AGOSTO!A30)</f>
        <v>1130103-1-1</v>
      </c>
      <c r="B30" s="654" t="str">
        <f>+CONCATENATE("Vigencia ",INSTRUCCIONES!$F$3)</f>
        <v>Vigencia 2015</v>
      </c>
      <c r="C30" s="375">
        <f>+ENERO!C30</f>
        <v>24095828</v>
      </c>
      <c r="D30" s="376">
        <f>AGOSTO!D30+SEPTIEMBRE!P30</f>
        <v>0</v>
      </c>
      <c r="E30" s="376">
        <f>AGOSTO!E30+SEPTIEMBRE!Q30</f>
        <v>0</v>
      </c>
      <c r="F30" s="376">
        <f>SUM(C30:E30)</f>
        <v>24095828</v>
      </c>
      <c r="G30" s="376">
        <f>AGOSTO!I30</f>
        <v>8569084</v>
      </c>
      <c r="H30" s="377">
        <v>-173643</v>
      </c>
      <c r="I30" s="376">
        <f>SUM(G30:H30)</f>
        <v>8395441</v>
      </c>
      <c r="J30" s="376">
        <f>AGOSTO!L30</f>
        <v>2764615</v>
      </c>
      <c r="K30" s="377">
        <v>2529165</v>
      </c>
      <c r="L30" s="376">
        <f>SUM(J30:K30)</f>
        <v>5293780</v>
      </c>
      <c r="M30" s="376">
        <f>F30-I30</f>
        <v>15700387</v>
      </c>
      <c r="N30" s="146">
        <f>F30-L30</f>
        <v>18802048</v>
      </c>
      <c r="O30" s="9"/>
      <c r="P30" s="375">
        <v>0</v>
      </c>
      <c r="Q30" s="378">
        <v>0</v>
      </c>
      <c r="R30" s="9"/>
      <c r="S30" s="720" t="str">
        <f>+IF(AGOSTO!S30=0,"",AGOSTO!S30)</f>
        <v>1010104-12</v>
      </c>
      <c r="T30" s="694" t="str">
        <f>+IF(AGOSTO!T30=0,"",AGOSTO!T30)</f>
        <v xml:space="preserve"> Indemnizaciones por Vacaciones o Supresión de Cargos por Reestructuración</v>
      </c>
      <c r="U30" s="27">
        <f>+ENERO!U30</f>
        <v>0</v>
      </c>
      <c r="V30" s="15">
        <f>AGOSTO!V30+SEPTIEMBRE!AL30</f>
        <v>0</v>
      </c>
      <c r="W30" s="15">
        <f>AGOSTO!W30+SEPTIEMBRE!AM30</f>
        <v>0</v>
      </c>
      <c r="X30" s="18">
        <f t="shared" si="17"/>
        <v>0</v>
      </c>
      <c r="Y30" s="19">
        <f>AGOSTO!AA30</f>
        <v>0</v>
      </c>
      <c r="Z30" s="377">
        <v>0</v>
      </c>
      <c r="AA30" s="18">
        <f t="shared" si="18"/>
        <v>0</v>
      </c>
      <c r="AB30" s="19">
        <f>AGOSTO!AD30</f>
        <v>0</v>
      </c>
      <c r="AC30" s="377">
        <v>0</v>
      </c>
      <c r="AD30" s="18">
        <f t="shared" si="19"/>
        <v>0</v>
      </c>
      <c r="AE30" s="19">
        <f>AGOSTO!AG30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378000000</v>
      </c>
      <c r="AR30" s="376">
        <f>AD220+AD232</f>
        <v>81872992</v>
      </c>
      <c r="AS30" s="376">
        <f>AG220+AG232</f>
        <v>63461000</v>
      </c>
      <c r="AT30" s="434"/>
      <c r="AU30" s="376">
        <f t="shared" si="25"/>
        <v>0.21659521693121694</v>
      </c>
      <c r="AV30" s="376">
        <f t="shared" si="26"/>
        <v>0.16788624338624339</v>
      </c>
      <c r="AW30" s="376">
        <f>(AR30-AD225-AD230-AD241-AD256)/$AO$2*12+AD225+AD230+AD241+AD256</f>
        <v>109163989.33333334</v>
      </c>
      <c r="AX30" s="376">
        <f>(AS30-AG225-AG230-AG241-AG256)/$AO$2*12+AG225+AG230+AG241+AG256</f>
        <v>84614666.666666657</v>
      </c>
      <c r="AY30" s="376">
        <f t="shared" si="27"/>
        <v>-268836010.66666663</v>
      </c>
      <c r="AZ30" s="146">
        <f t="shared" si="28"/>
        <v>293385333.33333337</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+IF(AGOSTO!A31=0,"",AGOSTO!A31)</f>
        <v>1130103-1-2</v>
      </c>
      <c r="B31" s="654" t="str">
        <f>+IF(AGOSTO!B31=0,"",AGOSTO!B31)</f>
        <v>Vigencia Anterior</v>
      </c>
      <c r="C31" s="375">
        <f>+ENERO!C31</f>
        <v>0</v>
      </c>
      <c r="D31" s="376">
        <f>AGOSTO!D31+SEPTIEMBRE!P31</f>
        <v>0</v>
      </c>
      <c r="E31" s="376">
        <f>AGOSTO!E31+SEPTIEMBRE!Q31</f>
        <v>0</v>
      </c>
      <c r="F31" s="376">
        <f>SUM(C31:E31)</f>
        <v>0</v>
      </c>
      <c r="G31" s="376">
        <f>AGOSTO!I31</f>
        <v>0</v>
      </c>
      <c r="H31" s="377">
        <v>0</v>
      </c>
      <c r="I31" s="376">
        <f>SUM(G31:H31)</f>
        <v>0</v>
      </c>
      <c r="J31" s="376">
        <f>AGOSTO!L31</f>
        <v>0</v>
      </c>
      <c r="K31" s="377">
        <v>0</v>
      </c>
      <c r="L31" s="376">
        <f>SUM(J31:K31)</f>
        <v>0</v>
      </c>
      <c r="M31" s="376">
        <f>F31-I31</f>
        <v>0</v>
      </c>
      <c r="N31" s="146">
        <f>F31-L31</f>
        <v>0</v>
      </c>
      <c r="O31" s="385"/>
      <c r="P31" s="375">
        <v>0</v>
      </c>
      <c r="Q31" s="378">
        <v>0</v>
      </c>
      <c r="R31" s="9"/>
      <c r="S31" s="720" t="str">
        <f>+IF(AGOSTO!S31=0,"",AGOSTO!S31)</f>
        <v>1010104-13</v>
      </c>
      <c r="T31" s="694" t="str">
        <f>+IF(AGOSTO!T31=0,"",AGOSTO!T31)</f>
        <v>Bonificación Especial por Recreación</v>
      </c>
      <c r="U31" s="27">
        <f>+ENERO!U31</f>
        <v>1691144</v>
      </c>
      <c r="V31" s="15">
        <f>AGOSTO!V31+SEPTIEMBRE!AL31</f>
        <v>0</v>
      </c>
      <c r="W31" s="15">
        <f>AGOSTO!W31+SEPTIEMBRE!AM31</f>
        <v>0</v>
      </c>
      <c r="X31" s="18">
        <f t="shared" si="17"/>
        <v>1691144</v>
      </c>
      <c r="Y31" s="19">
        <f>AGOSTO!AA31</f>
        <v>283862</v>
      </c>
      <c r="Z31" s="377">
        <v>0</v>
      </c>
      <c r="AA31" s="18">
        <f t="shared" si="18"/>
        <v>283862</v>
      </c>
      <c r="AB31" s="19">
        <f>AGOSTO!AD31</f>
        <v>283862</v>
      </c>
      <c r="AC31" s="377">
        <v>0</v>
      </c>
      <c r="AD31" s="18">
        <f t="shared" si="19"/>
        <v>283862</v>
      </c>
      <c r="AE31" s="19">
        <f>AGOSTO!AG31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-360366858</v>
      </c>
      <c r="AS31" s="434">
        <f>AG258</f>
        <v>-2054277226</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3024160</v>
      </c>
      <c r="BR31" s="9"/>
    </row>
    <row r="32" spans="1:70" s="9" customFormat="1" ht="24.95" customHeight="1" thickBot="1" x14ac:dyDescent="0.3">
      <c r="A32" s="618" t="str">
        <f>+IF(AGOSTO!A32=0,"",AGOSTO!A32)</f>
        <v>1130103-2</v>
      </c>
      <c r="B32" s="655" t="str">
        <f>+IF(AGOSTO!B32=0,"",AGOSTO!B32)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+IF(AGOSTO!S32=0,"",AGOSTO!S32)</f>
        <v>1010104-14</v>
      </c>
      <c r="T32" s="694" t="str">
        <f>+IF(AGOSTO!T32=0,"",AGOSTO!T32)</f>
        <v/>
      </c>
      <c r="U32" s="27">
        <f>+ENERO!U32</f>
        <v>0</v>
      </c>
      <c r="V32" s="15">
        <f>AGOSTO!V32+SEPTIEMBRE!AL32</f>
        <v>0</v>
      </c>
      <c r="W32" s="15">
        <f>AGOSTO!W32+SEPTIEMBRE!AM32</f>
        <v>0</v>
      </c>
      <c r="X32" s="18">
        <f t="shared" si="17"/>
        <v>0</v>
      </c>
      <c r="Y32" s="19">
        <f>AGOSTO!AA32</f>
        <v>0</v>
      </c>
      <c r="Z32" s="377">
        <v>0</v>
      </c>
      <c r="AA32" s="18">
        <f t="shared" si="18"/>
        <v>0</v>
      </c>
      <c r="AB32" s="19">
        <f>AGOSTO!AD32</f>
        <v>0</v>
      </c>
      <c r="AC32" s="377">
        <v>0</v>
      </c>
      <c r="AD32" s="18">
        <f t="shared" si="19"/>
        <v>0</v>
      </c>
      <c r="AE32" s="19">
        <f>AGOSTO!AG32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2185743585</v>
      </c>
      <c r="AS32" s="398">
        <f>SUM(AS22:AS31)</f>
        <v>0</v>
      </c>
      <c r="AT32" s="444"/>
      <c r="AU32" s="445">
        <f t="shared" si="25"/>
        <v>0.56180105005259229</v>
      </c>
      <c r="AV32" s="445">
        <f t="shared" si="26"/>
        <v>0</v>
      </c>
      <c r="AW32" s="354">
        <f>SUM(AW22:AW31)</f>
        <v>3422446354.7222223</v>
      </c>
      <c r="AX32" s="354">
        <f>SUM(AX22:AX31)</f>
        <v>2797275809.7222223</v>
      </c>
      <c r="AY32" s="354">
        <f>SUM(AY22:AY31)</f>
        <v>-468154392.27777767</v>
      </c>
      <c r="AZ32" s="355">
        <f>SUM(AZ22:AZ31)</f>
        <v>1093324937.2777777</v>
      </c>
      <c r="BA32" s="385"/>
      <c r="BB32" s="425"/>
      <c r="BC32" s="425"/>
      <c r="BD32" s="425"/>
      <c r="BE32" s="425"/>
      <c r="BF32" s="425"/>
      <c r="BG32" s="385"/>
      <c r="BH32" s="385"/>
      <c r="BI32" s="385"/>
      <c r="BJ32" s="385"/>
      <c r="BK32" s="385"/>
      <c r="BM32" s="110" t="s">
        <v>140</v>
      </c>
      <c r="BN32" s="106">
        <f>+BN7+BN25+BN29+BN30+BN31</f>
        <v>3890600747</v>
      </c>
      <c r="BO32" s="107">
        <f>+BO7+BO25+BO29+BO30+BO31</f>
        <v>2726086676</v>
      </c>
      <c r="BP32" s="107">
        <f>+BP7+BP25+BP29+BP30+BP31</f>
        <v>2546110443</v>
      </c>
      <c r="BQ32" s="108">
        <f>+BQ7+BQ25+BQ29+BQ30+BQ31</f>
        <v>262319384</v>
      </c>
      <c r="BR32" s="385"/>
    </row>
    <row r="33" spans="1:70" s="425" customFormat="1" ht="24.95" customHeight="1" thickBot="1" x14ac:dyDescent="0.3">
      <c r="A33" s="618" t="str">
        <f>+IF(AGOSTO!A33=0,"",AGOSTO!A33)</f>
        <v>1130103-2-1</v>
      </c>
      <c r="B33" s="654" t="str">
        <f>+CONCATENATE("Vigencia ",INSTRUCCIONES!$F$3)</f>
        <v>Vigencia 2015</v>
      </c>
      <c r="C33" s="375">
        <f>+ENERO!C33</f>
        <v>0</v>
      </c>
      <c r="D33" s="376">
        <f>AGOSTO!D33+SEPTIEMBRE!P33</f>
        <v>0</v>
      </c>
      <c r="E33" s="376">
        <f>AGOSTO!E33+SEPTIEMBRE!Q33</f>
        <v>0</v>
      </c>
      <c r="F33" s="376">
        <f>SUM(C33:E33)</f>
        <v>0</v>
      </c>
      <c r="G33" s="376">
        <f>AGOSTO!I33</f>
        <v>0</v>
      </c>
      <c r="H33" s="377">
        <v>0</v>
      </c>
      <c r="I33" s="376">
        <f>SUM(G33:H33)</f>
        <v>0</v>
      </c>
      <c r="J33" s="376">
        <f>AGOSTO!L33</f>
        <v>0</v>
      </c>
      <c r="K33" s="377">
        <v>0</v>
      </c>
      <c r="L33" s="376">
        <f>SUM(J33:K33)</f>
        <v>0</v>
      </c>
      <c r="M33" s="376">
        <f>F33-I33</f>
        <v>0</v>
      </c>
      <c r="N33" s="146">
        <f>F33-L33</f>
        <v>0</v>
      </c>
      <c r="O33" s="9"/>
      <c r="P33" s="375">
        <v>0</v>
      </c>
      <c r="Q33" s="378">
        <v>0</v>
      </c>
      <c r="R33" s="9"/>
      <c r="S33" s="719">
        <f>+IF(AGOSTO!S33=0,"",AGOSTO!S33)</f>
        <v>1010199</v>
      </c>
      <c r="T33" s="693" t="str">
        <f>+IF(AGOSTO!T33=0,"",AGOSTO!T33)</f>
        <v>Vigencias Anteriores</v>
      </c>
      <c r="U33" s="27">
        <f>+ENERO!U33</f>
        <v>0</v>
      </c>
      <c r="V33" s="15">
        <f>AGOSTO!V33+SEPTIEMBRE!AL33</f>
        <v>0</v>
      </c>
      <c r="W33" s="15">
        <f>AGOSTO!W33+SEPTIEMBRE!AM33</f>
        <v>2702630</v>
      </c>
      <c r="X33" s="18">
        <f t="shared" si="17"/>
        <v>2702630</v>
      </c>
      <c r="Y33" s="19">
        <f>AGOSTO!AA33</f>
        <v>2702630</v>
      </c>
      <c r="Z33" s="377">
        <v>0</v>
      </c>
      <c r="AA33" s="18">
        <f t="shared" si="18"/>
        <v>2702630</v>
      </c>
      <c r="AB33" s="19">
        <f>AGOSTO!AD33</f>
        <v>2702630</v>
      </c>
      <c r="AC33" s="377">
        <v>0</v>
      </c>
      <c r="AD33" s="18">
        <f t="shared" si="19"/>
        <v>2702630</v>
      </c>
      <c r="AE33" s="19">
        <f>AGOSTO!AG33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299215632</v>
      </c>
      <c r="BP33" s="113">
        <f>AD258</f>
        <v>-360366858</v>
      </c>
      <c r="BQ33" s="114">
        <f>AF258</f>
        <v>1442537778</v>
      </c>
      <c r="BR33" s="385"/>
    </row>
    <row r="34" spans="1:70" s="425" customFormat="1" ht="24.95" customHeight="1" thickBot="1" x14ac:dyDescent="0.25">
      <c r="A34" s="618" t="str">
        <f>+IF(AGOSTO!A34=0,"",AGOSTO!A34)</f>
        <v>1130103-2-2</v>
      </c>
      <c r="B34" s="654" t="str">
        <f>+IF(AGOSTO!B34=0,"",AGOSTO!B34)</f>
        <v>Vigencia Anterior</v>
      </c>
      <c r="C34" s="375">
        <f>+ENERO!C34</f>
        <v>0</v>
      </c>
      <c r="D34" s="376">
        <f>AGOSTO!D34+SEPTIEMBRE!P34</f>
        <v>0</v>
      </c>
      <c r="E34" s="376">
        <f>AGOSTO!E34+SEPTIEMBRE!Q34</f>
        <v>0</v>
      </c>
      <c r="F34" s="376">
        <f>SUM(C34:E34)</f>
        <v>0</v>
      </c>
      <c r="G34" s="376">
        <f>AGOSTO!I34</f>
        <v>0</v>
      </c>
      <c r="H34" s="377">
        <v>0</v>
      </c>
      <c r="I34" s="376">
        <f>SUM(G34:H34)</f>
        <v>0</v>
      </c>
      <c r="J34" s="376">
        <f>AGOSTO!L34</f>
        <v>0</v>
      </c>
      <c r="K34" s="377">
        <v>0</v>
      </c>
      <c r="L34" s="376">
        <f>SUM(J34:K34)</f>
        <v>0</v>
      </c>
      <c r="M34" s="376">
        <f>F34-I34</f>
        <v>0</v>
      </c>
      <c r="N34" s="146">
        <f>F34-L34</f>
        <v>0</v>
      </c>
      <c r="O34" s="385"/>
      <c r="P34" s="375">
        <v>0</v>
      </c>
      <c r="Q34" s="378">
        <v>0</v>
      </c>
      <c r="R34" s="9"/>
      <c r="S34" s="369" t="str">
        <f>+IF(AGOSTO!S34=0,"",AGOSTO!S34)</f>
        <v/>
      </c>
      <c r="T34" s="708" t="str">
        <f>+IF(AGOSTO!T34=0,"",AGOSTO!T34)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+IF(AGOSTO!A35=0,"",AGOSTO!A35)</f>
        <v>1130103-3</v>
      </c>
      <c r="B35" s="655" t="str">
        <f>+IF(AGOSTO!B35=0,"",AGOSTO!B35)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+IF(AGOSTO!S35=0,"",AGOSTO!S35)</f>
        <v>1010200</v>
      </c>
      <c r="T35" s="692" t="str">
        <f>+IF(AGOSTO!T35=0,"",AGOSTO!T35)</f>
        <v>Servicios Personales Indirectos</v>
      </c>
      <c r="U35" s="135">
        <f t="shared" ref="U35:AJ35" si="34">SUM(U36:U41)</f>
        <v>215072393</v>
      </c>
      <c r="V35" s="124">
        <f t="shared" si="34"/>
        <v>0</v>
      </c>
      <c r="W35" s="124">
        <f t="shared" si="34"/>
        <v>27070478</v>
      </c>
      <c r="X35" s="132">
        <f t="shared" si="34"/>
        <v>242142871</v>
      </c>
      <c r="Y35" s="131">
        <f t="shared" si="34"/>
        <v>227490978</v>
      </c>
      <c r="Z35" s="124">
        <f t="shared" si="34"/>
        <v>450000</v>
      </c>
      <c r="AA35" s="132">
        <f t="shared" si="34"/>
        <v>227940978</v>
      </c>
      <c r="AB35" s="131">
        <f t="shared" si="34"/>
        <v>146995998</v>
      </c>
      <c r="AC35" s="124">
        <f t="shared" si="34"/>
        <v>25619370</v>
      </c>
      <c r="AD35" s="132">
        <f t="shared" si="34"/>
        <v>172615368</v>
      </c>
      <c r="AE35" s="131">
        <f t="shared" si="34"/>
        <v>111161320</v>
      </c>
      <c r="AF35" s="124">
        <f t="shared" si="34"/>
        <v>20953240</v>
      </c>
      <c r="AG35" s="132">
        <f t="shared" si="34"/>
        <v>132114560</v>
      </c>
      <c r="AH35" s="131">
        <f t="shared" si="34"/>
        <v>14201893</v>
      </c>
      <c r="AI35" s="124">
        <f t="shared" si="34"/>
        <v>69527503</v>
      </c>
      <c r="AJ35" s="133">
        <f t="shared" si="34"/>
        <v>110028311</v>
      </c>
      <c r="AK35" s="9"/>
      <c r="AL35" s="131">
        <f>SUM(AL36:AL41)</f>
        <v>0</v>
      </c>
      <c r="AM35" s="133">
        <f>SUM(AM36:AM41)</f>
        <v>0</v>
      </c>
      <c r="AN35" s="9"/>
      <c r="AO35" s="352"/>
      <c r="AP35" s="453"/>
      <c r="AQ35" s="295"/>
      <c r="AR35" s="454"/>
      <c r="AS35" s="454"/>
      <c r="AT35" s="454"/>
      <c r="AU35" s="455">
        <f>AR17-AR32</f>
        <v>624588041</v>
      </c>
      <c r="AV35" s="456">
        <f>AS17-AR32</f>
        <v>-214970682</v>
      </c>
      <c r="AW35" s="456" t="s">
        <v>158</v>
      </c>
      <c r="AX35" s="457"/>
      <c r="AY35" s="456">
        <f>AY17+AY32</f>
        <v>-394778877.27777761</v>
      </c>
      <c r="AZ35" s="458">
        <f>AZ17+AY32</f>
        <v>-1520280245.6111112</v>
      </c>
      <c r="BB35" s="425"/>
      <c r="BC35" s="425"/>
      <c r="BD35" s="425"/>
      <c r="BE35" s="425"/>
      <c r="BF35" s="425"/>
    </row>
    <row r="36" spans="1:70" s="385" customFormat="1" ht="24.95" customHeight="1" thickBot="1" x14ac:dyDescent="0.25">
      <c r="A36" s="618" t="str">
        <f>+IF(AGOSTO!A36=0,"",AGOSTO!A36)</f>
        <v>1130103-3-1</v>
      </c>
      <c r="B36" s="654" t="str">
        <f>+CONCATENATE("Vigencia ",INSTRUCCIONES!$F$3)</f>
        <v>Vigencia 2015</v>
      </c>
      <c r="C36" s="375">
        <f>+ENERO!C36</f>
        <v>0</v>
      </c>
      <c r="D36" s="376">
        <f>AGOSTO!D36+SEPTIEMBRE!P36</f>
        <v>0</v>
      </c>
      <c r="E36" s="376">
        <f>AGOSTO!E36+SEPTIEMBRE!Q36</f>
        <v>0</v>
      </c>
      <c r="F36" s="376">
        <f t="shared" ref="F36:F41" si="35">SUM(C36:E36)</f>
        <v>0</v>
      </c>
      <c r="G36" s="376">
        <f>AGOSTO!I36</f>
        <v>0</v>
      </c>
      <c r="H36" s="377">
        <v>0</v>
      </c>
      <c r="I36" s="376">
        <f t="shared" ref="I36:I41" si="36">SUM(G36:H36)</f>
        <v>0</v>
      </c>
      <c r="J36" s="376">
        <f>AGOSTO!L36</f>
        <v>0</v>
      </c>
      <c r="K36" s="377">
        <v>0</v>
      </c>
      <c r="L36" s="376">
        <f t="shared" ref="L36:L41" si="37">SUM(J36:K36)</f>
        <v>0</v>
      </c>
      <c r="M36" s="376">
        <f t="shared" ref="M36:M41" si="38">F36-I36</f>
        <v>0</v>
      </c>
      <c r="N36" s="146">
        <f t="shared" ref="N36:N41" si="39">F36-L36</f>
        <v>0</v>
      </c>
      <c r="O36" s="9"/>
      <c r="P36" s="375">
        <v>0</v>
      </c>
      <c r="Q36" s="378">
        <v>0</v>
      </c>
      <c r="R36" s="9"/>
      <c r="S36" s="719" t="str">
        <f>+IF(AGOSTO!S36=0,"",AGOSTO!S36)</f>
        <v>1010200-1</v>
      </c>
      <c r="T36" s="693" t="str">
        <f>+IF(AGOSTO!T36=0,"",AGOSTO!T36)</f>
        <v>Remuneración y Honorarios por Servicios Técnicos y Profesionales</v>
      </c>
      <c r="U36" s="27">
        <f>+ENERO!U36</f>
        <v>213224393</v>
      </c>
      <c r="V36" s="15">
        <f>AGOSTO!V36+SEPTIEMBRE!AL36</f>
        <v>0</v>
      </c>
      <c r="W36" s="15">
        <f>AGOSTO!W36+SEPTIEMBRE!AM36</f>
        <v>0</v>
      </c>
      <c r="X36" s="18">
        <f t="shared" ref="X36:X41" si="40">SUM(U36:W36)</f>
        <v>213224393</v>
      </c>
      <c r="Y36" s="19">
        <f>AGOSTO!AA36</f>
        <v>200420500</v>
      </c>
      <c r="Z36" s="377">
        <v>450000</v>
      </c>
      <c r="AA36" s="18">
        <f t="shared" ref="AA36:AA41" si="41">SUM(Y36:Z36)</f>
        <v>200870500</v>
      </c>
      <c r="AB36" s="19">
        <f>AGOSTO!AD36</f>
        <v>119925520</v>
      </c>
      <c r="AC36" s="377">
        <v>25619370</v>
      </c>
      <c r="AD36" s="18">
        <f t="shared" ref="AD36:AD41" si="42">SUM(AB36:AC36)</f>
        <v>145544890</v>
      </c>
      <c r="AE36" s="19">
        <f>AGOSTO!AG36</f>
        <v>91040696</v>
      </c>
      <c r="AF36" s="377">
        <v>20953240</v>
      </c>
      <c r="AG36" s="18">
        <f t="shared" ref="AG36:AG41" si="43">SUM(AE36:AF36)</f>
        <v>111993936</v>
      </c>
      <c r="AH36" s="19">
        <f t="shared" ref="AH36:AH41" si="44">X36-AA36</f>
        <v>12353893</v>
      </c>
      <c r="AI36" s="15">
        <f t="shared" ref="AI36:AI41" si="45">X36-AD36</f>
        <v>67679503</v>
      </c>
      <c r="AJ36" s="16">
        <f t="shared" ref="AJ36:AJ41" si="46">X36-AG36</f>
        <v>101230457</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+IF(AGOSTO!A37=0,"",AGOSTO!A37)</f>
        <v>1130103-3-2</v>
      </c>
      <c r="B37" s="654" t="str">
        <f>+IF(AGOSTO!B37=0,"",AGOSTO!B37)</f>
        <v>Vigencia Anterior</v>
      </c>
      <c r="C37" s="375">
        <f>+ENERO!C37</f>
        <v>0</v>
      </c>
      <c r="D37" s="376">
        <f>AGOSTO!D37+SEPTIEMBRE!P37</f>
        <v>0</v>
      </c>
      <c r="E37" s="376">
        <f>AGOSTO!E37+SEPTIEMBRE!Q37</f>
        <v>0</v>
      </c>
      <c r="F37" s="376">
        <f t="shared" si="35"/>
        <v>0</v>
      </c>
      <c r="G37" s="376">
        <f>AGOSTO!I37</f>
        <v>0</v>
      </c>
      <c r="H37" s="377">
        <v>0</v>
      </c>
      <c r="I37" s="376">
        <f t="shared" si="36"/>
        <v>0</v>
      </c>
      <c r="J37" s="376">
        <f>AGOSTO!L37</f>
        <v>0</v>
      </c>
      <c r="K37" s="377">
        <v>0</v>
      </c>
      <c r="L37" s="376">
        <f t="shared" si="37"/>
        <v>0</v>
      </c>
      <c r="M37" s="376">
        <f t="shared" si="38"/>
        <v>0</v>
      </c>
      <c r="N37" s="146">
        <f t="shared" si="39"/>
        <v>0</v>
      </c>
      <c r="P37" s="375">
        <v>0</v>
      </c>
      <c r="Q37" s="378">
        <v>0</v>
      </c>
      <c r="R37" s="9"/>
      <c r="S37" s="719" t="str">
        <f>+IF(AGOSTO!S37=0,"",AGOSTO!S37)</f>
        <v>1010200-2</v>
      </c>
      <c r="T37" s="693" t="str">
        <f>+IF(AGOSTO!T37=0,"",AGOSTO!T37)</f>
        <v>Personal Supernumerario</v>
      </c>
      <c r="U37" s="27">
        <f>+ENERO!U37</f>
        <v>0</v>
      </c>
      <c r="V37" s="15">
        <f>AGOSTO!V37+SEPTIEMBRE!AL37</f>
        <v>0</v>
      </c>
      <c r="W37" s="15">
        <f>AGOSTO!W37+SEPTIEMBRE!AM37</f>
        <v>0</v>
      </c>
      <c r="X37" s="18">
        <f t="shared" si="40"/>
        <v>0</v>
      </c>
      <c r="Y37" s="19">
        <f>AGOSTO!AA37</f>
        <v>0</v>
      </c>
      <c r="Z37" s="377">
        <v>0</v>
      </c>
      <c r="AA37" s="18">
        <f t="shared" si="41"/>
        <v>0</v>
      </c>
      <c r="AB37" s="19">
        <f>AGOSTO!AD37</f>
        <v>0</v>
      </c>
      <c r="AC37" s="377">
        <v>0</v>
      </c>
      <c r="AD37" s="18">
        <f t="shared" si="42"/>
        <v>0</v>
      </c>
      <c r="AE37" s="19">
        <f>AGOSTO!AG37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+IF(AGOSTO!A38=0,"",AGOSTO!A38)</f>
        <v>1130103-4</v>
      </c>
      <c r="B38" s="656" t="str">
        <f>+IF(AGOSTO!B38=0,"",AGOSTO!B38)</f>
        <v xml:space="preserve"> Aportes Patronales  1o. Nivel</v>
      </c>
      <c r="C38" s="375">
        <f>+ENERO!C38</f>
        <v>326631000</v>
      </c>
      <c r="D38" s="376">
        <f>AGOSTO!D38+SEPTIEMBRE!P38</f>
        <v>0</v>
      </c>
      <c r="E38" s="376">
        <f>AGOSTO!E38+SEPTIEMBRE!Q38</f>
        <v>0</v>
      </c>
      <c r="F38" s="376">
        <f t="shared" si="35"/>
        <v>326631000</v>
      </c>
      <c r="G38" s="376">
        <f>AGOSTO!I38</f>
        <v>210934991</v>
      </c>
      <c r="H38" s="377">
        <v>24815647</v>
      </c>
      <c r="I38" s="376">
        <f t="shared" si="36"/>
        <v>235750638</v>
      </c>
      <c r="J38" s="376">
        <f>AGOSTO!L38</f>
        <v>198525176</v>
      </c>
      <c r="K38" s="377">
        <f>24815647+8690999</f>
        <v>33506646</v>
      </c>
      <c r="L38" s="376">
        <f t="shared" si="37"/>
        <v>232031822</v>
      </c>
      <c r="M38" s="376">
        <f t="shared" si="38"/>
        <v>90880362</v>
      </c>
      <c r="N38" s="146">
        <f t="shared" si="39"/>
        <v>94599178</v>
      </c>
      <c r="O38" s="533"/>
      <c r="P38" s="375">
        <v>0</v>
      </c>
      <c r="Q38" s="378">
        <v>0</v>
      </c>
      <c r="R38" s="9"/>
      <c r="S38" s="719" t="str">
        <f>+IF(AGOSTO!S38=0,"",AGOSTO!S38)</f>
        <v>1010200-3</v>
      </c>
      <c r="T38" s="693" t="str">
        <f>+IF(AGOSTO!T38=0,"",AGOSTO!T38)</f>
        <v>Honorarios de la Junta Directiva</v>
      </c>
      <c r="U38" s="27">
        <f>+ENERO!U38</f>
        <v>1848000</v>
      </c>
      <c r="V38" s="15">
        <f>AGOSTO!V38+SEPTIEMBRE!AL38</f>
        <v>0</v>
      </c>
      <c r="W38" s="15">
        <f>AGOSTO!W38+SEPTIEMBRE!AM38</f>
        <v>0</v>
      </c>
      <c r="X38" s="18">
        <f t="shared" si="40"/>
        <v>1848000</v>
      </c>
      <c r="Y38" s="19">
        <f>AGOSTO!AA38</f>
        <v>0</v>
      </c>
      <c r="Z38" s="377">
        <v>0</v>
      </c>
      <c r="AA38" s="18">
        <f t="shared" si="41"/>
        <v>0</v>
      </c>
      <c r="AB38" s="19">
        <f>AGOSTO!AD38</f>
        <v>0</v>
      </c>
      <c r="AC38" s="377">
        <v>0</v>
      </c>
      <c r="AD38" s="18">
        <f t="shared" si="42"/>
        <v>0</v>
      </c>
      <c r="AE38" s="19">
        <f>AGOSTO!AG38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+IF(AGOSTO!A39=0,"",AGOSTO!A39)</f>
        <v>1130103-5</v>
      </c>
      <c r="B39" s="656" t="str">
        <f>+IF(AGOSTO!B39=0,"",AGOSTO!B39)</f>
        <v xml:space="preserve"> Aportes Patronales  2o. Nivel</v>
      </c>
      <c r="C39" s="375">
        <f>+ENERO!C39</f>
        <v>0</v>
      </c>
      <c r="D39" s="376">
        <f>AGOSTO!D39+SEPTIEMBRE!P39</f>
        <v>0</v>
      </c>
      <c r="E39" s="376">
        <f>AGOSTO!E39+SEPTIEMBRE!Q39</f>
        <v>0</v>
      </c>
      <c r="F39" s="376">
        <f t="shared" si="35"/>
        <v>0</v>
      </c>
      <c r="G39" s="376">
        <f>AGOSTO!I39</f>
        <v>0</v>
      </c>
      <c r="H39" s="377">
        <v>0</v>
      </c>
      <c r="I39" s="376">
        <f t="shared" si="36"/>
        <v>0</v>
      </c>
      <c r="J39" s="376">
        <f>AGOSTO!L39</f>
        <v>0</v>
      </c>
      <c r="K39" s="377">
        <v>0</v>
      </c>
      <c r="L39" s="376">
        <f t="shared" si="37"/>
        <v>0</v>
      </c>
      <c r="M39" s="376">
        <f t="shared" si="38"/>
        <v>0</v>
      </c>
      <c r="N39" s="146">
        <f t="shared" si="39"/>
        <v>0</v>
      </c>
      <c r="O39" s="533"/>
      <c r="P39" s="375">
        <v>0</v>
      </c>
      <c r="Q39" s="378">
        <v>0</v>
      </c>
      <c r="R39" s="9"/>
      <c r="S39" s="719" t="str">
        <f>+IF(AGOSTO!S39=0,"",AGOSTO!S39)</f>
        <v>1010200-4</v>
      </c>
      <c r="T39" s="693" t="str">
        <f>+IF(AGOSTO!T39=0,"",AGOSTO!T39)</f>
        <v>Otros Honorarios (Servicios de Cooperativa)</v>
      </c>
      <c r="U39" s="27">
        <f>+ENERO!U39</f>
        <v>0</v>
      </c>
      <c r="V39" s="15">
        <f>AGOSTO!V39+SEPTIEMBRE!AL39</f>
        <v>0</v>
      </c>
      <c r="W39" s="15">
        <f>AGOSTO!W39+SEPTIEMBRE!AM39</f>
        <v>0</v>
      </c>
      <c r="X39" s="18">
        <f t="shared" si="40"/>
        <v>0</v>
      </c>
      <c r="Y39" s="19">
        <f>AGOSTO!AA39</f>
        <v>0</v>
      </c>
      <c r="Z39" s="377">
        <v>0</v>
      </c>
      <c r="AA39" s="18">
        <f t="shared" si="41"/>
        <v>0</v>
      </c>
      <c r="AB39" s="19">
        <f>AGOSTO!AD39</f>
        <v>0</v>
      </c>
      <c r="AC39" s="377">
        <v>0</v>
      </c>
      <c r="AD39" s="18">
        <f t="shared" si="42"/>
        <v>0</v>
      </c>
      <c r="AE39" s="19">
        <f>AGOSTO!AG39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+IF(AGOSTO!A40=0,"",AGOSTO!A40)</f>
        <v>1130103-6</v>
      </c>
      <c r="B40" s="656" t="str">
        <f>+IF(AGOSTO!B40=0,"",AGOSTO!B40)</f>
        <v xml:space="preserve"> Aportes Patronales  3er. Nivel</v>
      </c>
      <c r="C40" s="375">
        <f>+ENERO!C40</f>
        <v>0</v>
      </c>
      <c r="D40" s="376">
        <f>AGOSTO!D40+SEPTIEMBRE!P40</f>
        <v>0</v>
      </c>
      <c r="E40" s="376">
        <f>AGOSTO!E40+SEPTIEMBRE!Q40</f>
        <v>0</v>
      </c>
      <c r="F40" s="376">
        <f t="shared" si="35"/>
        <v>0</v>
      </c>
      <c r="G40" s="376">
        <f>AGOSTO!I40</f>
        <v>0</v>
      </c>
      <c r="H40" s="377">
        <v>0</v>
      </c>
      <c r="I40" s="376">
        <f t="shared" si="36"/>
        <v>0</v>
      </c>
      <c r="J40" s="376">
        <f>AGOSTO!L40</f>
        <v>0</v>
      </c>
      <c r="K40" s="377">
        <v>0</v>
      </c>
      <c r="L40" s="376">
        <f t="shared" si="37"/>
        <v>0</v>
      </c>
      <c r="M40" s="376">
        <f t="shared" si="38"/>
        <v>0</v>
      </c>
      <c r="N40" s="146">
        <f t="shared" si="39"/>
        <v>0</v>
      </c>
      <c r="O40" s="533"/>
      <c r="P40" s="375">
        <v>0</v>
      </c>
      <c r="Q40" s="378">
        <v>0</v>
      </c>
      <c r="R40" s="9"/>
      <c r="S40" s="719" t="str">
        <f>+IF(AGOSTO!S40=0,"",AGOSTO!S40)</f>
        <v>1010200-6</v>
      </c>
      <c r="T40" s="693" t="str">
        <f>+IF(AGOSTO!T40=0,"",AGOSTO!T40)</f>
        <v>Certificación, Habilitación y Acreditación</v>
      </c>
      <c r="U40" s="27">
        <f>+ENERO!U40</f>
        <v>0</v>
      </c>
      <c r="V40" s="15">
        <f>AGOSTO!V40+SEPTIEMBRE!AL40</f>
        <v>0</v>
      </c>
      <c r="W40" s="15">
        <f>AGOSTO!W40+SEPTIEMBRE!AM40</f>
        <v>0</v>
      </c>
      <c r="X40" s="18">
        <f t="shared" si="40"/>
        <v>0</v>
      </c>
      <c r="Y40" s="19">
        <f>AGOSTO!AA40</f>
        <v>0</v>
      </c>
      <c r="Z40" s="377">
        <v>0</v>
      </c>
      <c r="AA40" s="18">
        <f t="shared" si="41"/>
        <v>0</v>
      </c>
      <c r="AB40" s="19">
        <f>AGOSTO!AD40</f>
        <v>0</v>
      </c>
      <c r="AC40" s="377">
        <v>0</v>
      </c>
      <c r="AD40" s="18">
        <f t="shared" si="42"/>
        <v>0</v>
      </c>
      <c r="AE40" s="19">
        <f>AGOSTO!AG40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+IF(AGOSTO!A41=0,"",AGOSTO!A41)</f>
        <v>1130104</v>
      </c>
      <c r="B41" s="653" t="str">
        <f>+IF(AGOSTO!B41=0,"",AGOSTO!B41)</f>
        <v>SUBSIDIO A LA OFERTA- ACTIVIDADES NO POS-S</v>
      </c>
      <c r="C41" s="375">
        <f>+ENERO!C41</f>
        <v>0</v>
      </c>
      <c r="D41" s="124">
        <f>AGOSTO!D41+SEPTIEMBRE!P41</f>
        <v>0</v>
      </c>
      <c r="E41" s="124">
        <f>AGOSTO!E41+SEPTIEMBRE!Q41</f>
        <v>0</v>
      </c>
      <c r="F41" s="124">
        <f t="shared" si="35"/>
        <v>0</v>
      </c>
      <c r="G41" s="124">
        <f>AGOSTO!I41</f>
        <v>0</v>
      </c>
      <c r="H41" s="377">
        <v>0</v>
      </c>
      <c r="I41" s="124">
        <f t="shared" si="36"/>
        <v>0</v>
      </c>
      <c r="J41" s="124">
        <f>AGOSTO!L41</f>
        <v>0</v>
      </c>
      <c r="K41" s="377">
        <v>0</v>
      </c>
      <c r="L41" s="124">
        <f t="shared" si="37"/>
        <v>0</v>
      </c>
      <c r="M41" s="124">
        <f t="shared" si="38"/>
        <v>0</v>
      </c>
      <c r="N41" s="133">
        <f t="shared" si="39"/>
        <v>0</v>
      </c>
      <c r="O41" s="385"/>
      <c r="P41" s="377">
        <v>0</v>
      </c>
      <c r="Q41" s="378">
        <v>0</v>
      </c>
      <c r="R41" s="9"/>
      <c r="S41" s="719">
        <f>+IF(AGOSTO!S41=0,"",AGOSTO!S41)</f>
        <v>1010299</v>
      </c>
      <c r="T41" s="693" t="str">
        <f>+IF(AGOSTO!T41=0,"",AGOSTO!T41)</f>
        <v>Vigencias Anteriores</v>
      </c>
      <c r="U41" s="27">
        <f>+ENERO!U41</f>
        <v>0</v>
      </c>
      <c r="V41" s="15">
        <f>AGOSTO!V41+SEPTIEMBRE!AL41</f>
        <v>0</v>
      </c>
      <c r="W41" s="15">
        <f>AGOSTO!W41+SEPTIEMBRE!AM41</f>
        <v>27070478</v>
      </c>
      <c r="X41" s="18">
        <f t="shared" si="40"/>
        <v>27070478</v>
      </c>
      <c r="Y41" s="19">
        <f>AGOSTO!AA41</f>
        <v>27070478</v>
      </c>
      <c r="Z41" s="377">
        <v>0</v>
      </c>
      <c r="AA41" s="18">
        <f t="shared" si="41"/>
        <v>27070478</v>
      </c>
      <c r="AB41" s="19">
        <f>AGOSTO!AD41</f>
        <v>27070478</v>
      </c>
      <c r="AC41" s="377">
        <v>0</v>
      </c>
      <c r="AD41" s="18">
        <f t="shared" si="42"/>
        <v>27070478</v>
      </c>
      <c r="AE41" s="19">
        <f>AGOSTO!AG41</f>
        <v>20120624</v>
      </c>
      <c r="AF41" s="377">
        <v>0</v>
      </c>
      <c r="AG41" s="18">
        <f t="shared" si="43"/>
        <v>20120624</v>
      </c>
      <c r="AH41" s="19">
        <f t="shared" si="44"/>
        <v>0</v>
      </c>
      <c r="AI41" s="15">
        <f t="shared" si="45"/>
        <v>0</v>
      </c>
      <c r="AJ41" s="16">
        <f t="shared" si="46"/>
        <v>6949854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+IF(AGOSTO!A42=0,"",AGOSTO!A42)</f>
        <v>1130106</v>
      </c>
      <c r="B42" s="653" t="str">
        <f>+IF(AGOSTO!B42=0,"",AGOSTO!B42)</f>
        <v>SALUD PUBLICA - PLAN DE INTERVENCIONES COLECTIVAS</v>
      </c>
      <c r="C42" s="43">
        <f t="shared" ref="C42:N42" si="47">SUM(C43:C44)</f>
        <v>94000000</v>
      </c>
      <c r="D42" s="44">
        <f t="shared" si="47"/>
        <v>0</v>
      </c>
      <c r="E42" s="44">
        <f t="shared" si="47"/>
        <v>17280673</v>
      </c>
      <c r="F42" s="44">
        <f t="shared" si="47"/>
        <v>111280673</v>
      </c>
      <c r="G42" s="44">
        <f t="shared" si="47"/>
        <v>57676049</v>
      </c>
      <c r="H42" s="44">
        <f t="shared" si="47"/>
        <v>9788072</v>
      </c>
      <c r="I42" s="44">
        <f t="shared" si="47"/>
        <v>67464121</v>
      </c>
      <c r="J42" s="44">
        <f t="shared" si="47"/>
        <v>55302287</v>
      </c>
      <c r="K42" s="44">
        <f t="shared" si="47"/>
        <v>9703105</v>
      </c>
      <c r="L42" s="44">
        <f t="shared" si="47"/>
        <v>65005392</v>
      </c>
      <c r="M42" s="44">
        <f t="shared" si="47"/>
        <v>43816552</v>
      </c>
      <c r="N42" s="45">
        <f t="shared" si="47"/>
        <v>46275281</v>
      </c>
      <c r="P42" s="43">
        <f>SUM(P43:P44)</f>
        <v>0</v>
      </c>
      <c r="Q42" s="45">
        <f>SUM(Q43:Q44)</f>
        <v>0</v>
      </c>
      <c r="R42" s="9"/>
      <c r="S42" s="369" t="str">
        <f>+IF(AGOSTO!S42=0,"",AGOSTO!S42)</f>
        <v/>
      </c>
      <c r="T42" s="708" t="str">
        <f>+IF(AGOSTO!T42=0,"",AGOSTO!T42)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+IF(AGOSTO!A43=0,"",AGOSTO!A43)</f>
        <v>1130106-1</v>
      </c>
      <c r="B43" s="654" t="str">
        <f>+CONCATENATE("Vigencia ",INSTRUCCIONES!$F$3)</f>
        <v>Vigencia 2015</v>
      </c>
      <c r="C43" s="375">
        <f>+ENERO!C43</f>
        <v>94000000</v>
      </c>
      <c r="D43" s="376">
        <f>AGOSTO!D43+SEPTIEMBRE!P43</f>
        <v>0</v>
      </c>
      <c r="E43" s="376">
        <f>AGOSTO!E43+SEPTIEMBRE!Q43</f>
        <v>17280673</v>
      </c>
      <c r="F43" s="376">
        <f>SUM(C43:E43)</f>
        <v>111280673</v>
      </c>
      <c r="G43" s="376">
        <f>AGOSTO!I43</f>
        <v>57676049</v>
      </c>
      <c r="H43" s="377">
        <v>9788072</v>
      </c>
      <c r="I43" s="376">
        <f>SUM(G43:H43)</f>
        <v>67464121</v>
      </c>
      <c r="J43" s="376">
        <f>AGOSTO!L43</f>
        <v>55302287</v>
      </c>
      <c r="K43" s="377">
        <v>9703105</v>
      </c>
      <c r="L43" s="376">
        <f>SUM(J43:K43)</f>
        <v>65005392</v>
      </c>
      <c r="M43" s="376">
        <f>F43-I43</f>
        <v>43816552</v>
      </c>
      <c r="N43" s="146">
        <f>F43-L43</f>
        <v>46275281</v>
      </c>
      <c r="O43" s="385"/>
      <c r="P43" s="375">
        <v>0</v>
      </c>
      <c r="Q43" s="378">
        <v>0</v>
      </c>
      <c r="R43" s="9"/>
      <c r="S43" s="718">
        <f>+IF(AGOSTO!S43=0,"",AGOSTO!S43)</f>
        <v>1010300</v>
      </c>
      <c r="T43" s="692" t="str">
        <f>+IF(AGOSTO!T43=0,"",AGOSTO!T43)</f>
        <v>Contribuciones Inherentes nómina al Sector Privado</v>
      </c>
      <c r="U43" s="135">
        <f t="shared" ref="U43:AJ43" si="48">U44+U49+U55</f>
        <v>111328187</v>
      </c>
      <c r="V43" s="124">
        <f t="shared" si="48"/>
        <v>0</v>
      </c>
      <c r="W43" s="124">
        <f t="shared" si="48"/>
        <v>43373015</v>
      </c>
      <c r="X43" s="132">
        <f t="shared" si="48"/>
        <v>154701202</v>
      </c>
      <c r="Y43" s="131">
        <f t="shared" si="48"/>
        <v>95611579</v>
      </c>
      <c r="Z43" s="124">
        <f t="shared" si="48"/>
        <v>6806966</v>
      </c>
      <c r="AA43" s="132">
        <f t="shared" si="48"/>
        <v>102418545</v>
      </c>
      <c r="AB43" s="131">
        <f t="shared" si="48"/>
        <v>95611579</v>
      </c>
      <c r="AC43" s="124">
        <f t="shared" si="48"/>
        <v>6806966</v>
      </c>
      <c r="AD43" s="132">
        <f t="shared" si="48"/>
        <v>102418545</v>
      </c>
      <c r="AE43" s="131">
        <f t="shared" si="48"/>
        <v>79702770</v>
      </c>
      <c r="AF43" s="124">
        <f t="shared" si="48"/>
        <v>6750266</v>
      </c>
      <c r="AG43" s="132">
        <f t="shared" si="48"/>
        <v>86453036</v>
      </c>
      <c r="AH43" s="131">
        <f t="shared" si="48"/>
        <v>52282657</v>
      </c>
      <c r="AI43" s="124">
        <f t="shared" si="48"/>
        <v>52282657</v>
      </c>
      <c r="AJ43" s="133">
        <f t="shared" si="48"/>
        <v>68248166</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+IF(AGOSTO!A44=0,"",AGOSTO!A44)</f>
        <v>1130106-2</v>
      </c>
      <c r="B44" s="654" t="str">
        <f>+IF(AGOSTO!B44=0,"",AGOSTO!B44)</f>
        <v>Vigencia Anterior</v>
      </c>
      <c r="C44" s="375">
        <f>+ENERO!C44</f>
        <v>0</v>
      </c>
      <c r="D44" s="376">
        <f>AGOSTO!D44+SEPTIEMBRE!P44</f>
        <v>0</v>
      </c>
      <c r="E44" s="376">
        <f>AGOSTO!E44+SEPTIEMBRE!Q44</f>
        <v>0</v>
      </c>
      <c r="F44" s="376">
        <f>SUM(C44:E44)</f>
        <v>0</v>
      </c>
      <c r="G44" s="376">
        <f>AGOSTO!I44</f>
        <v>0</v>
      </c>
      <c r="H44" s="377">
        <v>0</v>
      </c>
      <c r="I44" s="376">
        <f>SUM(G44:H44)</f>
        <v>0</v>
      </c>
      <c r="J44" s="376">
        <f>AGOSTO!L44</f>
        <v>0</v>
      </c>
      <c r="K44" s="377">
        <v>0</v>
      </c>
      <c r="L44" s="376">
        <f>SUM(J44:K44)</f>
        <v>0</v>
      </c>
      <c r="M44" s="376">
        <f>F44-I44</f>
        <v>0</v>
      </c>
      <c r="N44" s="146">
        <f>F44-L44</f>
        <v>0</v>
      </c>
      <c r="O44" s="385"/>
      <c r="P44" s="375">
        <v>0</v>
      </c>
      <c r="Q44" s="378">
        <v>0</v>
      </c>
      <c r="R44" s="9"/>
      <c r="S44" s="719">
        <f>+IF(AGOSTO!S44=0,"",AGOSTO!S44)</f>
        <v>1010301</v>
      </c>
      <c r="T44" s="693" t="str">
        <f>+IF(AGOSTO!T44=0,"",AGOSTO!T44)</f>
        <v>Contribuciones - Sin Situación de Fondos</v>
      </c>
      <c r="U44" s="27">
        <f t="shared" ref="U44:AJ44" si="49">SUM(U45:U48)</f>
        <v>96536264</v>
      </c>
      <c r="V44" s="15">
        <f t="shared" si="49"/>
        <v>0</v>
      </c>
      <c r="W44" s="15">
        <f t="shared" si="49"/>
        <v>0</v>
      </c>
      <c r="X44" s="18">
        <f t="shared" si="49"/>
        <v>96536264</v>
      </c>
      <c r="Y44" s="19">
        <f t="shared" si="49"/>
        <v>44494164</v>
      </c>
      <c r="Z44" s="145">
        <f t="shared" si="49"/>
        <v>5728666</v>
      </c>
      <c r="AA44" s="18">
        <f t="shared" si="49"/>
        <v>50222830</v>
      </c>
      <c r="AB44" s="19">
        <f t="shared" si="49"/>
        <v>44494164</v>
      </c>
      <c r="AC44" s="145">
        <f t="shared" si="49"/>
        <v>5728666</v>
      </c>
      <c r="AD44" s="18">
        <f t="shared" si="49"/>
        <v>50222830</v>
      </c>
      <c r="AE44" s="19">
        <f t="shared" si="49"/>
        <v>43208910</v>
      </c>
      <c r="AF44" s="145">
        <f t="shared" si="49"/>
        <v>5728666</v>
      </c>
      <c r="AG44" s="18">
        <f t="shared" si="49"/>
        <v>48937576</v>
      </c>
      <c r="AH44" s="19">
        <f t="shared" si="49"/>
        <v>46313434</v>
      </c>
      <c r="AI44" s="15">
        <f t="shared" si="49"/>
        <v>46313434</v>
      </c>
      <c r="AJ44" s="16">
        <f t="shared" si="49"/>
        <v>47598688</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+IF(AGOSTO!A45=0,"",AGOSTO!A45)</f>
        <v>1130107</v>
      </c>
      <c r="B45" s="653" t="str">
        <f>+IF(AGOSTO!B45=0,"",AGOSTO!B45)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+IF(AGOSTO!S45=0,"",AGOSTO!S45)</f>
        <v>1010301-1</v>
      </c>
      <c r="T45" s="694" t="str">
        <f>+IF(AGOSTO!T45=0,"",AGOSTO!T45)</f>
        <v>Aportes a E.P.S.- Sin sit. Fondos</v>
      </c>
      <c r="U45" s="27">
        <f>+ENERO!U45</f>
        <v>26843256</v>
      </c>
      <c r="V45" s="15">
        <f>AGOSTO!V45+SEPTIEMBRE!AL45</f>
        <v>0</v>
      </c>
      <c r="W45" s="15">
        <f>AGOSTO!W45+SEPTIEMBRE!AM45</f>
        <v>0</v>
      </c>
      <c r="X45" s="18">
        <f>SUM(U45:W45)</f>
        <v>26843256</v>
      </c>
      <c r="Y45" s="19">
        <f>AGOSTO!AA45</f>
        <v>18010521</v>
      </c>
      <c r="Z45" s="377">
        <v>2316942</v>
      </c>
      <c r="AA45" s="18">
        <f>SUM(Y45:Z45)</f>
        <v>20327463</v>
      </c>
      <c r="AB45" s="19">
        <f>AGOSTO!AD45</f>
        <v>18010521</v>
      </c>
      <c r="AC45" s="377">
        <v>2316942</v>
      </c>
      <c r="AD45" s="18">
        <f>SUM(AB45:AC45)</f>
        <v>20327463</v>
      </c>
      <c r="AE45" s="19">
        <f>AGOSTO!AG45</f>
        <v>18010521</v>
      </c>
      <c r="AF45" s="377">
        <v>2316942</v>
      </c>
      <c r="AG45" s="18">
        <f>SUM(AE45:AF45)</f>
        <v>20327463</v>
      </c>
      <c r="AH45" s="19">
        <f>X45-AA45</f>
        <v>6515793</v>
      </c>
      <c r="AI45" s="15">
        <f>X45-AD45</f>
        <v>6515793</v>
      </c>
      <c r="AJ45" s="16">
        <f>X45-AG45</f>
        <v>6515793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+IF(AGOSTO!A46=0,"",AGOSTO!A46)</f>
        <v>1130107-1</v>
      </c>
      <c r="B46" s="654" t="str">
        <f>+CONCATENATE("Vigencia ",INSTRUCCIONES!$F$3)</f>
        <v>Vigencia 2015</v>
      </c>
      <c r="C46" s="375">
        <f>+ENERO!C46</f>
        <v>0</v>
      </c>
      <c r="D46" s="376">
        <f>AGOSTO!D46+SEPTIEMBRE!P46</f>
        <v>0</v>
      </c>
      <c r="E46" s="376">
        <f>AGOSTO!E46+SEPTIEMBRE!Q46</f>
        <v>0</v>
      </c>
      <c r="F46" s="376">
        <f>SUM(C46:E46)</f>
        <v>0</v>
      </c>
      <c r="G46" s="376">
        <f>AGOSTO!I46</f>
        <v>0</v>
      </c>
      <c r="H46" s="377">
        <v>0</v>
      </c>
      <c r="I46" s="376">
        <f>SUM(G46:H46)</f>
        <v>0</v>
      </c>
      <c r="J46" s="376">
        <f>AGOSTO!L46</f>
        <v>0</v>
      </c>
      <c r="K46" s="377">
        <v>0</v>
      </c>
      <c r="L46" s="376">
        <f>SUM(J46:K46)</f>
        <v>0</v>
      </c>
      <c r="M46" s="376">
        <f>F46-I46</f>
        <v>0</v>
      </c>
      <c r="N46" s="146">
        <f>F46-L46</f>
        <v>0</v>
      </c>
      <c r="O46" s="385"/>
      <c r="P46" s="375">
        <v>0</v>
      </c>
      <c r="Q46" s="378">
        <v>0</v>
      </c>
      <c r="R46" s="9"/>
      <c r="S46" s="720" t="str">
        <f>+IF(AGOSTO!S46=0,"",AGOSTO!S46)</f>
        <v>1010301-2</v>
      </c>
      <c r="T46" s="694" t="str">
        <f>+IF(AGOSTO!T46=0,"",AGOSTO!T46)</f>
        <v>Aportes Fondos Pensionales - Sin Sit. Fondos</v>
      </c>
      <c r="U46" s="27">
        <f>+ENERO!U46</f>
        <v>37896396</v>
      </c>
      <c r="V46" s="15">
        <f>AGOSTO!V46+SEPTIEMBRE!AL46</f>
        <v>0</v>
      </c>
      <c r="W46" s="15">
        <f>AGOSTO!W46+SEPTIEMBRE!AM46</f>
        <v>0</v>
      </c>
      <c r="X46" s="18">
        <f>SUM(U46:W46)</f>
        <v>37896396</v>
      </c>
      <c r="Y46" s="19">
        <f>AGOSTO!AA46</f>
        <v>25426621</v>
      </c>
      <c r="Z46" s="377">
        <v>3270979</v>
      </c>
      <c r="AA46" s="18">
        <f>SUM(Y46:Z46)</f>
        <v>28697600</v>
      </c>
      <c r="AB46" s="19">
        <f>AGOSTO!AD46</f>
        <v>25426621</v>
      </c>
      <c r="AC46" s="377">
        <v>3270979</v>
      </c>
      <c r="AD46" s="18">
        <f>SUM(AB46:AC46)</f>
        <v>28697600</v>
      </c>
      <c r="AE46" s="19">
        <f>AGOSTO!AG46</f>
        <v>24141367</v>
      </c>
      <c r="AF46" s="377">
        <v>3270979</v>
      </c>
      <c r="AG46" s="18">
        <f>SUM(AE46:AF46)</f>
        <v>27412346</v>
      </c>
      <c r="AH46" s="19">
        <f>X46-AA46</f>
        <v>9198796</v>
      </c>
      <c r="AI46" s="15">
        <f>X46-AD46</f>
        <v>9198796</v>
      </c>
      <c r="AJ46" s="16">
        <f>X46-AG46</f>
        <v>10484050</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+IF(AGOSTO!A47=0,"",AGOSTO!A47)</f>
        <v>1130107-2</v>
      </c>
      <c r="B47" s="654" t="str">
        <f>+IF(AGOSTO!B47=0,"",AGOSTO!B47)</f>
        <v>Vigencia Anterior</v>
      </c>
      <c r="C47" s="375">
        <f>+ENERO!C47</f>
        <v>0</v>
      </c>
      <c r="D47" s="376">
        <f>AGOSTO!D47+SEPTIEMBRE!P47</f>
        <v>0</v>
      </c>
      <c r="E47" s="376">
        <f>AGOSTO!E47+SEPTIEMBRE!Q47</f>
        <v>0</v>
      </c>
      <c r="F47" s="376">
        <f>SUM(C47:E47)</f>
        <v>0</v>
      </c>
      <c r="G47" s="376">
        <f>AGOSTO!I47</f>
        <v>0</v>
      </c>
      <c r="H47" s="377">
        <v>0</v>
      </c>
      <c r="I47" s="376">
        <f>SUM(G47:H47)</f>
        <v>0</v>
      </c>
      <c r="J47" s="376">
        <f>AGOSTO!L47</f>
        <v>0</v>
      </c>
      <c r="K47" s="377">
        <v>0</v>
      </c>
      <c r="L47" s="376">
        <f>SUM(J47:K47)</f>
        <v>0</v>
      </c>
      <c r="M47" s="376">
        <f>F47-I47</f>
        <v>0</v>
      </c>
      <c r="N47" s="146">
        <f>F47-L47</f>
        <v>0</v>
      </c>
      <c r="O47" s="385"/>
      <c r="P47" s="375">
        <v>0</v>
      </c>
      <c r="Q47" s="378">
        <v>0</v>
      </c>
      <c r="R47" s="9"/>
      <c r="S47" s="720" t="str">
        <f>+IF(AGOSTO!S47=0,"",AGOSTO!S47)</f>
        <v>1010301-3</v>
      </c>
      <c r="T47" s="694" t="str">
        <f>+IF(AGOSTO!T47=0,"",AGOSTO!T47)</f>
        <v xml:space="preserve">Aportes a Fondos de Cesantia - Sin Sit. de Fondos </v>
      </c>
      <c r="U47" s="27">
        <f>+ENERO!U47</f>
        <v>30148119</v>
      </c>
      <c r="V47" s="15">
        <f>AGOSTO!V47+SEPTIEMBRE!AL47</f>
        <v>0</v>
      </c>
      <c r="W47" s="15">
        <f>AGOSTO!W47+SEPTIEMBRE!AM47</f>
        <v>0</v>
      </c>
      <c r="X47" s="18">
        <f>SUM(U47:W47)</f>
        <v>30148119</v>
      </c>
      <c r="Y47" s="19">
        <f>AGOSTO!AA47</f>
        <v>0</v>
      </c>
      <c r="Z47" s="377">
        <v>0</v>
      </c>
      <c r="AA47" s="18">
        <f>SUM(Y47:Z47)</f>
        <v>0</v>
      </c>
      <c r="AB47" s="19">
        <f>AGOSTO!AD47</f>
        <v>0</v>
      </c>
      <c r="AC47" s="377">
        <v>0</v>
      </c>
      <c r="AD47" s="18">
        <f>SUM(AB47:AC47)</f>
        <v>0</v>
      </c>
      <c r="AE47" s="19">
        <f>AGOSTO!AG47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+IF(AGOSTO!A48=0,"",AGOSTO!A48)</f>
        <v>1130108</v>
      </c>
      <c r="B48" s="653" t="str">
        <f>+IF(AGOSTO!B48=0,"",AGOSTO!B48)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+IF(AGOSTO!S48=0,"",AGOSTO!S48)</f>
        <v>1010301-4</v>
      </c>
      <c r="T48" s="694" t="str">
        <f>+IF(AGOSTO!T48=0,"",AGOSTO!T48)</f>
        <v xml:space="preserve">Aporte a ARL. - Sin Sit. de Fondos </v>
      </c>
      <c r="U48" s="27">
        <f>+ENERO!U48</f>
        <v>1648493</v>
      </c>
      <c r="V48" s="15">
        <f>AGOSTO!V48+SEPTIEMBRE!AL48</f>
        <v>0</v>
      </c>
      <c r="W48" s="15">
        <f>AGOSTO!W48+SEPTIEMBRE!AM48</f>
        <v>0</v>
      </c>
      <c r="X48" s="18">
        <f>SUM(U48:W48)</f>
        <v>1648493</v>
      </c>
      <c r="Y48" s="19">
        <f>AGOSTO!AA48</f>
        <v>1057022</v>
      </c>
      <c r="Z48" s="377">
        <v>140745</v>
      </c>
      <c r="AA48" s="18">
        <f>SUM(Y48:Z48)</f>
        <v>1197767</v>
      </c>
      <c r="AB48" s="19">
        <f>AGOSTO!AD48</f>
        <v>1057022</v>
      </c>
      <c r="AC48" s="377">
        <v>140745</v>
      </c>
      <c r="AD48" s="18">
        <f>SUM(AB48:AC48)</f>
        <v>1197767</v>
      </c>
      <c r="AE48" s="19">
        <f>AGOSTO!AG48</f>
        <v>1057022</v>
      </c>
      <c r="AF48" s="377">
        <v>140745</v>
      </c>
      <c r="AG48" s="18">
        <f>SUM(AE48:AF48)</f>
        <v>1197767</v>
      </c>
      <c r="AH48" s="19">
        <f>X48-AA48</f>
        <v>450726</v>
      </c>
      <c r="AI48" s="15">
        <f>X48-AD48</f>
        <v>450726</v>
      </c>
      <c r="AJ48" s="16">
        <f>X48-AG48</f>
        <v>450726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+IF(AGOSTO!A49=0,"",AGOSTO!A49)</f>
        <v>1130108-1</v>
      </c>
      <c r="B49" s="654" t="str">
        <f>+CONCATENATE("Vigencia ",INSTRUCCIONES!$F$3)</f>
        <v>Vigencia 2015</v>
      </c>
      <c r="C49" s="375">
        <f>+ENERO!C49</f>
        <v>0</v>
      </c>
      <c r="D49" s="376">
        <f>AGOSTO!D49+SEPTIEMBRE!P49</f>
        <v>0</v>
      </c>
      <c r="E49" s="376">
        <f>AGOSTO!E49+SEPTIEMBRE!Q49</f>
        <v>0</v>
      </c>
      <c r="F49" s="376">
        <f>SUM(C49:E49)</f>
        <v>0</v>
      </c>
      <c r="G49" s="376">
        <f>AGOSTO!I49</f>
        <v>0</v>
      </c>
      <c r="H49" s="377">
        <v>0</v>
      </c>
      <c r="I49" s="376">
        <f>SUM(G49:H49)</f>
        <v>0</v>
      </c>
      <c r="J49" s="376">
        <f>AGOSTO!L49</f>
        <v>0</v>
      </c>
      <c r="K49" s="377">
        <v>0</v>
      </c>
      <c r="L49" s="376">
        <f>SUM(J49:K49)</f>
        <v>0</v>
      </c>
      <c r="M49" s="376">
        <f>F49-I49</f>
        <v>0</v>
      </c>
      <c r="N49" s="146">
        <f>F49-L49</f>
        <v>0</v>
      </c>
      <c r="O49" s="385"/>
      <c r="P49" s="375">
        <v>0</v>
      </c>
      <c r="Q49" s="378">
        <v>0</v>
      </c>
      <c r="R49" s="9"/>
      <c r="S49" s="719">
        <f>+IF(AGOSTO!S49=0,"",AGOSTO!S49)</f>
        <v>1010302</v>
      </c>
      <c r="T49" s="693" t="str">
        <f>+IF(AGOSTO!T49=0,"",AGOSTO!T49)</f>
        <v>Contribuciones - Otros</v>
      </c>
      <c r="U49" s="27">
        <f t="shared" ref="U49:AJ49" si="52">SUM(U50:U54)</f>
        <v>14791923</v>
      </c>
      <c r="V49" s="15">
        <f t="shared" si="52"/>
        <v>0</v>
      </c>
      <c r="W49" s="15">
        <f t="shared" si="52"/>
        <v>13408841</v>
      </c>
      <c r="X49" s="18">
        <f t="shared" si="52"/>
        <v>28200764</v>
      </c>
      <c r="Y49" s="19">
        <f t="shared" si="52"/>
        <v>21153241</v>
      </c>
      <c r="Z49" s="145">
        <f t="shared" si="52"/>
        <v>1078300</v>
      </c>
      <c r="AA49" s="18">
        <f t="shared" si="52"/>
        <v>22231541</v>
      </c>
      <c r="AB49" s="19">
        <f t="shared" si="52"/>
        <v>21153241</v>
      </c>
      <c r="AC49" s="145">
        <f t="shared" si="52"/>
        <v>1078300</v>
      </c>
      <c r="AD49" s="18">
        <f t="shared" si="52"/>
        <v>22231541</v>
      </c>
      <c r="AE49" s="19">
        <f t="shared" si="52"/>
        <v>6722800</v>
      </c>
      <c r="AF49" s="145">
        <f t="shared" si="52"/>
        <v>1021600</v>
      </c>
      <c r="AG49" s="18">
        <f t="shared" si="52"/>
        <v>7744400</v>
      </c>
      <c r="AH49" s="19">
        <f t="shared" si="52"/>
        <v>5969223</v>
      </c>
      <c r="AI49" s="15">
        <f t="shared" si="52"/>
        <v>5969223</v>
      </c>
      <c r="AJ49" s="16">
        <f t="shared" si="52"/>
        <v>20456364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+IF(AGOSTO!A50=0,"",AGOSTO!A50)</f>
        <v>1130108-2</v>
      </c>
      <c r="B50" s="654" t="str">
        <f>+IF(AGOSTO!B50=0,"",AGOSTO!B50)</f>
        <v>Vigencia Anterior</v>
      </c>
      <c r="C50" s="375">
        <f>+ENERO!C50</f>
        <v>0</v>
      </c>
      <c r="D50" s="376">
        <f>AGOSTO!D50+SEPTIEMBRE!P50</f>
        <v>0</v>
      </c>
      <c r="E50" s="376">
        <f>AGOSTO!E50+SEPTIEMBRE!Q50</f>
        <v>0</v>
      </c>
      <c r="F50" s="376">
        <f>SUM(C50:E50)</f>
        <v>0</v>
      </c>
      <c r="G50" s="376">
        <f>AGOSTO!I50</f>
        <v>0</v>
      </c>
      <c r="H50" s="377">
        <v>0</v>
      </c>
      <c r="I50" s="376">
        <f>SUM(G50:H50)</f>
        <v>0</v>
      </c>
      <c r="J50" s="376">
        <f>AGOSTO!L50</f>
        <v>0</v>
      </c>
      <c r="K50" s="377">
        <v>0</v>
      </c>
      <c r="L50" s="376">
        <f>SUM(J50:K50)</f>
        <v>0</v>
      </c>
      <c r="M50" s="376">
        <f>F50-I50</f>
        <v>0</v>
      </c>
      <c r="N50" s="146">
        <f>F50-L50</f>
        <v>0</v>
      </c>
      <c r="O50" s="385"/>
      <c r="P50" s="375">
        <v>0</v>
      </c>
      <c r="Q50" s="378">
        <v>0</v>
      </c>
      <c r="R50" s="9"/>
      <c r="S50" s="720" t="str">
        <f>+IF(AGOSTO!S50=0,"",AGOSTO!S50)</f>
        <v>1010302-1</v>
      </c>
      <c r="T50" s="694" t="str">
        <f>+IF(AGOSTO!T50=0,"",AGOSTO!T50)</f>
        <v>Aportes a E.P.S.- Con sit. Fondos</v>
      </c>
      <c r="U50" s="27">
        <f>+ENERO!U50</f>
        <v>0</v>
      </c>
      <c r="V50" s="15">
        <f>AGOSTO!V50+SEPTIEMBRE!AL50</f>
        <v>0</v>
      </c>
      <c r="W50" s="15">
        <f>AGOSTO!W50+SEPTIEMBRE!AM50</f>
        <v>13408841</v>
      </c>
      <c r="X50" s="18">
        <f t="shared" ref="X50:X55" si="53">SUM(U50:W50)</f>
        <v>13408841</v>
      </c>
      <c r="Y50" s="19">
        <f>AGOSTO!AA50</f>
        <v>13408841</v>
      </c>
      <c r="Z50" s="377">
        <v>0</v>
      </c>
      <c r="AA50" s="18">
        <f t="shared" ref="AA50:AA55" si="54">SUM(Y50:Z50)</f>
        <v>13408841</v>
      </c>
      <c r="AB50" s="19">
        <f>AGOSTO!AD50</f>
        <v>13408841</v>
      </c>
      <c r="AC50" s="377">
        <v>0</v>
      </c>
      <c r="AD50" s="18">
        <f t="shared" ref="AD50:AD55" si="55">SUM(AB50:AC50)</f>
        <v>13408841</v>
      </c>
      <c r="AE50" s="19">
        <f>AGOSTO!AG50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+IF(AGOSTO!A51=0,"",AGOSTO!A51)</f>
        <v>1130109</v>
      </c>
      <c r="B51" s="653" t="str">
        <f>+IF(AGOSTO!B51=0,"",AGOSTO!B51)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+IF(AGOSTO!S51=0,"",AGOSTO!S51)</f>
        <v>1010302-2</v>
      </c>
      <c r="T51" s="694" t="str">
        <f>+IF(AGOSTO!T51=0,"",AGOSTO!T51)</f>
        <v>Aportes Fondos Pensionales - Con Sit. Fondos</v>
      </c>
      <c r="U51" s="27">
        <f>+ENERO!U51</f>
        <v>0</v>
      </c>
      <c r="V51" s="15">
        <f>AGOSTO!V51+SEPTIEMBRE!AL51</f>
        <v>0</v>
      </c>
      <c r="W51" s="15">
        <f>AGOSTO!W51+SEPTIEMBRE!AM51</f>
        <v>0</v>
      </c>
      <c r="X51" s="18">
        <f t="shared" si="53"/>
        <v>0</v>
      </c>
      <c r="Y51" s="19">
        <f>AGOSTO!AA51</f>
        <v>0</v>
      </c>
      <c r="Z51" s="377">
        <v>0</v>
      </c>
      <c r="AA51" s="18">
        <f t="shared" si="54"/>
        <v>0</v>
      </c>
      <c r="AB51" s="19">
        <f>AGOSTO!AD51</f>
        <v>0</v>
      </c>
      <c r="AC51" s="377">
        <v>0</v>
      </c>
      <c r="AD51" s="18">
        <f t="shared" si="55"/>
        <v>0</v>
      </c>
      <c r="AE51" s="19">
        <f>AGOSTO!AG51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+IF(AGOSTO!A52=0,"",AGOSTO!A52)</f>
        <v>1130109-1</v>
      </c>
      <c r="B52" s="654" t="str">
        <f>+CONCATENATE("Vigencia ",INSTRUCCIONES!$F$3)</f>
        <v>Vigencia 2015</v>
      </c>
      <c r="C52" s="375">
        <f>+ENERO!C52</f>
        <v>0</v>
      </c>
      <c r="D52" s="376">
        <f>AGOSTO!D52+SEPTIEMBRE!P52</f>
        <v>0</v>
      </c>
      <c r="E52" s="376">
        <f>AGOSTO!E52+SEPTIEMBRE!Q52</f>
        <v>0</v>
      </c>
      <c r="F52" s="376">
        <f>SUM(C52:E52)</f>
        <v>0</v>
      </c>
      <c r="G52" s="376">
        <f>AGOSTO!I52</f>
        <v>0</v>
      </c>
      <c r="H52" s="377">
        <v>0</v>
      </c>
      <c r="I52" s="376">
        <f>SUM(G52:H52)</f>
        <v>0</v>
      </c>
      <c r="J52" s="376">
        <f>AGOSTO!L52</f>
        <v>0</v>
      </c>
      <c r="K52" s="377">
        <v>0</v>
      </c>
      <c r="L52" s="376">
        <f>SUM(J52:K52)</f>
        <v>0</v>
      </c>
      <c r="M52" s="376">
        <f>F52-I52</f>
        <v>0</v>
      </c>
      <c r="N52" s="146">
        <f>F52-L52</f>
        <v>0</v>
      </c>
      <c r="O52" s="385"/>
      <c r="P52" s="375">
        <v>0</v>
      </c>
      <c r="Q52" s="378">
        <v>0</v>
      </c>
      <c r="R52" s="9"/>
      <c r="S52" s="720" t="str">
        <f>+IF(AGOSTO!S52=0,"",AGOSTO!S52)</f>
        <v>1010302-3</v>
      </c>
      <c r="T52" s="694" t="str">
        <f>+IF(AGOSTO!T52=0,"",AGOSTO!T52)</f>
        <v xml:space="preserve">Aportes a Fondos de Cesantia - Con Sit. de Fondos </v>
      </c>
      <c r="U52" s="27">
        <f>+ENERO!U52</f>
        <v>0</v>
      </c>
      <c r="V52" s="15">
        <f>AGOSTO!V52+SEPTIEMBRE!AL52</f>
        <v>0</v>
      </c>
      <c r="W52" s="15">
        <f>AGOSTO!W52+SEPTIEMBRE!AM52</f>
        <v>0</v>
      </c>
      <c r="X52" s="18">
        <f t="shared" si="53"/>
        <v>0</v>
      </c>
      <c r="Y52" s="19">
        <f>AGOSTO!AA52</f>
        <v>0</v>
      </c>
      <c r="Z52" s="377">
        <v>0</v>
      </c>
      <c r="AA52" s="18">
        <f t="shared" si="54"/>
        <v>0</v>
      </c>
      <c r="AB52" s="19">
        <f>AGOSTO!AD52</f>
        <v>0</v>
      </c>
      <c r="AC52" s="377">
        <v>0</v>
      </c>
      <c r="AD52" s="18">
        <f t="shared" si="55"/>
        <v>0</v>
      </c>
      <c r="AE52" s="19">
        <f>AGOSTO!AG52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+IF(AGOSTO!A53=0,"",AGOSTO!A53)</f>
        <v>1130109-2</v>
      </c>
      <c r="B53" s="654" t="str">
        <f>+IF(AGOSTO!B53=0,"",AGOSTO!B53)</f>
        <v>Vigencia Anterior</v>
      </c>
      <c r="C53" s="375">
        <f>+ENERO!C53</f>
        <v>0</v>
      </c>
      <c r="D53" s="376">
        <f>AGOSTO!D53+SEPTIEMBRE!P53</f>
        <v>0</v>
      </c>
      <c r="E53" s="376">
        <f>AGOSTO!E53+SEPTIEMBRE!Q53</f>
        <v>0</v>
      </c>
      <c r="F53" s="376">
        <f>SUM(C53:E53)</f>
        <v>0</v>
      </c>
      <c r="G53" s="376">
        <f>AGOSTO!I53</f>
        <v>0</v>
      </c>
      <c r="H53" s="377">
        <v>0</v>
      </c>
      <c r="I53" s="376">
        <f>SUM(G53:H53)</f>
        <v>0</v>
      </c>
      <c r="J53" s="376">
        <f>AGOSTO!L53</f>
        <v>0</v>
      </c>
      <c r="K53" s="377">
        <v>0</v>
      </c>
      <c r="L53" s="376">
        <f>SUM(J53:K53)</f>
        <v>0</v>
      </c>
      <c r="M53" s="376">
        <f>F53-I53</f>
        <v>0</v>
      </c>
      <c r="N53" s="146">
        <f>F53-L53</f>
        <v>0</v>
      </c>
      <c r="O53" s="385"/>
      <c r="P53" s="375">
        <v>0</v>
      </c>
      <c r="Q53" s="378">
        <v>0</v>
      </c>
      <c r="R53" s="9"/>
      <c r="S53" s="720" t="str">
        <f>+IF(AGOSTO!S53=0,"",AGOSTO!S53)</f>
        <v>1010302-4</v>
      </c>
      <c r="T53" s="694" t="str">
        <f>+IF(AGOSTO!T53=0,"",AGOSTO!T53)</f>
        <v>Aporte a ARL. - Con Sit. de Fondos</v>
      </c>
      <c r="U53" s="27">
        <f>+ENERO!U53</f>
        <v>0</v>
      </c>
      <c r="V53" s="15">
        <f>AGOSTO!V53+SEPTIEMBRE!AL53</f>
        <v>0</v>
      </c>
      <c r="W53" s="15">
        <f>AGOSTO!W53+SEPTIEMBRE!AM53</f>
        <v>0</v>
      </c>
      <c r="X53" s="18">
        <f t="shared" si="53"/>
        <v>0</v>
      </c>
      <c r="Y53" s="19">
        <f>AGOSTO!AA53</f>
        <v>0</v>
      </c>
      <c r="Z53" s="377">
        <v>0</v>
      </c>
      <c r="AA53" s="18">
        <f t="shared" si="54"/>
        <v>0</v>
      </c>
      <c r="AB53" s="19">
        <f>AGOSTO!AD53</f>
        <v>0</v>
      </c>
      <c r="AC53" s="377">
        <v>0</v>
      </c>
      <c r="AD53" s="18">
        <f t="shared" si="55"/>
        <v>0</v>
      </c>
      <c r="AE53" s="19">
        <f>AGOSTO!AG53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+IF(AGOSTO!A54=0,"",AGOSTO!A54)</f>
        <v>1130110</v>
      </c>
      <c r="B54" s="653" t="str">
        <f>+IF(AGOSTO!B54=0,"",AGOSTO!B54)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+IF(AGOSTO!S54=0,"",AGOSTO!S54)</f>
        <v>1010302-5</v>
      </c>
      <c r="T54" s="694" t="str">
        <f>+IF(AGOSTO!T54=0,"",AGOSTO!T54)</f>
        <v>Aporte a Caja Compensación Familiar</v>
      </c>
      <c r="U54" s="27">
        <f>+ENERO!U54</f>
        <v>14791923</v>
      </c>
      <c r="V54" s="15">
        <f>AGOSTO!V54+SEPTIEMBRE!AL54</f>
        <v>0</v>
      </c>
      <c r="W54" s="15">
        <f>AGOSTO!W54+SEPTIEMBRE!AM54</f>
        <v>0</v>
      </c>
      <c r="X54" s="18">
        <f t="shared" si="53"/>
        <v>14791923</v>
      </c>
      <c r="Y54" s="19">
        <f>AGOSTO!AA54</f>
        <v>7744400</v>
      </c>
      <c r="Z54" s="377">
        <v>1078300</v>
      </c>
      <c r="AA54" s="18">
        <f t="shared" si="54"/>
        <v>8822700</v>
      </c>
      <c r="AB54" s="19">
        <f>AGOSTO!AD54</f>
        <v>7744400</v>
      </c>
      <c r="AC54" s="377">
        <v>1078300</v>
      </c>
      <c r="AD54" s="18">
        <f t="shared" si="55"/>
        <v>8822700</v>
      </c>
      <c r="AE54" s="19">
        <f>AGOSTO!AG54</f>
        <v>6722800</v>
      </c>
      <c r="AF54" s="377">
        <v>1021600</v>
      </c>
      <c r="AG54" s="18">
        <f t="shared" si="56"/>
        <v>7744400</v>
      </c>
      <c r="AH54" s="19">
        <f t="shared" si="57"/>
        <v>5969223</v>
      </c>
      <c r="AI54" s="15">
        <f t="shared" si="58"/>
        <v>5969223</v>
      </c>
      <c r="AJ54" s="16">
        <f t="shared" si="59"/>
        <v>7047523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+IF(AGOSTO!A55=0,"",AGOSTO!A55)</f>
        <v>1130110-1</v>
      </c>
      <c r="B55" s="654" t="str">
        <f>+CONCATENATE("Vigencia ",INSTRUCCIONES!$F$3)</f>
        <v>Vigencia 2015</v>
      </c>
      <c r="C55" s="375">
        <f>+ENERO!C55</f>
        <v>0</v>
      </c>
      <c r="D55" s="376">
        <f>AGOSTO!D55+SEPTIEMBRE!P55</f>
        <v>0</v>
      </c>
      <c r="E55" s="376">
        <f>AGOSTO!E55+SEPTIEMBRE!Q55</f>
        <v>0</v>
      </c>
      <c r="F55" s="376">
        <f>SUM(C55:E55)</f>
        <v>0</v>
      </c>
      <c r="G55" s="376">
        <f>AGOSTO!I55</f>
        <v>0</v>
      </c>
      <c r="H55" s="377">
        <v>0</v>
      </c>
      <c r="I55" s="376">
        <f>SUM(G55:H55)</f>
        <v>0</v>
      </c>
      <c r="J55" s="376">
        <f>AGOSTO!L55</f>
        <v>0</v>
      </c>
      <c r="K55" s="377">
        <v>0</v>
      </c>
      <c r="L55" s="376">
        <f>SUM(J55:K55)</f>
        <v>0</v>
      </c>
      <c r="M55" s="376">
        <f>F55-I55</f>
        <v>0</v>
      </c>
      <c r="N55" s="146">
        <f>F55-L55</f>
        <v>0</v>
      </c>
      <c r="O55" s="385"/>
      <c r="P55" s="375">
        <v>0</v>
      </c>
      <c r="Q55" s="378">
        <v>0</v>
      </c>
      <c r="R55" s="9"/>
      <c r="S55" s="719">
        <f>+IF(AGOSTO!S55=0,"",AGOSTO!S55)</f>
        <v>1010399</v>
      </c>
      <c r="T55" s="693" t="str">
        <f>+IF(AGOSTO!T55=0,"",AGOSTO!T55)</f>
        <v>Vigencias Anteriores</v>
      </c>
      <c r="U55" s="27">
        <f>+ENERO!U55</f>
        <v>0</v>
      </c>
      <c r="V55" s="15">
        <f>AGOSTO!V55+SEPTIEMBRE!AL55</f>
        <v>0</v>
      </c>
      <c r="W55" s="15">
        <f>AGOSTO!W55+SEPTIEMBRE!AM55</f>
        <v>29964174</v>
      </c>
      <c r="X55" s="18">
        <f t="shared" si="53"/>
        <v>29964174</v>
      </c>
      <c r="Y55" s="19">
        <f>AGOSTO!AA55</f>
        <v>29964174</v>
      </c>
      <c r="Z55" s="377">
        <v>0</v>
      </c>
      <c r="AA55" s="18">
        <f t="shared" si="54"/>
        <v>29964174</v>
      </c>
      <c r="AB55" s="19">
        <f>AGOSTO!AD55</f>
        <v>29964174</v>
      </c>
      <c r="AC55" s="377">
        <v>0</v>
      </c>
      <c r="AD55" s="18">
        <f t="shared" si="55"/>
        <v>29964174</v>
      </c>
      <c r="AE55" s="19">
        <f>AGOSTO!AG55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+IF(AGOSTO!A56=0,"",AGOSTO!A56)</f>
        <v>1130110-2</v>
      </c>
      <c r="B56" s="654" t="str">
        <f>+IF(AGOSTO!B56=0,"",AGOSTO!B56)</f>
        <v>Vigencia Anterior</v>
      </c>
      <c r="C56" s="375">
        <f>+ENERO!C56</f>
        <v>0</v>
      </c>
      <c r="D56" s="376">
        <f>AGOSTO!D56+SEPTIEMBRE!P56</f>
        <v>0</v>
      </c>
      <c r="E56" s="376">
        <f>AGOSTO!E56+SEPTIEMBRE!Q56</f>
        <v>0</v>
      </c>
      <c r="F56" s="376">
        <f>SUM(C56:E56)</f>
        <v>0</v>
      </c>
      <c r="G56" s="376">
        <f>AGOSTO!I56</f>
        <v>0</v>
      </c>
      <c r="H56" s="377">
        <v>0</v>
      </c>
      <c r="I56" s="376">
        <f>SUM(G56:H56)</f>
        <v>0</v>
      </c>
      <c r="J56" s="376">
        <f>AGOSTO!L56</f>
        <v>0</v>
      </c>
      <c r="K56" s="377">
        <v>0</v>
      </c>
      <c r="L56" s="376">
        <f>SUM(J56:K56)</f>
        <v>0</v>
      </c>
      <c r="M56" s="376">
        <f>F56-I56</f>
        <v>0</v>
      </c>
      <c r="N56" s="146">
        <f>F56-L56</f>
        <v>0</v>
      </c>
      <c r="O56" s="385"/>
      <c r="P56" s="375">
        <v>0</v>
      </c>
      <c r="Q56" s="378">
        <v>0</v>
      </c>
      <c r="R56" s="9"/>
      <c r="S56" s="369" t="str">
        <f>+IF(AGOSTO!S56=0,"",AGOSTO!S56)</f>
        <v/>
      </c>
      <c r="T56" s="708" t="str">
        <f>+IF(AGOSTO!T56=0,"",AGOSTO!T56)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+IF(AGOSTO!A57=0,"",AGOSTO!A57)</f>
        <v>1130111</v>
      </c>
      <c r="B57" s="653" t="str">
        <f>+IF(AGOSTO!B57=0,"",AGOSTO!B57)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+IF(AGOSTO!S57=0,"",AGOSTO!S57)</f>
        <v>1010400</v>
      </c>
      <c r="T57" s="692" t="str">
        <f>+IF(AGOSTO!T57=0,"",AGOSTO!T57)</f>
        <v>Contribuciones Inherentes nómina del Sector Publico</v>
      </c>
      <c r="U57" s="135">
        <f t="shared" ref="U57:AJ57" si="63">U58+U61</f>
        <v>18489903</v>
      </c>
      <c r="V57" s="124">
        <f t="shared" si="63"/>
        <v>0</v>
      </c>
      <c r="W57" s="124">
        <f t="shared" si="63"/>
        <v>1280600</v>
      </c>
      <c r="X57" s="132">
        <f t="shared" si="63"/>
        <v>19770503</v>
      </c>
      <c r="Y57" s="131">
        <f t="shared" si="63"/>
        <v>12132600</v>
      </c>
      <c r="Z57" s="124">
        <f t="shared" si="63"/>
        <v>1348300</v>
      </c>
      <c r="AA57" s="132">
        <f t="shared" si="63"/>
        <v>13480900</v>
      </c>
      <c r="AB57" s="131">
        <f t="shared" si="63"/>
        <v>12132600</v>
      </c>
      <c r="AC57" s="124">
        <f t="shared" si="63"/>
        <v>1348300</v>
      </c>
      <c r="AD57" s="132">
        <f t="shared" si="63"/>
        <v>13480900</v>
      </c>
      <c r="AE57" s="131">
        <f t="shared" si="63"/>
        <v>10855500</v>
      </c>
      <c r="AF57" s="124">
        <f t="shared" si="63"/>
        <v>1277100</v>
      </c>
      <c r="AG57" s="132">
        <f t="shared" si="63"/>
        <v>12132600</v>
      </c>
      <c r="AH57" s="131">
        <f t="shared" si="63"/>
        <v>6289603</v>
      </c>
      <c r="AI57" s="124">
        <f t="shared" si="63"/>
        <v>6289603</v>
      </c>
      <c r="AJ57" s="133">
        <f t="shared" si="63"/>
        <v>7637903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+IF(AGOSTO!A58=0,"",AGOSTO!A58)</f>
        <v>1130111-1</v>
      </c>
      <c r="B58" s="654" t="str">
        <f>+CONCATENATE("Vigencia ",INSTRUCCIONES!$F$3)</f>
        <v>Vigencia 2015</v>
      </c>
      <c r="C58" s="375">
        <f>+ENERO!C58</f>
        <v>0</v>
      </c>
      <c r="D58" s="376">
        <f>AGOSTO!D58+SEPTIEMBRE!P58</f>
        <v>0</v>
      </c>
      <c r="E58" s="376">
        <f>AGOSTO!E58+SEPTIEMBRE!Q58</f>
        <v>0</v>
      </c>
      <c r="F58" s="376">
        <f>SUM(C58:E58)</f>
        <v>0</v>
      </c>
      <c r="G58" s="376">
        <f>AGOSTO!I58</f>
        <v>0</v>
      </c>
      <c r="H58" s="377">
        <v>0</v>
      </c>
      <c r="I58" s="376">
        <f>SUM(G58:H58)</f>
        <v>0</v>
      </c>
      <c r="J58" s="376">
        <f>AGOSTO!L58</f>
        <v>0</v>
      </c>
      <c r="K58" s="377">
        <v>0</v>
      </c>
      <c r="L58" s="376">
        <f>SUM(J58:K58)</f>
        <v>0</v>
      </c>
      <c r="M58" s="376">
        <f>F58-I58</f>
        <v>0</v>
      </c>
      <c r="N58" s="146">
        <f>F58-L58</f>
        <v>0</v>
      </c>
      <c r="O58" s="385"/>
      <c r="P58" s="375">
        <v>0</v>
      </c>
      <c r="Q58" s="378">
        <v>0</v>
      </c>
      <c r="R58" s="9"/>
      <c r="S58" s="719">
        <f>+IF(AGOSTO!S58=0,"",AGOSTO!S58)</f>
        <v>1010402</v>
      </c>
      <c r="T58" s="693" t="str">
        <f>+IF(AGOSTO!T58=0,"",AGOSTO!T58)</f>
        <v>Contribuciones - Otros</v>
      </c>
      <c r="U58" s="27">
        <f t="shared" ref="U58:AJ58" si="64">SUM(U59:U60)</f>
        <v>18489903</v>
      </c>
      <c r="V58" s="15">
        <f t="shared" si="64"/>
        <v>0</v>
      </c>
      <c r="W58" s="15">
        <f t="shared" si="64"/>
        <v>0</v>
      </c>
      <c r="X58" s="18">
        <f t="shared" si="64"/>
        <v>18489903</v>
      </c>
      <c r="Y58" s="19">
        <f t="shared" si="64"/>
        <v>10852000</v>
      </c>
      <c r="Z58" s="145">
        <f t="shared" si="64"/>
        <v>1348300</v>
      </c>
      <c r="AA58" s="18">
        <f t="shared" si="64"/>
        <v>12200300</v>
      </c>
      <c r="AB58" s="19">
        <f t="shared" si="64"/>
        <v>10852000</v>
      </c>
      <c r="AC58" s="145">
        <f t="shared" si="64"/>
        <v>1348300</v>
      </c>
      <c r="AD58" s="18">
        <f t="shared" si="64"/>
        <v>12200300</v>
      </c>
      <c r="AE58" s="19">
        <f t="shared" si="64"/>
        <v>9574900</v>
      </c>
      <c r="AF58" s="145">
        <f t="shared" si="64"/>
        <v>1277100</v>
      </c>
      <c r="AG58" s="18">
        <f t="shared" si="64"/>
        <v>10852000</v>
      </c>
      <c r="AH58" s="19">
        <f t="shared" si="64"/>
        <v>6289603</v>
      </c>
      <c r="AI58" s="15">
        <f t="shared" si="64"/>
        <v>6289603</v>
      </c>
      <c r="AJ58" s="16">
        <f t="shared" si="64"/>
        <v>7637903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+IF(AGOSTO!A59=0,"",AGOSTO!A59)</f>
        <v>1130111-2</v>
      </c>
      <c r="B59" s="654" t="str">
        <f>+IF(AGOSTO!B59=0,"",AGOSTO!B59)</f>
        <v>Vigencia Anterior</v>
      </c>
      <c r="C59" s="375">
        <f>+ENERO!C59</f>
        <v>0</v>
      </c>
      <c r="D59" s="376">
        <f>AGOSTO!D59+SEPTIEMBRE!P59</f>
        <v>0</v>
      </c>
      <c r="E59" s="376">
        <f>AGOSTO!E59+SEPTIEMBRE!Q59</f>
        <v>0</v>
      </c>
      <c r="F59" s="376">
        <f>SUM(C59:E59)</f>
        <v>0</v>
      </c>
      <c r="G59" s="376">
        <f>AGOSTO!I59</f>
        <v>0</v>
      </c>
      <c r="H59" s="377">
        <v>0</v>
      </c>
      <c r="I59" s="376">
        <f>SUM(G59:H59)</f>
        <v>0</v>
      </c>
      <c r="J59" s="376">
        <f>AGOSTO!L59</f>
        <v>0</v>
      </c>
      <c r="K59" s="377">
        <v>0</v>
      </c>
      <c r="L59" s="376">
        <f>SUM(J59:K59)</f>
        <v>0</v>
      </c>
      <c r="M59" s="376">
        <f>F59-I59</f>
        <v>0</v>
      </c>
      <c r="N59" s="146">
        <f>F59-L59</f>
        <v>0</v>
      </c>
      <c r="O59" s="385"/>
      <c r="P59" s="375">
        <v>0</v>
      </c>
      <c r="Q59" s="378">
        <v>0</v>
      </c>
      <c r="R59" s="9"/>
      <c r="S59" s="720" t="str">
        <f>+IF(AGOSTO!S59=0,"",AGOSTO!S59)</f>
        <v>1010402-1</v>
      </c>
      <c r="T59" s="694" t="str">
        <f>+IF(AGOSTO!T59=0,"",AGOSTO!T59)</f>
        <v>S.E.N.A.</v>
      </c>
      <c r="U59" s="27">
        <f>+ENERO!U59</f>
        <v>7395961</v>
      </c>
      <c r="V59" s="15">
        <f>AGOSTO!V59+SEPTIEMBRE!AL59</f>
        <v>0</v>
      </c>
      <c r="W59" s="15">
        <f>AGOSTO!W59+SEPTIEMBRE!AM59</f>
        <v>0</v>
      </c>
      <c r="X59" s="18">
        <f>SUM(U59:W59)</f>
        <v>7395961</v>
      </c>
      <c r="Y59" s="19">
        <f>AGOSTO!AA59</f>
        <v>4384400</v>
      </c>
      <c r="Z59" s="377">
        <v>539500</v>
      </c>
      <c r="AA59" s="18">
        <f>SUM(Y59:Z59)</f>
        <v>4923900</v>
      </c>
      <c r="AB59" s="19">
        <f>AGOSTO!AD59</f>
        <v>4384400</v>
      </c>
      <c r="AC59" s="377">
        <v>539500</v>
      </c>
      <c r="AD59" s="18">
        <f>SUM(AB59:AC59)</f>
        <v>4923900</v>
      </c>
      <c r="AE59" s="19">
        <f>AGOSTO!AG59</f>
        <v>3873300</v>
      </c>
      <c r="AF59" s="377">
        <v>511100</v>
      </c>
      <c r="AG59" s="18">
        <f>SUM(AE59:AF59)</f>
        <v>4384400</v>
      </c>
      <c r="AH59" s="19">
        <f>X59-AA59</f>
        <v>2472061</v>
      </c>
      <c r="AI59" s="15">
        <f>X59-AD59</f>
        <v>2472061</v>
      </c>
      <c r="AJ59" s="16">
        <f>X59-AG59</f>
        <v>3011561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+IF(AGOSTO!A60=0,"",AGOSTO!A60)</f>
        <v>1130112</v>
      </c>
      <c r="B60" s="653" t="str">
        <f>+IF(AGOSTO!B60=0,"",AGOSTO!B60)</f>
        <v>IPS PUBLICAS</v>
      </c>
      <c r="C60" s="43">
        <f t="shared" ref="C60:N60" si="65">SUM(C61:C62)</f>
        <v>3473660</v>
      </c>
      <c r="D60" s="44">
        <f t="shared" si="65"/>
        <v>0</v>
      </c>
      <c r="E60" s="44">
        <f t="shared" si="65"/>
        <v>0</v>
      </c>
      <c r="F60" s="44">
        <f t="shared" si="65"/>
        <v>3473660</v>
      </c>
      <c r="G60" s="44">
        <f t="shared" si="65"/>
        <v>4478624</v>
      </c>
      <c r="H60" s="44">
        <f t="shared" si="65"/>
        <v>150836</v>
      </c>
      <c r="I60" s="44">
        <f t="shared" si="65"/>
        <v>4629460</v>
      </c>
      <c r="J60" s="44">
        <f t="shared" si="65"/>
        <v>1695512</v>
      </c>
      <c r="K60" s="44">
        <f t="shared" si="65"/>
        <v>174670</v>
      </c>
      <c r="L60" s="44">
        <f t="shared" si="65"/>
        <v>1870182</v>
      </c>
      <c r="M60" s="44">
        <f t="shared" si="65"/>
        <v>-1155800</v>
      </c>
      <c r="N60" s="45">
        <f t="shared" si="65"/>
        <v>1603478</v>
      </c>
      <c r="P60" s="43">
        <f>SUM(P61:P62)</f>
        <v>0</v>
      </c>
      <c r="Q60" s="45">
        <f>SUM(Q61:Q62)</f>
        <v>0</v>
      </c>
      <c r="R60" s="9"/>
      <c r="S60" s="720" t="str">
        <f>+IF(AGOSTO!S60=0,"",AGOSTO!S60)</f>
        <v>1010402-2</v>
      </c>
      <c r="T60" s="694" t="str">
        <f>+IF(AGOSTO!T60=0,"",AGOSTO!T60)</f>
        <v>I.C.B.F.</v>
      </c>
      <c r="U60" s="27">
        <f>+ENERO!U60</f>
        <v>11093942</v>
      </c>
      <c r="V60" s="15">
        <f>AGOSTO!V60+SEPTIEMBRE!AL60</f>
        <v>0</v>
      </c>
      <c r="W60" s="15">
        <f>AGOSTO!W60+SEPTIEMBRE!AM60</f>
        <v>0</v>
      </c>
      <c r="X60" s="18">
        <f>SUM(U60:W60)</f>
        <v>11093942</v>
      </c>
      <c r="Y60" s="19">
        <f>AGOSTO!AA60</f>
        <v>6467600</v>
      </c>
      <c r="Z60" s="377">
        <v>808800</v>
      </c>
      <c r="AA60" s="18">
        <f>SUM(Y60:Z60)</f>
        <v>7276400</v>
      </c>
      <c r="AB60" s="19">
        <f>AGOSTO!AD60</f>
        <v>6467600</v>
      </c>
      <c r="AC60" s="377">
        <v>808800</v>
      </c>
      <c r="AD60" s="18">
        <f>SUM(AB60:AC60)</f>
        <v>7276400</v>
      </c>
      <c r="AE60" s="19">
        <f>AGOSTO!AG60</f>
        <v>5701600</v>
      </c>
      <c r="AF60" s="377">
        <v>766000</v>
      </c>
      <c r="AG60" s="18">
        <f>SUM(AE60:AF60)</f>
        <v>6467600</v>
      </c>
      <c r="AH60" s="19">
        <f>X60-AA60</f>
        <v>3817542</v>
      </c>
      <c r="AI60" s="15">
        <f>X60-AD60</f>
        <v>3817542</v>
      </c>
      <c r="AJ60" s="16">
        <f>X60-AG60</f>
        <v>4626342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+IF(AGOSTO!A61=0,"",AGOSTO!A61)</f>
        <v>1130112-1</v>
      </c>
      <c r="B61" s="654" t="str">
        <f>+CONCATENATE("Vigencia ",INSTRUCCIONES!$F$3)</f>
        <v>Vigencia 2015</v>
      </c>
      <c r="C61" s="375">
        <f>+ENERO!C61</f>
        <v>3473660</v>
      </c>
      <c r="D61" s="376">
        <f>AGOSTO!D61+SEPTIEMBRE!P61</f>
        <v>0</v>
      </c>
      <c r="E61" s="376">
        <f>AGOSTO!E61+SEPTIEMBRE!Q61</f>
        <v>0</v>
      </c>
      <c r="F61" s="376">
        <f>SUM(C61:E61)</f>
        <v>3473660</v>
      </c>
      <c r="G61" s="376">
        <f>AGOSTO!I61</f>
        <v>4102084</v>
      </c>
      <c r="H61" s="377">
        <v>150836</v>
      </c>
      <c r="I61" s="376">
        <f>SUM(G61:H61)</f>
        <v>4252920</v>
      </c>
      <c r="J61" s="376">
        <f>AGOSTO!L61</f>
        <v>1318972</v>
      </c>
      <c r="K61" s="377">
        <v>174670</v>
      </c>
      <c r="L61" s="376">
        <f>SUM(J61:K61)</f>
        <v>1493642</v>
      </c>
      <c r="M61" s="376">
        <f>F61-I61</f>
        <v>-779260</v>
      </c>
      <c r="N61" s="146">
        <f>F61-L61</f>
        <v>1980018</v>
      </c>
      <c r="O61" s="385"/>
      <c r="P61" s="375">
        <v>0</v>
      </c>
      <c r="Q61" s="378">
        <v>0</v>
      </c>
      <c r="R61" s="9"/>
      <c r="S61" s="719">
        <f>+IF(AGOSTO!S61=0,"",AGOSTO!S61)</f>
        <v>1010499</v>
      </c>
      <c r="T61" s="693" t="str">
        <f>+IF(AGOSTO!T61=0,"",AGOSTO!T61)</f>
        <v>Vigencias Anteriores</v>
      </c>
      <c r="U61" s="27">
        <f>+ENERO!U61</f>
        <v>0</v>
      </c>
      <c r="V61" s="15">
        <f>AGOSTO!V61+SEPTIEMBRE!AL61</f>
        <v>0</v>
      </c>
      <c r="W61" s="15">
        <f>AGOSTO!W61+SEPTIEMBRE!AM61</f>
        <v>1280600</v>
      </c>
      <c r="X61" s="18">
        <f>SUM(U61:W61)</f>
        <v>1280600</v>
      </c>
      <c r="Y61" s="19">
        <f>AGOSTO!AA61</f>
        <v>1280600</v>
      </c>
      <c r="Z61" s="377">
        <v>0</v>
      </c>
      <c r="AA61" s="18">
        <f>SUM(Y61:Z61)</f>
        <v>1280600</v>
      </c>
      <c r="AB61" s="19">
        <f>AGOSTO!AD61</f>
        <v>1280600</v>
      </c>
      <c r="AC61" s="377">
        <v>0</v>
      </c>
      <c r="AD61" s="18">
        <f>SUM(AB61:AC61)</f>
        <v>1280600</v>
      </c>
      <c r="AE61" s="19">
        <f>AGOSTO!AG61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+IF(AGOSTO!A62=0,"",AGOSTO!A62)</f>
        <v>1130112-2</v>
      </c>
      <c r="B62" s="654" t="str">
        <f>+IF(AGOSTO!B62=0,"",AGOSTO!B62)</f>
        <v>Vigencia Anterior</v>
      </c>
      <c r="C62" s="375">
        <f>+ENERO!C62</f>
        <v>0</v>
      </c>
      <c r="D62" s="376">
        <f>AGOSTO!D62+SEPTIEMBRE!P62</f>
        <v>0</v>
      </c>
      <c r="E62" s="376">
        <f>AGOSTO!E62+SEPTIEMBRE!Q62</f>
        <v>0</v>
      </c>
      <c r="F62" s="376">
        <f>SUM(C62:E62)</f>
        <v>0</v>
      </c>
      <c r="G62" s="376">
        <f>AGOSTO!I62</f>
        <v>376540</v>
      </c>
      <c r="H62" s="377">
        <v>0</v>
      </c>
      <c r="I62" s="376">
        <f>SUM(G62:H62)</f>
        <v>376540</v>
      </c>
      <c r="J62" s="376">
        <f>AGOSTO!L62</f>
        <v>376540</v>
      </c>
      <c r="K62" s="377">
        <v>0</v>
      </c>
      <c r="L62" s="376">
        <f>SUM(J62:K62)</f>
        <v>376540</v>
      </c>
      <c r="M62" s="376">
        <f>F62-I62</f>
        <v>-376540</v>
      </c>
      <c r="N62" s="146">
        <f>F62-L62</f>
        <v>-376540</v>
      </c>
      <c r="O62" s="385"/>
      <c r="P62" s="375">
        <v>0</v>
      </c>
      <c r="Q62" s="378">
        <v>0</v>
      </c>
      <c r="R62" s="9"/>
      <c r="S62" s="369" t="str">
        <f>+IF(AGOSTO!S62=0,"",AGOSTO!S62)</f>
        <v/>
      </c>
      <c r="T62" s="708" t="str">
        <f>+IF(AGOSTO!T62=0,"",AGOSTO!T62)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+IF(AGOSTO!A63=0,"",AGOSTO!A63)</f>
        <v>1130113</v>
      </c>
      <c r="B63" s="653" t="str">
        <f>+IF(AGOSTO!B63=0,"",AGOSTO!B63)</f>
        <v>COMPAÑIAS DE SEGUROS  - ACCIDENTES DE TRANSITO (SOAT)</v>
      </c>
      <c r="C63" s="43">
        <f t="shared" ref="C63:N63" si="66">SUM(C64:C65)</f>
        <v>22951026</v>
      </c>
      <c r="D63" s="44">
        <f t="shared" si="66"/>
        <v>0</v>
      </c>
      <c r="E63" s="44">
        <f t="shared" si="66"/>
        <v>2940835</v>
      </c>
      <c r="F63" s="44">
        <f t="shared" si="66"/>
        <v>25891861</v>
      </c>
      <c r="G63" s="44">
        <f t="shared" si="66"/>
        <v>23510906</v>
      </c>
      <c r="H63" s="44">
        <f t="shared" si="66"/>
        <v>1918099</v>
      </c>
      <c r="I63" s="44">
        <f t="shared" si="66"/>
        <v>25429005</v>
      </c>
      <c r="J63" s="44">
        <f t="shared" si="66"/>
        <v>10767647</v>
      </c>
      <c r="K63" s="44">
        <f t="shared" si="66"/>
        <v>4303316</v>
      </c>
      <c r="L63" s="44">
        <f t="shared" si="66"/>
        <v>15070963</v>
      </c>
      <c r="M63" s="44">
        <f t="shared" si="66"/>
        <v>462856</v>
      </c>
      <c r="N63" s="45">
        <f t="shared" si="66"/>
        <v>10820898</v>
      </c>
      <c r="P63" s="43">
        <f>SUM(P64:P65)</f>
        <v>0</v>
      </c>
      <c r="Q63" s="45">
        <f>SUM(Q64:Q65)</f>
        <v>0</v>
      </c>
      <c r="R63" s="9"/>
      <c r="S63" s="717">
        <f>+IF(AGOSTO!S63=0,"",AGOSTO!S63)</f>
        <v>1020010</v>
      </c>
      <c r="T63" s="691" t="str">
        <f>+IF(AGOSTO!T63=0,"",AGOSTO!T63)</f>
        <v>Gastos de Operación</v>
      </c>
      <c r="U63" s="135">
        <f t="shared" ref="U63:AJ63" si="67">U65+U83+U90+U104</f>
        <v>1276921669</v>
      </c>
      <c r="V63" s="124">
        <f t="shared" si="67"/>
        <v>87300000</v>
      </c>
      <c r="W63" s="124">
        <f t="shared" si="67"/>
        <v>78294418</v>
      </c>
      <c r="X63" s="132">
        <f t="shared" si="67"/>
        <v>1442516087</v>
      </c>
      <c r="Y63" s="131">
        <f t="shared" si="67"/>
        <v>954960036</v>
      </c>
      <c r="Z63" s="124">
        <f t="shared" si="67"/>
        <v>111432432</v>
      </c>
      <c r="AA63" s="132">
        <f t="shared" si="67"/>
        <v>1066392468</v>
      </c>
      <c r="AB63" s="131">
        <f t="shared" si="67"/>
        <v>902210036</v>
      </c>
      <c r="AC63" s="124">
        <f t="shared" si="67"/>
        <v>123582432</v>
      </c>
      <c r="AD63" s="132">
        <f t="shared" si="67"/>
        <v>1025792468</v>
      </c>
      <c r="AE63" s="131">
        <f t="shared" si="67"/>
        <v>806658213</v>
      </c>
      <c r="AF63" s="124">
        <f t="shared" si="67"/>
        <v>110991561</v>
      </c>
      <c r="AG63" s="132">
        <f t="shared" si="67"/>
        <v>917649774</v>
      </c>
      <c r="AH63" s="131">
        <f t="shared" si="67"/>
        <v>376123619</v>
      </c>
      <c r="AI63" s="124">
        <f t="shared" si="67"/>
        <v>416723619</v>
      </c>
      <c r="AJ63" s="133">
        <f t="shared" si="67"/>
        <v>524866313</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+IF(AGOSTO!A64=0,"",AGOSTO!A64)</f>
        <v>1130113-1</v>
      </c>
      <c r="B64" s="654" t="str">
        <f>+CONCATENATE("Vigencia ",INSTRUCCIONES!$F$3)</f>
        <v>Vigencia 2015</v>
      </c>
      <c r="C64" s="375">
        <f>+ENERO!C64</f>
        <v>22951026</v>
      </c>
      <c r="D64" s="376">
        <f>AGOSTO!D64+SEPTIEMBRE!P64</f>
        <v>0</v>
      </c>
      <c r="E64" s="376">
        <f>AGOSTO!E64+SEPTIEMBRE!Q64</f>
        <v>0</v>
      </c>
      <c r="F64" s="376">
        <f>SUM(C64:E64)</f>
        <v>22951026</v>
      </c>
      <c r="G64" s="376">
        <f>AGOSTO!I64</f>
        <v>20203054</v>
      </c>
      <c r="H64" s="377">
        <v>1918099</v>
      </c>
      <c r="I64" s="376">
        <f>SUM(G64:H64)</f>
        <v>22121153</v>
      </c>
      <c r="J64" s="376">
        <f>AGOSTO!L64</f>
        <v>7459795</v>
      </c>
      <c r="K64" s="377">
        <v>4303316</v>
      </c>
      <c r="L64" s="376">
        <f>SUM(J64:K64)</f>
        <v>11763111</v>
      </c>
      <c r="M64" s="376">
        <f>F64-I64</f>
        <v>829873</v>
      </c>
      <c r="N64" s="146">
        <f>F64-L64</f>
        <v>11187915</v>
      </c>
      <c r="O64" s="385"/>
      <c r="P64" s="375">
        <v>0</v>
      </c>
      <c r="Q64" s="378">
        <v>0</v>
      </c>
      <c r="R64" s="9"/>
      <c r="S64" s="369" t="str">
        <f>+IF(AGOSTO!S64=0,"",AGOSTO!S64)</f>
        <v/>
      </c>
      <c r="T64" s="708" t="str">
        <f>+IF(AGOSTO!T64=0,"",AGOSTO!T64)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+IF(AGOSTO!A65=0,"",AGOSTO!A65)</f>
        <v>1130113-2</v>
      </c>
      <c r="B65" s="654" t="str">
        <f>+IF(AGOSTO!B65=0,"",AGOSTO!B65)</f>
        <v>Vigencia Anterior</v>
      </c>
      <c r="C65" s="375">
        <f>+ENERO!C65</f>
        <v>0</v>
      </c>
      <c r="D65" s="376">
        <f>AGOSTO!D65+SEPTIEMBRE!P65</f>
        <v>0</v>
      </c>
      <c r="E65" s="376">
        <f>AGOSTO!E65+SEPTIEMBRE!Q65</f>
        <v>2940835</v>
      </c>
      <c r="F65" s="376">
        <f>SUM(C65:E65)</f>
        <v>2940835</v>
      </c>
      <c r="G65" s="376">
        <f>AGOSTO!I65</f>
        <v>3307852</v>
      </c>
      <c r="H65" s="377">
        <v>0</v>
      </c>
      <c r="I65" s="376">
        <f>SUM(G65:H65)</f>
        <v>3307852</v>
      </c>
      <c r="J65" s="376">
        <f>AGOSTO!L65</f>
        <v>3307852</v>
      </c>
      <c r="K65" s="377">
        <v>0</v>
      </c>
      <c r="L65" s="376">
        <f>SUM(J65:K65)</f>
        <v>3307852</v>
      </c>
      <c r="M65" s="376">
        <f>F65-I65</f>
        <v>-367017</v>
      </c>
      <c r="N65" s="146">
        <f>F65-L65</f>
        <v>-367017</v>
      </c>
      <c r="O65" s="385"/>
      <c r="P65" s="375">
        <v>0</v>
      </c>
      <c r="Q65" s="378">
        <v>0</v>
      </c>
      <c r="R65" s="9"/>
      <c r="S65" s="718">
        <f>+IF(AGOSTO!S65=0,"",AGOSTO!S65)</f>
        <v>1020100</v>
      </c>
      <c r="T65" s="692" t="str">
        <f>+IF(AGOSTO!T65=0,"",AGOSTO!T65)</f>
        <v>Servicios Personales Asociados a Nómina</v>
      </c>
      <c r="U65" s="135">
        <f t="shared" ref="U65:AJ65" si="68">SUM(U66:U69)+U81</f>
        <v>815343813</v>
      </c>
      <c r="V65" s="124">
        <f t="shared" si="68"/>
        <v>63300000</v>
      </c>
      <c r="W65" s="124">
        <f t="shared" si="68"/>
        <v>13655677</v>
      </c>
      <c r="X65" s="132">
        <f t="shared" si="68"/>
        <v>892299490</v>
      </c>
      <c r="Y65" s="131">
        <f t="shared" si="68"/>
        <v>548711158</v>
      </c>
      <c r="Z65" s="124">
        <f t="shared" si="68"/>
        <v>80829675</v>
      </c>
      <c r="AA65" s="132">
        <f t="shared" si="68"/>
        <v>629540833</v>
      </c>
      <c r="AB65" s="131">
        <f t="shared" si="68"/>
        <v>548711158</v>
      </c>
      <c r="AC65" s="124">
        <f t="shared" si="68"/>
        <v>80829675</v>
      </c>
      <c r="AD65" s="132">
        <f t="shared" si="68"/>
        <v>629540833</v>
      </c>
      <c r="AE65" s="131">
        <f t="shared" si="68"/>
        <v>502268641</v>
      </c>
      <c r="AF65" s="124">
        <f t="shared" si="68"/>
        <v>71036688</v>
      </c>
      <c r="AG65" s="132">
        <f t="shared" si="68"/>
        <v>573305329</v>
      </c>
      <c r="AH65" s="131">
        <f t="shared" si="68"/>
        <v>262758657</v>
      </c>
      <c r="AI65" s="124">
        <f t="shared" si="68"/>
        <v>262758657</v>
      </c>
      <c r="AJ65" s="133">
        <f t="shared" si="68"/>
        <v>318994161</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+IF(AGOSTO!A66=0,"",AGOSTO!A66)</f>
        <v>1130114</v>
      </c>
      <c r="B66" s="653" t="str">
        <f>+IF(AGOSTO!B66=0,"",AGOSTO!B66)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+IF(AGOSTO!S66=0,"",AGOSTO!S66)</f>
        <v>1020101</v>
      </c>
      <c r="T66" s="693" t="str">
        <f>+IF(AGOSTO!T66=0,"",AGOSTO!T66)</f>
        <v>Sueldos del Personal de nómina</v>
      </c>
      <c r="U66" s="27">
        <f>+ENERO!U66</f>
        <v>641065344</v>
      </c>
      <c r="V66" s="15">
        <f>AGOSTO!V66+SEPTIEMBRE!AL66</f>
        <v>-2300000</v>
      </c>
      <c r="W66" s="15">
        <f>AGOSTO!W66+SEPTIEMBRE!AM66</f>
        <v>0</v>
      </c>
      <c r="X66" s="18">
        <f>SUM(U66:W66)</f>
        <v>638765344</v>
      </c>
      <c r="Y66" s="19">
        <f>AGOSTO!AA66</f>
        <v>418943450</v>
      </c>
      <c r="Z66" s="377">
        <v>56801701</v>
      </c>
      <c r="AA66" s="18">
        <f>SUM(Y66:Z66)</f>
        <v>475745151</v>
      </c>
      <c r="AB66" s="19">
        <f>AGOSTO!AD66</f>
        <v>418943450</v>
      </c>
      <c r="AC66" s="377">
        <v>56801701</v>
      </c>
      <c r="AD66" s="18">
        <f>SUM(AB66:AC66)</f>
        <v>475745151</v>
      </c>
      <c r="AE66" s="19">
        <f>AGOSTO!AG66</f>
        <v>391077395</v>
      </c>
      <c r="AF66" s="377">
        <v>54664341</v>
      </c>
      <c r="AG66" s="18">
        <f>SUM(AE66:AF66)</f>
        <v>445741736</v>
      </c>
      <c r="AH66" s="19">
        <f>X66-AA66</f>
        <v>163020193</v>
      </c>
      <c r="AI66" s="15">
        <f>X66-AD66</f>
        <v>163020193</v>
      </c>
      <c r="AJ66" s="16">
        <f>X66-AG66</f>
        <v>193023608</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+IF(AGOSTO!A67=0,"",AGOSTO!A67)</f>
        <v>1130114-1</v>
      </c>
      <c r="B67" s="654" t="str">
        <f>+CONCATENATE("Vigencia ",INSTRUCCIONES!$F$3)</f>
        <v>Vigencia 2015</v>
      </c>
      <c r="C67" s="375">
        <f>+ENERO!C67</f>
        <v>338898</v>
      </c>
      <c r="D67" s="376">
        <f>AGOSTO!D67+SEPTIEMBRE!P67</f>
        <v>0</v>
      </c>
      <c r="E67" s="376">
        <f>AGOSTO!E67+SEPTIEMBRE!Q67</f>
        <v>0</v>
      </c>
      <c r="F67" s="376">
        <f>SUM(C67:E67)</f>
        <v>338898</v>
      </c>
      <c r="G67" s="376">
        <f>AGOSTO!I67</f>
        <v>0</v>
      </c>
      <c r="H67" s="377">
        <v>0</v>
      </c>
      <c r="I67" s="376">
        <f>SUM(G67:H67)</f>
        <v>0</v>
      </c>
      <c r="J67" s="376">
        <f>AGOSTO!L67</f>
        <v>0</v>
      </c>
      <c r="K67" s="377">
        <v>0</v>
      </c>
      <c r="L67" s="376">
        <f>SUM(J67:K67)</f>
        <v>0</v>
      </c>
      <c r="M67" s="376">
        <f>F67-I67</f>
        <v>338898</v>
      </c>
      <c r="N67" s="146">
        <f>F67-L67</f>
        <v>338898</v>
      </c>
      <c r="O67" s="385"/>
      <c r="P67" s="375">
        <v>0</v>
      </c>
      <c r="Q67" s="378">
        <v>0</v>
      </c>
      <c r="R67" s="9"/>
      <c r="S67" s="719">
        <f>+IF(AGOSTO!S67=0,"",AGOSTO!S67)</f>
        <v>1020102</v>
      </c>
      <c r="T67" s="693" t="str">
        <f>+IF(AGOSTO!T67=0,"",AGOSTO!T67)</f>
        <v>Horas Extras,Dominic.,Festivos y Rec. Nocturnos</v>
      </c>
      <c r="U67" s="27">
        <f>+ENERO!U67</f>
        <v>57949728</v>
      </c>
      <c r="V67" s="15">
        <f>AGOSTO!V67+SEPTIEMBRE!AL67</f>
        <v>65600000</v>
      </c>
      <c r="W67" s="15">
        <f>AGOSTO!W67+SEPTIEMBRE!AM67</f>
        <v>0</v>
      </c>
      <c r="X67" s="18">
        <f>SUM(U67:W67)</f>
        <v>123549728</v>
      </c>
      <c r="Y67" s="19">
        <f>AGOSTO!AA67</f>
        <v>95938944</v>
      </c>
      <c r="Z67" s="377">
        <v>9863069</v>
      </c>
      <c r="AA67" s="18">
        <f>SUM(Y67:Z67)</f>
        <v>105802013</v>
      </c>
      <c r="AB67" s="19">
        <f>AGOSTO!AD67</f>
        <v>95938944</v>
      </c>
      <c r="AC67" s="377">
        <f>9863069</f>
        <v>9863069</v>
      </c>
      <c r="AD67" s="18">
        <f>SUM(AB67:AC67)</f>
        <v>105802013</v>
      </c>
      <c r="AE67" s="19">
        <f>AGOSTO!AG67</f>
        <v>90137909</v>
      </c>
      <c r="AF67" s="377">
        <v>10127978</v>
      </c>
      <c r="AG67" s="18">
        <f>SUM(AE67:AF67)</f>
        <v>100265887</v>
      </c>
      <c r="AH67" s="19">
        <f>X67-AA67</f>
        <v>17747715</v>
      </c>
      <c r="AI67" s="15">
        <f>X67-AD67</f>
        <v>17747715</v>
      </c>
      <c r="AJ67" s="16">
        <f>X67-AG67</f>
        <v>23283841</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+IF(AGOSTO!A68=0,"",AGOSTO!A68)</f>
        <v>1130114-2</v>
      </c>
      <c r="B68" s="654" t="str">
        <f>+IF(AGOSTO!B68=0,"",AGOSTO!B68)</f>
        <v>Vigencia Anterior</v>
      </c>
      <c r="C68" s="375">
        <f>+ENERO!C68</f>
        <v>0</v>
      </c>
      <c r="D68" s="376">
        <f>AGOSTO!D68+SEPTIEMBRE!P68</f>
        <v>0</v>
      </c>
      <c r="E68" s="376">
        <f>AGOSTO!E68+SEPTIEMBRE!Q68</f>
        <v>0</v>
      </c>
      <c r="F68" s="376">
        <f>SUM(C68:E68)</f>
        <v>0</v>
      </c>
      <c r="G68" s="376">
        <f>AGOSTO!I68</f>
        <v>78500</v>
      </c>
      <c r="H68" s="377">
        <v>0</v>
      </c>
      <c r="I68" s="376">
        <f>SUM(G68:H68)</f>
        <v>78500</v>
      </c>
      <c r="J68" s="376">
        <f>AGOSTO!L68</f>
        <v>78500</v>
      </c>
      <c r="K68" s="377">
        <v>0</v>
      </c>
      <c r="L68" s="376">
        <f>SUM(J68:K68)</f>
        <v>78500</v>
      </c>
      <c r="M68" s="376">
        <f>F68-I68</f>
        <v>-78500</v>
      </c>
      <c r="N68" s="146">
        <f>F68-L68</f>
        <v>-78500</v>
      </c>
      <c r="O68" s="385"/>
      <c r="P68" s="375">
        <v>0</v>
      </c>
      <c r="Q68" s="378">
        <v>0</v>
      </c>
      <c r="R68" s="9"/>
      <c r="S68" s="719">
        <f>+IF(AGOSTO!S68=0,"",AGOSTO!S68)</f>
        <v>1020103</v>
      </c>
      <c r="T68" s="693" t="str">
        <f>+IF(AGOSTO!T68=0,"",AGOSTO!T68)</f>
        <v>Prima Técnica</v>
      </c>
      <c r="U68" s="27">
        <f>+ENERO!U68</f>
        <v>0</v>
      </c>
      <c r="V68" s="15">
        <f>AGOSTO!V68+SEPTIEMBRE!AL68</f>
        <v>0</v>
      </c>
      <c r="W68" s="15">
        <f>AGOSTO!W68+SEPTIEMBRE!AM68</f>
        <v>0</v>
      </c>
      <c r="X68" s="18">
        <f>SUM(U68:W68)</f>
        <v>0</v>
      </c>
      <c r="Y68" s="19">
        <f>AGOSTO!AA68</f>
        <v>0</v>
      </c>
      <c r="Z68" s="377">
        <v>0</v>
      </c>
      <c r="AA68" s="18">
        <f>SUM(Y68:Z68)</f>
        <v>0</v>
      </c>
      <c r="AB68" s="19">
        <f>AGOSTO!AD68</f>
        <v>0</v>
      </c>
      <c r="AC68" s="377">
        <v>0</v>
      </c>
      <c r="AD68" s="18">
        <f>SUM(AB68:AC68)</f>
        <v>0</v>
      </c>
      <c r="AE68" s="19">
        <f>AGOSTO!AG68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+IF(AGOSTO!A69=0,"",AGOSTO!A69)</f>
        <v>1130115</v>
      </c>
      <c r="B69" s="653" t="str">
        <f>+IF(AGOSTO!B69=0,"",AGOSTO!B69)</f>
        <v>ENTIDADES DE REGIMEN ESPECIAL (Magisterio, Fuerza Pca.)</v>
      </c>
      <c r="C69" s="43">
        <f t="shared" ref="C69:N69" si="70">SUM(C70:C71)</f>
        <v>53468516</v>
      </c>
      <c r="D69" s="44">
        <f t="shared" si="70"/>
        <v>0</v>
      </c>
      <c r="E69" s="44">
        <f t="shared" si="70"/>
        <v>27541841</v>
      </c>
      <c r="F69" s="44">
        <f t="shared" si="70"/>
        <v>81010357</v>
      </c>
      <c r="G69" s="44">
        <f t="shared" si="70"/>
        <v>61722053</v>
      </c>
      <c r="H69" s="44">
        <f t="shared" si="70"/>
        <v>5056503</v>
      </c>
      <c r="I69" s="44">
        <f t="shared" si="70"/>
        <v>66778556</v>
      </c>
      <c r="J69" s="44">
        <f t="shared" si="70"/>
        <v>33211727</v>
      </c>
      <c r="K69" s="44">
        <f t="shared" si="70"/>
        <v>4692347</v>
      </c>
      <c r="L69" s="44">
        <f t="shared" si="70"/>
        <v>37904074</v>
      </c>
      <c r="M69" s="44">
        <f t="shared" si="70"/>
        <v>14231801</v>
      </c>
      <c r="N69" s="45">
        <f t="shared" si="70"/>
        <v>43106283</v>
      </c>
      <c r="P69" s="43">
        <f>SUM(P70:P71)</f>
        <v>0</v>
      </c>
      <c r="Q69" s="45">
        <f>SUM(Q70:Q71)</f>
        <v>0</v>
      </c>
      <c r="R69" s="9"/>
      <c r="S69" s="719">
        <f>+IF(AGOSTO!S69=0,"",AGOSTO!S69)</f>
        <v>1020104</v>
      </c>
      <c r="T69" s="693" t="str">
        <f>+IF(AGOSTO!T69=0,"",AGOSTO!T69)</f>
        <v>Otros</v>
      </c>
      <c r="U69" s="27">
        <f t="shared" ref="U69:AJ69" si="71">SUM(U70:U80)</f>
        <v>116328741</v>
      </c>
      <c r="V69" s="15">
        <f t="shared" si="71"/>
        <v>0</v>
      </c>
      <c r="W69" s="15">
        <f t="shared" si="71"/>
        <v>0</v>
      </c>
      <c r="X69" s="18">
        <f t="shared" si="71"/>
        <v>116328741</v>
      </c>
      <c r="Y69" s="19">
        <f t="shared" si="71"/>
        <v>20173087</v>
      </c>
      <c r="Z69" s="145">
        <f t="shared" si="71"/>
        <v>14164905</v>
      </c>
      <c r="AA69" s="18">
        <f t="shared" si="71"/>
        <v>34337992</v>
      </c>
      <c r="AB69" s="19">
        <f t="shared" si="71"/>
        <v>20173087</v>
      </c>
      <c r="AC69" s="145">
        <f t="shared" si="71"/>
        <v>14164905</v>
      </c>
      <c r="AD69" s="18">
        <f t="shared" si="71"/>
        <v>34337992</v>
      </c>
      <c r="AE69" s="19">
        <f t="shared" si="71"/>
        <v>13922839</v>
      </c>
      <c r="AF69" s="145">
        <f t="shared" si="71"/>
        <v>6244369</v>
      </c>
      <c r="AG69" s="18">
        <f t="shared" si="71"/>
        <v>20167208</v>
      </c>
      <c r="AH69" s="19">
        <f t="shared" si="71"/>
        <v>81990749</v>
      </c>
      <c r="AI69" s="15">
        <f t="shared" si="71"/>
        <v>81990749</v>
      </c>
      <c r="AJ69" s="16">
        <f t="shared" si="71"/>
        <v>96161533</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+IF(AGOSTO!A70=0,"",AGOSTO!A70)</f>
        <v>1130115-1</v>
      </c>
      <c r="B70" s="654" t="str">
        <f>+CONCATENATE("Vigencia ",INSTRUCCIONES!$F$3)</f>
        <v>Vigencia 2015</v>
      </c>
      <c r="C70" s="375">
        <f>+ENERO!C70</f>
        <v>53468516</v>
      </c>
      <c r="D70" s="376">
        <f>AGOSTO!D70+SEPTIEMBRE!P70</f>
        <v>0</v>
      </c>
      <c r="E70" s="376">
        <f>AGOSTO!E70+SEPTIEMBRE!Q70</f>
        <v>0</v>
      </c>
      <c r="F70" s="376">
        <f>SUM(C70:E70)</f>
        <v>53468516</v>
      </c>
      <c r="G70" s="376">
        <f>AGOSTO!I70</f>
        <v>37340956</v>
      </c>
      <c r="H70" s="377">
        <v>5056503</v>
      </c>
      <c r="I70" s="376">
        <f>SUM(G70:H70)</f>
        <v>42397459</v>
      </c>
      <c r="J70" s="376">
        <f>AGOSTO!L70</f>
        <v>8830630</v>
      </c>
      <c r="K70" s="377">
        <v>4692347</v>
      </c>
      <c r="L70" s="376">
        <f>SUM(J70:K70)</f>
        <v>13522977</v>
      </c>
      <c r="M70" s="376">
        <f>F70-I70</f>
        <v>11071057</v>
      </c>
      <c r="N70" s="146">
        <f>F70-L70</f>
        <v>39945539</v>
      </c>
      <c r="O70" s="385"/>
      <c r="P70" s="375">
        <v>0</v>
      </c>
      <c r="Q70" s="378">
        <v>0</v>
      </c>
      <c r="R70" s="9"/>
      <c r="S70" s="720" t="str">
        <f>+IF(AGOSTO!S70=0,"",AGOSTO!S70)</f>
        <v>1020104-1</v>
      </c>
      <c r="T70" s="694" t="str">
        <f>+IF(AGOSTO!T70=0,"",AGOSTO!T70)</f>
        <v xml:space="preserve">Prima de Navidad </v>
      </c>
      <c r="U70" s="27">
        <f>+ENERO!U70</f>
        <v>57873955</v>
      </c>
      <c r="V70" s="15">
        <f>AGOSTO!V70+SEPTIEMBRE!AL70</f>
        <v>0</v>
      </c>
      <c r="W70" s="15">
        <f>AGOSTO!W70+SEPTIEMBRE!AM70</f>
        <v>0</v>
      </c>
      <c r="X70" s="18">
        <f t="shared" ref="X70:X81" si="72">SUM(U70:W70)</f>
        <v>57873955</v>
      </c>
      <c r="Y70" s="19">
        <f>AGOSTO!AA70</f>
        <v>4223171</v>
      </c>
      <c r="Z70" s="377">
        <v>7014298</v>
      </c>
      <c r="AA70" s="18">
        <f t="shared" ref="AA70:AA81" si="73">SUM(Y70:Z70)</f>
        <v>11237469</v>
      </c>
      <c r="AB70" s="19">
        <f>AGOSTO!AD70</f>
        <v>4223171</v>
      </c>
      <c r="AC70" s="377">
        <v>7014298</v>
      </c>
      <c r="AD70" s="18">
        <f t="shared" ref="AD70:AD81" si="74">SUM(AB70:AC70)</f>
        <v>11237469</v>
      </c>
      <c r="AE70" s="19">
        <f>AGOSTO!AG70</f>
        <v>1352771</v>
      </c>
      <c r="AF70" s="377">
        <v>2870400</v>
      </c>
      <c r="AG70" s="18">
        <f t="shared" ref="AG70:AG81" si="75">SUM(AE70:AF70)</f>
        <v>4223171</v>
      </c>
      <c r="AH70" s="19">
        <f t="shared" ref="AH70:AH81" si="76">X70-AA70</f>
        <v>46636486</v>
      </c>
      <c r="AI70" s="15">
        <f t="shared" ref="AI70:AI81" si="77">X70-AD70</f>
        <v>46636486</v>
      </c>
      <c r="AJ70" s="16">
        <f t="shared" ref="AJ70:AJ81" si="78">X70-AG70</f>
        <v>53650784</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+IF(AGOSTO!A71=0,"",AGOSTO!A71)</f>
        <v>1130115-2</v>
      </c>
      <c r="B71" s="654" t="str">
        <f>+IF(AGOSTO!B71=0,"",AGOSTO!B71)</f>
        <v>Vigencia Anterior</v>
      </c>
      <c r="C71" s="375">
        <f>+ENERO!C71</f>
        <v>0</v>
      </c>
      <c r="D71" s="376">
        <f>AGOSTO!D71+SEPTIEMBRE!P71</f>
        <v>0</v>
      </c>
      <c r="E71" s="376">
        <f>AGOSTO!E71+SEPTIEMBRE!Q71</f>
        <v>27541841</v>
      </c>
      <c r="F71" s="376">
        <f>SUM(C71:E71)</f>
        <v>27541841</v>
      </c>
      <c r="G71" s="376">
        <f>AGOSTO!I71</f>
        <v>24381097</v>
      </c>
      <c r="H71" s="377">
        <v>0</v>
      </c>
      <c r="I71" s="376">
        <f>SUM(G71:H71)</f>
        <v>24381097</v>
      </c>
      <c r="J71" s="376">
        <f>AGOSTO!L71</f>
        <v>24381097</v>
      </c>
      <c r="K71" s="377">
        <v>0</v>
      </c>
      <c r="L71" s="376">
        <f>SUM(J71:K71)</f>
        <v>24381097</v>
      </c>
      <c r="M71" s="376">
        <f>F71-I71</f>
        <v>3160744</v>
      </c>
      <c r="N71" s="146">
        <f>F71-L71</f>
        <v>3160744</v>
      </c>
      <c r="O71" s="385"/>
      <c r="P71" s="375">
        <v>0</v>
      </c>
      <c r="Q71" s="378">
        <v>0</v>
      </c>
      <c r="R71" s="9"/>
      <c r="S71" s="720" t="str">
        <f>+IF(AGOSTO!S71=0,"",AGOSTO!S71)</f>
        <v>1020104-2</v>
      </c>
      <c r="T71" s="694" t="str">
        <f>+IF(AGOSTO!T71=0,"",AGOSTO!T71)</f>
        <v>Prima Vida Cara</v>
      </c>
      <c r="U71" s="27">
        <f>+ENERO!U71</f>
        <v>0</v>
      </c>
      <c r="V71" s="15">
        <f>AGOSTO!V71+SEPTIEMBRE!AL71</f>
        <v>0</v>
      </c>
      <c r="W71" s="15">
        <f>AGOSTO!W71+SEPTIEMBRE!AM71</f>
        <v>0</v>
      </c>
      <c r="X71" s="18">
        <f t="shared" si="72"/>
        <v>0</v>
      </c>
      <c r="Y71" s="19">
        <f>AGOSTO!AA71</f>
        <v>0</v>
      </c>
      <c r="Z71" s="377">
        <v>0</v>
      </c>
      <c r="AA71" s="18">
        <f t="shared" si="73"/>
        <v>0</v>
      </c>
      <c r="AB71" s="19">
        <f>AGOSTO!AD71</f>
        <v>0</v>
      </c>
      <c r="AC71" s="377">
        <v>0</v>
      </c>
      <c r="AD71" s="18">
        <f t="shared" si="74"/>
        <v>0</v>
      </c>
      <c r="AE71" s="19">
        <f>AGOSTO!AG71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+IF(AGOSTO!A72=0,"",AGOSTO!A72)</f>
        <v>1130116</v>
      </c>
      <c r="B72" s="653" t="str">
        <f>+IF(AGOSTO!B72=0,"",AGOSTO!B72)</f>
        <v>ADMINISTRADORAS DE RIESGOS PROFESIONALES</v>
      </c>
      <c r="C72" s="43">
        <f t="shared" ref="C72:N72" si="79">SUM(C73:C74)</f>
        <v>47982534</v>
      </c>
      <c r="D72" s="44">
        <f t="shared" si="79"/>
        <v>0</v>
      </c>
      <c r="E72" s="44">
        <f t="shared" si="79"/>
        <v>7739704</v>
      </c>
      <c r="F72" s="44">
        <f t="shared" si="79"/>
        <v>55722238</v>
      </c>
      <c r="G72" s="44">
        <f t="shared" si="79"/>
        <v>36060218</v>
      </c>
      <c r="H72" s="44">
        <f t="shared" si="79"/>
        <v>3307185</v>
      </c>
      <c r="I72" s="44">
        <f t="shared" si="79"/>
        <v>39367403</v>
      </c>
      <c r="J72" s="44">
        <f t="shared" si="79"/>
        <v>27873090</v>
      </c>
      <c r="K72" s="44">
        <f t="shared" si="79"/>
        <v>3889945</v>
      </c>
      <c r="L72" s="44">
        <f t="shared" si="79"/>
        <v>31763035</v>
      </c>
      <c r="M72" s="44">
        <f t="shared" si="79"/>
        <v>16354835</v>
      </c>
      <c r="N72" s="45">
        <f t="shared" si="79"/>
        <v>23959203</v>
      </c>
      <c r="P72" s="43">
        <f>SUM(P73:P74)</f>
        <v>0</v>
      </c>
      <c r="Q72" s="45">
        <f>SUM(Q73:Q74)</f>
        <v>0</v>
      </c>
      <c r="R72" s="9"/>
      <c r="S72" s="720" t="str">
        <f>+IF(AGOSTO!S72=0,"",AGOSTO!S72)</f>
        <v>1020104-3</v>
      </c>
      <c r="T72" s="694" t="str">
        <f>+IF(AGOSTO!T72=0,"",AGOSTO!T72)</f>
        <v>Prima de Vacaciones</v>
      </c>
      <c r="U72" s="27">
        <f>+ENERO!U72</f>
        <v>26711056</v>
      </c>
      <c r="V72" s="15">
        <f>AGOSTO!V72+SEPTIEMBRE!AL72</f>
        <v>0</v>
      </c>
      <c r="W72" s="15">
        <f>AGOSTO!W72+SEPTIEMBRE!AM72</f>
        <v>0</v>
      </c>
      <c r="X72" s="18">
        <f t="shared" si="72"/>
        <v>26711056</v>
      </c>
      <c r="Y72" s="19">
        <f>AGOSTO!AA72</f>
        <v>13913841</v>
      </c>
      <c r="Z72" s="377">
        <v>6309358</v>
      </c>
      <c r="AA72" s="18">
        <f t="shared" si="73"/>
        <v>20223199</v>
      </c>
      <c r="AB72" s="19">
        <f>AGOSTO!AD72</f>
        <v>13913841</v>
      </c>
      <c r="AC72" s="377">
        <v>6309358</v>
      </c>
      <c r="AD72" s="18">
        <f t="shared" si="74"/>
        <v>20223199</v>
      </c>
      <c r="AE72" s="19">
        <f>AGOSTO!AG72</f>
        <v>10935346</v>
      </c>
      <c r="AF72" s="377">
        <v>2978495</v>
      </c>
      <c r="AG72" s="18">
        <f t="shared" si="75"/>
        <v>13913841</v>
      </c>
      <c r="AH72" s="19">
        <f t="shared" si="76"/>
        <v>6487857</v>
      </c>
      <c r="AI72" s="15">
        <f t="shared" si="77"/>
        <v>6487857</v>
      </c>
      <c r="AJ72" s="16">
        <f t="shared" si="78"/>
        <v>12797215</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+IF(AGOSTO!A73=0,"",AGOSTO!A73)</f>
        <v>1130116-1</v>
      </c>
      <c r="B73" s="654" t="str">
        <f>+CONCATENATE("Vigencia ",INSTRUCCIONES!$F$3)</f>
        <v>Vigencia 2015</v>
      </c>
      <c r="C73" s="375">
        <f>+ENERO!C73</f>
        <v>47982534</v>
      </c>
      <c r="D73" s="376">
        <f>AGOSTO!D73+SEPTIEMBRE!P73</f>
        <v>0</v>
      </c>
      <c r="E73" s="376">
        <f>AGOSTO!E73+SEPTIEMBRE!Q73</f>
        <v>0</v>
      </c>
      <c r="F73" s="376">
        <f>SUM(C73:E73)</f>
        <v>47982534</v>
      </c>
      <c r="G73" s="376">
        <f>AGOSTO!I73</f>
        <v>28788198</v>
      </c>
      <c r="H73" s="377">
        <v>3307185</v>
      </c>
      <c r="I73" s="376">
        <f>SUM(G73:H73)</f>
        <v>32095383</v>
      </c>
      <c r="J73" s="376">
        <f>AGOSTO!L73</f>
        <v>20601070</v>
      </c>
      <c r="K73" s="377">
        <v>3889945</v>
      </c>
      <c r="L73" s="376">
        <f>SUM(J73:K73)</f>
        <v>24491015</v>
      </c>
      <c r="M73" s="376">
        <f>F73-I73</f>
        <v>15887151</v>
      </c>
      <c r="N73" s="146">
        <f>F73-L73</f>
        <v>23491519</v>
      </c>
      <c r="O73" s="385"/>
      <c r="P73" s="375">
        <v>0</v>
      </c>
      <c r="Q73" s="378">
        <v>0</v>
      </c>
      <c r="R73" s="9"/>
      <c r="S73" s="720" t="str">
        <f>+IF(AGOSTO!S73=0,"",AGOSTO!S73)</f>
        <v>1020104-4</v>
      </c>
      <c r="T73" s="694" t="str">
        <f>+IF(AGOSTO!T73=0,"",AGOSTO!T73)</f>
        <v>Prima Clima</v>
      </c>
      <c r="U73" s="27">
        <f>+ENERO!U73</f>
        <v>0</v>
      </c>
      <c r="V73" s="15">
        <f>AGOSTO!V73+SEPTIEMBRE!AL73</f>
        <v>0</v>
      </c>
      <c r="W73" s="15">
        <f>AGOSTO!W73+SEPTIEMBRE!AM73</f>
        <v>0</v>
      </c>
      <c r="X73" s="18">
        <f t="shared" si="72"/>
        <v>0</v>
      </c>
      <c r="Y73" s="19">
        <f>AGOSTO!AA73</f>
        <v>0</v>
      </c>
      <c r="Z73" s="377">
        <v>0</v>
      </c>
      <c r="AA73" s="18">
        <f t="shared" si="73"/>
        <v>0</v>
      </c>
      <c r="AB73" s="19">
        <f>AGOSTO!AD73</f>
        <v>0</v>
      </c>
      <c r="AC73" s="377">
        <v>0</v>
      </c>
      <c r="AD73" s="18">
        <f t="shared" si="74"/>
        <v>0</v>
      </c>
      <c r="AE73" s="19">
        <f>AGOSTO!AG73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+IF(AGOSTO!A74=0,"",AGOSTO!A74)</f>
        <v>1130116-2</v>
      </c>
      <c r="B74" s="654" t="str">
        <f>+IF(AGOSTO!B74=0,"",AGOSTO!B74)</f>
        <v>Vigencia Anterior</v>
      </c>
      <c r="C74" s="375">
        <f>+ENERO!C74</f>
        <v>0</v>
      </c>
      <c r="D74" s="376">
        <f>AGOSTO!D74+SEPTIEMBRE!P74</f>
        <v>0</v>
      </c>
      <c r="E74" s="376">
        <f>AGOSTO!E74+SEPTIEMBRE!Q74</f>
        <v>7739704</v>
      </c>
      <c r="F74" s="376">
        <f>SUM(C74:E74)</f>
        <v>7739704</v>
      </c>
      <c r="G74" s="376">
        <f>AGOSTO!I74</f>
        <v>7272020</v>
      </c>
      <c r="H74" s="377">
        <v>0</v>
      </c>
      <c r="I74" s="376">
        <f>SUM(G74:H74)</f>
        <v>7272020</v>
      </c>
      <c r="J74" s="376">
        <f>AGOSTO!L74</f>
        <v>7272020</v>
      </c>
      <c r="K74" s="377">
        <v>0</v>
      </c>
      <c r="L74" s="376">
        <f>SUM(J74:K74)</f>
        <v>7272020</v>
      </c>
      <c r="M74" s="376">
        <f>F74-I74</f>
        <v>467684</v>
      </c>
      <c r="N74" s="146">
        <f>F74-L74</f>
        <v>467684</v>
      </c>
      <c r="O74" s="385"/>
      <c r="P74" s="375">
        <v>0</v>
      </c>
      <c r="Q74" s="378">
        <v>0</v>
      </c>
      <c r="R74" s="9"/>
      <c r="S74" s="720" t="str">
        <f>+IF(AGOSTO!S74=0,"",AGOSTO!S74)</f>
        <v>1020104-5</v>
      </c>
      <c r="T74" s="694" t="str">
        <f>+IF(AGOSTO!T74=0,"",AGOSTO!T74)</f>
        <v>Prima de Servicios</v>
      </c>
      <c r="U74" s="27">
        <f>+ENERO!U74</f>
        <v>26711056</v>
      </c>
      <c r="V74" s="15">
        <f>AGOSTO!V74+SEPTIEMBRE!AL74</f>
        <v>0</v>
      </c>
      <c r="W74" s="15">
        <f>AGOSTO!W74+SEPTIEMBRE!AM74</f>
        <v>0</v>
      </c>
      <c r="X74" s="18">
        <f t="shared" si="72"/>
        <v>26711056</v>
      </c>
      <c r="Y74" s="19">
        <f>AGOSTO!AA74</f>
        <v>0</v>
      </c>
      <c r="Z74" s="377">
        <v>0</v>
      </c>
      <c r="AA74" s="18">
        <f t="shared" si="73"/>
        <v>0</v>
      </c>
      <c r="AB74" s="19">
        <f>AGOSTO!AD74</f>
        <v>0</v>
      </c>
      <c r="AC74" s="377">
        <v>0</v>
      </c>
      <c r="AD74" s="18">
        <f t="shared" si="74"/>
        <v>0</v>
      </c>
      <c r="AE74" s="19">
        <f>AGOSTO!AG74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+IF(AGOSTO!A75=0,"",AGOSTO!A75)</f>
        <v>1130117</v>
      </c>
      <c r="B75" s="653" t="str">
        <f>+IF(AGOSTO!B75=0,"",AGOSTO!B75)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+IF(AGOSTO!S75=0,"",AGOSTO!S75)</f>
        <v>1020104-8</v>
      </c>
      <c r="T75" s="694" t="str">
        <f>+IF(AGOSTO!T75=0,"",AGOSTO!T75)</f>
        <v>Bonific. por Servicios Prestados (Convencional)</v>
      </c>
      <c r="U75" s="27">
        <f>+ENERO!U75</f>
        <v>0</v>
      </c>
      <c r="V75" s="15">
        <f>AGOSTO!V75+SEPTIEMBRE!AL75</f>
        <v>0</v>
      </c>
      <c r="W75" s="15">
        <f>AGOSTO!W75+SEPTIEMBRE!AM75</f>
        <v>0</v>
      </c>
      <c r="X75" s="18">
        <f t="shared" si="72"/>
        <v>0</v>
      </c>
      <c r="Y75" s="19">
        <f>AGOSTO!AA75</f>
        <v>0</v>
      </c>
      <c r="Z75" s="377">
        <v>0</v>
      </c>
      <c r="AA75" s="18">
        <f t="shared" si="73"/>
        <v>0</v>
      </c>
      <c r="AB75" s="19">
        <f>AGOSTO!AD75</f>
        <v>0</v>
      </c>
      <c r="AC75" s="377">
        <v>0</v>
      </c>
      <c r="AD75" s="18">
        <f t="shared" si="74"/>
        <v>0</v>
      </c>
      <c r="AE75" s="19">
        <f>AGOSTO!AG75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+IF(AGOSTO!A76=0,"",AGOSTO!A76)</f>
        <v>1130117-1</v>
      </c>
      <c r="B76" s="654" t="str">
        <f>+CONCATENATE("Vigencia ",INSTRUCCIONES!$F$3)</f>
        <v>Vigencia 2015</v>
      </c>
      <c r="C76" s="375">
        <f>+ENERO!C76</f>
        <v>0</v>
      </c>
      <c r="D76" s="376">
        <f>AGOSTO!D76+SEPTIEMBRE!P76</f>
        <v>0</v>
      </c>
      <c r="E76" s="376">
        <f>AGOSTO!E76+SEPTIEMBRE!Q76</f>
        <v>0</v>
      </c>
      <c r="F76" s="376">
        <f t="shared" ref="F76:F83" si="81">SUM(C76:E76)</f>
        <v>0</v>
      </c>
      <c r="G76" s="376">
        <f>AGOSTO!I76</f>
        <v>0</v>
      </c>
      <c r="H76" s="377">
        <v>0</v>
      </c>
      <c r="I76" s="376">
        <f t="shared" ref="I76:I83" si="82">SUM(G76:H76)</f>
        <v>0</v>
      </c>
      <c r="J76" s="376">
        <f>AGOSTO!L76</f>
        <v>0</v>
      </c>
      <c r="K76" s="377">
        <v>0</v>
      </c>
      <c r="L76" s="376">
        <f t="shared" ref="L76:L83" si="83">SUM(J76:K76)</f>
        <v>0</v>
      </c>
      <c r="M76" s="376">
        <f t="shared" ref="M76:M83" si="84">F76-I76</f>
        <v>0</v>
      </c>
      <c r="N76" s="146">
        <f t="shared" ref="N76:N83" si="85">F76-L76</f>
        <v>0</v>
      </c>
      <c r="O76" s="385"/>
      <c r="P76" s="375">
        <v>0</v>
      </c>
      <c r="Q76" s="378">
        <v>0</v>
      </c>
      <c r="R76" s="9"/>
      <c r="S76" s="720" t="str">
        <f>+IF(AGOSTO!S76=0,"",AGOSTO!S76)</f>
        <v>1020104-9</v>
      </c>
      <c r="T76" s="694" t="str">
        <f>+IF(AGOSTO!T76=0,"",AGOSTO!T76)</f>
        <v>Auxilio de Transporte</v>
      </c>
      <c r="U76" s="27">
        <f>+ENERO!U76</f>
        <v>1471200</v>
      </c>
      <c r="V76" s="15">
        <f>AGOSTO!V76+SEPTIEMBRE!AL76</f>
        <v>0</v>
      </c>
      <c r="W76" s="15">
        <f>AGOSTO!W76+SEPTIEMBRE!AM76</f>
        <v>0</v>
      </c>
      <c r="X76" s="18">
        <f t="shared" si="72"/>
        <v>1471200</v>
      </c>
      <c r="Y76" s="19">
        <f>AGOSTO!AA76</f>
        <v>146000</v>
      </c>
      <c r="Z76" s="377">
        <v>0</v>
      </c>
      <c r="AA76" s="18">
        <f t="shared" si="73"/>
        <v>146000</v>
      </c>
      <c r="AB76" s="19">
        <f>AGOSTO!AD76</f>
        <v>146000</v>
      </c>
      <c r="AC76" s="377">
        <v>0</v>
      </c>
      <c r="AD76" s="18">
        <f t="shared" si="74"/>
        <v>146000</v>
      </c>
      <c r="AE76" s="19">
        <f>AGOSTO!AG76</f>
        <v>139971</v>
      </c>
      <c r="AF76" s="377">
        <v>150</v>
      </c>
      <c r="AG76" s="18">
        <f t="shared" si="75"/>
        <v>140121</v>
      </c>
      <c r="AH76" s="19">
        <f t="shared" si="76"/>
        <v>1325200</v>
      </c>
      <c r="AI76" s="15">
        <f t="shared" si="77"/>
        <v>1325200</v>
      </c>
      <c r="AJ76" s="16">
        <f t="shared" si="78"/>
        <v>1331079</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+IF(AGOSTO!A77=0,"",AGOSTO!A77)</f>
        <v>1130117-2</v>
      </c>
      <c r="B77" s="654" t="str">
        <f>+IF(AGOSTO!B77=0,"",AGOSTO!B77)</f>
        <v>Vigencia Anterior</v>
      </c>
      <c r="C77" s="375">
        <f>+ENERO!C77</f>
        <v>0</v>
      </c>
      <c r="D77" s="376">
        <f>AGOSTO!D77+SEPTIEMBRE!P77</f>
        <v>0</v>
      </c>
      <c r="E77" s="376">
        <f>AGOSTO!E77+SEPTIEMBRE!Q77</f>
        <v>0</v>
      </c>
      <c r="F77" s="376">
        <f t="shared" si="81"/>
        <v>0</v>
      </c>
      <c r="G77" s="376">
        <f>AGOSTO!I77</f>
        <v>0</v>
      </c>
      <c r="H77" s="377">
        <v>0</v>
      </c>
      <c r="I77" s="376">
        <f t="shared" si="82"/>
        <v>0</v>
      </c>
      <c r="J77" s="376">
        <f>AGOSTO!L77</f>
        <v>0</v>
      </c>
      <c r="K77" s="377">
        <v>0</v>
      </c>
      <c r="L77" s="376">
        <f t="shared" si="83"/>
        <v>0</v>
      </c>
      <c r="M77" s="376">
        <f t="shared" si="84"/>
        <v>0</v>
      </c>
      <c r="N77" s="146">
        <f t="shared" si="85"/>
        <v>0</v>
      </c>
      <c r="O77" s="385"/>
      <c r="P77" s="375">
        <v>0</v>
      </c>
      <c r="Q77" s="378">
        <v>0</v>
      </c>
      <c r="R77" s="9"/>
      <c r="S77" s="720" t="str">
        <f>+IF(AGOSTO!S77=0,"",AGOSTO!S77)</f>
        <v>1020104-10</v>
      </c>
      <c r="T77" s="694" t="str">
        <f>+IF(AGOSTO!T77=0,"",AGOSTO!T77)</f>
        <v>Subsidio de Alimentación</v>
      </c>
      <c r="U77" s="27">
        <f>+ENERO!U77</f>
        <v>0</v>
      </c>
      <c r="V77" s="15">
        <f>AGOSTO!V77+SEPTIEMBRE!AL77</f>
        <v>0</v>
      </c>
      <c r="W77" s="15">
        <f>AGOSTO!W77+SEPTIEMBRE!AM77</f>
        <v>0</v>
      </c>
      <c r="X77" s="18">
        <f t="shared" si="72"/>
        <v>0</v>
      </c>
      <c r="Y77" s="19">
        <f>AGOSTO!AA77</f>
        <v>0</v>
      </c>
      <c r="Z77" s="377">
        <v>0</v>
      </c>
      <c r="AA77" s="18">
        <f t="shared" si="73"/>
        <v>0</v>
      </c>
      <c r="AB77" s="19">
        <f>AGOSTO!AD77</f>
        <v>0</v>
      </c>
      <c r="AC77" s="377">
        <v>0</v>
      </c>
      <c r="AD77" s="18">
        <f t="shared" si="74"/>
        <v>0</v>
      </c>
      <c r="AE77" s="19">
        <f>AGOSTO!AG77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+IF(AGOSTO!A78=0,"",AGOSTO!A78)</f>
        <v>1130118</v>
      </c>
      <c r="B78" s="653" t="str">
        <f>+IF(AGOSTO!B78=0,"",AGOSTO!B78)</f>
        <v>PARTICULARES   (Venta de Contado)</v>
      </c>
      <c r="C78" s="43">
        <f>SUM(C79:C80)</f>
        <v>151788162</v>
      </c>
      <c r="D78" s="44">
        <f>SUM(D79:D80)</f>
        <v>0</v>
      </c>
      <c r="E78" s="44">
        <f>SUM(E79:E80)</f>
        <v>0</v>
      </c>
      <c r="F78" s="44">
        <f t="shared" si="81"/>
        <v>151788162</v>
      </c>
      <c r="G78" s="44">
        <f>SUM(G79:G80)</f>
        <v>90459779</v>
      </c>
      <c r="H78" s="44">
        <f>SUM(H79:H80)</f>
        <v>10324715</v>
      </c>
      <c r="I78" s="44">
        <f t="shared" si="82"/>
        <v>100784494</v>
      </c>
      <c r="J78" s="44">
        <f>SUM(J79:J80)</f>
        <v>90459779</v>
      </c>
      <c r="K78" s="44">
        <f>SUM(K79:K80)</f>
        <v>10324715</v>
      </c>
      <c r="L78" s="44">
        <f t="shared" si="83"/>
        <v>100784494</v>
      </c>
      <c r="M78" s="44">
        <f t="shared" si="84"/>
        <v>51003668</v>
      </c>
      <c r="N78" s="45">
        <f t="shared" si="85"/>
        <v>51003668</v>
      </c>
      <c r="O78" s="385"/>
      <c r="P78" s="43">
        <f>SUM(P79:P80)</f>
        <v>0</v>
      </c>
      <c r="Q78" s="45">
        <f>SUM(Q79:Q80)</f>
        <v>0</v>
      </c>
      <c r="R78" s="9"/>
      <c r="S78" s="720" t="str">
        <f>+IF(AGOSTO!S78=0,"",AGOSTO!S78)</f>
        <v>1020104-12</v>
      </c>
      <c r="T78" s="694" t="str">
        <f>+IF(AGOSTO!T78=0,"",AGOSTO!T78)</f>
        <v>Indemnizaciones por Vacaciones o Supresión de Cargos por Reestructuración</v>
      </c>
      <c r="U78" s="27">
        <f>+ENERO!U78</f>
        <v>0</v>
      </c>
      <c r="V78" s="15">
        <f>AGOSTO!V78+SEPTIEMBRE!AL78</f>
        <v>0</v>
      </c>
      <c r="W78" s="15">
        <f>AGOSTO!W78+SEPTIEMBRE!AM78</f>
        <v>0</v>
      </c>
      <c r="X78" s="18">
        <f t="shared" si="72"/>
        <v>0</v>
      </c>
      <c r="Y78" s="19">
        <f>AGOSTO!AA78</f>
        <v>0</v>
      </c>
      <c r="Z78" s="377">
        <v>0</v>
      </c>
      <c r="AA78" s="18">
        <f t="shared" si="73"/>
        <v>0</v>
      </c>
      <c r="AB78" s="19">
        <f>AGOSTO!AD78</f>
        <v>0</v>
      </c>
      <c r="AC78" s="377">
        <v>0</v>
      </c>
      <c r="AD78" s="18">
        <f t="shared" si="74"/>
        <v>0</v>
      </c>
      <c r="AE78" s="19">
        <f>AGOSTO!AG78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+IF(AGOSTO!A79=0,"",AGOSTO!A79)</f>
        <v>1130118-1</v>
      </c>
      <c r="B79" s="654" t="str">
        <f>+CONCATENATE("Vigencia ",INSTRUCCIONES!$F$3)</f>
        <v>Vigencia 2015</v>
      </c>
      <c r="C79" s="375">
        <f>+ENERO!C79</f>
        <v>151788162</v>
      </c>
      <c r="D79" s="376">
        <f>AGOSTO!D79+SEPTIEMBRE!P79</f>
        <v>0</v>
      </c>
      <c r="E79" s="376">
        <f>AGOSTO!E79+SEPTIEMBRE!Q79</f>
        <v>0</v>
      </c>
      <c r="F79" s="376">
        <f t="shared" si="81"/>
        <v>151788162</v>
      </c>
      <c r="G79" s="376">
        <f>AGOSTO!I79</f>
        <v>90459779</v>
      </c>
      <c r="H79" s="377">
        <v>10324715</v>
      </c>
      <c r="I79" s="376">
        <f t="shared" si="82"/>
        <v>100784494</v>
      </c>
      <c r="J79" s="376">
        <f>AGOSTO!L79</f>
        <v>90459779</v>
      </c>
      <c r="K79" s="377">
        <v>10324715</v>
      </c>
      <c r="L79" s="376">
        <f t="shared" si="83"/>
        <v>100784494</v>
      </c>
      <c r="M79" s="376">
        <f t="shared" si="84"/>
        <v>51003668</v>
      </c>
      <c r="N79" s="146">
        <f t="shared" si="85"/>
        <v>51003668</v>
      </c>
      <c r="P79" s="375">
        <v>0</v>
      </c>
      <c r="Q79" s="378">
        <v>0</v>
      </c>
      <c r="R79" s="9"/>
      <c r="S79" s="720" t="str">
        <f>+IF(AGOSTO!S79=0,"",AGOSTO!S79)</f>
        <v>1020104-13</v>
      </c>
      <c r="T79" s="694" t="str">
        <f>+IF(AGOSTO!T79=0,"",AGOSTO!T79)</f>
        <v>Bonificación Especial por Recreación</v>
      </c>
      <c r="U79" s="27">
        <f>+ENERO!U79</f>
        <v>3561474</v>
      </c>
      <c r="V79" s="15">
        <f>AGOSTO!V79+SEPTIEMBRE!AL79</f>
        <v>0</v>
      </c>
      <c r="W79" s="15">
        <f>AGOSTO!W79+SEPTIEMBRE!AM79</f>
        <v>0</v>
      </c>
      <c r="X79" s="18">
        <f t="shared" si="72"/>
        <v>3561474</v>
      </c>
      <c r="Y79" s="19">
        <f>AGOSTO!AA79</f>
        <v>1890075</v>
      </c>
      <c r="Z79" s="377">
        <v>841249</v>
      </c>
      <c r="AA79" s="18">
        <f t="shared" si="73"/>
        <v>2731324</v>
      </c>
      <c r="AB79" s="19">
        <f>AGOSTO!AD79</f>
        <v>1890075</v>
      </c>
      <c r="AC79" s="377">
        <v>841249</v>
      </c>
      <c r="AD79" s="18">
        <f t="shared" si="74"/>
        <v>2731324</v>
      </c>
      <c r="AE79" s="19">
        <f>AGOSTO!AG79</f>
        <v>1494751</v>
      </c>
      <c r="AF79" s="377">
        <v>395324</v>
      </c>
      <c r="AG79" s="18">
        <f t="shared" si="75"/>
        <v>1890075</v>
      </c>
      <c r="AH79" s="19">
        <f t="shared" si="76"/>
        <v>830150</v>
      </c>
      <c r="AI79" s="15">
        <f t="shared" si="77"/>
        <v>830150</v>
      </c>
      <c r="AJ79" s="16">
        <f t="shared" si="78"/>
        <v>1671399</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+IF(AGOSTO!A80=0,"",AGOSTO!A80)</f>
        <v>1130118-2</v>
      </c>
      <c r="B80" s="654" t="str">
        <f>+IF(AGOSTO!B80=0,"",AGOSTO!B80)</f>
        <v>Vigencia Anterior</v>
      </c>
      <c r="C80" s="375">
        <f>+ENERO!C80</f>
        <v>0</v>
      </c>
      <c r="D80" s="376">
        <f>AGOSTO!D80+SEPTIEMBRE!P80</f>
        <v>0</v>
      </c>
      <c r="E80" s="376">
        <f>AGOSTO!E80+SEPTIEMBRE!Q80</f>
        <v>0</v>
      </c>
      <c r="F80" s="376">
        <f t="shared" si="81"/>
        <v>0</v>
      </c>
      <c r="G80" s="376">
        <f>AGOSTO!I80</f>
        <v>0</v>
      </c>
      <c r="H80" s="377">
        <v>0</v>
      </c>
      <c r="I80" s="376">
        <f t="shared" si="82"/>
        <v>0</v>
      </c>
      <c r="J80" s="376">
        <f>AGOSTO!L80</f>
        <v>0</v>
      </c>
      <c r="K80" s="377">
        <v>0</v>
      </c>
      <c r="L80" s="376">
        <f t="shared" si="83"/>
        <v>0</v>
      </c>
      <c r="M80" s="376">
        <f t="shared" si="84"/>
        <v>0</v>
      </c>
      <c r="N80" s="146">
        <f t="shared" si="85"/>
        <v>0</v>
      </c>
      <c r="O80" s="385"/>
      <c r="P80" s="375">
        <v>0</v>
      </c>
      <c r="Q80" s="378">
        <v>0</v>
      </c>
      <c r="S80" s="720" t="str">
        <f>+IF(AGOSTO!S80=0,"",AGOSTO!S80)</f>
        <v>1020104-14</v>
      </c>
      <c r="T80" s="694" t="str">
        <f>+IF(AGOSTO!T80=0,"",AGOSTO!T80)</f>
        <v/>
      </c>
      <c r="U80" s="27">
        <f>+ENERO!U80</f>
        <v>0</v>
      </c>
      <c r="V80" s="15">
        <f>AGOSTO!V80+SEPTIEMBRE!AL80</f>
        <v>0</v>
      </c>
      <c r="W80" s="15">
        <f>AGOSTO!W80+SEPTIEMBRE!AM80</f>
        <v>0</v>
      </c>
      <c r="X80" s="18">
        <f t="shared" si="72"/>
        <v>0</v>
      </c>
      <c r="Y80" s="19">
        <f>AGOSTO!AA80</f>
        <v>0</v>
      </c>
      <c r="Z80" s="377">
        <v>0</v>
      </c>
      <c r="AA80" s="18">
        <f t="shared" si="73"/>
        <v>0</v>
      </c>
      <c r="AB80" s="19">
        <f>AGOSTO!AD80</f>
        <v>0</v>
      </c>
      <c r="AC80" s="377">
        <v>0</v>
      </c>
      <c r="AD80" s="18">
        <f t="shared" si="74"/>
        <v>0</v>
      </c>
      <c r="AE80" s="19">
        <f>AGOSTO!AG80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F80" s="385"/>
      <c r="BL80" s="385"/>
      <c r="BM80" s="385"/>
      <c r="BN80" s="385"/>
      <c r="BO80" s="385"/>
      <c r="BP80" s="385"/>
      <c r="BQ80" s="385"/>
      <c r="BR80" s="385"/>
    </row>
    <row r="81" spans="1:70" s="385" customFormat="1" ht="24.95" customHeight="1" x14ac:dyDescent="0.2">
      <c r="A81" s="747">
        <f>+IF(AGOSTO!A81=0,"",AGOSTO!A81)</f>
        <v>1130119</v>
      </c>
      <c r="B81" s="657" t="str">
        <f>+IF(AGOSTO!B81=0,"",AGOSTO!B81)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+IF(AGOSTO!S81=0,"",AGOSTO!S81)</f>
        <v>1020199</v>
      </c>
      <c r="T81" s="693" t="str">
        <f>+IF(AGOSTO!T81=0,"",AGOSTO!T81)</f>
        <v>Vigencias Anteriores</v>
      </c>
      <c r="U81" s="27">
        <f>+ENERO!U81</f>
        <v>0</v>
      </c>
      <c r="V81" s="15">
        <f>AGOSTO!V81+SEPTIEMBRE!AL81</f>
        <v>0</v>
      </c>
      <c r="W81" s="15">
        <f>AGOSTO!W81+SEPTIEMBRE!AM81</f>
        <v>13655677</v>
      </c>
      <c r="X81" s="18">
        <f t="shared" si="72"/>
        <v>13655677</v>
      </c>
      <c r="Y81" s="19">
        <f>AGOSTO!AA81</f>
        <v>13655677</v>
      </c>
      <c r="Z81" s="377">
        <v>0</v>
      </c>
      <c r="AA81" s="18">
        <f t="shared" si="73"/>
        <v>13655677</v>
      </c>
      <c r="AB81" s="19">
        <f>AGOSTO!AD81</f>
        <v>13655677</v>
      </c>
      <c r="AC81" s="377">
        <v>0</v>
      </c>
      <c r="AD81" s="18">
        <f t="shared" si="74"/>
        <v>13655677</v>
      </c>
      <c r="AE81" s="19">
        <f>AGOSTO!AG81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+IF(AGOSTO!A82=0,"",AGOSTO!A82)</f>
        <v>1130119-1</v>
      </c>
      <c r="B82" s="654" t="str">
        <f>+CONCATENATE("Vigencia ",INSTRUCCIONES!$F$3)</f>
        <v>Vigencia 2015</v>
      </c>
      <c r="C82" s="375">
        <f>+ENERO!C82</f>
        <v>0</v>
      </c>
      <c r="D82" s="376">
        <f>AGOSTO!D82+SEPTIEMBRE!P82</f>
        <v>0</v>
      </c>
      <c r="E82" s="376">
        <f>AGOSTO!E82+SEPTIEMBRE!Q82</f>
        <v>0</v>
      </c>
      <c r="F82" s="376">
        <f t="shared" si="81"/>
        <v>0</v>
      </c>
      <c r="G82" s="376">
        <f>AGOSTO!I82</f>
        <v>0</v>
      </c>
      <c r="H82" s="377">
        <v>0</v>
      </c>
      <c r="I82" s="376">
        <f t="shared" si="82"/>
        <v>0</v>
      </c>
      <c r="J82" s="376">
        <f>AGOSTO!L82</f>
        <v>0</v>
      </c>
      <c r="K82" s="377">
        <v>0</v>
      </c>
      <c r="L82" s="376">
        <f t="shared" si="83"/>
        <v>0</v>
      </c>
      <c r="M82" s="376">
        <f t="shared" si="84"/>
        <v>0</v>
      </c>
      <c r="N82" s="146">
        <f t="shared" si="85"/>
        <v>0</v>
      </c>
      <c r="P82" s="375">
        <v>0</v>
      </c>
      <c r="Q82" s="378">
        <v>0</v>
      </c>
      <c r="R82" s="9"/>
      <c r="S82" s="369" t="str">
        <f>+IF(AGOSTO!S82=0,"",AGOSTO!S82)</f>
        <v/>
      </c>
      <c r="T82" s="708" t="str">
        <f>+IF(AGOSTO!T82=0,"",AGOSTO!T82)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+IF(AGOSTO!A83=0,"",AGOSTO!A83)</f>
        <v>1130119-2</v>
      </c>
      <c r="B83" s="658" t="str">
        <f>+IF(AGOSTO!B83=0,"",AGOSTO!B83)</f>
        <v>Vigencia Anterior</v>
      </c>
      <c r="C83" s="387">
        <f>+ENERO!C83</f>
        <v>0</v>
      </c>
      <c r="D83" s="388">
        <f>AGOSTO!D83+SEPTIEMBRE!P83</f>
        <v>0</v>
      </c>
      <c r="E83" s="388">
        <f>AGOSTO!E83+SEPTIEMBRE!Q83</f>
        <v>0</v>
      </c>
      <c r="F83" s="388">
        <f t="shared" si="81"/>
        <v>0</v>
      </c>
      <c r="G83" s="388">
        <f>AGOSTO!I83</f>
        <v>0</v>
      </c>
      <c r="H83" s="391">
        <v>0</v>
      </c>
      <c r="I83" s="388">
        <f t="shared" si="82"/>
        <v>0</v>
      </c>
      <c r="J83" s="388">
        <f>AGOSTO!L83</f>
        <v>0</v>
      </c>
      <c r="K83" s="391">
        <v>0</v>
      </c>
      <c r="L83" s="388">
        <f t="shared" si="83"/>
        <v>0</v>
      </c>
      <c r="M83" s="388">
        <f t="shared" si="84"/>
        <v>0</v>
      </c>
      <c r="N83" s="389">
        <f t="shared" si="85"/>
        <v>0</v>
      </c>
      <c r="P83" s="375">
        <v>0</v>
      </c>
      <c r="Q83" s="378">
        <v>0</v>
      </c>
      <c r="R83" s="9"/>
      <c r="S83" s="718">
        <f>+IF(AGOSTO!S83=0,"",AGOSTO!S83)</f>
        <v>1020200</v>
      </c>
      <c r="T83" s="692" t="str">
        <f>+IF(AGOSTO!T83=0,"",AGOSTO!T83)</f>
        <v>Servicios Personales Indirectos</v>
      </c>
      <c r="U83" s="135">
        <f t="shared" ref="U83:AJ83" si="87">SUM(U84:U88)</f>
        <v>151257124</v>
      </c>
      <c r="V83" s="124">
        <f t="shared" si="87"/>
        <v>24000000</v>
      </c>
      <c r="W83" s="124">
        <f t="shared" si="87"/>
        <v>6884000</v>
      </c>
      <c r="X83" s="132">
        <f t="shared" si="87"/>
        <v>182141124</v>
      </c>
      <c r="Y83" s="131">
        <f t="shared" si="87"/>
        <v>162717000</v>
      </c>
      <c r="Z83" s="124">
        <f t="shared" si="87"/>
        <v>545000</v>
      </c>
      <c r="AA83" s="132">
        <f t="shared" si="87"/>
        <v>163262000</v>
      </c>
      <c r="AB83" s="131">
        <f t="shared" si="87"/>
        <v>109967000</v>
      </c>
      <c r="AC83" s="124">
        <f t="shared" si="87"/>
        <v>12695000</v>
      </c>
      <c r="AD83" s="132">
        <f t="shared" si="87"/>
        <v>122662000</v>
      </c>
      <c r="AE83" s="131">
        <f t="shared" si="87"/>
        <v>97217000</v>
      </c>
      <c r="AF83" s="124">
        <f t="shared" si="87"/>
        <v>18707500</v>
      </c>
      <c r="AG83" s="132">
        <f t="shared" si="87"/>
        <v>115924500</v>
      </c>
      <c r="AH83" s="131">
        <f t="shared" si="87"/>
        <v>18879124</v>
      </c>
      <c r="AI83" s="124">
        <f t="shared" si="87"/>
        <v>59479124</v>
      </c>
      <c r="AJ83" s="133">
        <f t="shared" si="87"/>
        <v>66216624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+IF(AGOSTO!A84=0,"",AGOSTO!A84)</f>
        <v/>
      </c>
      <c r="B84" s="659" t="str">
        <f>+IF(AGOSTO!B84=0,"",AGOSTO!B84)</f>
        <v/>
      </c>
      <c r="C84" s="297"/>
      <c r="D84" s="297"/>
      <c r="E84" s="297"/>
      <c r="F84" s="297"/>
      <c r="G84" s="297"/>
      <c r="H84" s="297"/>
      <c r="I84" s="297"/>
      <c r="J84" s="297"/>
      <c r="K84" s="297"/>
      <c r="L84" s="297"/>
      <c r="M84" s="297"/>
      <c r="N84" s="466"/>
      <c r="O84" s="464"/>
      <c r="P84" s="470"/>
      <c r="Q84" s="394"/>
      <c r="R84" s="9"/>
      <c r="S84" s="719" t="str">
        <f>+IF(AGOSTO!S84=0,"",AGOSTO!S84)</f>
        <v>1020200-1</v>
      </c>
      <c r="T84" s="693" t="str">
        <f>+IF(AGOSTO!T84=0,"",AGOSTO!T84)</f>
        <v>Remuneración y Honorarios por Servicios Técnicos y Profesionales</v>
      </c>
      <c r="U84" s="27">
        <f>+ENERO!U84</f>
        <v>151257124</v>
      </c>
      <c r="V84" s="15">
        <f>AGOSTO!V84+SEPTIEMBRE!AL84</f>
        <v>24000000</v>
      </c>
      <c r="W84" s="15">
        <f>AGOSTO!W84+SEPTIEMBRE!AM84</f>
        <v>0</v>
      </c>
      <c r="X84" s="18">
        <f>SUM(U84:W84)</f>
        <v>175257124</v>
      </c>
      <c r="Y84" s="19">
        <f>AGOSTO!AA84</f>
        <v>155833000</v>
      </c>
      <c r="Z84" s="377">
        <v>545000</v>
      </c>
      <c r="AA84" s="18">
        <f>SUM(Y84:Z84)</f>
        <v>156378000</v>
      </c>
      <c r="AB84" s="19">
        <f>AGOSTO!AD84</f>
        <v>103083000</v>
      </c>
      <c r="AC84" s="377">
        <v>12695000</v>
      </c>
      <c r="AD84" s="18">
        <f>SUM(AB84:AC84)</f>
        <v>115778000</v>
      </c>
      <c r="AE84" s="19">
        <f>AGOSTO!AG84</f>
        <v>90333000</v>
      </c>
      <c r="AF84" s="377">
        <v>18707500</v>
      </c>
      <c r="AG84" s="18">
        <f>SUM(AE84:AF84)</f>
        <v>109040500</v>
      </c>
      <c r="AH84" s="19">
        <f>X84-AA84</f>
        <v>18879124</v>
      </c>
      <c r="AI84" s="15">
        <f>X84-AD84</f>
        <v>59479124</v>
      </c>
      <c r="AJ84" s="16">
        <f>X84-AG84</f>
        <v>66216624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+IF(AGOSTO!A85=0,"",AGOSTO!A85)</f>
        <v>11302</v>
      </c>
      <c r="B85" s="660" t="str">
        <f>+IF(AGOSTO!B85=0,"",AGOSTO!B85)</f>
        <v>Otras Ventas de Servicios de Salud</v>
      </c>
      <c r="C85" s="625">
        <f t="shared" ref="C85:N85" si="88">SUM(C86:C92)</f>
        <v>74000000</v>
      </c>
      <c r="D85" s="623">
        <f t="shared" si="88"/>
        <v>0</v>
      </c>
      <c r="E85" s="623">
        <f t="shared" si="88"/>
        <v>0</v>
      </c>
      <c r="F85" s="623">
        <f t="shared" si="88"/>
        <v>74000000</v>
      </c>
      <c r="G85" s="623">
        <f t="shared" si="88"/>
        <v>24258686</v>
      </c>
      <c r="H85" s="623">
        <f t="shared" si="88"/>
        <v>15000000</v>
      </c>
      <c r="I85" s="623">
        <f t="shared" si="88"/>
        <v>39258686</v>
      </c>
      <c r="J85" s="623">
        <f t="shared" si="88"/>
        <v>16929343</v>
      </c>
      <c r="K85" s="623">
        <f t="shared" si="88"/>
        <v>15000000</v>
      </c>
      <c r="L85" s="623">
        <f t="shared" si="88"/>
        <v>31929343</v>
      </c>
      <c r="M85" s="623">
        <f t="shared" si="88"/>
        <v>34741314</v>
      </c>
      <c r="N85" s="624">
        <f t="shared" si="88"/>
        <v>42070657</v>
      </c>
      <c r="P85" s="43">
        <f>SUM(P86:P92)</f>
        <v>0</v>
      </c>
      <c r="Q85" s="45">
        <f>SUM(Q86:Q92)</f>
        <v>0</v>
      </c>
      <c r="R85" s="9"/>
      <c r="S85" s="719" t="str">
        <f>+IF(AGOSTO!S85=0,"",AGOSTO!S85)</f>
        <v>1020200-2</v>
      </c>
      <c r="T85" s="693" t="str">
        <f>+IF(AGOSTO!T85=0,"",AGOSTO!T85)</f>
        <v>Personal Supernumerario</v>
      </c>
      <c r="U85" s="27">
        <f>+ENERO!U85</f>
        <v>0</v>
      </c>
      <c r="V85" s="15">
        <f>AGOSTO!V85+SEPTIEMBRE!AL85</f>
        <v>0</v>
      </c>
      <c r="W85" s="15">
        <f>AGOSTO!W85+SEPTIEMBRE!AM85</f>
        <v>0</v>
      </c>
      <c r="X85" s="18">
        <f>SUM(U85:W85)</f>
        <v>0</v>
      </c>
      <c r="Y85" s="19">
        <f>AGOSTO!AA85</f>
        <v>0</v>
      </c>
      <c r="Z85" s="377">
        <v>0</v>
      </c>
      <c r="AA85" s="18">
        <f>SUM(Y85:Z85)</f>
        <v>0</v>
      </c>
      <c r="AB85" s="19">
        <f>AGOSTO!AD85</f>
        <v>0</v>
      </c>
      <c r="AC85" s="377">
        <v>0</v>
      </c>
      <c r="AD85" s="18">
        <f>SUM(AB85:AC85)</f>
        <v>0</v>
      </c>
      <c r="AE85" s="19">
        <f>AGOSTO!AG85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+IF(AGOSTO!A86=0,"",AGOSTO!A86)</f>
        <v>1130201</v>
      </c>
      <c r="B86" s="634" t="str">
        <f>+IF(AGOSTO!B86=0,"",AGOSTO!B86)</f>
        <v/>
      </c>
      <c r="C86" s="401">
        <f>+ENERO!C86</f>
        <v>0</v>
      </c>
      <c r="D86" s="376">
        <f>AGOSTO!D86+SEPTIEMBRE!P86</f>
        <v>0</v>
      </c>
      <c r="E86" s="376">
        <f>AGOSTO!E86+SEPTIEMBRE!Q86</f>
        <v>0</v>
      </c>
      <c r="F86" s="376">
        <f t="shared" ref="F86:F92" si="89">SUM(C86:E86)</f>
        <v>0</v>
      </c>
      <c r="G86" s="376">
        <f>AGOSTO!I86</f>
        <v>0</v>
      </c>
      <c r="H86" s="377">
        <v>0</v>
      </c>
      <c r="I86" s="376">
        <f t="shared" ref="I86:I92" si="90">SUM(G86:H86)</f>
        <v>0</v>
      </c>
      <c r="J86" s="376">
        <f>AGOSTO!L86</f>
        <v>0</v>
      </c>
      <c r="K86" s="377">
        <v>0</v>
      </c>
      <c r="L86" s="376">
        <f t="shared" ref="L86:L92" si="91">SUM(J86:K86)</f>
        <v>0</v>
      </c>
      <c r="M86" s="376">
        <f t="shared" ref="M86:M92" si="92">F86-I86</f>
        <v>0</v>
      </c>
      <c r="N86" s="146">
        <f t="shared" ref="N86:N92" si="93">F86-L86</f>
        <v>0</v>
      </c>
      <c r="O86" s="385"/>
      <c r="P86" s="375">
        <v>0</v>
      </c>
      <c r="Q86" s="378">
        <v>0</v>
      </c>
      <c r="R86" s="9">
        <v>0</v>
      </c>
      <c r="S86" s="719" t="str">
        <f>+IF(AGOSTO!S86=0,"",AGOSTO!S86)</f>
        <v>1020200-4</v>
      </c>
      <c r="T86" s="693" t="str">
        <f>+IF(AGOSTO!T86=0,"",AGOSTO!T86)</f>
        <v>Otros Honorarios (Servicios de Cooperativa)</v>
      </c>
      <c r="U86" s="27">
        <f>+ENERO!U86</f>
        <v>0</v>
      </c>
      <c r="V86" s="15">
        <f>AGOSTO!V86+SEPTIEMBRE!AL86</f>
        <v>0</v>
      </c>
      <c r="W86" s="15">
        <f>AGOSTO!W86+SEPTIEMBRE!AM86</f>
        <v>0</v>
      </c>
      <c r="X86" s="18">
        <f>SUM(U86:W86)</f>
        <v>0</v>
      </c>
      <c r="Y86" s="19">
        <f>AGOSTO!AA86</f>
        <v>0</v>
      </c>
      <c r="Z86" s="377">
        <v>0</v>
      </c>
      <c r="AA86" s="18">
        <f>SUM(Y86:Z86)</f>
        <v>0</v>
      </c>
      <c r="AB86" s="19">
        <f>AGOSTO!AD86</f>
        <v>0</v>
      </c>
      <c r="AC86" s="377">
        <v>0</v>
      </c>
      <c r="AD86" s="18">
        <f>SUM(AB86:AC86)</f>
        <v>0</v>
      </c>
      <c r="AE86" s="19">
        <f>AGOSTO!AG86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F86" s="385"/>
      <c r="BL86" s="385"/>
      <c r="BM86" s="385"/>
      <c r="BN86" s="385"/>
      <c r="BO86" s="385"/>
      <c r="BP86" s="385"/>
      <c r="BQ86" s="385"/>
      <c r="BR86" s="385"/>
    </row>
    <row r="87" spans="1:70" s="385" customFormat="1" ht="24.95" customHeight="1" x14ac:dyDescent="0.2">
      <c r="A87" s="752">
        <f>+IF(AGOSTO!A87=0,"",AGOSTO!A87)</f>
        <v>1130202</v>
      </c>
      <c r="B87" s="634" t="str">
        <f>+IF(AGOSTO!B87=0,"",AGOSTO!B87)</f>
        <v/>
      </c>
      <c r="C87" s="401">
        <f>+ENERO!C87</f>
        <v>0</v>
      </c>
      <c r="D87" s="376">
        <f>AGOSTO!D87+SEPTIEMBRE!P87</f>
        <v>0</v>
      </c>
      <c r="E87" s="376">
        <f>AGOSTO!E87+SEPTIEMBRE!Q87</f>
        <v>0</v>
      </c>
      <c r="F87" s="376">
        <f t="shared" si="89"/>
        <v>0</v>
      </c>
      <c r="G87" s="376">
        <f>AGOSTO!I87</f>
        <v>0</v>
      </c>
      <c r="H87" s="377">
        <v>0</v>
      </c>
      <c r="I87" s="376">
        <f t="shared" si="90"/>
        <v>0</v>
      </c>
      <c r="J87" s="376">
        <f>AGOSTO!L87</f>
        <v>0</v>
      </c>
      <c r="K87" s="377">
        <v>0</v>
      </c>
      <c r="L87" s="376">
        <f t="shared" si="91"/>
        <v>0</v>
      </c>
      <c r="M87" s="376">
        <f t="shared" si="92"/>
        <v>0</v>
      </c>
      <c r="N87" s="146">
        <f t="shared" si="93"/>
        <v>0</v>
      </c>
      <c r="P87" s="375">
        <v>0</v>
      </c>
      <c r="Q87" s="378">
        <v>0</v>
      </c>
      <c r="R87" s="9"/>
      <c r="S87" s="719" t="str">
        <f>+IF(AGOSTO!S87=0,"",AGOSTO!S87)</f>
        <v/>
      </c>
      <c r="T87" s="693" t="str">
        <f>+IF(AGOSTO!T87=0,"",AGOSTO!T87)</f>
        <v/>
      </c>
      <c r="U87" s="27">
        <f>+ENERO!U87</f>
        <v>0</v>
      </c>
      <c r="V87" s="15">
        <f>AGOSTO!V87+SEPTIEMBRE!AL87</f>
        <v>0</v>
      </c>
      <c r="W87" s="15">
        <f>AGOSTO!W87+SEPTIEMBRE!AM87</f>
        <v>0</v>
      </c>
      <c r="X87" s="18">
        <f>SUM(U87:W87)</f>
        <v>0</v>
      </c>
      <c r="Y87" s="19">
        <f>AGOSTO!AA87</f>
        <v>0</v>
      </c>
      <c r="Z87" s="377">
        <v>0</v>
      </c>
      <c r="AA87" s="18">
        <f>SUM(Y87:Z87)</f>
        <v>0</v>
      </c>
      <c r="AB87" s="19">
        <f>AGOSTO!AD87</f>
        <v>0</v>
      </c>
      <c r="AC87" s="377">
        <v>0</v>
      </c>
      <c r="AD87" s="18">
        <f>SUM(AB87:AC87)</f>
        <v>0</v>
      </c>
      <c r="AE87" s="19">
        <f>AGOSTO!AG87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+IF(AGOSTO!A88=0,"",AGOSTO!A88)</f>
        <v>1130203</v>
      </c>
      <c r="B88" s="635" t="str">
        <f>+IF(AGOSTO!B88=0,"",AGOSTO!B88)</f>
        <v>CONVENIOS CON LA NACION LIGADOS A LA VENTA DE SERVICIOS</v>
      </c>
      <c r="C88" s="401">
        <f>+ENERO!C88</f>
        <v>0</v>
      </c>
      <c r="D88" s="376">
        <f>AGOSTO!D88+SEPTIEMBRE!P88</f>
        <v>0</v>
      </c>
      <c r="E88" s="376">
        <f>AGOSTO!E88+SEPTIEMBRE!Q88</f>
        <v>0</v>
      </c>
      <c r="F88" s="376">
        <f t="shared" si="89"/>
        <v>0</v>
      </c>
      <c r="G88" s="376">
        <f>AGOSTO!I88</f>
        <v>0</v>
      </c>
      <c r="H88" s="377">
        <v>0</v>
      </c>
      <c r="I88" s="376">
        <f t="shared" si="90"/>
        <v>0</v>
      </c>
      <c r="J88" s="376">
        <f>AGOSTO!L88</f>
        <v>0</v>
      </c>
      <c r="K88" s="377">
        <v>0</v>
      </c>
      <c r="L88" s="376">
        <f t="shared" si="91"/>
        <v>0</v>
      </c>
      <c r="M88" s="376">
        <f t="shared" si="92"/>
        <v>0</v>
      </c>
      <c r="N88" s="146">
        <f t="shared" si="93"/>
        <v>0</v>
      </c>
      <c r="P88" s="375">
        <v>0</v>
      </c>
      <c r="Q88" s="378">
        <v>0</v>
      </c>
      <c r="R88" s="9"/>
      <c r="S88" s="719">
        <f>+IF(AGOSTO!S88=0,"",AGOSTO!S88)</f>
        <v>1020299</v>
      </c>
      <c r="T88" s="693" t="str">
        <f>+IF(AGOSTO!T88=0,"",AGOSTO!T88)</f>
        <v>Vigencias Anteriores</v>
      </c>
      <c r="U88" s="27">
        <f>+ENERO!U88</f>
        <v>0</v>
      </c>
      <c r="V88" s="15">
        <f>AGOSTO!V88+SEPTIEMBRE!AL88</f>
        <v>0</v>
      </c>
      <c r="W88" s="15">
        <f>AGOSTO!W88+SEPTIEMBRE!AM88</f>
        <v>6884000</v>
      </c>
      <c r="X88" s="18">
        <f>SUM(U88:W88)</f>
        <v>6884000</v>
      </c>
      <c r="Y88" s="19">
        <f>AGOSTO!AA88</f>
        <v>6884000</v>
      </c>
      <c r="Z88" s="377">
        <v>0</v>
      </c>
      <c r="AA88" s="18">
        <f>SUM(Y88:Z88)</f>
        <v>6884000</v>
      </c>
      <c r="AB88" s="19">
        <f>AGOSTO!AD88</f>
        <v>6884000</v>
      </c>
      <c r="AC88" s="377">
        <v>0</v>
      </c>
      <c r="AD88" s="18">
        <f>SUM(AB88:AC88)</f>
        <v>6884000</v>
      </c>
      <c r="AE88" s="19">
        <f>AGOSTO!AG88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+IF(AGOSTO!A89=0,"",AGOSTO!A89)</f>
        <v>1130204</v>
      </c>
      <c r="B89" s="635" t="str">
        <f>+IF(AGOSTO!B89=0,"",AGOSTO!B89)</f>
        <v>CONVENIOS CON EL DEPARTAMENTO LIGADOS A LA VENTA SERVICIOS</v>
      </c>
      <c r="C89" s="401">
        <f>+ENERO!C89</f>
        <v>50000000</v>
      </c>
      <c r="D89" s="376">
        <f>AGOSTO!D89+SEPTIEMBRE!P89</f>
        <v>0</v>
      </c>
      <c r="E89" s="376">
        <f>AGOSTO!E89+SEPTIEMBRE!Q89</f>
        <v>0</v>
      </c>
      <c r="F89" s="376">
        <f t="shared" si="89"/>
        <v>50000000</v>
      </c>
      <c r="G89" s="376">
        <f>AGOSTO!I89</f>
        <v>14658686</v>
      </c>
      <c r="H89" s="377">
        <v>15000000</v>
      </c>
      <c r="I89" s="376">
        <f t="shared" si="90"/>
        <v>29658686</v>
      </c>
      <c r="J89" s="376">
        <f>AGOSTO!L89</f>
        <v>7329343</v>
      </c>
      <c r="K89" s="377">
        <v>15000000</v>
      </c>
      <c r="L89" s="376">
        <f t="shared" si="91"/>
        <v>22329343</v>
      </c>
      <c r="M89" s="376">
        <f t="shared" si="92"/>
        <v>20341314</v>
      </c>
      <c r="N89" s="146">
        <f t="shared" si="93"/>
        <v>27670657</v>
      </c>
      <c r="P89" s="375">
        <v>0</v>
      </c>
      <c r="Q89" s="378">
        <v>0</v>
      </c>
      <c r="R89" s="9"/>
      <c r="S89" s="369" t="str">
        <f>+IF(AGOSTO!S89=0,"",AGOSTO!S89)</f>
        <v/>
      </c>
      <c r="T89" s="708" t="str">
        <f>+IF(AGOSTO!T89=0,"",AGOSTO!T89)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+IF(AGOSTO!A90=0,"",AGOSTO!A90)</f>
        <v>1130205</v>
      </c>
      <c r="B90" s="635" t="str">
        <f>+IF(AGOSTO!B90=0,"",AGOSTO!B90)</f>
        <v>CONVENIOS CON EL MUNICIPIO LIGADOS A LA VENTA DE SERVICIOS</v>
      </c>
      <c r="C90" s="401">
        <f>+ENERO!C90</f>
        <v>24000000</v>
      </c>
      <c r="D90" s="376">
        <f>AGOSTO!D90+SEPTIEMBRE!P90</f>
        <v>0</v>
      </c>
      <c r="E90" s="376">
        <f>AGOSTO!E90+SEPTIEMBRE!Q90</f>
        <v>0</v>
      </c>
      <c r="F90" s="376">
        <f t="shared" si="89"/>
        <v>24000000</v>
      </c>
      <c r="G90" s="376">
        <f>AGOSTO!I90</f>
        <v>9600000</v>
      </c>
      <c r="H90" s="377">
        <v>0</v>
      </c>
      <c r="I90" s="376">
        <f t="shared" si="90"/>
        <v>9600000</v>
      </c>
      <c r="J90" s="376">
        <f>AGOSTO!L90</f>
        <v>9600000</v>
      </c>
      <c r="K90" s="377">
        <v>0</v>
      </c>
      <c r="L90" s="376">
        <f t="shared" si="91"/>
        <v>9600000</v>
      </c>
      <c r="M90" s="376">
        <f t="shared" si="92"/>
        <v>14400000</v>
      </c>
      <c r="N90" s="146">
        <f t="shared" si="93"/>
        <v>14400000</v>
      </c>
      <c r="O90" s="385"/>
      <c r="P90" s="375">
        <v>0</v>
      </c>
      <c r="Q90" s="378">
        <v>0</v>
      </c>
      <c r="R90" s="30"/>
      <c r="S90" s="718">
        <f>+IF(AGOSTO!S90=0,"",AGOSTO!S90)</f>
        <v>1020300</v>
      </c>
      <c r="T90" s="692" t="str">
        <f>+IF(AGOSTO!T90=0,"",AGOSTO!T90)</f>
        <v>Contribuciones Inherentes nómina al Sector Privado</v>
      </c>
      <c r="U90" s="135">
        <f t="shared" ref="U90:AJ90" si="94">U91+U96+U102</f>
        <v>269700847</v>
      </c>
      <c r="V90" s="124">
        <f t="shared" si="94"/>
        <v>0</v>
      </c>
      <c r="W90" s="124">
        <f t="shared" si="94"/>
        <v>54740941</v>
      </c>
      <c r="X90" s="132">
        <f t="shared" si="94"/>
        <v>324441788</v>
      </c>
      <c r="Y90" s="131">
        <f t="shared" si="94"/>
        <v>215181078</v>
      </c>
      <c r="Z90" s="124">
        <f t="shared" si="94"/>
        <v>27103957</v>
      </c>
      <c r="AA90" s="132">
        <f t="shared" si="94"/>
        <v>242285035</v>
      </c>
      <c r="AB90" s="131">
        <f t="shared" si="94"/>
        <v>215181078</v>
      </c>
      <c r="AC90" s="124">
        <f t="shared" si="94"/>
        <v>27103957</v>
      </c>
      <c r="AD90" s="132">
        <f t="shared" si="94"/>
        <v>242285035</v>
      </c>
      <c r="AE90" s="131">
        <f t="shared" si="94"/>
        <v>182024672</v>
      </c>
      <c r="AF90" s="124">
        <f t="shared" si="94"/>
        <v>18044473</v>
      </c>
      <c r="AG90" s="132">
        <f t="shared" si="94"/>
        <v>200069145</v>
      </c>
      <c r="AH90" s="131">
        <f t="shared" si="94"/>
        <v>82156753</v>
      </c>
      <c r="AI90" s="124">
        <f t="shared" si="94"/>
        <v>82156753</v>
      </c>
      <c r="AJ90" s="133">
        <f t="shared" si="94"/>
        <v>124372643</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+IF(AGOSTO!A91=0,"",AGOSTO!A91)</f>
        <v>1130206</v>
      </c>
      <c r="B91" s="635" t="str">
        <f>+IF(AGOSTO!B91=0,"",AGOSTO!B91)</f>
        <v>OTROS CONVENIOS LIGADOS A LA VENTA DE SERVICIOS</v>
      </c>
      <c r="C91" s="401">
        <f>+ENERO!C91</f>
        <v>0</v>
      </c>
      <c r="D91" s="376">
        <f>AGOSTO!D91+SEPTIEMBRE!P91</f>
        <v>0</v>
      </c>
      <c r="E91" s="376">
        <f>AGOSTO!E91+SEPTIEMBRE!Q91</f>
        <v>0</v>
      </c>
      <c r="F91" s="376">
        <f t="shared" si="89"/>
        <v>0</v>
      </c>
      <c r="G91" s="376">
        <f>AGOSTO!I91</f>
        <v>0</v>
      </c>
      <c r="H91" s="377">
        <v>0</v>
      </c>
      <c r="I91" s="376">
        <f t="shared" si="90"/>
        <v>0</v>
      </c>
      <c r="J91" s="376">
        <f>AGOSTO!L91</f>
        <v>0</v>
      </c>
      <c r="K91" s="377">
        <v>0</v>
      </c>
      <c r="L91" s="376">
        <f t="shared" si="91"/>
        <v>0</v>
      </c>
      <c r="M91" s="376">
        <f t="shared" si="92"/>
        <v>0</v>
      </c>
      <c r="N91" s="146">
        <f t="shared" si="93"/>
        <v>0</v>
      </c>
      <c r="O91" s="385"/>
      <c r="P91" s="375">
        <v>0</v>
      </c>
      <c r="Q91" s="378">
        <v>0</v>
      </c>
      <c r="R91" s="30"/>
      <c r="S91" s="719">
        <f>+IF(AGOSTO!S91=0,"",AGOSTO!S91)</f>
        <v>1020301</v>
      </c>
      <c r="T91" s="693" t="str">
        <f>+IF(AGOSTO!T91=0,"",AGOSTO!T91)</f>
        <v>Contribuciones - Sin Situación de Fondos</v>
      </c>
      <c r="U91" s="27">
        <f t="shared" ref="U91:AJ91" si="95">SUM(U92:U95)</f>
        <v>230094736</v>
      </c>
      <c r="V91" s="15">
        <f t="shared" si="95"/>
        <v>0</v>
      </c>
      <c r="W91" s="15">
        <f t="shared" si="95"/>
        <v>0</v>
      </c>
      <c r="X91" s="18">
        <f t="shared" si="95"/>
        <v>230094736</v>
      </c>
      <c r="Y91" s="19">
        <f t="shared" si="95"/>
        <v>139966637</v>
      </c>
      <c r="Z91" s="145">
        <f t="shared" si="95"/>
        <v>24170857</v>
      </c>
      <c r="AA91" s="18">
        <f t="shared" si="95"/>
        <v>164137494</v>
      </c>
      <c r="AB91" s="19">
        <f t="shared" si="95"/>
        <v>139966637</v>
      </c>
      <c r="AC91" s="145">
        <f t="shared" si="95"/>
        <v>24170857</v>
      </c>
      <c r="AD91" s="18">
        <f t="shared" si="95"/>
        <v>164137494</v>
      </c>
      <c r="AE91" s="19">
        <f t="shared" si="95"/>
        <v>111152236</v>
      </c>
      <c r="AF91" s="145">
        <f t="shared" si="95"/>
        <v>14912373</v>
      </c>
      <c r="AG91" s="18">
        <f t="shared" si="95"/>
        <v>126064609</v>
      </c>
      <c r="AH91" s="19">
        <f t="shared" si="95"/>
        <v>65957242</v>
      </c>
      <c r="AI91" s="15">
        <f t="shared" si="95"/>
        <v>65957242</v>
      </c>
      <c r="AJ91" s="16">
        <f t="shared" si="95"/>
        <v>104030127</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+IF(AGOSTO!A92=0,"",AGOSTO!A92)</f>
        <v>1130207</v>
      </c>
      <c r="B92" s="636" t="str">
        <f>+IF(AGOSTO!B92=0,"",AGOSTO!B92)</f>
        <v>Vigencia Anterior</v>
      </c>
      <c r="C92" s="491">
        <f>+ENERO!C92</f>
        <v>0</v>
      </c>
      <c r="D92" s="388">
        <f>AGOSTO!D92+SEPTIEMBRE!P92</f>
        <v>0</v>
      </c>
      <c r="E92" s="388">
        <f>AGOSTO!E92+SEPTIEMBRE!Q92</f>
        <v>0</v>
      </c>
      <c r="F92" s="388">
        <f t="shared" si="89"/>
        <v>0</v>
      </c>
      <c r="G92" s="388">
        <f>AGOSTO!I92</f>
        <v>0</v>
      </c>
      <c r="H92" s="391">
        <v>0</v>
      </c>
      <c r="I92" s="388">
        <f t="shared" si="90"/>
        <v>0</v>
      </c>
      <c r="J92" s="388">
        <f>AGOSTO!L92</f>
        <v>0</v>
      </c>
      <c r="K92" s="391">
        <v>0</v>
      </c>
      <c r="L92" s="388">
        <f t="shared" si="91"/>
        <v>0</v>
      </c>
      <c r="M92" s="388">
        <f t="shared" si="92"/>
        <v>0</v>
      </c>
      <c r="N92" s="389">
        <f t="shared" si="93"/>
        <v>0</v>
      </c>
      <c r="O92" s="385"/>
      <c r="P92" s="375">
        <v>0</v>
      </c>
      <c r="Q92" s="378">
        <v>0</v>
      </c>
      <c r="R92" s="30"/>
      <c r="S92" s="720" t="str">
        <f>+IF(AGOSTO!S92=0,"",AGOSTO!S92)</f>
        <v>1020301-1</v>
      </c>
      <c r="T92" s="694" t="str">
        <f>+IF(AGOSTO!T92=0,"",AGOSTO!T92)</f>
        <v>Aportes a E.P.S.- Sin sit. Fondos</v>
      </c>
      <c r="U92" s="27">
        <f>+ENERO!U92</f>
        <v>59416260</v>
      </c>
      <c r="V92" s="15">
        <f>AGOSTO!V92+SEPTIEMBRE!AL92</f>
        <v>0</v>
      </c>
      <c r="W92" s="15">
        <f>AGOSTO!W92+SEPTIEMBRE!AM92</f>
        <v>0</v>
      </c>
      <c r="X92" s="18">
        <f>SUM(U92:W92)</f>
        <v>59416260</v>
      </c>
      <c r="Y92" s="19">
        <f>AGOSTO!AA92</f>
        <v>42977433</v>
      </c>
      <c r="Z92" s="377">
        <v>4947464</v>
      </c>
      <c r="AA92" s="18">
        <f>SUM(Y92:Z92)</f>
        <v>47924897</v>
      </c>
      <c r="AB92" s="19">
        <f>AGOSTO!AD92</f>
        <v>42977433</v>
      </c>
      <c r="AC92" s="377">
        <v>4947464</v>
      </c>
      <c r="AD92" s="18">
        <f>SUM(AB92:AC92)</f>
        <v>47924897</v>
      </c>
      <c r="AE92" s="19">
        <f>AGOSTO!AG92</f>
        <v>42977433</v>
      </c>
      <c r="AF92" s="377">
        <v>4947464</v>
      </c>
      <c r="AG92" s="18">
        <f>SUM(AE92:AF92)</f>
        <v>47924897</v>
      </c>
      <c r="AH92" s="19">
        <f>X92-AA92</f>
        <v>11491363</v>
      </c>
      <c r="AI92" s="15">
        <f>X92-AD92</f>
        <v>11491363</v>
      </c>
      <c r="AJ92" s="16">
        <f>X92-AG92</f>
        <v>11491363</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+IF(AGOSTO!A93=0,"",AGOSTO!A93)</f>
        <v/>
      </c>
      <c r="B93" s="659" t="str">
        <f>+IF(AGOSTO!B93=0,"",AGOSTO!B93)</f>
        <v/>
      </c>
      <c r="C93" s="297"/>
      <c r="D93" s="297"/>
      <c r="E93" s="297"/>
      <c r="F93" s="297"/>
      <c r="G93" s="297"/>
      <c r="H93" s="297"/>
      <c r="I93" s="297"/>
      <c r="J93" s="297"/>
      <c r="K93" s="297"/>
      <c r="L93" s="297"/>
      <c r="M93" s="297"/>
      <c r="N93" s="466"/>
      <c r="P93" s="470"/>
      <c r="Q93" s="394"/>
      <c r="R93" s="30"/>
      <c r="S93" s="720" t="str">
        <f>+IF(AGOSTO!S93=0,"",AGOSTO!S93)</f>
        <v>1020301-2</v>
      </c>
      <c r="T93" s="694" t="str">
        <f>+IF(AGOSTO!T93=0,"",AGOSTO!T93)</f>
        <v>Aportes Fondos Pensionales - Sin Sit. Fondos</v>
      </c>
      <c r="U93" s="27">
        <f>+ENERO!U93</f>
        <v>81857136</v>
      </c>
      <c r="V93" s="15">
        <f>AGOSTO!V93+SEPTIEMBRE!AL93</f>
        <v>0</v>
      </c>
      <c r="W93" s="15">
        <f>AGOSTO!W93+SEPTIEMBRE!AM93</f>
        <v>0</v>
      </c>
      <c r="X93" s="18">
        <f>SUM(U93:W93)</f>
        <v>81857136</v>
      </c>
      <c r="Y93" s="19">
        <f>AGOSTO!AA93</f>
        <v>61217956</v>
      </c>
      <c r="Z93" s="377">
        <v>7245227</v>
      </c>
      <c r="AA93" s="18">
        <f>SUM(Y93:Z93)</f>
        <v>68463183</v>
      </c>
      <c r="AB93" s="19">
        <f>AGOSTO!AD93</f>
        <v>61217956</v>
      </c>
      <c r="AC93" s="377">
        <v>7245227</v>
      </c>
      <c r="AD93" s="18">
        <f>SUM(AB93:AC93)</f>
        <v>68463183</v>
      </c>
      <c r="AE93" s="19">
        <f>AGOSTO!AG93</f>
        <v>56119312</v>
      </c>
      <c r="AF93" s="377">
        <v>7245227</v>
      </c>
      <c r="AG93" s="18">
        <f>SUM(AE93:AF93)</f>
        <v>63364539</v>
      </c>
      <c r="AH93" s="19">
        <f>X93-AA93</f>
        <v>13393953</v>
      </c>
      <c r="AI93" s="15">
        <f>X93-AD93</f>
        <v>13393953</v>
      </c>
      <c r="AJ93" s="16">
        <f>X93-AG93</f>
        <v>18492597</v>
      </c>
      <c r="AK93" s="9"/>
      <c r="AL93" s="375">
        <v>0</v>
      </c>
      <c r="AM93" s="378">
        <v>0</v>
      </c>
      <c r="AN93" s="30"/>
      <c r="AO93" s="463"/>
      <c r="AP93" s="463"/>
      <c r="AQ93" s="463"/>
      <c r="AR93" s="463"/>
      <c r="AS93" s="463"/>
      <c r="AT93" s="463"/>
      <c r="AU93" s="463"/>
      <c r="AV93" s="463"/>
      <c r="AW93" s="463"/>
      <c r="AX93" s="463"/>
      <c r="AY93" s="463"/>
      <c r="AZ93" s="463"/>
      <c r="BL93" s="30"/>
    </row>
    <row r="94" spans="1:70" s="464" customFormat="1" ht="39.75" customHeight="1" x14ac:dyDescent="0.2">
      <c r="A94" s="753">
        <f>+IF(AGOSTO!A94=0,"",AGOSTO!A94)</f>
        <v>11303</v>
      </c>
      <c r="B94" s="626" t="str">
        <f>+IF(AGOSTO!B94=0,"",AGOSTO!B94)</f>
        <v>Aportes (No ligados a la venta de servicios de salud)</v>
      </c>
      <c r="C94" s="625">
        <f>SUM(C95:C102)</f>
        <v>0</v>
      </c>
      <c r="D94" s="623">
        <f t="shared" ref="D94:N94" si="96">SUM(D95:D102)</f>
        <v>0</v>
      </c>
      <c r="E94" s="623">
        <f t="shared" si="96"/>
        <v>74713971</v>
      </c>
      <c r="F94" s="623">
        <f t="shared" si="96"/>
        <v>74713971</v>
      </c>
      <c r="G94" s="623">
        <f t="shared" si="96"/>
        <v>136305130</v>
      </c>
      <c r="H94" s="623">
        <f t="shared" si="96"/>
        <v>1566666</v>
      </c>
      <c r="I94" s="623">
        <f t="shared" si="96"/>
        <v>137871796</v>
      </c>
      <c r="J94" s="623">
        <f t="shared" si="96"/>
        <v>136305130</v>
      </c>
      <c r="K94" s="623">
        <f t="shared" si="96"/>
        <v>1566666</v>
      </c>
      <c r="L94" s="623">
        <f t="shared" si="96"/>
        <v>137871796</v>
      </c>
      <c r="M94" s="623">
        <f t="shared" si="96"/>
        <v>-63157825</v>
      </c>
      <c r="N94" s="624">
        <f t="shared" si="96"/>
        <v>-63157825</v>
      </c>
      <c r="O94" s="385"/>
      <c r="P94" s="43">
        <f>SUM(P95:P102)</f>
        <v>0</v>
      </c>
      <c r="Q94" s="45">
        <f>SUM(Q95:Q102)</f>
        <v>0</v>
      </c>
      <c r="R94" s="30"/>
      <c r="S94" s="720" t="str">
        <f>+IF(AGOSTO!S94=0,"",AGOSTO!S94)</f>
        <v>1020301-3</v>
      </c>
      <c r="T94" s="694" t="str">
        <f>+IF(AGOSTO!T94=0,"",AGOSTO!T94)</f>
        <v xml:space="preserve">Aportes a Fondos de Cesantia - Sin Sit. de Fondos </v>
      </c>
      <c r="U94" s="27">
        <f>+ENERO!U94</f>
        <v>71793333</v>
      </c>
      <c r="V94" s="15">
        <f>AGOSTO!V94+SEPTIEMBRE!AL94</f>
        <v>0</v>
      </c>
      <c r="W94" s="15">
        <f>AGOSTO!W94+SEPTIEMBRE!AM94</f>
        <v>0</v>
      </c>
      <c r="X94" s="18">
        <f>SUM(U94:W94)</f>
        <v>71793333</v>
      </c>
      <c r="Y94" s="19">
        <f>AGOSTO!AA94</f>
        <v>23715757</v>
      </c>
      <c r="Z94" s="377">
        <v>10537842</v>
      </c>
      <c r="AA94" s="18">
        <f>SUM(Y94:Z94)</f>
        <v>34253599</v>
      </c>
      <c r="AB94" s="19">
        <f>AGOSTO!AD94</f>
        <v>23715757</v>
      </c>
      <c r="AC94" s="377">
        <v>10537842</v>
      </c>
      <c r="AD94" s="18">
        <f>SUM(AB94:AC94)</f>
        <v>34253599</v>
      </c>
      <c r="AE94" s="19">
        <f>AGOSTO!AG94</f>
        <v>0</v>
      </c>
      <c r="AF94" s="377">
        <v>1279358</v>
      </c>
      <c r="AG94" s="18">
        <f>SUM(AE94:AF94)</f>
        <v>1279358</v>
      </c>
      <c r="AH94" s="19">
        <f>X94-AA94</f>
        <v>37539734</v>
      </c>
      <c r="AI94" s="15">
        <f>X94-AD94</f>
        <v>37539734</v>
      </c>
      <c r="AJ94" s="16">
        <f>X94-AG94</f>
        <v>70513975</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+IF(AGOSTO!A95=0,"",AGOSTO!A95)</f>
        <v>11303-1</v>
      </c>
      <c r="B95" s="627" t="str">
        <f>+IF(AGOSTO!B95=0,"",AGOSTO!B95)</f>
        <v>NACION</v>
      </c>
      <c r="C95" s="401">
        <f>+ENERO!C95</f>
        <v>0</v>
      </c>
      <c r="D95" s="376">
        <f>AGOSTO!D95+SEPTIEMBRE!P95</f>
        <v>0</v>
      </c>
      <c r="E95" s="376">
        <f>AGOSTO!E95+SEPTIEMBRE!Q95</f>
        <v>0</v>
      </c>
      <c r="F95" s="376">
        <f t="shared" ref="F95:F102" si="97">SUM(C95:E95)</f>
        <v>0</v>
      </c>
      <c r="G95" s="376">
        <f>AGOSTO!I95</f>
        <v>0</v>
      </c>
      <c r="H95" s="377">
        <v>0</v>
      </c>
      <c r="I95" s="376">
        <f t="shared" ref="I95:I102" si="98">SUM(G95:H95)</f>
        <v>0</v>
      </c>
      <c r="J95" s="376">
        <f>AGOSTO!L95</f>
        <v>0</v>
      </c>
      <c r="K95" s="377">
        <v>0</v>
      </c>
      <c r="L95" s="376">
        <f t="shared" ref="L95:L102" si="99">SUM(J95:K95)</f>
        <v>0</v>
      </c>
      <c r="M95" s="376">
        <f t="shared" ref="M95:M102" si="100">F95-I95</f>
        <v>0</v>
      </c>
      <c r="N95" s="146">
        <f t="shared" ref="N95:N102" si="101">F95-L95</f>
        <v>0</v>
      </c>
      <c r="O95" s="385"/>
      <c r="P95" s="375">
        <v>0</v>
      </c>
      <c r="Q95" s="378">
        <v>0</v>
      </c>
      <c r="R95" s="30">
        <v>0</v>
      </c>
      <c r="S95" s="720" t="str">
        <f>+IF(AGOSTO!S95=0,"",AGOSTO!S95)</f>
        <v>1020301-4</v>
      </c>
      <c r="T95" s="694" t="str">
        <f>+IF(AGOSTO!T95=0,"",AGOSTO!T95)</f>
        <v>Aporte a ARL. - Sin Sit. de Fondos</v>
      </c>
      <c r="U95" s="27">
        <f>+ENERO!U95</f>
        <v>17028007</v>
      </c>
      <c r="V95" s="15">
        <f>AGOSTO!V95+SEPTIEMBRE!AL95</f>
        <v>0</v>
      </c>
      <c r="W95" s="15">
        <f>AGOSTO!W95+SEPTIEMBRE!AM95</f>
        <v>0</v>
      </c>
      <c r="X95" s="18">
        <f>SUM(U95:W95)</f>
        <v>17028007</v>
      </c>
      <c r="Y95" s="19">
        <f>AGOSTO!AA95</f>
        <v>12055491</v>
      </c>
      <c r="Z95" s="377">
        <v>1440324</v>
      </c>
      <c r="AA95" s="18">
        <f>SUM(Y95:Z95)</f>
        <v>13495815</v>
      </c>
      <c r="AB95" s="19">
        <f>AGOSTO!AD95</f>
        <v>12055491</v>
      </c>
      <c r="AC95" s="377">
        <v>1440324</v>
      </c>
      <c r="AD95" s="18">
        <f>SUM(AB95:AC95)</f>
        <v>13495815</v>
      </c>
      <c r="AE95" s="19">
        <f>AGOSTO!AG95</f>
        <v>12055491</v>
      </c>
      <c r="AF95" s="377">
        <v>1440324</v>
      </c>
      <c r="AG95" s="18">
        <f>SUM(AE95:AF95)</f>
        <v>13495815</v>
      </c>
      <c r="AH95" s="19">
        <f>X95-AA95</f>
        <v>3532192</v>
      </c>
      <c r="AI95" s="15">
        <f>X95-AD95</f>
        <v>3532192</v>
      </c>
      <c r="AJ95" s="16">
        <f>X95-AG95</f>
        <v>3532192</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+IF(AGOSTO!A96=0,"",AGOSTO!A96)</f>
        <v>11303-2</v>
      </c>
      <c r="B96" s="627" t="str">
        <f>+IF(AGOSTO!B96=0,"",AGOSTO!B96)</f>
        <v>DEPARTAMENTO</v>
      </c>
      <c r="C96" s="401">
        <f>+ENERO!C96</f>
        <v>0</v>
      </c>
      <c r="D96" s="376">
        <f>AGOSTO!D96+SEPTIEMBRE!P96</f>
        <v>0</v>
      </c>
      <c r="E96" s="376">
        <f>AGOSTO!E96+SEPTIEMBRE!Q96</f>
        <v>61305130</v>
      </c>
      <c r="F96" s="376">
        <f t="shared" si="97"/>
        <v>61305130</v>
      </c>
      <c r="G96" s="376">
        <f>AGOSTO!I96</f>
        <v>136305130</v>
      </c>
      <c r="H96" s="377">
        <v>1566666</v>
      </c>
      <c r="I96" s="376">
        <f t="shared" si="98"/>
        <v>137871796</v>
      </c>
      <c r="J96" s="376">
        <f>AGOSTO!L96</f>
        <v>136305130</v>
      </c>
      <c r="K96" s="377">
        <v>1566666</v>
      </c>
      <c r="L96" s="376">
        <f t="shared" si="99"/>
        <v>137871796</v>
      </c>
      <c r="M96" s="376">
        <f t="shared" si="100"/>
        <v>-76566666</v>
      </c>
      <c r="N96" s="146">
        <f t="shared" si="101"/>
        <v>-76566666</v>
      </c>
      <c r="O96" s="385"/>
      <c r="P96" s="375">
        <v>0</v>
      </c>
      <c r="Q96" s="378">
        <v>0</v>
      </c>
      <c r="S96" s="719">
        <f>+IF(AGOSTO!S96=0,"",AGOSTO!S96)</f>
        <v>1020302</v>
      </c>
      <c r="T96" s="693" t="str">
        <f>+IF(AGOSTO!T96=0,"",AGOSTO!T96)</f>
        <v>Contribuciones - Otros</v>
      </c>
      <c r="U96" s="27">
        <f t="shared" ref="U96:AJ96" si="102">SUM(U97:U101)</f>
        <v>39606111</v>
      </c>
      <c r="V96" s="15">
        <f t="shared" si="102"/>
        <v>0</v>
      </c>
      <c r="W96" s="15">
        <f t="shared" si="102"/>
        <v>0</v>
      </c>
      <c r="X96" s="18">
        <f t="shared" si="102"/>
        <v>39606111</v>
      </c>
      <c r="Y96" s="19">
        <f t="shared" si="102"/>
        <v>20473500</v>
      </c>
      <c r="Z96" s="145">
        <f t="shared" si="102"/>
        <v>2933100</v>
      </c>
      <c r="AA96" s="18">
        <f t="shared" si="102"/>
        <v>23406600</v>
      </c>
      <c r="AB96" s="19">
        <f t="shared" si="102"/>
        <v>20473500</v>
      </c>
      <c r="AC96" s="145">
        <f t="shared" si="102"/>
        <v>2933100</v>
      </c>
      <c r="AD96" s="18">
        <f t="shared" si="102"/>
        <v>23406600</v>
      </c>
      <c r="AE96" s="19">
        <f t="shared" si="102"/>
        <v>17911300</v>
      </c>
      <c r="AF96" s="145">
        <f t="shared" si="102"/>
        <v>3132100</v>
      </c>
      <c r="AG96" s="18">
        <f t="shared" si="102"/>
        <v>21043400</v>
      </c>
      <c r="AH96" s="19">
        <f t="shared" si="102"/>
        <v>16199511</v>
      </c>
      <c r="AI96" s="15">
        <f t="shared" si="102"/>
        <v>16199511</v>
      </c>
      <c r="AJ96" s="16">
        <f t="shared" si="102"/>
        <v>18562711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F96" s="464"/>
      <c r="BL96" s="464"/>
      <c r="BM96" s="464"/>
      <c r="BN96" s="464"/>
      <c r="BO96" s="464"/>
      <c r="BP96" s="464"/>
      <c r="BQ96" s="464"/>
      <c r="BR96" s="464"/>
    </row>
    <row r="97" spans="1:70" s="464" customFormat="1" ht="24.95" customHeight="1" x14ac:dyDescent="0.2">
      <c r="A97" s="754" t="str">
        <f>+IF(AGOSTO!A97=0,"",AGOSTO!A97)</f>
        <v>11303-3</v>
      </c>
      <c r="B97" s="627" t="str">
        <f>+IF(AGOSTO!B97=0,"",AGOSTO!B97)</f>
        <v>MUNICIPIO</v>
      </c>
      <c r="C97" s="401">
        <f>+ENERO!C97</f>
        <v>0</v>
      </c>
      <c r="D97" s="376">
        <f>AGOSTO!D97+SEPTIEMBRE!P97</f>
        <v>0</v>
      </c>
      <c r="E97" s="376">
        <f>AGOSTO!E97+SEPTIEMBRE!Q97</f>
        <v>0</v>
      </c>
      <c r="F97" s="376">
        <f t="shared" si="97"/>
        <v>0</v>
      </c>
      <c r="G97" s="376">
        <f>AGOSTO!I97</f>
        <v>0</v>
      </c>
      <c r="H97" s="377">
        <v>0</v>
      </c>
      <c r="I97" s="376">
        <f t="shared" si="98"/>
        <v>0</v>
      </c>
      <c r="J97" s="376">
        <f>AGOSTO!L97</f>
        <v>0</v>
      </c>
      <c r="K97" s="377" t="s">
        <v>14</v>
      </c>
      <c r="L97" s="376">
        <f t="shared" si="99"/>
        <v>0</v>
      </c>
      <c r="M97" s="376">
        <f t="shared" si="100"/>
        <v>0</v>
      </c>
      <c r="N97" s="146">
        <f t="shared" si="101"/>
        <v>0</v>
      </c>
      <c r="O97" s="385"/>
      <c r="P97" s="375">
        <v>0</v>
      </c>
      <c r="Q97" s="378">
        <v>0</v>
      </c>
      <c r="R97" s="30"/>
      <c r="S97" s="720" t="str">
        <f>+IF(AGOSTO!S97=0,"",AGOSTO!S97)</f>
        <v>1020302-1</v>
      </c>
      <c r="T97" s="694" t="str">
        <f>+IF(AGOSTO!T97=0,"",AGOSTO!T97)</f>
        <v>Aportes a E.P.S.- Con sit. Fondos</v>
      </c>
      <c r="U97" s="27">
        <f>+ENERO!U97</f>
        <v>1005165</v>
      </c>
      <c r="V97" s="15">
        <f>AGOSTO!V97+SEPTIEMBRE!AL97</f>
        <v>0</v>
      </c>
      <c r="W97" s="15">
        <f>AGOSTO!W97+SEPTIEMBRE!AM97</f>
        <v>0</v>
      </c>
      <c r="X97" s="18">
        <f t="shared" ref="X97:X102" si="103">SUM(U97:W97)</f>
        <v>1005165</v>
      </c>
      <c r="Y97" s="19">
        <f>AGOSTO!AA97</f>
        <v>203600</v>
      </c>
      <c r="Z97" s="377">
        <v>569900</v>
      </c>
      <c r="AA97" s="18">
        <f t="shared" ref="AA97:AA102" si="104">SUM(Y97:Z97)</f>
        <v>773500</v>
      </c>
      <c r="AB97" s="19">
        <f>AGOSTO!AD97</f>
        <v>203600</v>
      </c>
      <c r="AC97" s="377">
        <v>569900</v>
      </c>
      <c r="AD97" s="18">
        <f t="shared" ref="AD97:AD102" si="105">SUM(AB97:AC97)</f>
        <v>773500</v>
      </c>
      <c r="AE97" s="19">
        <f>AGOSTO!AG97</f>
        <v>203600</v>
      </c>
      <c r="AF97" s="377">
        <v>569900</v>
      </c>
      <c r="AG97" s="18">
        <f t="shared" ref="AG97:AG102" si="106">SUM(AE97:AF97)</f>
        <v>773500</v>
      </c>
      <c r="AH97" s="19">
        <f t="shared" ref="AH97:AH102" si="107">X97-AA97</f>
        <v>231665</v>
      </c>
      <c r="AI97" s="15">
        <f t="shared" ref="AI97:AI102" si="108">X97-AD97</f>
        <v>231665</v>
      </c>
      <c r="AJ97" s="16">
        <f t="shared" ref="AJ97:AJ102" si="109">X97-AG97</f>
        <v>231665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+IF(AGOSTO!A98=0,"",AGOSTO!A98)</f>
        <v>11303-4</v>
      </c>
      <c r="B98" s="627" t="str">
        <f>+IF(AGOSTO!B98=0,"",AGOSTO!B98)</f>
        <v>CONVENIOS (EMPRESTITO)</v>
      </c>
      <c r="C98" s="401">
        <f>+ENERO!C98</f>
        <v>0</v>
      </c>
      <c r="D98" s="376">
        <f>AGOSTO!D98+SEPTIEMBRE!P98</f>
        <v>0</v>
      </c>
      <c r="E98" s="376">
        <f>AGOSTO!E98+SEPTIEMBRE!Q98</f>
        <v>0</v>
      </c>
      <c r="F98" s="376">
        <f t="shared" si="97"/>
        <v>0</v>
      </c>
      <c r="G98" s="376">
        <f>AGOSTO!I98</f>
        <v>0</v>
      </c>
      <c r="H98" s="377">
        <v>0</v>
      </c>
      <c r="I98" s="376">
        <f t="shared" si="98"/>
        <v>0</v>
      </c>
      <c r="J98" s="376">
        <f>AGOSTO!L98</f>
        <v>0</v>
      </c>
      <c r="K98" s="377">
        <v>0</v>
      </c>
      <c r="L98" s="376">
        <f t="shared" si="99"/>
        <v>0</v>
      </c>
      <c r="M98" s="376">
        <f t="shared" si="100"/>
        <v>0</v>
      </c>
      <c r="N98" s="146">
        <f t="shared" si="101"/>
        <v>0</v>
      </c>
      <c r="O98" s="385"/>
      <c r="P98" s="375">
        <v>0</v>
      </c>
      <c r="Q98" s="378">
        <v>0</v>
      </c>
      <c r="R98" s="30"/>
      <c r="S98" s="720" t="str">
        <f>+IF(AGOSTO!S98=0,"",AGOSTO!S98)</f>
        <v>1020302-2</v>
      </c>
      <c r="T98" s="694" t="str">
        <f>+IF(AGOSTO!T98=0,"",AGOSTO!T98)</f>
        <v>Aportes Fondos Pensionales - Con Sit. Fondos</v>
      </c>
      <c r="U98" s="27">
        <f>+ENERO!U98</f>
        <v>3635130</v>
      </c>
      <c r="V98" s="15">
        <f>AGOSTO!V98+SEPTIEMBRE!AL98</f>
        <v>0</v>
      </c>
      <c r="W98" s="15">
        <f>AGOSTO!W98+SEPTIEMBRE!AM98</f>
        <v>0</v>
      </c>
      <c r="X98" s="18">
        <f t="shared" si="103"/>
        <v>3635130</v>
      </c>
      <c r="Y98" s="19">
        <f>AGOSTO!AA98</f>
        <v>0</v>
      </c>
      <c r="Z98" s="377">
        <v>0</v>
      </c>
      <c r="AA98" s="18">
        <f t="shared" si="104"/>
        <v>0</v>
      </c>
      <c r="AB98" s="19">
        <f>AGOSTO!AD98</f>
        <v>0</v>
      </c>
      <c r="AC98" s="377">
        <v>0</v>
      </c>
      <c r="AD98" s="18">
        <f t="shared" si="105"/>
        <v>0</v>
      </c>
      <c r="AE98" s="19">
        <f>AGOSTO!AG98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+IF(AGOSTO!A99=0,"",AGOSTO!A99)</f>
        <v>11303-5</v>
      </c>
      <c r="B99" s="627" t="str">
        <f>+IF(AGOSTO!B99=0,"",AGOSTO!B99)</f>
        <v>APORTES PATRONALES - MUNICIPIO / DEPARTAMENTO</v>
      </c>
      <c r="C99" s="681">
        <f>+ENERO!C99</f>
        <v>0</v>
      </c>
      <c r="D99" s="376">
        <f>AGOSTO!D99+SEPTIEMBRE!P99</f>
        <v>0</v>
      </c>
      <c r="E99" s="376">
        <f>AGOSTO!E99+SEPTIEMBRE!Q99</f>
        <v>0</v>
      </c>
      <c r="F99" s="376">
        <f t="shared" si="97"/>
        <v>0</v>
      </c>
      <c r="G99" s="376">
        <f>AGOSTO!I99</f>
        <v>0</v>
      </c>
      <c r="H99" s="682">
        <v>0</v>
      </c>
      <c r="I99" s="376">
        <f t="shared" si="98"/>
        <v>0</v>
      </c>
      <c r="J99" s="376">
        <f>AGOSTO!L99</f>
        <v>0</v>
      </c>
      <c r="K99" s="682">
        <v>0</v>
      </c>
      <c r="L99" s="376">
        <f t="shared" si="99"/>
        <v>0</v>
      </c>
      <c r="M99" s="376">
        <f t="shared" si="100"/>
        <v>0</v>
      </c>
      <c r="N99" s="146">
        <f t="shared" si="101"/>
        <v>0</v>
      </c>
      <c r="O99" s="385"/>
      <c r="P99" s="683">
        <v>0</v>
      </c>
      <c r="Q99" s="684">
        <v>0</v>
      </c>
      <c r="R99" s="30"/>
      <c r="S99" s="720" t="str">
        <f>+IF(AGOSTO!S99=0,"",AGOSTO!S99)</f>
        <v>1020302-3</v>
      </c>
      <c r="T99" s="694" t="str">
        <f>+IF(AGOSTO!T99=0,"",AGOSTO!T99)</f>
        <v xml:space="preserve">Aportes a Fondos de Cesantia - Con Sit. de Fondos </v>
      </c>
      <c r="U99" s="27">
        <f>+ENERO!U99</f>
        <v>2469908</v>
      </c>
      <c r="V99" s="15">
        <f>AGOSTO!V99+SEPTIEMBRE!AL99</f>
        <v>0</v>
      </c>
      <c r="W99" s="15">
        <f>AGOSTO!W99+SEPTIEMBRE!AM99</f>
        <v>0</v>
      </c>
      <c r="X99" s="18">
        <f t="shared" si="103"/>
        <v>2469908</v>
      </c>
      <c r="Y99" s="19">
        <f>AGOSTO!AA99</f>
        <v>0</v>
      </c>
      <c r="Z99" s="377">
        <v>0</v>
      </c>
      <c r="AA99" s="18">
        <f t="shared" si="104"/>
        <v>0</v>
      </c>
      <c r="AB99" s="19">
        <f>AGOSTO!AD99</f>
        <v>0</v>
      </c>
      <c r="AC99" s="377">
        <v>0</v>
      </c>
      <c r="AD99" s="18">
        <f t="shared" si="105"/>
        <v>0</v>
      </c>
      <c r="AE99" s="19">
        <f>AGOSTO!AG99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+IF(AGOSTO!A100=0,"",AGOSTO!A100)</f>
        <v>11303-6</v>
      </c>
      <c r="B100" s="627" t="str">
        <f>+IF(AGOSTO!B100=0,"",AGOSTO!B100)</f>
        <v>RECURSOS PARA PROGRAMA DE SANEAMIENTO FINANCIERO</v>
      </c>
      <c r="C100" s="401">
        <f>+ENERO!C100</f>
        <v>0</v>
      </c>
      <c r="D100" s="376">
        <f>AGOSTO!D100+SEPTIEMBRE!P100</f>
        <v>0</v>
      </c>
      <c r="E100" s="376">
        <f>AGOSTO!E100+SEPTIEMBRE!Q100</f>
        <v>0</v>
      </c>
      <c r="F100" s="376">
        <f t="shared" si="97"/>
        <v>0</v>
      </c>
      <c r="G100" s="376">
        <f>AGOSTO!I100</f>
        <v>0</v>
      </c>
      <c r="H100" s="377">
        <v>0</v>
      </c>
      <c r="I100" s="376">
        <f t="shared" si="98"/>
        <v>0</v>
      </c>
      <c r="J100" s="376">
        <f>AGOSTO!L100</f>
        <v>0</v>
      </c>
      <c r="K100" s="377">
        <v>0</v>
      </c>
      <c r="L100" s="376">
        <f t="shared" si="99"/>
        <v>0</v>
      </c>
      <c r="M100" s="376">
        <f t="shared" si="100"/>
        <v>0</v>
      </c>
      <c r="N100" s="146">
        <f t="shared" si="101"/>
        <v>0</v>
      </c>
      <c r="P100" s="375">
        <v>0</v>
      </c>
      <c r="Q100" s="378">
        <v>0</v>
      </c>
      <c r="R100" s="9"/>
      <c r="S100" s="720" t="str">
        <f>+IF(AGOSTO!S100=0,"",AGOSTO!S100)</f>
        <v>1020302-4</v>
      </c>
      <c r="T100" s="694" t="str">
        <f>+IF(AGOSTO!T100=0,"",AGOSTO!T100)</f>
        <v>Aporte a ARL. - Con Sit. de Fondos</v>
      </c>
      <c r="U100" s="27">
        <f>+ENERO!U100</f>
        <v>0</v>
      </c>
      <c r="V100" s="15">
        <f>AGOSTO!V100+SEPTIEMBRE!AL100</f>
        <v>0</v>
      </c>
      <c r="W100" s="15">
        <f>AGOSTO!W100+SEPTIEMBRE!AM100</f>
        <v>0</v>
      </c>
      <c r="X100" s="18">
        <f t="shared" si="103"/>
        <v>0</v>
      </c>
      <c r="Y100" s="19">
        <f>AGOSTO!AA100</f>
        <v>0</v>
      </c>
      <c r="Z100" s="377">
        <v>0</v>
      </c>
      <c r="AA100" s="18">
        <f t="shared" si="104"/>
        <v>0</v>
      </c>
      <c r="AB100" s="19">
        <f>AGOSTO!AD100</f>
        <v>0</v>
      </c>
      <c r="AC100" s="377">
        <v>0</v>
      </c>
      <c r="AD100" s="18">
        <f t="shared" si="105"/>
        <v>0</v>
      </c>
      <c r="AE100" s="19">
        <f>AGOSTO!AG100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+IF(AGOSTO!A101=0,"",AGOSTO!A101)</f>
        <v>11303-7</v>
      </c>
      <c r="B101" s="627" t="str">
        <f>+IF(AGOSTO!B101=0,"",AGOSTO!B101)</f>
        <v xml:space="preserve">SANEAMIENTO APORTES PATRONALES </v>
      </c>
      <c r="C101" s="401">
        <f>+ENERO!C101</f>
        <v>0</v>
      </c>
      <c r="D101" s="376">
        <f>AGOSTO!D101+SEPTIEMBRE!P101</f>
        <v>0</v>
      </c>
      <c r="E101" s="376">
        <f>AGOSTO!E101+SEPTIEMBRE!Q101</f>
        <v>13408841</v>
      </c>
      <c r="F101" s="376">
        <f t="shared" si="97"/>
        <v>13408841</v>
      </c>
      <c r="G101" s="376">
        <f>AGOSTO!I101</f>
        <v>0</v>
      </c>
      <c r="H101" s="377">
        <v>0</v>
      </c>
      <c r="I101" s="376">
        <f t="shared" si="98"/>
        <v>0</v>
      </c>
      <c r="J101" s="376">
        <f>AGOSTO!L101</f>
        <v>0</v>
      </c>
      <c r="K101" s="377">
        <v>0</v>
      </c>
      <c r="L101" s="376">
        <f t="shared" si="99"/>
        <v>0</v>
      </c>
      <c r="M101" s="376">
        <f t="shared" si="100"/>
        <v>13408841</v>
      </c>
      <c r="N101" s="146">
        <f t="shared" si="101"/>
        <v>13408841</v>
      </c>
      <c r="P101" s="375">
        <v>0</v>
      </c>
      <c r="Q101" s="378">
        <v>0</v>
      </c>
      <c r="R101" s="9"/>
      <c r="S101" s="720" t="str">
        <f>+IF(AGOSTO!S101=0,"",AGOSTO!S101)</f>
        <v>1020302-5</v>
      </c>
      <c r="T101" s="694" t="str">
        <f>+IF(AGOSTO!T101=0,"",AGOSTO!T101)</f>
        <v>Aporte a Caja Compensación Familiar</v>
      </c>
      <c r="U101" s="27">
        <f>+ENERO!U101</f>
        <v>32495908</v>
      </c>
      <c r="V101" s="15">
        <f>AGOSTO!V101+SEPTIEMBRE!AL101</f>
        <v>0</v>
      </c>
      <c r="W101" s="15">
        <f>AGOSTO!W101+SEPTIEMBRE!AM101</f>
        <v>0</v>
      </c>
      <c r="X101" s="18">
        <f t="shared" si="103"/>
        <v>32495908</v>
      </c>
      <c r="Y101" s="19">
        <f>AGOSTO!AA101</f>
        <v>20269900</v>
      </c>
      <c r="Z101" s="377">
        <v>2363200</v>
      </c>
      <c r="AA101" s="18">
        <f t="shared" si="104"/>
        <v>22633100</v>
      </c>
      <c r="AB101" s="19">
        <f>AGOSTO!AD101</f>
        <v>20269900</v>
      </c>
      <c r="AC101" s="377">
        <v>2363200</v>
      </c>
      <c r="AD101" s="18">
        <f t="shared" si="105"/>
        <v>22633100</v>
      </c>
      <c r="AE101" s="19">
        <f>AGOSTO!AG101</f>
        <v>17707700</v>
      </c>
      <c r="AF101" s="377">
        <v>2562200</v>
      </c>
      <c r="AG101" s="18">
        <f t="shared" si="106"/>
        <v>20269900</v>
      </c>
      <c r="AH101" s="19">
        <f t="shared" si="107"/>
        <v>9862808</v>
      </c>
      <c r="AI101" s="15">
        <f t="shared" si="108"/>
        <v>9862808</v>
      </c>
      <c r="AJ101" s="16">
        <f t="shared" si="109"/>
        <v>12226008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+IF(AGOSTO!A102=0,"",AGOSTO!A102)</f>
        <v>11303-8</v>
      </c>
      <c r="B102" s="636" t="str">
        <f>+IF(AGOSTO!B102=0,"",AGOSTO!B102)</f>
        <v>Vigencia Anterior</v>
      </c>
      <c r="C102" s="491">
        <f>+ENERO!C102</f>
        <v>0</v>
      </c>
      <c r="D102" s="388">
        <f>AGOSTO!D102+SEPTIEMBRE!P102</f>
        <v>0</v>
      </c>
      <c r="E102" s="388">
        <f>AGOSTO!E102+SEPTIEMBRE!Q102</f>
        <v>0</v>
      </c>
      <c r="F102" s="388">
        <f t="shared" si="97"/>
        <v>0</v>
      </c>
      <c r="G102" s="388">
        <f>AGOSTO!I102</f>
        <v>0</v>
      </c>
      <c r="H102" s="391">
        <v>0</v>
      </c>
      <c r="I102" s="388">
        <f t="shared" si="98"/>
        <v>0</v>
      </c>
      <c r="J102" s="388">
        <f>AGOSTO!L102</f>
        <v>0</v>
      </c>
      <c r="K102" s="391">
        <v>0</v>
      </c>
      <c r="L102" s="388">
        <f t="shared" si="99"/>
        <v>0</v>
      </c>
      <c r="M102" s="388">
        <f t="shared" si="100"/>
        <v>0</v>
      </c>
      <c r="N102" s="389">
        <f t="shared" si="101"/>
        <v>0</v>
      </c>
      <c r="P102" s="375">
        <v>0</v>
      </c>
      <c r="Q102" s="378">
        <v>0</v>
      </c>
      <c r="R102" s="9"/>
      <c r="S102" s="719">
        <f>+IF(AGOSTO!S102=0,"",AGOSTO!S102)</f>
        <v>1020399</v>
      </c>
      <c r="T102" s="693" t="str">
        <f>+IF(AGOSTO!T102=0,"",AGOSTO!T102)</f>
        <v>Vigencias Anteriores</v>
      </c>
      <c r="U102" s="27">
        <f>+ENERO!U102</f>
        <v>0</v>
      </c>
      <c r="V102" s="15">
        <f>AGOSTO!V102+SEPTIEMBRE!AL102</f>
        <v>0</v>
      </c>
      <c r="W102" s="15">
        <f>AGOSTO!W102+SEPTIEMBRE!AM102</f>
        <v>54740941</v>
      </c>
      <c r="X102" s="18">
        <f t="shared" si="103"/>
        <v>54740941</v>
      </c>
      <c r="Y102" s="19">
        <f>AGOSTO!AA102</f>
        <v>54740941</v>
      </c>
      <c r="Z102" s="377">
        <v>0</v>
      </c>
      <c r="AA102" s="18">
        <f t="shared" si="104"/>
        <v>54740941</v>
      </c>
      <c r="AB102" s="19">
        <f>AGOSTO!AD102</f>
        <v>54740941</v>
      </c>
      <c r="AC102" s="377">
        <v>0</v>
      </c>
      <c r="AD102" s="18">
        <f t="shared" si="105"/>
        <v>54740941</v>
      </c>
      <c r="AE102" s="19">
        <f>AGOSTO!AG102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+IF(AGOSTO!A103=0,"",AGOSTO!A103)</f>
        <v/>
      </c>
      <c r="B103" s="661" t="str">
        <f>+IF(AGOSTO!B103=0,"",AGOSTO!B103)</f>
        <v/>
      </c>
      <c r="C103" s="483"/>
      <c r="D103" s="483"/>
      <c r="E103" s="483"/>
      <c r="F103" s="483"/>
      <c r="G103" s="483"/>
      <c r="H103" s="483"/>
      <c r="I103" s="483"/>
      <c r="J103" s="483"/>
      <c r="K103" s="483"/>
      <c r="L103" s="483"/>
      <c r="M103" s="483"/>
      <c r="N103" s="484"/>
      <c r="P103" s="485"/>
      <c r="Q103" s="484"/>
      <c r="R103" s="9"/>
      <c r="S103" s="369" t="str">
        <f>+IF(AGOSTO!S103=0,"",AGOSTO!S103)</f>
        <v/>
      </c>
      <c r="T103" s="708" t="str">
        <f>+IF(AGOSTO!T103=0,"",AGOSTO!T103)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+IF(AGOSTO!A104=0,"",AGOSTO!A104)</f>
        <v>11304</v>
      </c>
      <c r="B104" s="626" t="str">
        <f>+IF(AGOSTO!B104=0,"",AGOSTO!B104)</f>
        <v>Otros ingresos corrientes</v>
      </c>
      <c r="C104" s="625">
        <f>SUM(C105:C111)</f>
        <v>107181679</v>
      </c>
      <c r="D104" s="623">
        <f t="shared" ref="D104:N104" si="110">SUM(D105:D111)</f>
        <v>0</v>
      </c>
      <c r="E104" s="623">
        <f t="shared" si="110"/>
        <v>0</v>
      </c>
      <c r="F104" s="623">
        <f t="shared" si="110"/>
        <v>107181679</v>
      </c>
      <c r="G104" s="623">
        <f t="shared" si="110"/>
        <v>69660136</v>
      </c>
      <c r="H104" s="623">
        <f t="shared" si="110"/>
        <v>7438750</v>
      </c>
      <c r="I104" s="623">
        <f t="shared" si="110"/>
        <v>77098886</v>
      </c>
      <c r="J104" s="623">
        <f t="shared" si="110"/>
        <v>69660136</v>
      </c>
      <c r="K104" s="623">
        <f t="shared" si="110"/>
        <v>7438750</v>
      </c>
      <c r="L104" s="623">
        <f t="shared" si="110"/>
        <v>77098886</v>
      </c>
      <c r="M104" s="623">
        <f t="shared" si="110"/>
        <v>30082793</v>
      </c>
      <c r="N104" s="624">
        <f t="shared" si="110"/>
        <v>30082793</v>
      </c>
      <c r="P104" s="43">
        <f>SUM(P105:P111)</f>
        <v>0</v>
      </c>
      <c r="Q104" s="45">
        <f>SUM(Q105:Q111)</f>
        <v>0</v>
      </c>
      <c r="R104" s="9"/>
      <c r="S104" s="718">
        <f>+IF(AGOSTO!S104=0,"",AGOSTO!S104)</f>
        <v>1020400</v>
      </c>
      <c r="T104" s="692" t="str">
        <f>+IF(AGOSTO!T104=0,"",AGOSTO!T104)</f>
        <v>Contribuciones Inherentes nómina del Sector Publico</v>
      </c>
      <c r="U104" s="135">
        <f t="shared" ref="U104:AJ104" si="111">U105+U108</f>
        <v>40619885</v>
      </c>
      <c r="V104" s="124">
        <f t="shared" si="111"/>
        <v>0</v>
      </c>
      <c r="W104" s="124">
        <f t="shared" si="111"/>
        <v>3013800</v>
      </c>
      <c r="X104" s="132">
        <f t="shared" si="111"/>
        <v>43633685</v>
      </c>
      <c r="Y104" s="131">
        <f t="shared" si="111"/>
        <v>28350800</v>
      </c>
      <c r="Z104" s="124">
        <f t="shared" si="111"/>
        <v>2953800</v>
      </c>
      <c r="AA104" s="132">
        <f t="shared" si="111"/>
        <v>31304600</v>
      </c>
      <c r="AB104" s="131">
        <f t="shared" si="111"/>
        <v>28350800</v>
      </c>
      <c r="AC104" s="124">
        <f t="shared" si="111"/>
        <v>2953800</v>
      </c>
      <c r="AD104" s="132">
        <f t="shared" si="111"/>
        <v>31304600</v>
      </c>
      <c r="AE104" s="131">
        <f t="shared" si="111"/>
        <v>25147900</v>
      </c>
      <c r="AF104" s="124">
        <f t="shared" si="111"/>
        <v>3202900</v>
      </c>
      <c r="AG104" s="132">
        <f t="shared" si="111"/>
        <v>28350800</v>
      </c>
      <c r="AH104" s="131">
        <f t="shared" si="111"/>
        <v>12329085</v>
      </c>
      <c r="AI104" s="124">
        <f t="shared" si="111"/>
        <v>12329085</v>
      </c>
      <c r="AJ104" s="133">
        <f t="shared" si="111"/>
        <v>15282885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+IF(AGOSTO!A105=0,"",AGOSTO!A105)</f>
        <v>11304-1</v>
      </c>
      <c r="B105" s="627" t="str">
        <f>+IF(AGOSTO!B105=0,"",AGOSTO!B105)</f>
        <v>ARRENDAMIENTO Y ALQUILER DE BIENES MUEBLES E INMUEBLES</v>
      </c>
      <c r="C105" s="401">
        <f>+ENERO!C105</f>
        <v>916364</v>
      </c>
      <c r="D105" s="376">
        <f>AGOSTO!D105+SEPTIEMBRE!P105</f>
        <v>0</v>
      </c>
      <c r="E105" s="376">
        <f>AGOSTO!E105+SEPTIEMBRE!Q105</f>
        <v>0</v>
      </c>
      <c r="F105" s="376">
        <f t="shared" ref="F105:F111" si="112">SUM(C105:E105)</f>
        <v>916364</v>
      </c>
      <c r="G105" s="376">
        <f>AGOSTO!I105</f>
        <v>560000</v>
      </c>
      <c r="H105" s="377">
        <v>80000</v>
      </c>
      <c r="I105" s="376">
        <f t="shared" ref="I105:I111" si="113">SUM(G105:H105)</f>
        <v>640000</v>
      </c>
      <c r="J105" s="376">
        <f>AGOSTO!L105</f>
        <v>560000</v>
      </c>
      <c r="K105" s="377">
        <v>80000</v>
      </c>
      <c r="L105" s="376">
        <f t="shared" ref="L105:L111" si="114">SUM(J105:K105)</f>
        <v>640000</v>
      </c>
      <c r="M105" s="376">
        <f t="shared" ref="M105:M111" si="115">F105-I105</f>
        <v>276364</v>
      </c>
      <c r="N105" s="146">
        <f t="shared" ref="N105:N111" si="116">F105-L105</f>
        <v>276364</v>
      </c>
      <c r="P105" s="375">
        <v>0</v>
      </c>
      <c r="Q105" s="378">
        <v>0</v>
      </c>
      <c r="R105" s="9"/>
      <c r="S105" s="719">
        <f>+IF(AGOSTO!S105=0,"",AGOSTO!S105)</f>
        <v>1020402</v>
      </c>
      <c r="T105" s="693" t="str">
        <f>+IF(AGOSTO!T105=0,"",AGOSTO!T105)</f>
        <v>Contribuciones - Otros</v>
      </c>
      <c r="U105" s="27">
        <f t="shared" ref="U105:AJ105" si="117">SUM(U106:U107)</f>
        <v>40619885</v>
      </c>
      <c r="V105" s="15">
        <f t="shared" si="117"/>
        <v>0</v>
      </c>
      <c r="W105" s="15">
        <f t="shared" si="117"/>
        <v>0</v>
      </c>
      <c r="X105" s="18">
        <f t="shared" si="117"/>
        <v>40619885</v>
      </c>
      <c r="Y105" s="19">
        <f t="shared" si="117"/>
        <v>25337000</v>
      </c>
      <c r="Z105" s="145">
        <f t="shared" si="117"/>
        <v>2953800</v>
      </c>
      <c r="AA105" s="18">
        <f t="shared" si="117"/>
        <v>28290800</v>
      </c>
      <c r="AB105" s="19">
        <f t="shared" si="117"/>
        <v>25337000</v>
      </c>
      <c r="AC105" s="145">
        <f t="shared" si="117"/>
        <v>2953800</v>
      </c>
      <c r="AD105" s="18">
        <f t="shared" si="117"/>
        <v>28290800</v>
      </c>
      <c r="AE105" s="19">
        <f t="shared" si="117"/>
        <v>22134100</v>
      </c>
      <c r="AF105" s="145">
        <f t="shared" si="117"/>
        <v>3202900</v>
      </c>
      <c r="AG105" s="18">
        <f t="shared" si="117"/>
        <v>25337000</v>
      </c>
      <c r="AH105" s="19">
        <f t="shared" si="117"/>
        <v>12329085</v>
      </c>
      <c r="AI105" s="15">
        <f t="shared" si="117"/>
        <v>12329085</v>
      </c>
      <c r="AJ105" s="16">
        <f t="shared" si="117"/>
        <v>15282885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+IF(AGOSTO!A106=0,"",AGOSTO!A106)</f>
        <v>11304-2</v>
      </c>
      <c r="B106" s="628" t="str">
        <f>+IF(AGOSTO!B106=0,"",AGOSTO!B106)</f>
        <v>COMERCIALIZACIÓN DE MERCANCÍAS</v>
      </c>
      <c r="C106" s="401">
        <f>+ENERO!C106</f>
        <v>105119431</v>
      </c>
      <c r="D106" s="376">
        <f>AGOSTO!D106+SEPTIEMBRE!P106</f>
        <v>0</v>
      </c>
      <c r="E106" s="376">
        <f>AGOSTO!E106+SEPTIEMBRE!Q106</f>
        <v>0</v>
      </c>
      <c r="F106" s="376">
        <f t="shared" si="112"/>
        <v>105119431</v>
      </c>
      <c r="G106" s="376">
        <f>AGOSTO!I106</f>
        <v>63882997</v>
      </c>
      <c r="H106" s="377">
        <v>7340450</v>
      </c>
      <c r="I106" s="376">
        <f t="shared" si="113"/>
        <v>71223447</v>
      </c>
      <c r="J106" s="376">
        <f>AGOSTO!L106</f>
        <v>63882997</v>
      </c>
      <c r="K106" s="377">
        <v>7340450</v>
      </c>
      <c r="L106" s="376">
        <f t="shared" si="114"/>
        <v>71223447</v>
      </c>
      <c r="M106" s="376">
        <f t="shared" si="115"/>
        <v>33895984</v>
      </c>
      <c r="N106" s="146">
        <f t="shared" si="116"/>
        <v>33895984</v>
      </c>
      <c r="P106" s="375">
        <v>0</v>
      </c>
      <c r="Q106" s="378">
        <v>0</v>
      </c>
      <c r="R106" s="9"/>
      <c r="S106" s="720" t="str">
        <f>+IF(AGOSTO!S106=0,"",AGOSTO!S106)</f>
        <v>1020402-1</v>
      </c>
      <c r="T106" s="694" t="str">
        <f>+IF(AGOSTO!T106=0,"",AGOSTO!T106)</f>
        <v>S.E.N.A.</v>
      </c>
      <c r="U106" s="27">
        <f>+ENERO!U106</f>
        <v>16247954</v>
      </c>
      <c r="V106" s="15">
        <f>AGOSTO!V106+SEPTIEMBRE!AL106</f>
        <v>0</v>
      </c>
      <c r="W106" s="15">
        <f>AGOSTO!W106+SEPTIEMBRE!AM106</f>
        <v>0</v>
      </c>
      <c r="X106" s="18">
        <f>SUM(U106:W106)</f>
        <v>16247954</v>
      </c>
      <c r="Y106" s="19">
        <f>AGOSTO!AA106</f>
        <v>10135400</v>
      </c>
      <c r="Z106" s="377">
        <v>1181700</v>
      </c>
      <c r="AA106" s="18">
        <f>SUM(Y106:Z106)</f>
        <v>11317100</v>
      </c>
      <c r="AB106" s="19">
        <f>AGOSTO!AD106</f>
        <v>10135400</v>
      </c>
      <c r="AC106" s="377">
        <v>1181700</v>
      </c>
      <c r="AD106" s="18">
        <f>SUM(AB106:AC106)</f>
        <v>11317100</v>
      </c>
      <c r="AE106" s="19">
        <f>AGOSTO!AG106</f>
        <v>8854100</v>
      </c>
      <c r="AF106" s="377">
        <v>1281300</v>
      </c>
      <c r="AG106" s="18">
        <f>SUM(AE106:AF106)</f>
        <v>10135400</v>
      </c>
      <c r="AH106" s="19">
        <f>X106-AA106</f>
        <v>4930854</v>
      </c>
      <c r="AI106" s="15">
        <f>X106-AD106</f>
        <v>4930854</v>
      </c>
      <c r="AJ106" s="16">
        <f>X106-AG106</f>
        <v>6112554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+IF(AGOSTO!A107=0,"",AGOSTO!A107)</f>
        <v>11304-3</v>
      </c>
      <c r="B107" s="627" t="str">
        <f>+IF(AGOSTO!B107=0,"",AGOSTO!B107)</f>
        <v>Bienestar Social</v>
      </c>
      <c r="C107" s="401">
        <f>+ENERO!C107</f>
        <v>0</v>
      </c>
      <c r="D107" s="376">
        <f>AGOSTO!D107+SEPTIEMBRE!P107</f>
        <v>0</v>
      </c>
      <c r="E107" s="376">
        <f>AGOSTO!E107+SEPTIEMBRE!Q107</f>
        <v>0</v>
      </c>
      <c r="F107" s="376">
        <f t="shared" si="112"/>
        <v>0</v>
      </c>
      <c r="G107" s="376">
        <f>AGOSTO!I107</f>
        <v>0</v>
      </c>
      <c r="H107" s="377">
        <v>0</v>
      </c>
      <c r="I107" s="376">
        <f t="shared" si="113"/>
        <v>0</v>
      </c>
      <c r="J107" s="376">
        <f>AGOSTO!L107</f>
        <v>0</v>
      </c>
      <c r="K107" s="377">
        <v>0</v>
      </c>
      <c r="L107" s="376">
        <f t="shared" si="114"/>
        <v>0</v>
      </c>
      <c r="M107" s="376">
        <f t="shared" si="115"/>
        <v>0</v>
      </c>
      <c r="N107" s="146">
        <f t="shared" si="116"/>
        <v>0</v>
      </c>
      <c r="P107" s="375">
        <v>0</v>
      </c>
      <c r="Q107" s="378">
        <v>0</v>
      </c>
      <c r="R107" s="9"/>
      <c r="S107" s="720" t="str">
        <f>+IF(AGOSTO!S107=0,"",AGOSTO!S107)</f>
        <v>1020402-2</v>
      </c>
      <c r="T107" s="694" t="str">
        <f>+IF(AGOSTO!T107=0,"",AGOSTO!T107)</f>
        <v>I.C.B.F.</v>
      </c>
      <c r="U107" s="27">
        <f>+ENERO!U107</f>
        <v>24371931</v>
      </c>
      <c r="V107" s="15">
        <f>AGOSTO!V107+SEPTIEMBRE!AL107</f>
        <v>0</v>
      </c>
      <c r="W107" s="15">
        <f>AGOSTO!W107+SEPTIEMBRE!AM107</f>
        <v>0</v>
      </c>
      <c r="X107" s="18">
        <f>SUM(U107:W107)</f>
        <v>24371931</v>
      </c>
      <c r="Y107" s="19">
        <f>AGOSTO!AA107</f>
        <v>15201600</v>
      </c>
      <c r="Z107" s="377">
        <v>1772100</v>
      </c>
      <c r="AA107" s="18">
        <f>SUM(Y107:Z107)</f>
        <v>16973700</v>
      </c>
      <c r="AB107" s="19">
        <f>AGOSTO!AD107</f>
        <v>15201600</v>
      </c>
      <c r="AC107" s="377">
        <v>1772100</v>
      </c>
      <c r="AD107" s="18">
        <f>SUM(AB107:AC107)</f>
        <v>16973700</v>
      </c>
      <c r="AE107" s="19">
        <f>AGOSTO!AG107</f>
        <v>13280000</v>
      </c>
      <c r="AF107" s="377">
        <v>1921600</v>
      </c>
      <c r="AG107" s="18">
        <f>SUM(AE107:AF107)</f>
        <v>15201600</v>
      </c>
      <c r="AH107" s="19">
        <f>X107-AA107</f>
        <v>7398231</v>
      </c>
      <c r="AI107" s="15">
        <f>X107-AD107</f>
        <v>7398231</v>
      </c>
      <c r="AJ107" s="16">
        <f>X107-AG107</f>
        <v>9170331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+IF(AGOSTO!A108=0,"",AGOSTO!A108)</f>
        <v>11304-4</v>
      </c>
      <c r="B108" s="627" t="str">
        <f>+IF(AGOSTO!B108=0,"",AGOSTO!B108)</f>
        <v>Fondo de la Vivienda</v>
      </c>
      <c r="C108" s="401">
        <f>+ENERO!C108</f>
        <v>0</v>
      </c>
      <c r="D108" s="376">
        <f>AGOSTO!D108+SEPTIEMBRE!P108</f>
        <v>0</v>
      </c>
      <c r="E108" s="376">
        <f>AGOSTO!E108+SEPTIEMBRE!Q108</f>
        <v>0</v>
      </c>
      <c r="F108" s="376">
        <f t="shared" si="112"/>
        <v>0</v>
      </c>
      <c r="G108" s="376">
        <f>AGOSTO!I108</f>
        <v>0</v>
      </c>
      <c r="H108" s="377">
        <v>0</v>
      </c>
      <c r="I108" s="376">
        <f t="shared" si="113"/>
        <v>0</v>
      </c>
      <c r="J108" s="376">
        <f>AGOSTO!L108</f>
        <v>0</v>
      </c>
      <c r="K108" s="377">
        <v>0</v>
      </c>
      <c r="L108" s="376">
        <f t="shared" si="114"/>
        <v>0</v>
      </c>
      <c r="M108" s="376">
        <f t="shared" si="115"/>
        <v>0</v>
      </c>
      <c r="N108" s="146">
        <f t="shared" si="116"/>
        <v>0</v>
      </c>
      <c r="P108" s="375">
        <v>0</v>
      </c>
      <c r="Q108" s="378">
        <v>0</v>
      </c>
      <c r="R108" s="9"/>
      <c r="S108" s="719">
        <f>+IF(AGOSTO!S108=0,"",AGOSTO!S108)</f>
        <v>1020499</v>
      </c>
      <c r="T108" s="693" t="str">
        <f>+IF(AGOSTO!T108=0,"",AGOSTO!T108)</f>
        <v>Vigencias Anteriores</v>
      </c>
      <c r="U108" s="27">
        <f>+ENERO!U108</f>
        <v>0</v>
      </c>
      <c r="V108" s="15">
        <f>AGOSTO!V108+SEPTIEMBRE!AL108</f>
        <v>0</v>
      </c>
      <c r="W108" s="15">
        <f>AGOSTO!W108+SEPTIEMBRE!AM108</f>
        <v>3013800</v>
      </c>
      <c r="X108" s="18">
        <f>SUM(U108:W108)</f>
        <v>3013800</v>
      </c>
      <c r="Y108" s="19">
        <f>AGOSTO!AA108</f>
        <v>3013800</v>
      </c>
      <c r="Z108" s="377">
        <v>0</v>
      </c>
      <c r="AA108" s="18">
        <f>SUM(Y108:Z108)</f>
        <v>3013800</v>
      </c>
      <c r="AB108" s="19">
        <f>AGOSTO!AD108</f>
        <v>3013800</v>
      </c>
      <c r="AC108" s="377">
        <v>0</v>
      </c>
      <c r="AD108" s="18">
        <f>SUM(AB108:AC108)</f>
        <v>3013800</v>
      </c>
      <c r="AE108" s="19">
        <f>AGOSTO!AG108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+IF(AGOSTO!A109=0,"",AGOSTO!A109)</f>
        <v>11304-5</v>
      </c>
      <c r="B109" s="627" t="str">
        <f>+IF(AGOSTO!B109=0,"",AGOSTO!B109)</f>
        <v xml:space="preserve">Aprovechamientos </v>
      </c>
      <c r="C109" s="401">
        <f>+ENERO!C109</f>
        <v>1145884</v>
      </c>
      <c r="D109" s="376">
        <f>AGOSTO!D109+SEPTIEMBRE!P109</f>
        <v>0</v>
      </c>
      <c r="E109" s="376">
        <f>AGOSTO!E109+SEPTIEMBRE!Q109</f>
        <v>0</v>
      </c>
      <c r="F109" s="376">
        <f t="shared" si="112"/>
        <v>1145884</v>
      </c>
      <c r="G109" s="376">
        <f>AGOSTO!I109</f>
        <v>2394154</v>
      </c>
      <c r="H109" s="377">
        <v>18300</v>
      </c>
      <c r="I109" s="376">
        <f t="shared" si="113"/>
        <v>2412454</v>
      </c>
      <c r="J109" s="376">
        <f>AGOSTO!L109</f>
        <v>2394154</v>
      </c>
      <c r="K109" s="377">
        <v>18300</v>
      </c>
      <c r="L109" s="376">
        <f t="shared" si="114"/>
        <v>2412454</v>
      </c>
      <c r="M109" s="376">
        <f t="shared" si="115"/>
        <v>-1266570</v>
      </c>
      <c r="N109" s="146">
        <f t="shared" si="116"/>
        <v>-1266570</v>
      </c>
      <c r="P109" s="375">
        <v>0</v>
      </c>
      <c r="Q109" s="378">
        <v>0</v>
      </c>
      <c r="R109" s="9"/>
      <c r="S109" s="369" t="str">
        <f>+IF(AGOSTO!S109=0,"",AGOSTO!S109)</f>
        <v/>
      </c>
      <c r="T109" s="708" t="str">
        <f>+IF(AGOSTO!T109=0,"",AGOSTO!T109)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+IF(AGOSTO!A110=0,"",AGOSTO!A110)</f>
        <v>11304-6</v>
      </c>
      <c r="B110" s="627" t="str">
        <f>+IF(AGOSTO!B110=0,"",AGOSTO!B110)</f>
        <v>Otros</v>
      </c>
      <c r="C110" s="401">
        <f>+ENERO!C110</f>
        <v>0</v>
      </c>
      <c r="D110" s="376">
        <f>AGOSTO!D110+SEPTIEMBRE!P110</f>
        <v>0</v>
      </c>
      <c r="E110" s="376">
        <f>AGOSTO!E110+SEPTIEMBRE!Q110</f>
        <v>0</v>
      </c>
      <c r="F110" s="376">
        <f t="shared" si="112"/>
        <v>0</v>
      </c>
      <c r="G110" s="376">
        <f>AGOSTO!I110</f>
        <v>2742985</v>
      </c>
      <c r="H110" s="377">
        <v>0</v>
      </c>
      <c r="I110" s="376">
        <f t="shared" si="113"/>
        <v>2742985</v>
      </c>
      <c r="J110" s="376">
        <f>AGOSTO!L110</f>
        <v>2742985</v>
      </c>
      <c r="K110" s="377">
        <v>0</v>
      </c>
      <c r="L110" s="376">
        <f t="shared" si="114"/>
        <v>2742985</v>
      </c>
      <c r="M110" s="376">
        <f t="shared" si="115"/>
        <v>-2742985</v>
      </c>
      <c r="N110" s="146">
        <f t="shared" si="116"/>
        <v>-2742985</v>
      </c>
      <c r="P110" s="375">
        <v>0</v>
      </c>
      <c r="Q110" s="378">
        <v>0</v>
      </c>
      <c r="R110" s="9"/>
      <c r="S110" s="717">
        <f>+IF(AGOSTO!S110=0,"",AGOSTO!S110)</f>
        <v>2000000</v>
      </c>
      <c r="T110" s="697" t="str">
        <f>+IF(AGOSTO!T110=0,"",AGOSTO!T110)</f>
        <v>GASTOS GENERALES</v>
      </c>
      <c r="U110" s="473">
        <f t="shared" ref="U110:AJ110" si="118">U112+U145</f>
        <v>505626661</v>
      </c>
      <c r="V110" s="474">
        <f t="shared" si="118"/>
        <v>40600000</v>
      </c>
      <c r="W110" s="474">
        <f t="shared" si="118"/>
        <v>213332840</v>
      </c>
      <c r="X110" s="475">
        <f t="shared" si="118"/>
        <v>759559501</v>
      </c>
      <c r="Y110" s="382">
        <f t="shared" si="118"/>
        <v>516967726</v>
      </c>
      <c r="Z110" s="474">
        <f t="shared" si="118"/>
        <v>36851025</v>
      </c>
      <c r="AA110" s="475">
        <f t="shared" si="118"/>
        <v>553818751</v>
      </c>
      <c r="AB110" s="382">
        <f t="shared" si="118"/>
        <v>476977122</v>
      </c>
      <c r="AC110" s="474">
        <f t="shared" si="118"/>
        <v>44157284</v>
      </c>
      <c r="AD110" s="475">
        <f t="shared" si="118"/>
        <v>521134406</v>
      </c>
      <c r="AE110" s="382">
        <f t="shared" si="118"/>
        <v>329962054</v>
      </c>
      <c r="AF110" s="474">
        <f t="shared" si="118"/>
        <v>55744004</v>
      </c>
      <c r="AG110" s="475">
        <f t="shared" si="118"/>
        <v>385706058</v>
      </c>
      <c r="AH110" s="382">
        <f t="shared" si="118"/>
        <v>205740750</v>
      </c>
      <c r="AI110" s="474">
        <f t="shared" si="118"/>
        <v>238425095</v>
      </c>
      <c r="AJ110" s="383">
        <f t="shared" si="118"/>
        <v>373853443</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+IF(AGOSTO!A111=0,"",AGOSTO!A111)</f>
        <v>11304-7</v>
      </c>
      <c r="B111" s="662" t="str">
        <f>+IF(AGOSTO!B111=0,"",AGOSTO!B111)</f>
        <v>Vigencia Anterior</v>
      </c>
      <c r="C111" s="491">
        <f>+ENERO!C111</f>
        <v>0</v>
      </c>
      <c r="D111" s="388">
        <f>AGOSTO!D111+SEPTIEMBRE!P111</f>
        <v>0</v>
      </c>
      <c r="E111" s="388">
        <f>AGOSTO!E111+SEPTIEMBRE!Q111</f>
        <v>0</v>
      </c>
      <c r="F111" s="388">
        <f t="shared" si="112"/>
        <v>0</v>
      </c>
      <c r="G111" s="388">
        <f>AGOSTO!I111</f>
        <v>80000</v>
      </c>
      <c r="H111" s="391">
        <v>0</v>
      </c>
      <c r="I111" s="388">
        <f t="shared" si="113"/>
        <v>80000</v>
      </c>
      <c r="J111" s="388">
        <f>AGOSTO!L111</f>
        <v>80000</v>
      </c>
      <c r="K111" s="391">
        <v>0</v>
      </c>
      <c r="L111" s="388">
        <f t="shared" si="114"/>
        <v>80000</v>
      </c>
      <c r="M111" s="388">
        <f t="shared" si="115"/>
        <v>-80000</v>
      </c>
      <c r="N111" s="389">
        <f t="shared" si="116"/>
        <v>-80000</v>
      </c>
      <c r="P111" s="375">
        <v>0</v>
      </c>
      <c r="Q111" s="378">
        <v>0</v>
      </c>
      <c r="R111" s="9"/>
      <c r="S111" s="369" t="str">
        <f>+IF(AGOSTO!S111=0,"",AGOSTO!S111)</f>
        <v/>
      </c>
      <c r="T111" s="708" t="str">
        <f>+IF(AGOSTO!T111=0,"",AGOSTO!T111)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+IF(AGOSTO!A112=0,"",AGOSTO!A112)</f>
        <v/>
      </c>
      <c r="B112" s="661" t="str">
        <f>+IF(AGOSTO!B112=0,"",AGOSTO!B112)</f>
        <v/>
      </c>
      <c r="C112" s="483"/>
      <c r="D112" s="483"/>
      <c r="E112" s="483"/>
      <c r="F112" s="483"/>
      <c r="G112" s="483"/>
      <c r="H112" s="483"/>
      <c r="I112" s="483"/>
      <c r="J112" s="483"/>
      <c r="K112" s="483"/>
      <c r="L112" s="483"/>
      <c r="M112" s="483"/>
      <c r="N112" s="484"/>
      <c r="P112" s="485"/>
      <c r="Q112" s="484"/>
      <c r="R112" s="9"/>
      <c r="S112" s="717">
        <f>+IF(AGOSTO!S112=0,"",AGOSTO!S112)</f>
        <v>2010000</v>
      </c>
      <c r="T112" s="691" t="str">
        <f>+IF(AGOSTO!T112=0,"",AGOSTO!T112)</f>
        <v>Gastos de Administración</v>
      </c>
      <c r="U112" s="135">
        <f t="shared" ref="U112:AJ112" si="119">U114+U123+U141</f>
        <v>181650786</v>
      </c>
      <c r="V112" s="124">
        <f t="shared" si="119"/>
        <v>13561935</v>
      </c>
      <c r="W112" s="124">
        <f t="shared" si="119"/>
        <v>102233652</v>
      </c>
      <c r="X112" s="132">
        <f t="shared" si="119"/>
        <v>297446373</v>
      </c>
      <c r="Y112" s="131">
        <f t="shared" si="119"/>
        <v>188303272</v>
      </c>
      <c r="Z112" s="124">
        <f t="shared" si="119"/>
        <v>21229250</v>
      </c>
      <c r="AA112" s="132">
        <f t="shared" si="119"/>
        <v>209532522</v>
      </c>
      <c r="AB112" s="131">
        <f t="shared" si="119"/>
        <v>185478272</v>
      </c>
      <c r="AC112" s="124">
        <f t="shared" si="119"/>
        <v>21579250</v>
      </c>
      <c r="AD112" s="132">
        <f t="shared" si="119"/>
        <v>207057522</v>
      </c>
      <c r="AE112" s="131">
        <f t="shared" si="119"/>
        <v>135997166</v>
      </c>
      <c r="AF112" s="124">
        <f t="shared" si="119"/>
        <v>28512231</v>
      </c>
      <c r="AG112" s="132">
        <f t="shared" si="119"/>
        <v>164509397</v>
      </c>
      <c r="AH112" s="131">
        <f t="shared" si="119"/>
        <v>87913851</v>
      </c>
      <c r="AI112" s="124">
        <f t="shared" si="119"/>
        <v>90388851</v>
      </c>
      <c r="AJ112" s="133">
        <f t="shared" si="119"/>
        <v>132936976</v>
      </c>
      <c r="AK112" s="9"/>
      <c r="AL112" s="131">
        <f>AL114+AL123+AL141</f>
        <v>7661935</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+IF(AGOSTO!A113=0,"",AGOSTO!A113)</f>
        <v>2000</v>
      </c>
      <c r="B113" s="648" t="str">
        <f>+IF(AGOSTO!B113=0,"",AGOSTO!B113)</f>
        <v>INGRESOS DE CAPITAL</v>
      </c>
      <c r="C113" s="631">
        <f>SUM(C115:C124)</f>
        <v>32659146</v>
      </c>
      <c r="D113" s="632">
        <f>SUM(D115:D124)</f>
        <v>0</v>
      </c>
      <c r="E113" s="632">
        <f t="shared" ref="E113:N113" si="120">SUM(E115:E124)</f>
        <v>27176600</v>
      </c>
      <c r="F113" s="632">
        <f t="shared" si="120"/>
        <v>59835746</v>
      </c>
      <c r="G113" s="632">
        <f t="shared" si="120"/>
        <v>44774464</v>
      </c>
      <c r="H113" s="632">
        <f t="shared" si="120"/>
        <v>6934306</v>
      </c>
      <c r="I113" s="632">
        <f t="shared" si="120"/>
        <v>51708770</v>
      </c>
      <c r="J113" s="632">
        <f t="shared" si="120"/>
        <v>44774464</v>
      </c>
      <c r="K113" s="632">
        <f t="shared" si="120"/>
        <v>6934306</v>
      </c>
      <c r="L113" s="632">
        <f t="shared" si="120"/>
        <v>51708770</v>
      </c>
      <c r="M113" s="632">
        <f t="shared" si="120"/>
        <v>8126976</v>
      </c>
      <c r="N113" s="633">
        <f t="shared" si="120"/>
        <v>8126976</v>
      </c>
      <c r="O113" s="464"/>
      <c r="P113" s="177">
        <f>SUM(P115:P124)</f>
        <v>0</v>
      </c>
      <c r="Q113" s="178">
        <f>SUM(Q115:Q124)</f>
        <v>0</v>
      </c>
      <c r="R113" s="9"/>
      <c r="S113" s="369" t="str">
        <f>+IF(AGOSTO!S113=0,"",AGOSTO!S113)</f>
        <v/>
      </c>
      <c r="T113" s="708" t="str">
        <f>+IF(AGOSTO!T113=0,"",AGOSTO!T113)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+IF(AGOSTO!A114=0,"",AGOSTO!A114)</f>
        <v/>
      </c>
      <c r="B114" s="661" t="str">
        <f>+IF(AGOSTO!B114=0,"",AGOSTO!B114)</f>
        <v/>
      </c>
      <c r="C114" s="483"/>
      <c r="D114" s="483"/>
      <c r="E114" s="483"/>
      <c r="F114" s="483"/>
      <c r="G114" s="483"/>
      <c r="H114" s="483"/>
      <c r="I114" s="483"/>
      <c r="J114" s="483"/>
      <c r="K114" s="483"/>
      <c r="L114" s="483"/>
      <c r="M114" s="483"/>
      <c r="N114" s="484"/>
      <c r="P114" s="485"/>
      <c r="Q114" s="484"/>
      <c r="R114" s="9"/>
      <c r="S114" s="718">
        <f>+IF(AGOSTO!S114=0,"",AGOSTO!S114)</f>
        <v>2010100</v>
      </c>
      <c r="T114" s="692" t="str">
        <f>+IF(AGOSTO!T114=0,"",AGOSTO!T114)</f>
        <v>Adquisición de bienes</v>
      </c>
      <c r="U114" s="135">
        <f t="shared" ref="U114:AJ114" si="121">SUM(U115:U121)</f>
        <v>29771433</v>
      </c>
      <c r="V114" s="124">
        <f t="shared" si="121"/>
        <v>0</v>
      </c>
      <c r="W114" s="124">
        <f t="shared" si="121"/>
        <v>69356464</v>
      </c>
      <c r="X114" s="132">
        <f t="shared" si="121"/>
        <v>99127897</v>
      </c>
      <c r="Y114" s="131">
        <f t="shared" si="121"/>
        <v>64608723</v>
      </c>
      <c r="Z114" s="124">
        <f t="shared" si="121"/>
        <v>3154193</v>
      </c>
      <c r="AA114" s="132">
        <f t="shared" si="121"/>
        <v>67762916</v>
      </c>
      <c r="AB114" s="131">
        <f t="shared" si="121"/>
        <v>64608723</v>
      </c>
      <c r="AC114" s="124">
        <f t="shared" si="121"/>
        <v>3154193</v>
      </c>
      <c r="AD114" s="132">
        <f t="shared" si="121"/>
        <v>67762916</v>
      </c>
      <c r="AE114" s="131">
        <f t="shared" si="121"/>
        <v>48191928</v>
      </c>
      <c r="AF114" s="124">
        <f t="shared" si="121"/>
        <v>5310505</v>
      </c>
      <c r="AG114" s="132">
        <f t="shared" si="121"/>
        <v>53502433</v>
      </c>
      <c r="AH114" s="131">
        <f t="shared" si="121"/>
        <v>31364981</v>
      </c>
      <c r="AI114" s="124">
        <f t="shared" si="121"/>
        <v>31364981</v>
      </c>
      <c r="AJ114" s="133">
        <f t="shared" si="121"/>
        <v>45625464</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+IF(AGOSTO!A115=0,"",AGOSTO!A115)</f>
        <v>2100</v>
      </c>
      <c r="B115" s="634" t="str">
        <f>+IF(AGOSTO!B115=0,"",AGOSTO!B115)</f>
        <v>CREDITO INTERNO</v>
      </c>
      <c r="C115" s="375">
        <f>+ENERO!C115</f>
        <v>0</v>
      </c>
      <c r="D115" s="467">
        <f>AGOSTO!D115+SEPTIEMBRE!P115</f>
        <v>0</v>
      </c>
      <c r="E115" s="467">
        <f>AGOSTO!E115+SEPTIEMBRE!Q115</f>
        <v>0</v>
      </c>
      <c r="F115" s="471">
        <f t="shared" ref="F115:F124" si="122">SUM(C115:E115)</f>
        <v>0</v>
      </c>
      <c r="G115" s="469">
        <f>AGOSTO!I115</f>
        <v>0</v>
      </c>
      <c r="H115" s="377">
        <v>0</v>
      </c>
      <c r="I115" s="471">
        <f t="shared" ref="I115:I124" si="123">SUM(G115:H115)</f>
        <v>0</v>
      </c>
      <c r="J115" s="469">
        <f>AGOSTO!L115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+IF(AGOSTO!S115=0,"",AGOSTO!S115)</f>
        <v>2010100-1</v>
      </c>
      <c r="T115" s="693" t="str">
        <f>+IF(AGOSTO!T115=0,"",AGOSTO!T115)</f>
        <v>Compra de Equipos</v>
      </c>
      <c r="U115" s="27">
        <f>+ENERO!U115</f>
        <v>0</v>
      </c>
      <c r="V115" s="15">
        <f>AGOSTO!V115+SEPTIEMBRE!AL115</f>
        <v>0</v>
      </c>
      <c r="W115" s="15">
        <f>AGOSTO!W115+SEPTIEMBRE!AM115</f>
        <v>57176600</v>
      </c>
      <c r="X115" s="18">
        <f t="shared" ref="X115:X121" si="127">SUM(U115:W115)</f>
        <v>57176600</v>
      </c>
      <c r="Y115" s="19">
        <f>AGOSTO!AA115</f>
        <v>26998720</v>
      </c>
      <c r="Z115" s="377">
        <v>0</v>
      </c>
      <c r="AA115" s="18">
        <f t="shared" ref="AA115:AA121" si="128">SUM(Y115:Z115)</f>
        <v>26998720</v>
      </c>
      <c r="AB115" s="19">
        <f>AGOSTO!AD115</f>
        <v>26998720</v>
      </c>
      <c r="AC115" s="377">
        <v>0</v>
      </c>
      <c r="AD115" s="18">
        <f t="shared" ref="AD115:AD121" si="129">SUM(AB115:AC115)</f>
        <v>26998720</v>
      </c>
      <c r="AE115" s="19">
        <f>AGOSTO!AG115</f>
        <v>24785720</v>
      </c>
      <c r="AF115" s="377">
        <v>0</v>
      </c>
      <c r="AG115" s="18">
        <f t="shared" ref="AG115:AG121" si="130">SUM(AE115:AF115)</f>
        <v>24785720</v>
      </c>
      <c r="AH115" s="19">
        <f t="shared" ref="AH115:AH121" si="131">X115-AA115</f>
        <v>30177880</v>
      </c>
      <c r="AI115" s="15">
        <f t="shared" ref="AI115:AI121" si="132">X115-AD115</f>
        <v>30177880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+IF(AGOSTO!A116=0,"",AGOSTO!A116)</f>
        <v>2100-1</v>
      </c>
      <c r="B116" s="635" t="str">
        <f>+IF(AGOSTO!B116=0,"",AGOSTO!B116)</f>
        <v>Vigencia Anterior</v>
      </c>
      <c r="C116" s="375">
        <f>+ENERO!C116</f>
        <v>0</v>
      </c>
      <c r="D116" s="467">
        <f>AGOSTO!D116+SEPTIEMBRE!P116</f>
        <v>0</v>
      </c>
      <c r="E116" s="467">
        <f>AGOSTO!E116+SEPTIEMBRE!Q116</f>
        <v>0</v>
      </c>
      <c r="F116" s="471">
        <f t="shared" si="122"/>
        <v>0</v>
      </c>
      <c r="G116" s="469">
        <f>AGOSTO!I116</f>
        <v>0</v>
      </c>
      <c r="H116" s="377">
        <v>0</v>
      </c>
      <c r="I116" s="471">
        <f t="shared" si="123"/>
        <v>0</v>
      </c>
      <c r="J116" s="469">
        <f>AGOSTO!L116</f>
        <v>0</v>
      </c>
      <c r="K116" s="377">
        <v>0</v>
      </c>
      <c r="L116" s="468">
        <f t="shared" si="124"/>
        <v>0</v>
      </c>
      <c r="M116" s="472">
        <f t="shared" si="125"/>
        <v>0</v>
      </c>
      <c r="N116" s="468">
        <f t="shared" si="126"/>
        <v>0</v>
      </c>
      <c r="O116" s="464"/>
      <c r="P116" s="375">
        <v>0</v>
      </c>
      <c r="Q116" s="378">
        <v>0</v>
      </c>
      <c r="R116" s="9"/>
      <c r="S116" s="719" t="str">
        <f>+IF(AGOSTO!S116=0,"",AGOSTO!S116)</f>
        <v>2010100-2</v>
      </c>
      <c r="T116" s="693" t="str">
        <f>+IF(AGOSTO!T116=0,"",AGOSTO!T116)</f>
        <v>Materiales</v>
      </c>
      <c r="U116" s="27">
        <f>+ENERO!U116</f>
        <v>29771433</v>
      </c>
      <c r="V116" s="15">
        <f>AGOSTO!V116+SEPTIEMBRE!AL116</f>
        <v>0</v>
      </c>
      <c r="W116" s="15">
        <f>AGOSTO!W116+SEPTIEMBRE!AM116</f>
        <v>0</v>
      </c>
      <c r="X116" s="18">
        <f t="shared" si="127"/>
        <v>29771433</v>
      </c>
      <c r="Y116" s="19">
        <f>AGOSTO!AA116</f>
        <v>25430139</v>
      </c>
      <c r="Z116" s="377">
        <v>3154193</v>
      </c>
      <c r="AA116" s="18">
        <f t="shared" si="128"/>
        <v>28584332</v>
      </c>
      <c r="AB116" s="19">
        <f>AGOSTO!AD116</f>
        <v>25430139</v>
      </c>
      <c r="AC116" s="377">
        <v>3154193</v>
      </c>
      <c r="AD116" s="18">
        <f t="shared" si="129"/>
        <v>28584332</v>
      </c>
      <c r="AE116" s="19">
        <f>AGOSTO!AG116</f>
        <v>11226344</v>
      </c>
      <c r="AF116" s="377">
        <v>5310505</v>
      </c>
      <c r="AG116" s="18">
        <f t="shared" si="130"/>
        <v>16536849</v>
      </c>
      <c r="AH116" s="19">
        <f t="shared" si="131"/>
        <v>1187101</v>
      </c>
      <c r="AI116" s="15">
        <f t="shared" si="132"/>
        <v>1187101</v>
      </c>
      <c r="AJ116" s="16">
        <f t="shared" si="133"/>
        <v>13234584</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+IF(AGOSTO!A117=0,"",AGOSTO!A117)</f>
        <v>2200</v>
      </c>
      <c r="B117" s="634" t="str">
        <f>+IF(AGOSTO!B117=0,"",AGOSTO!B117)</f>
        <v>CREDITO EXTERNO</v>
      </c>
      <c r="C117" s="375">
        <f>+ENERO!C117</f>
        <v>0</v>
      </c>
      <c r="D117" s="467">
        <f>AGOSTO!D117+SEPTIEMBRE!P117</f>
        <v>0</v>
      </c>
      <c r="E117" s="467">
        <f>AGOSTO!E117+SEPTIEMBRE!Q117</f>
        <v>0</v>
      </c>
      <c r="F117" s="471">
        <f t="shared" si="122"/>
        <v>0</v>
      </c>
      <c r="G117" s="469">
        <f>AGOSTO!I117</f>
        <v>0</v>
      </c>
      <c r="H117" s="377">
        <v>0</v>
      </c>
      <c r="I117" s="471">
        <f t="shared" si="123"/>
        <v>0</v>
      </c>
      <c r="J117" s="469">
        <f>AGOSTO!L117</f>
        <v>0</v>
      </c>
      <c r="K117" s="377">
        <v>0</v>
      </c>
      <c r="L117" s="468">
        <f t="shared" si="124"/>
        <v>0</v>
      </c>
      <c r="M117" s="472">
        <f t="shared" si="125"/>
        <v>0</v>
      </c>
      <c r="N117" s="468">
        <f t="shared" si="126"/>
        <v>0</v>
      </c>
      <c r="O117" s="464"/>
      <c r="P117" s="375">
        <v>0</v>
      </c>
      <c r="Q117" s="378">
        <v>0</v>
      </c>
      <c r="R117" s="9"/>
      <c r="S117" s="719" t="str">
        <f>+IF(AGOSTO!S117=0,"",AGOSTO!S117)</f>
        <v>2010100-3</v>
      </c>
      <c r="T117" s="693" t="str">
        <f>+IF(AGOSTO!T117=0,"",AGOSTO!T117)</f>
        <v>Salud Ocupacional</v>
      </c>
      <c r="U117" s="27">
        <f>+ENERO!U117</f>
        <v>0</v>
      </c>
      <c r="V117" s="15">
        <f>AGOSTO!V117+SEPTIEMBRE!AL117</f>
        <v>0</v>
      </c>
      <c r="W117" s="15">
        <f>AGOSTO!W117+SEPTIEMBRE!AM117</f>
        <v>0</v>
      </c>
      <c r="X117" s="18">
        <f t="shared" si="127"/>
        <v>0</v>
      </c>
      <c r="Y117" s="19">
        <f>AGOSTO!AA117</f>
        <v>0</v>
      </c>
      <c r="Z117" s="377">
        <v>0</v>
      </c>
      <c r="AA117" s="18">
        <f t="shared" si="128"/>
        <v>0</v>
      </c>
      <c r="AB117" s="19">
        <f>AGOSTO!AD117</f>
        <v>0</v>
      </c>
      <c r="AC117" s="377">
        <v>0</v>
      </c>
      <c r="AD117" s="18">
        <f t="shared" si="129"/>
        <v>0</v>
      </c>
      <c r="AE117" s="19">
        <f>AGOSTO!AG117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+IF(AGOSTO!A118=0,"",AGOSTO!A118)</f>
        <v>2200-1</v>
      </c>
      <c r="B118" s="635" t="str">
        <f>+IF(AGOSTO!B118=0,"",AGOSTO!B118)</f>
        <v>Vigencia Anterior</v>
      </c>
      <c r="C118" s="375">
        <f>+ENERO!C118</f>
        <v>0</v>
      </c>
      <c r="D118" s="467">
        <f>AGOSTO!D118+SEPTIEMBRE!P118</f>
        <v>0</v>
      </c>
      <c r="E118" s="467">
        <f>AGOSTO!E118+SEPTIEMBRE!Q118</f>
        <v>0</v>
      </c>
      <c r="F118" s="471">
        <f t="shared" si="122"/>
        <v>0</v>
      </c>
      <c r="G118" s="469">
        <f>AGOSTO!I118</f>
        <v>0</v>
      </c>
      <c r="H118" s="377">
        <v>0</v>
      </c>
      <c r="I118" s="471">
        <f t="shared" si="123"/>
        <v>0</v>
      </c>
      <c r="J118" s="469">
        <f>AGOSTO!L118</f>
        <v>0</v>
      </c>
      <c r="K118" s="377">
        <v>0</v>
      </c>
      <c r="L118" s="468">
        <f t="shared" si="124"/>
        <v>0</v>
      </c>
      <c r="M118" s="472">
        <f t="shared" si="125"/>
        <v>0</v>
      </c>
      <c r="N118" s="468">
        <f t="shared" si="126"/>
        <v>0</v>
      </c>
      <c r="O118" s="464"/>
      <c r="P118" s="375">
        <v>0</v>
      </c>
      <c r="Q118" s="378">
        <v>0</v>
      </c>
      <c r="R118" s="9"/>
      <c r="S118" s="719" t="str">
        <f>+IF(AGOSTO!S118=0,"",AGOSTO!S118)</f>
        <v>2010100-4</v>
      </c>
      <c r="T118" s="693" t="str">
        <f>+IF(AGOSTO!T118=0,"",AGOSTO!T118)</f>
        <v/>
      </c>
      <c r="U118" s="27">
        <f>+ENERO!U118</f>
        <v>0</v>
      </c>
      <c r="V118" s="15">
        <f>AGOSTO!V118+SEPTIEMBRE!AL118</f>
        <v>0</v>
      </c>
      <c r="W118" s="15">
        <f>AGOSTO!W118+SEPTIEMBRE!AM118</f>
        <v>0</v>
      </c>
      <c r="X118" s="18">
        <f t="shared" si="127"/>
        <v>0</v>
      </c>
      <c r="Y118" s="19">
        <f>AGOSTO!AA118</f>
        <v>0</v>
      </c>
      <c r="Z118" s="377">
        <v>0</v>
      </c>
      <c r="AA118" s="18">
        <f t="shared" si="128"/>
        <v>0</v>
      </c>
      <c r="AB118" s="19">
        <f>AGOSTO!AD118</f>
        <v>0</v>
      </c>
      <c r="AC118" s="377">
        <v>0</v>
      </c>
      <c r="AD118" s="18">
        <f t="shared" si="129"/>
        <v>0</v>
      </c>
      <c r="AE118" s="19">
        <f>AGOSTO!AG118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+IF(AGOSTO!A119=0,"",AGOSTO!A119)</f>
        <v>2300</v>
      </c>
      <c r="B119" s="634" t="str">
        <f>+IF(AGOSTO!B119=0,"",AGOSTO!B119)</f>
        <v>RENDIMIENTOS FINANCIEROS</v>
      </c>
      <c r="C119" s="375">
        <f>+ENERO!C119</f>
        <v>594347</v>
      </c>
      <c r="D119" s="467">
        <f>AGOSTO!D119+SEPTIEMBRE!P119</f>
        <v>0</v>
      </c>
      <c r="E119" s="467">
        <f>AGOSTO!E119+SEPTIEMBRE!Q119</f>
        <v>0</v>
      </c>
      <c r="F119" s="471">
        <f t="shared" si="122"/>
        <v>594347</v>
      </c>
      <c r="G119" s="222">
        <f>AGOSTO!I119</f>
        <v>86059</v>
      </c>
      <c r="H119" s="377">
        <v>4364</v>
      </c>
      <c r="I119" s="476">
        <f t="shared" si="123"/>
        <v>90423</v>
      </c>
      <c r="J119" s="222">
        <f>AGOSTO!L119</f>
        <v>86059</v>
      </c>
      <c r="K119" s="377">
        <v>4364</v>
      </c>
      <c r="L119" s="146">
        <f t="shared" si="124"/>
        <v>90423</v>
      </c>
      <c r="M119" s="441">
        <f t="shared" si="125"/>
        <v>503924</v>
      </c>
      <c r="N119" s="146">
        <f t="shared" si="126"/>
        <v>503924</v>
      </c>
      <c r="O119" s="464"/>
      <c r="P119" s="375">
        <v>0</v>
      </c>
      <c r="Q119" s="378">
        <v>0</v>
      </c>
      <c r="R119" s="9"/>
      <c r="S119" s="719" t="str">
        <f>+IF(AGOSTO!S119=0,"",AGOSTO!S119)</f>
        <v>2010100-5</v>
      </c>
      <c r="T119" s="693" t="str">
        <f>+IF(AGOSTO!T119=0,"",AGOSTO!T119)</f>
        <v/>
      </c>
      <c r="U119" s="27">
        <f>+ENERO!U119</f>
        <v>0</v>
      </c>
      <c r="V119" s="15">
        <f>AGOSTO!V119+SEPTIEMBRE!AL119</f>
        <v>0</v>
      </c>
      <c r="W119" s="15">
        <f>AGOSTO!W119+SEPTIEMBRE!AM119</f>
        <v>0</v>
      </c>
      <c r="X119" s="18">
        <f t="shared" si="127"/>
        <v>0</v>
      </c>
      <c r="Y119" s="19">
        <f>AGOSTO!AA119</f>
        <v>0</v>
      </c>
      <c r="Z119" s="377">
        <v>0</v>
      </c>
      <c r="AA119" s="18">
        <f t="shared" si="128"/>
        <v>0</v>
      </c>
      <c r="AB119" s="19">
        <f>AGOSTO!AD119</f>
        <v>0</v>
      </c>
      <c r="AC119" s="377">
        <v>0</v>
      </c>
      <c r="AD119" s="18">
        <f t="shared" si="129"/>
        <v>0</v>
      </c>
      <c r="AE119" s="19">
        <f>AGOSTO!AG119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+IF(AGOSTO!A120=0,"",AGOSTO!A120)</f>
        <v>2400</v>
      </c>
      <c r="B120" s="635" t="str">
        <f>+IF(AGOSTO!B120=0,"",AGOSTO!B120)</f>
        <v>VENTA DE ACTIVOS</v>
      </c>
      <c r="C120" s="375">
        <f>+ENERO!C120</f>
        <v>0</v>
      </c>
      <c r="D120" s="467">
        <f>AGOSTO!D120+SEPTIEMBRE!P120</f>
        <v>0</v>
      </c>
      <c r="E120" s="467">
        <f>AGOSTO!E120+SEPTIEMBRE!Q120</f>
        <v>0</v>
      </c>
      <c r="F120" s="471">
        <f t="shared" si="122"/>
        <v>0</v>
      </c>
      <c r="G120" s="222">
        <f>AGOSTO!I120</f>
        <v>0</v>
      </c>
      <c r="H120" s="377">
        <v>0</v>
      </c>
      <c r="I120" s="476">
        <f t="shared" si="123"/>
        <v>0</v>
      </c>
      <c r="J120" s="222">
        <f>AGOSTO!L120</f>
        <v>0</v>
      </c>
      <c r="K120" s="377">
        <v>0</v>
      </c>
      <c r="L120" s="146">
        <f t="shared" si="124"/>
        <v>0</v>
      </c>
      <c r="M120" s="441">
        <f t="shared" si="125"/>
        <v>0</v>
      </c>
      <c r="N120" s="146">
        <f t="shared" si="126"/>
        <v>0</v>
      </c>
      <c r="P120" s="375">
        <v>0</v>
      </c>
      <c r="Q120" s="378">
        <v>0</v>
      </c>
      <c r="R120" s="9"/>
      <c r="S120" s="719" t="str">
        <f>+IF(AGOSTO!S120=0,"",AGOSTO!S120)</f>
        <v>2010100-6</v>
      </c>
      <c r="T120" s="693" t="str">
        <f>+IF(AGOSTO!T120=0,"",AGOSTO!T120)</f>
        <v/>
      </c>
      <c r="U120" s="27">
        <f>+ENERO!U120</f>
        <v>0</v>
      </c>
      <c r="V120" s="15">
        <f>AGOSTO!V120+SEPTIEMBRE!AL120</f>
        <v>0</v>
      </c>
      <c r="W120" s="15">
        <f>AGOSTO!W120+SEPTIEMBRE!AM120</f>
        <v>0</v>
      </c>
      <c r="X120" s="18">
        <f t="shared" si="127"/>
        <v>0</v>
      </c>
      <c r="Y120" s="19">
        <f>AGOSTO!AA120</f>
        <v>0</v>
      </c>
      <c r="Z120" s="377">
        <v>0</v>
      </c>
      <c r="AA120" s="18">
        <f t="shared" si="128"/>
        <v>0</v>
      </c>
      <c r="AB120" s="19">
        <f>AGOSTO!AD120</f>
        <v>0</v>
      </c>
      <c r="AC120" s="377">
        <v>0</v>
      </c>
      <c r="AD120" s="18">
        <f t="shared" si="129"/>
        <v>0</v>
      </c>
      <c r="AE120" s="19">
        <f>AGOSTO!AG120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+IF(AGOSTO!A121=0,"",AGOSTO!A121)</f>
        <v>2500</v>
      </c>
      <c r="B121" s="635" t="str">
        <f>+IF(AGOSTO!B121=0,"",AGOSTO!B121)</f>
        <v>DONACIONES</v>
      </c>
      <c r="C121" s="375">
        <f>+ENERO!C121</f>
        <v>0</v>
      </c>
      <c r="D121" s="467">
        <f>AGOSTO!D121+SEPTIEMBRE!P121</f>
        <v>0</v>
      </c>
      <c r="E121" s="467">
        <f>AGOSTO!E121+SEPTIEMBRE!Q121</f>
        <v>0</v>
      </c>
      <c r="F121" s="471">
        <f t="shared" si="122"/>
        <v>0</v>
      </c>
      <c r="G121" s="222">
        <f>AGOSTO!I121</f>
        <v>0</v>
      </c>
      <c r="H121" s="377">
        <v>0</v>
      </c>
      <c r="I121" s="476">
        <f t="shared" si="123"/>
        <v>0</v>
      </c>
      <c r="J121" s="222">
        <f>AGOSTO!L121</f>
        <v>0</v>
      </c>
      <c r="K121" s="377">
        <v>0</v>
      </c>
      <c r="L121" s="146">
        <f t="shared" si="124"/>
        <v>0</v>
      </c>
      <c r="M121" s="441">
        <f t="shared" si="125"/>
        <v>0</v>
      </c>
      <c r="N121" s="146">
        <f t="shared" si="126"/>
        <v>0</v>
      </c>
      <c r="P121" s="375">
        <v>0</v>
      </c>
      <c r="Q121" s="378">
        <v>0</v>
      </c>
      <c r="R121" s="9"/>
      <c r="S121" s="719">
        <f>+IF(AGOSTO!S121=0,"",AGOSTO!S121)</f>
        <v>2010199</v>
      </c>
      <c r="T121" s="693" t="str">
        <f>+IF(AGOSTO!T121=0,"",AGOSTO!T121)</f>
        <v>Vigencias Anteriores</v>
      </c>
      <c r="U121" s="27">
        <f>+ENERO!U121</f>
        <v>0</v>
      </c>
      <c r="V121" s="15">
        <f>AGOSTO!V121+SEPTIEMBRE!AL121</f>
        <v>0</v>
      </c>
      <c r="W121" s="15">
        <f>AGOSTO!W121+SEPTIEMBRE!AM121</f>
        <v>12179864</v>
      </c>
      <c r="X121" s="18">
        <f t="shared" si="127"/>
        <v>12179864</v>
      </c>
      <c r="Y121" s="19">
        <f>AGOSTO!AA121</f>
        <v>12179864</v>
      </c>
      <c r="Z121" s="377">
        <v>0</v>
      </c>
      <c r="AA121" s="18">
        <f t="shared" si="128"/>
        <v>12179864</v>
      </c>
      <c r="AB121" s="19">
        <f>AGOSTO!AD121</f>
        <v>12179864</v>
      </c>
      <c r="AC121" s="377">
        <v>0</v>
      </c>
      <c r="AD121" s="18">
        <f t="shared" si="129"/>
        <v>12179864</v>
      </c>
      <c r="AE121" s="19">
        <f>AGOSTO!AG121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+IF(AGOSTO!A122=0,"",AGOSTO!A122)</f>
        <v>2600</v>
      </c>
      <c r="B122" s="635" t="str">
        <f>+IF(AGOSTO!B122=0,"",AGOSTO!B122)</f>
        <v>RECUPERACIÓN DE CARTERA (AÑO 2013 Y ANTERIORES)</v>
      </c>
      <c r="C122" s="375">
        <f>+ENERO!C122</f>
        <v>32064799</v>
      </c>
      <c r="D122" s="467">
        <f>AGOSTO!D122+SEPTIEMBRE!P122</f>
        <v>0</v>
      </c>
      <c r="E122" s="467">
        <f>AGOSTO!E122+SEPTIEMBRE!Q122</f>
        <v>0</v>
      </c>
      <c r="F122" s="471">
        <f t="shared" si="122"/>
        <v>32064799</v>
      </c>
      <c r="G122" s="222">
        <f>AGOSTO!I122</f>
        <v>4100407</v>
      </c>
      <c r="H122" s="377">
        <f>5961727</f>
        <v>5961727</v>
      </c>
      <c r="I122" s="476">
        <f t="shared" si="123"/>
        <v>10062134</v>
      </c>
      <c r="J122" s="222">
        <f>AGOSTO!L122</f>
        <v>4100407</v>
      </c>
      <c r="K122" s="377">
        <f>5961727</f>
        <v>5961727</v>
      </c>
      <c r="L122" s="146">
        <f t="shared" si="124"/>
        <v>10062134</v>
      </c>
      <c r="M122" s="441">
        <f t="shared" si="125"/>
        <v>22002665</v>
      </c>
      <c r="N122" s="146">
        <f t="shared" si="126"/>
        <v>22002665</v>
      </c>
      <c r="P122" s="375">
        <v>0</v>
      </c>
      <c r="Q122" s="378">
        <v>0</v>
      </c>
      <c r="R122" s="9"/>
      <c r="S122" s="369" t="str">
        <f>+IF(AGOSTO!S122=0,"",AGOSTO!S122)</f>
        <v/>
      </c>
      <c r="T122" s="708" t="str">
        <f>+IF(AGOSTO!T122=0,"",AGOSTO!T122)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+IF(AGOSTO!A123=0,"",AGOSTO!A123)</f>
        <v>2700</v>
      </c>
      <c r="B123" s="635" t="str">
        <f>+IF(AGOSTO!B123=0,"",AGOSTO!B123)</f>
        <v>OTROS INGRESOS DE CAPITAL</v>
      </c>
      <c r="C123" s="375">
        <f>+ENERO!C123</f>
        <v>0</v>
      </c>
      <c r="D123" s="467">
        <f>AGOSTO!D123+SEPTIEMBRE!P123</f>
        <v>0</v>
      </c>
      <c r="E123" s="467">
        <f>AGOSTO!E123+SEPTIEMBRE!Q123</f>
        <v>27176600</v>
      </c>
      <c r="F123" s="471">
        <f t="shared" si="122"/>
        <v>27176600</v>
      </c>
      <c r="G123" s="222">
        <f>AGOSTO!I123</f>
        <v>40587998</v>
      </c>
      <c r="H123" s="377">
        <v>968215</v>
      </c>
      <c r="I123" s="476">
        <f t="shared" si="123"/>
        <v>41556213</v>
      </c>
      <c r="J123" s="222">
        <f>AGOSTO!L123</f>
        <v>40587998</v>
      </c>
      <c r="K123" s="377">
        <v>968215</v>
      </c>
      <c r="L123" s="146">
        <f t="shared" si="124"/>
        <v>41556213</v>
      </c>
      <c r="M123" s="441">
        <f t="shared" si="125"/>
        <v>-14379613</v>
      </c>
      <c r="N123" s="146">
        <f t="shared" si="126"/>
        <v>-14379613</v>
      </c>
      <c r="P123" s="375">
        <v>0</v>
      </c>
      <c r="Q123" s="378">
        <v>0</v>
      </c>
      <c r="R123" s="9"/>
      <c r="S123" s="718">
        <f>+IF(AGOSTO!S123=0,"",AGOSTO!S123)</f>
        <v>2010200</v>
      </c>
      <c r="T123" s="692" t="str">
        <f>+IF(AGOSTO!T123=0,"",AGOSTO!T123)</f>
        <v>Adquisición de Servicios</v>
      </c>
      <c r="U123" s="135">
        <f t="shared" ref="U123:AJ123" si="134">SUM(U124:U139)</f>
        <v>141098390</v>
      </c>
      <c r="V123" s="124">
        <f t="shared" si="134"/>
        <v>5900000</v>
      </c>
      <c r="W123" s="124">
        <f t="shared" si="134"/>
        <v>31389245</v>
      </c>
      <c r="X123" s="132">
        <f t="shared" si="134"/>
        <v>178387635</v>
      </c>
      <c r="Y123" s="131">
        <f t="shared" si="134"/>
        <v>118370495</v>
      </c>
      <c r="Z123" s="124">
        <f t="shared" si="134"/>
        <v>8149036</v>
      </c>
      <c r="AA123" s="132">
        <f t="shared" si="134"/>
        <v>126519531</v>
      </c>
      <c r="AB123" s="131">
        <f t="shared" si="134"/>
        <v>115545495</v>
      </c>
      <c r="AC123" s="124">
        <f t="shared" si="134"/>
        <v>8499036</v>
      </c>
      <c r="AD123" s="132">
        <f t="shared" si="134"/>
        <v>124044531</v>
      </c>
      <c r="AE123" s="131">
        <f t="shared" si="134"/>
        <v>87805238</v>
      </c>
      <c r="AF123" s="124">
        <f t="shared" si="134"/>
        <v>15539791</v>
      </c>
      <c r="AG123" s="132">
        <f t="shared" si="134"/>
        <v>103345029</v>
      </c>
      <c r="AH123" s="131">
        <f t="shared" si="134"/>
        <v>51868104</v>
      </c>
      <c r="AI123" s="124">
        <f t="shared" si="134"/>
        <v>54343104</v>
      </c>
      <c r="AJ123" s="133">
        <f t="shared" si="134"/>
        <v>75042606</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+IF(AGOSTO!A124=0,"",AGOSTO!A124)</f>
        <v>2800</v>
      </c>
      <c r="B124" s="663" t="str">
        <f>+IF(AGOSTO!B124=0,"",AGOSTO!B124)</f>
        <v/>
      </c>
      <c r="C124" s="387">
        <f>+ENERO!C124</f>
        <v>0</v>
      </c>
      <c r="D124" s="465">
        <f>AGOSTO!D124+SEPTIEMBRE!P124</f>
        <v>0</v>
      </c>
      <c r="E124" s="465">
        <f>AGOSTO!E124+SEPTIEMBRE!Q124</f>
        <v>0</v>
      </c>
      <c r="F124" s="477">
        <f t="shared" si="122"/>
        <v>0</v>
      </c>
      <c r="G124" s="390">
        <f>AGOSTO!I124</f>
        <v>0</v>
      </c>
      <c r="H124" s="391">
        <v>0</v>
      </c>
      <c r="I124" s="478">
        <f t="shared" si="123"/>
        <v>0</v>
      </c>
      <c r="J124" s="390">
        <f>AGOSTO!L124</f>
        <v>0</v>
      </c>
      <c r="K124" s="391">
        <v>0</v>
      </c>
      <c r="L124" s="389">
        <f t="shared" si="124"/>
        <v>0</v>
      </c>
      <c r="M124" s="479">
        <f t="shared" si="125"/>
        <v>0</v>
      </c>
      <c r="N124" s="389">
        <f t="shared" si="126"/>
        <v>0</v>
      </c>
      <c r="P124" s="387">
        <v>0</v>
      </c>
      <c r="Q124" s="392">
        <v>0</v>
      </c>
      <c r="R124" s="9"/>
      <c r="S124" s="719" t="str">
        <f>+IF(AGOSTO!S124=0,"",AGOSTO!S124)</f>
        <v>2010200-1</v>
      </c>
      <c r="T124" s="693" t="str">
        <f>+IF(AGOSTO!T124=0,"",AGOSTO!T124)</f>
        <v>Seguros</v>
      </c>
      <c r="U124" s="27">
        <f>+ENERO!U124</f>
        <v>17953987</v>
      </c>
      <c r="V124" s="15">
        <f>AGOSTO!V124+SEPTIEMBRE!AL124</f>
        <v>0</v>
      </c>
      <c r="W124" s="15">
        <f>AGOSTO!W124+SEPTIEMBRE!AM124</f>
        <v>5000000</v>
      </c>
      <c r="X124" s="18">
        <f t="shared" ref="X124:X139" si="135">SUM(U124:W124)</f>
        <v>22953987</v>
      </c>
      <c r="Y124" s="19">
        <f>AGOSTO!AA124</f>
        <v>18083755</v>
      </c>
      <c r="Z124" s="377">
        <v>694250</v>
      </c>
      <c r="AA124" s="18">
        <f t="shared" ref="AA124:AA139" si="136">SUM(Y124:Z124)</f>
        <v>18778005</v>
      </c>
      <c r="AB124" s="19">
        <f>AGOSTO!AD124</f>
        <v>18083755</v>
      </c>
      <c r="AC124" s="377">
        <v>694250</v>
      </c>
      <c r="AD124" s="18">
        <f t="shared" ref="AD124:AD139" si="137">SUM(AB124:AC124)</f>
        <v>18778005</v>
      </c>
      <c r="AE124" s="19">
        <f>AGOSTO!AG124</f>
        <v>16918425</v>
      </c>
      <c r="AF124" s="377">
        <v>0</v>
      </c>
      <c r="AG124" s="18">
        <f t="shared" ref="AG124:AG139" si="138">SUM(AE124:AF124)</f>
        <v>16918425</v>
      </c>
      <c r="AH124" s="19">
        <f t="shared" ref="AH124:AH139" si="139">X124-AA124</f>
        <v>4175982</v>
      </c>
      <c r="AI124" s="15">
        <f t="shared" ref="AI124:AI139" si="140">X124-AD124</f>
        <v>4175982</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+IF(AGOSTO!S125=0,"",AGOSTO!S125)</f>
        <v>2010200-2</v>
      </c>
      <c r="T125" s="693" t="str">
        <f>+IF(AGOSTO!T125=0,"",AGOSTO!T125)</f>
        <v>Impresos y Publicaciones</v>
      </c>
      <c r="U125" s="27">
        <f>+ENERO!U125</f>
        <v>3151827</v>
      </c>
      <c r="V125" s="15">
        <f>AGOSTO!V125+SEPTIEMBRE!AL125</f>
        <v>0</v>
      </c>
      <c r="W125" s="15">
        <f>AGOSTO!W125+SEPTIEMBRE!AM125</f>
        <v>0</v>
      </c>
      <c r="X125" s="18">
        <f t="shared" si="135"/>
        <v>3151827</v>
      </c>
      <c r="Y125" s="19">
        <f>AGOSTO!AA125</f>
        <v>125788</v>
      </c>
      <c r="Z125" s="377">
        <v>70000</v>
      </c>
      <c r="AA125" s="18">
        <f t="shared" si="136"/>
        <v>195788</v>
      </c>
      <c r="AB125" s="19">
        <f>AGOSTO!AD125</f>
        <v>125788</v>
      </c>
      <c r="AC125" s="377">
        <v>70000</v>
      </c>
      <c r="AD125" s="18">
        <f t="shared" si="137"/>
        <v>195788</v>
      </c>
      <c r="AE125" s="19">
        <f>AGOSTO!AG125</f>
        <v>125788</v>
      </c>
      <c r="AF125" s="377">
        <v>70000</v>
      </c>
      <c r="AG125" s="18">
        <f t="shared" si="138"/>
        <v>195788</v>
      </c>
      <c r="AH125" s="19">
        <f t="shared" si="139"/>
        <v>2956039</v>
      </c>
      <c r="AI125" s="15">
        <f t="shared" si="140"/>
        <v>2956039</v>
      </c>
      <c r="AJ125" s="16">
        <f t="shared" si="141"/>
        <v>2956039</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4" t="s">
        <v>252</v>
      </c>
      <c r="B126" s="785"/>
      <c r="C126" s="480">
        <f t="shared" ref="C126:Q126" si="142">C8-C128</f>
        <v>3103636215</v>
      </c>
      <c r="D126" s="480">
        <f t="shared" si="142"/>
        <v>0</v>
      </c>
      <c r="E126" s="480">
        <f t="shared" si="142"/>
        <v>209513305</v>
      </c>
      <c r="F126" s="480">
        <f t="shared" si="142"/>
        <v>3313149520</v>
      </c>
      <c r="G126" s="480">
        <f t="shared" si="142"/>
        <v>2246076736</v>
      </c>
      <c r="H126" s="480">
        <f t="shared" si="142"/>
        <v>274141453</v>
      </c>
      <c r="I126" s="480">
        <f t="shared" si="142"/>
        <v>2520218189</v>
      </c>
      <c r="J126" s="480">
        <f t="shared" si="142"/>
        <v>1394059169</v>
      </c>
      <c r="K126" s="480">
        <f t="shared" si="142"/>
        <v>290700704</v>
      </c>
      <c r="L126" s="480">
        <f t="shared" si="142"/>
        <v>1680659466</v>
      </c>
      <c r="M126" s="480">
        <f t="shared" si="142"/>
        <v>814933996</v>
      </c>
      <c r="N126" s="621">
        <f t="shared" si="142"/>
        <v>1632490054</v>
      </c>
      <c r="O126" s="385">
        <f t="shared" si="142"/>
        <v>0</v>
      </c>
      <c r="P126" s="481">
        <f t="shared" si="142"/>
        <v>0</v>
      </c>
      <c r="Q126" s="482">
        <f t="shared" si="142"/>
        <v>0</v>
      </c>
      <c r="R126" s="9"/>
      <c r="S126" s="719" t="str">
        <f>+IF(AGOSTO!S126=0,"",AGOSTO!S126)</f>
        <v>2010200-3</v>
      </c>
      <c r="T126" s="693" t="str">
        <f>+IF(AGOSTO!T126=0,"",AGOSTO!T126)</f>
        <v xml:space="preserve">Servicios Públicos </v>
      </c>
      <c r="U126" s="27">
        <f>+ENERO!U126</f>
        <v>55492147</v>
      </c>
      <c r="V126" s="15">
        <f>AGOSTO!V126+SEPTIEMBRE!AL126</f>
        <v>0</v>
      </c>
      <c r="W126" s="15">
        <f>AGOSTO!W126+SEPTIEMBRE!AM126</f>
        <v>0</v>
      </c>
      <c r="X126" s="18">
        <f t="shared" si="135"/>
        <v>55492147</v>
      </c>
      <c r="Y126" s="19">
        <f>AGOSTO!AA126</f>
        <v>39087662</v>
      </c>
      <c r="Z126" s="377">
        <v>2983468</v>
      </c>
      <c r="AA126" s="18">
        <f t="shared" si="136"/>
        <v>42071130</v>
      </c>
      <c r="AB126" s="19">
        <f>AGOSTO!AD126</f>
        <v>39087662</v>
      </c>
      <c r="AC126" s="377">
        <v>2983468</v>
      </c>
      <c r="AD126" s="18">
        <f t="shared" si="137"/>
        <v>42071130</v>
      </c>
      <c r="AE126" s="19">
        <f>AGOSTO!AG126</f>
        <v>32597630</v>
      </c>
      <c r="AF126" s="377">
        <v>8338469</v>
      </c>
      <c r="AG126" s="18">
        <f t="shared" si="138"/>
        <v>40936099</v>
      </c>
      <c r="AH126" s="19">
        <f t="shared" si="139"/>
        <v>13421017</v>
      </c>
      <c r="AI126" s="15">
        <f t="shared" si="140"/>
        <v>13421017</v>
      </c>
      <c r="AJ126" s="16">
        <f t="shared" si="141"/>
        <v>14556048</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6"/>
      <c r="B127" s="787"/>
      <c r="C127" s="483"/>
      <c r="D127" s="483"/>
      <c r="E127" s="483"/>
      <c r="F127" s="483"/>
      <c r="G127" s="483"/>
      <c r="H127" s="483"/>
      <c r="I127" s="483"/>
      <c r="J127" s="483"/>
      <c r="K127" s="483"/>
      <c r="L127" s="483"/>
      <c r="M127" s="483"/>
      <c r="N127" s="484"/>
      <c r="P127" s="485"/>
      <c r="Q127" s="484"/>
      <c r="R127" s="9"/>
      <c r="S127" s="719" t="str">
        <f>+IF(AGOSTO!S127=0,"",AGOSTO!S127)</f>
        <v>2010200-4</v>
      </c>
      <c r="T127" s="693" t="str">
        <f>+IF(AGOSTO!T127=0,"",AGOSTO!T127)</f>
        <v>Comunicaciones y Transportes</v>
      </c>
      <c r="U127" s="27">
        <f>+ENERO!U127</f>
        <v>14481572</v>
      </c>
      <c r="V127" s="15">
        <f>AGOSTO!V127+SEPTIEMBRE!AL127</f>
        <v>0</v>
      </c>
      <c r="W127" s="15">
        <f>AGOSTO!W127+SEPTIEMBRE!AM127</f>
        <v>0</v>
      </c>
      <c r="X127" s="18">
        <f t="shared" si="135"/>
        <v>14481572</v>
      </c>
      <c r="Y127" s="19">
        <f>AGOSTO!AA127</f>
        <v>8406949</v>
      </c>
      <c r="Z127" s="377">
        <v>1111870</v>
      </c>
      <c r="AA127" s="18">
        <f t="shared" si="136"/>
        <v>9518819</v>
      </c>
      <c r="AB127" s="19">
        <f>AGOSTO!AD127</f>
        <v>7181949</v>
      </c>
      <c r="AC127" s="377">
        <v>1461870</v>
      </c>
      <c r="AD127" s="18">
        <f t="shared" si="137"/>
        <v>8643819</v>
      </c>
      <c r="AE127" s="19">
        <f>AGOSTO!AG127</f>
        <v>5709295</v>
      </c>
      <c r="AF127" s="377">
        <v>2014524</v>
      </c>
      <c r="AG127" s="18">
        <f t="shared" si="138"/>
        <v>7723819</v>
      </c>
      <c r="AH127" s="19">
        <f t="shared" si="139"/>
        <v>4962753</v>
      </c>
      <c r="AI127" s="15">
        <f t="shared" si="140"/>
        <v>5837753</v>
      </c>
      <c r="AJ127" s="16">
        <f t="shared" si="141"/>
        <v>6757753</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8" t="s">
        <v>255</v>
      </c>
      <c r="B128" s="789"/>
      <c r="C128" s="486">
        <f>SUMIF($B8:$B$122,$B$24,C8:C122)+C122</f>
        <v>32064799</v>
      </c>
      <c r="D128" s="486">
        <f>SUMIF($B8:$B$122,$B$24,D8:D122)+D122</f>
        <v>0</v>
      </c>
      <c r="E128" s="486">
        <f>SUMIF($B8:$B$122,$B$24,E8:E122)+E122</f>
        <v>545386428</v>
      </c>
      <c r="F128" s="486">
        <f>SUMIF($B8:$B$122,$B$24,F8:F122)+F122</f>
        <v>577451227</v>
      </c>
      <c r="G128" s="486">
        <f>SUMIF($B8:$B$122,$B$24,G8:G122)+G122</f>
        <v>490597230</v>
      </c>
      <c r="H128" s="486">
        <f>SUMIF($B8:$B$122,$B$24,H8:H122)+H122</f>
        <v>14486889</v>
      </c>
      <c r="I128" s="486">
        <f>SUMIF($B8:$B$122,$B$24,I8:I122)+I122</f>
        <v>505084119</v>
      </c>
      <c r="J128" s="486">
        <f>SUMIF($B8:$B$122,$B$24,J8:J122)+J1212</f>
        <v>486496823</v>
      </c>
      <c r="K128" s="486">
        <f>SUMIF($B8:$B$122,$B$24,K8:K122)+K122</f>
        <v>14486889</v>
      </c>
      <c r="L128" s="486">
        <f>SUMIF($B8:$B$122,$B$24,L8:L122)+L122</f>
        <v>505084119</v>
      </c>
      <c r="M128" s="486">
        <f>SUMIF($B8:$B$122,$B$24,M8:M122)+M12</f>
        <v>50364443</v>
      </c>
      <c r="N128" s="622">
        <f>SUMIF($B8:$B$122,$B$24,N8:N122)+N122</f>
        <v>72367108</v>
      </c>
      <c r="O128" s="464"/>
      <c r="P128" s="486">
        <f>SUMIF($B8:$B$122,$B$24,P8:P122)+P122</f>
        <v>0</v>
      </c>
      <c r="Q128" s="487">
        <f>SUMIF($B8:$B$122,$B$24,Q8:Q122)+Q122</f>
        <v>0</v>
      </c>
      <c r="R128" s="9"/>
      <c r="S128" s="719" t="str">
        <f>+IF(AGOSTO!S128=0,"",AGOSTO!S128)</f>
        <v>2010200-5</v>
      </c>
      <c r="T128" s="693" t="str">
        <f>+IF(AGOSTO!T128=0,"",AGOSTO!T128)</f>
        <v>Viáticos y Gastos de Viaje</v>
      </c>
      <c r="U128" s="27">
        <f>+ENERO!U128</f>
        <v>12695514</v>
      </c>
      <c r="V128" s="15">
        <f>AGOSTO!V128+SEPTIEMBRE!AL128</f>
        <v>4700000</v>
      </c>
      <c r="W128" s="15">
        <f>AGOSTO!W128+SEPTIEMBRE!AM128</f>
        <v>0</v>
      </c>
      <c r="X128" s="18">
        <f t="shared" si="135"/>
        <v>17395514</v>
      </c>
      <c r="Y128" s="19">
        <f>AGOSTO!AA128</f>
        <v>12570607</v>
      </c>
      <c r="Z128" s="377">
        <v>2124256</v>
      </c>
      <c r="AA128" s="18">
        <f t="shared" si="136"/>
        <v>14694863</v>
      </c>
      <c r="AB128" s="19">
        <f>AGOSTO!AD128</f>
        <v>12570607</v>
      </c>
      <c r="AC128" s="377">
        <v>2124256</v>
      </c>
      <c r="AD128" s="18">
        <f t="shared" si="137"/>
        <v>14694863</v>
      </c>
      <c r="AE128" s="19">
        <f>AGOSTO!AG128</f>
        <v>12570606</v>
      </c>
      <c r="AF128" s="377">
        <v>2124257</v>
      </c>
      <c r="AG128" s="18">
        <f t="shared" si="138"/>
        <v>14694863</v>
      </c>
      <c r="AH128" s="19">
        <f t="shared" si="139"/>
        <v>2700651</v>
      </c>
      <c r="AI128" s="15">
        <f t="shared" si="140"/>
        <v>2700651</v>
      </c>
      <c r="AJ128" s="16">
        <f t="shared" si="141"/>
        <v>2700651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6"/>
      <c r="B129" s="787"/>
      <c r="C129" s="483"/>
      <c r="D129" s="483"/>
      <c r="E129" s="483"/>
      <c r="F129" s="483"/>
      <c r="G129" s="483"/>
      <c r="H129" s="483"/>
      <c r="I129" s="483"/>
      <c r="J129" s="483"/>
      <c r="K129" s="483"/>
      <c r="L129" s="483"/>
      <c r="M129" s="483"/>
      <c r="N129" s="484"/>
      <c r="P129" s="485"/>
      <c r="Q129" s="484"/>
      <c r="R129" s="9"/>
      <c r="S129" s="719" t="str">
        <f>+IF(AGOSTO!S129=0,"",AGOSTO!S129)</f>
        <v>2010200-6</v>
      </c>
      <c r="T129" s="693" t="str">
        <f>+IF(AGOSTO!T129=0,"",AGOSTO!T129)</f>
        <v>Arrendamientos</v>
      </c>
      <c r="U129" s="27">
        <f>+ENERO!U129</f>
        <v>0</v>
      </c>
      <c r="V129" s="15">
        <f>AGOSTO!V129+SEPTIEMBRE!AL129</f>
        <v>0</v>
      </c>
      <c r="W129" s="15">
        <f>AGOSTO!W129+SEPTIEMBRE!AM129</f>
        <v>0</v>
      </c>
      <c r="X129" s="18">
        <f t="shared" si="135"/>
        <v>0</v>
      </c>
      <c r="Y129" s="19">
        <f>AGOSTO!AA129</f>
        <v>0</v>
      </c>
      <c r="Z129" s="377">
        <v>0</v>
      </c>
      <c r="AA129" s="18">
        <f t="shared" si="136"/>
        <v>0</v>
      </c>
      <c r="AB129" s="19">
        <f>AGOSTO!AD129</f>
        <v>0</v>
      </c>
      <c r="AC129" s="377">
        <v>0</v>
      </c>
      <c r="AD129" s="18">
        <f t="shared" si="137"/>
        <v>0</v>
      </c>
      <c r="AE129" s="19">
        <f>AGOSTO!AG129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90" t="s">
        <v>258</v>
      </c>
      <c r="B130" s="791"/>
      <c r="C130" s="488">
        <f t="shared" ref="C130:N130" si="143">C128+C126</f>
        <v>3135701014</v>
      </c>
      <c r="D130" s="489">
        <f t="shared" si="143"/>
        <v>0</v>
      </c>
      <c r="E130" s="489">
        <f t="shared" si="143"/>
        <v>754899733</v>
      </c>
      <c r="F130" s="490">
        <f t="shared" si="143"/>
        <v>3890600747</v>
      </c>
      <c r="G130" s="488">
        <f t="shared" si="143"/>
        <v>2736673966</v>
      </c>
      <c r="H130" s="489">
        <f t="shared" si="143"/>
        <v>288628342</v>
      </c>
      <c r="I130" s="490">
        <f t="shared" si="143"/>
        <v>3025302308</v>
      </c>
      <c r="J130" s="488">
        <f t="shared" si="143"/>
        <v>1880555992</v>
      </c>
      <c r="K130" s="489">
        <f t="shared" si="143"/>
        <v>305187593</v>
      </c>
      <c r="L130" s="490">
        <f t="shared" si="143"/>
        <v>2185743585</v>
      </c>
      <c r="M130" s="488">
        <f t="shared" si="143"/>
        <v>865298439</v>
      </c>
      <c r="N130" s="490">
        <f t="shared" si="143"/>
        <v>1704857162</v>
      </c>
      <c r="P130" s="481">
        <f>P128+P126</f>
        <v>0</v>
      </c>
      <c r="Q130" s="482">
        <f>Q128+Q126</f>
        <v>0</v>
      </c>
      <c r="R130" s="9"/>
      <c r="S130" s="719" t="str">
        <f>+IF(AGOSTO!S130=0,"",AGOSTO!S130)</f>
        <v>2010200-7</v>
      </c>
      <c r="T130" s="693" t="str">
        <f>+IF(AGOSTO!T130=0,"",AGOSTO!T130)</f>
        <v>Vigilancia y Aseo</v>
      </c>
      <c r="U130" s="27">
        <f>+ENERO!U130</f>
        <v>0</v>
      </c>
      <c r="V130" s="15">
        <f>AGOSTO!V130+SEPTIEMBRE!AL130</f>
        <v>0</v>
      </c>
      <c r="W130" s="15">
        <f>AGOSTO!W130+SEPTIEMBRE!AM130</f>
        <v>0</v>
      </c>
      <c r="X130" s="18">
        <f t="shared" si="135"/>
        <v>0</v>
      </c>
      <c r="Y130" s="19">
        <f>AGOSTO!AA130</f>
        <v>0</v>
      </c>
      <c r="Z130" s="377">
        <v>0</v>
      </c>
      <c r="AA130" s="18">
        <f t="shared" si="136"/>
        <v>0</v>
      </c>
      <c r="AB130" s="19">
        <f>AGOSTO!AD130</f>
        <v>0</v>
      </c>
      <c r="AC130" s="377">
        <v>0</v>
      </c>
      <c r="AD130" s="18">
        <f t="shared" si="137"/>
        <v>0</v>
      </c>
      <c r="AE130" s="19">
        <f>AGOSTO!AG130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+IF(AGOSTO!S131=0,"",AGOSTO!S131)</f>
        <v>2010200-8</v>
      </c>
      <c r="T131" s="693" t="str">
        <f>+IF(AGOSTO!T131=0,"",AGOSTO!T131)</f>
        <v>Bienestar Social</v>
      </c>
      <c r="U131" s="27">
        <f>+ENERO!U131</f>
        <v>28364135</v>
      </c>
      <c r="V131" s="15">
        <f>AGOSTO!V131+SEPTIEMBRE!AL131</f>
        <v>0</v>
      </c>
      <c r="W131" s="15">
        <f>AGOSTO!W131+SEPTIEMBRE!AM131</f>
        <v>81553</v>
      </c>
      <c r="X131" s="18">
        <f t="shared" si="135"/>
        <v>28445688</v>
      </c>
      <c r="Y131" s="19">
        <f>AGOSTO!AA131</f>
        <v>8728149</v>
      </c>
      <c r="Z131" s="377">
        <v>180000</v>
      </c>
      <c r="AA131" s="18">
        <f t="shared" si="136"/>
        <v>8908149</v>
      </c>
      <c r="AB131" s="19">
        <f>AGOSTO!AD131</f>
        <v>7128149</v>
      </c>
      <c r="AC131" s="377">
        <v>180000</v>
      </c>
      <c r="AD131" s="18">
        <f t="shared" si="137"/>
        <v>7308149</v>
      </c>
      <c r="AE131" s="19">
        <f>AGOSTO!AG131</f>
        <v>5015550</v>
      </c>
      <c r="AF131" s="377">
        <v>2007349</v>
      </c>
      <c r="AG131" s="18">
        <f t="shared" si="138"/>
        <v>7022899</v>
      </c>
      <c r="AH131" s="19">
        <f t="shared" si="139"/>
        <v>19537539</v>
      </c>
      <c r="AI131" s="15">
        <f t="shared" si="140"/>
        <v>21137539</v>
      </c>
      <c r="AJ131" s="16">
        <f t="shared" si="141"/>
        <v>21422789</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+IF(AGOSTO!S132=0,"",AGOSTO!S132)</f>
        <v>2010200-9</v>
      </c>
      <c r="T132" s="693" t="str">
        <f>+IF(AGOSTO!T132=0,"",AGOSTO!T132)</f>
        <v>Capacitación, estimulos, incentivos, programa de calidad</v>
      </c>
      <c r="U132" s="27">
        <f>+ENERO!U132</f>
        <v>3982443</v>
      </c>
      <c r="V132" s="15">
        <f>AGOSTO!V132+SEPTIEMBRE!AL132</f>
        <v>0</v>
      </c>
      <c r="W132" s="15">
        <f>AGOSTO!W132+SEPTIEMBRE!AM132</f>
        <v>0</v>
      </c>
      <c r="X132" s="18">
        <f t="shared" si="135"/>
        <v>3982443</v>
      </c>
      <c r="Y132" s="19">
        <f>AGOSTO!AA132</f>
        <v>0</v>
      </c>
      <c r="Z132" s="377">
        <v>0</v>
      </c>
      <c r="AA132" s="18">
        <f t="shared" si="136"/>
        <v>0</v>
      </c>
      <c r="AB132" s="19">
        <f>AGOSTO!AD132</f>
        <v>0</v>
      </c>
      <c r="AC132" s="377">
        <v>0</v>
      </c>
      <c r="AD132" s="18">
        <f t="shared" si="137"/>
        <v>0</v>
      </c>
      <c r="AE132" s="19">
        <f>AGOSTO!AG132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+IF(AGOSTO!S133=0,"",AGOSTO!S133)</f>
        <v>2010200-10</v>
      </c>
      <c r="T133" s="693" t="str">
        <f>+IF(AGOSTO!T133=0,"",AGOSTO!T133)</f>
        <v>Pagos otras IPS</v>
      </c>
      <c r="U133" s="27">
        <f>+ENERO!U133</f>
        <v>0</v>
      </c>
      <c r="V133" s="15">
        <f>AGOSTO!V133+SEPTIEMBRE!AL133</f>
        <v>0</v>
      </c>
      <c r="W133" s="15">
        <f>AGOSTO!W133+SEPTIEMBRE!AM133</f>
        <v>0</v>
      </c>
      <c r="X133" s="18">
        <f t="shared" si="135"/>
        <v>0</v>
      </c>
      <c r="Y133" s="19">
        <f>AGOSTO!AA133</f>
        <v>0</v>
      </c>
      <c r="Z133" s="377">
        <v>0</v>
      </c>
      <c r="AA133" s="18">
        <f t="shared" si="136"/>
        <v>0</v>
      </c>
      <c r="AB133" s="19">
        <f>AGOSTO!AD133</f>
        <v>0</v>
      </c>
      <c r="AC133" s="377">
        <v>0</v>
      </c>
      <c r="AD133" s="18">
        <f t="shared" si="137"/>
        <v>0</v>
      </c>
      <c r="AE133" s="19">
        <f>AGOSTO!AG133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+IF(AGOSTO!S134=0,"",AGOSTO!S134)</f>
        <v>2010200-11</v>
      </c>
      <c r="T134" s="693" t="str">
        <f>+IF(AGOSTO!T134=0,"",AGOSTO!T134)</f>
        <v>Gastos financieros</v>
      </c>
      <c r="U134" s="27">
        <f>+ENERO!U134</f>
        <v>4976765</v>
      </c>
      <c r="V134" s="15">
        <f>AGOSTO!V134+SEPTIEMBRE!AL134</f>
        <v>1200000</v>
      </c>
      <c r="W134" s="15">
        <f>AGOSTO!W134+SEPTIEMBRE!AM134</f>
        <v>0</v>
      </c>
      <c r="X134" s="18">
        <f t="shared" si="135"/>
        <v>6176765</v>
      </c>
      <c r="Y134" s="19">
        <f>AGOSTO!AA134</f>
        <v>5059893</v>
      </c>
      <c r="Z134" s="377">
        <v>985192</v>
      </c>
      <c r="AA134" s="18">
        <f t="shared" si="136"/>
        <v>6045085</v>
      </c>
      <c r="AB134" s="19">
        <f>AGOSTO!AD134</f>
        <v>5059893</v>
      </c>
      <c r="AC134" s="377">
        <v>985192</v>
      </c>
      <c r="AD134" s="18">
        <f t="shared" si="137"/>
        <v>6045085</v>
      </c>
      <c r="AE134" s="19">
        <f>AGOSTO!AG134</f>
        <v>5059893</v>
      </c>
      <c r="AF134" s="377">
        <v>985192</v>
      </c>
      <c r="AG134" s="18">
        <f t="shared" si="138"/>
        <v>6045085</v>
      </c>
      <c r="AH134" s="19">
        <f t="shared" si="139"/>
        <v>131680</v>
      </c>
      <c r="AI134" s="15">
        <f t="shared" si="140"/>
        <v>131680</v>
      </c>
      <c r="AJ134" s="16">
        <f t="shared" si="141"/>
        <v>131680</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+IF(AGOSTO!S135=0,"",AGOSTO!S135)</f>
        <v>2010200-12</v>
      </c>
      <c r="T135" s="693" t="str">
        <f>+IF(AGOSTO!T135=0,"",AGOSTO!T135)</f>
        <v/>
      </c>
      <c r="U135" s="27">
        <f>+ENERO!U135</f>
        <v>0</v>
      </c>
      <c r="V135" s="15">
        <f>AGOSTO!V135+SEPTIEMBRE!AL135</f>
        <v>0</v>
      </c>
      <c r="W135" s="15">
        <f>AGOSTO!W135+SEPTIEMBRE!AM135</f>
        <v>0</v>
      </c>
      <c r="X135" s="18">
        <f t="shared" si="135"/>
        <v>0</v>
      </c>
      <c r="Y135" s="19">
        <f>AGOSTO!AA135</f>
        <v>0</v>
      </c>
      <c r="Z135" s="377">
        <v>0</v>
      </c>
      <c r="AA135" s="18">
        <f t="shared" si="136"/>
        <v>0</v>
      </c>
      <c r="AB135" s="19">
        <f>AGOSTO!AD135</f>
        <v>0</v>
      </c>
      <c r="AC135" s="377">
        <v>0</v>
      </c>
      <c r="AD135" s="18">
        <f t="shared" si="137"/>
        <v>0</v>
      </c>
      <c r="AE135" s="19">
        <f>AGOSTO!AG135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+IF(AGOSTO!S136=0,"",AGOSTO!S136)</f>
        <v>2010200-13</v>
      </c>
      <c r="T136" s="693" t="str">
        <f>+IF(AGOSTO!T136=0,"",AGOSTO!T136)</f>
        <v/>
      </c>
      <c r="U136" s="27">
        <f>+ENERO!U136</f>
        <v>0</v>
      </c>
      <c r="V136" s="15">
        <f>AGOSTO!V136+SEPTIEMBRE!AL136</f>
        <v>0</v>
      </c>
      <c r="W136" s="15">
        <f>AGOSTO!W136+SEPTIEMBRE!AM136</f>
        <v>0</v>
      </c>
      <c r="X136" s="18">
        <f t="shared" si="135"/>
        <v>0</v>
      </c>
      <c r="Y136" s="19">
        <f>AGOSTO!AA136</f>
        <v>0</v>
      </c>
      <c r="Z136" s="377">
        <v>0</v>
      </c>
      <c r="AA136" s="18">
        <f t="shared" si="136"/>
        <v>0</v>
      </c>
      <c r="AB136" s="19">
        <f>AGOSTO!AD136</f>
        <v>0</v>
      </c>
      <c r="AC136" s="377">
        <v>0</v>
      </c>
      <c r="AD136" s="18">
        <f t="shared" si="137"/>
        <v>0</v>
      </c>
      <c r="AE136" s="19">
        <f>AGOSTO!AG136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+IF(AGOSTO!S137=0,"",AGOSTO!S137)</f>
        <v>2010020-14</v>
      </c>
      <c r="T137" s="693" t="str">
        <f>+IF(AGOSTO!T137=0,"",AGOSTO!T137)</f>
        <v/>
      </c>
      <c r="U137" s="27">
        <f>+ENERO!U137</f>
        <v>0</v>
      </c>
      <c r="V137" s="15">
        <f>AGOSTO!V137+SEPTIEMBRE!AL137</f>
        <v>0</v>
      </c>
      <c r="W137" s="15">
        <f>AGOSTO!W137+SEPTIEMBRE!AM137</f>
        <v>0</v>
      </c>
      <c r="X137" s="18">
        <f t="shared" si="135"/>
        <v>0</v>
      </c>
      <c r="Y137" s="19">
        <f>AGOSTO!AA137</f>
        <v>0</v>
      </c>
      <c r="Z137" s="377">
        <v>0</v>
      </c>
      <c r="AA137" s="18">
        <f t="shared" si="136"/>
        <v>0</v>
      </c>
      <c r="AB137" s="19">
        <f>AGOSTO!AD137</f>
        <v>0</v>
      </c>
      <c r="AC137" s="377">
        <v>0</v>
      </c>
      <c r="AD137" s="18">
        <f t="shared" si="137"/>
        <v>0</v>
      </c>
      <c r="AE137" s="19">
        <f>AGOSTO!AG137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+IF(AGOSTO!S138=0,"",AGOSTO!S138)</f>
        <v>2010200-15</v>
      </c>
      <c r="T138" s="693" t="str">
        <f>+IF(AGOSTO!T138=0,"",AGOSTO!T138)</f>
        <v/>
      </c>
      <c r="U138" s="27">
        <f>+ENERO!U138</f>
        <v>0</v>
      </c>
      <c r="V138" s="15">
        <f>AGOSTO!V138+SEPTIEMBRE!AL138</f>
        <v>0</v>
      </c>
      <c r="W138" s="15">
        <f>AGOSTO!W138+SEPTIEMBRE!AM138</f>
        <v>0</v>
      </c>
      <c r="X138" s="18">
        <f t="shared" si="135"/>
        <v>0</v>
      </c>
      <c r="Y138" s="19">
        <f>AGOSTO!AA138</f>
        <v>0</v>
      </c>
      <c r="Z138" s="377">
        <v>0</v>
      </c>
      <c r="AA138" s="18">
        <f t="shared" si="136"/>
        <v>0</v>
      </c>
      <c r="AB138" s="19">
        <f>AGOSTO!AD138</f>
        <v>0</v>
      </c>
      <c r="AC138" s="377">
        <v>0</v>
      </c>
      <c r="AD138" s="18">
        <f t="shared" si="137"/>
        <v>0</v>
      </c>
      <c r="AE138" s="19">
        <f>AGOSTO!AG138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+IF(AGOSTO!S139=0,"",AGOSTO!S139)</f>
        <v>2010299</v>
      </c>
      <c r="T139" s="693" t="str">
        <f>+IF(AGOSTO!T139=0,"",AGOSTO!T139)</f>
        <v>Vigencias Anteriores</v>
      </c>
      <c r="U139" s="27">
        <f>+ENERO!U139</f>
        <v>0</v>
      </c>
      <c r="V139" s="15">
        <f>AGOSTO!V139+SEPTIEMBRE!AL139</f>
        <v>0</v>
      </c>
      <c r="W139" s="15">
        <f>AGOSTO!W139+SEPTIEMBRE!AM139</f>
        <v>26307692</v>
      </c>
      <c r="X139" s="18">
        <f t="shared" si="135"/>
        <v>26307692</v>
      </c>
      <c r="Y139" s="19">
        <f>AGOSTO!AA139</f>
        <v>26307692</v>
      </c>
      <c r="Z139" s="377">
        <v>0</v>
      </c>
      <c r="AA139" s="18">
        <f t="shared" si="136"/>
        <v>26307692</v>
      </c>
      <c r="AB139" s="19">
        <f>AGOSTO!AD139</f>
        <v>26307692</v>
      </c>
      <c r="AC139" s="377">
        <v>0</v>
      </c>
      <c r="AD139" s="18">
        <f t="shared" si="137"/>
        <v>26307692</v>
      </c>
      <c r="AE139" s="19">
        <f>AGOSTO!AG139</f>
        <v>9808051</v>
      </c>
      <c r="AF139" s="377">
        <v>0</v>
      </c>
      <c r="AG139" s="18">
        <f t="shared" si="138"/>
        <v>9808051</v>
      </c>
      <c r="AH139" s="19">
        <f t="shared" si="139"/>
        <v>0</v>
      </c>
      <c r="AI139" s="15">
        <f t="shared" si="140"/>
        <v>0</v>
      </c>
      <c r="AJ139" s="16">
        <f t="shared" si="141"/>
        <v>16499641</v>
      </c>
      <c r="AK139" s="9"/>
      <c r="AL139" s="375">
        <v>0</v>
      </c>
      <c r="AM139" s="378">
        <v>0</v>
      </c>
      <c r="AN139" s="9"/>
      <c r="AO139" s="297"/>
      <c r="AP139" s="297"/>
      <c r="AQ139" s="297"/>
    </row>
    <row r="140" spans="1:52" s="385" customFormat="1" ht="24.95" customHeight="1" x14ac:dyDescent="0.2">
      <c r="A140" s="767"/>
      <c r="B140" s="668"/>
      <c r="N140" s="9"/>
      <c r="R140" s="9"/>
      <c r="S140" s="369" t="str">
        <f>+IF(AGOSTO!S140=0,"",AGOSTO!S140)</f>
        <v/>
      </c>
      <c r="T140" s="708" t="str">
        <f>+IF(AGOSTO!T140=0,"",AGOSTO!T140)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+IF(AGOSTO!S141=0,"",AGOSTO!S141)</f>
        <v>2010300</v>
      </c>
      <c r="T141" s="692" t="str">
        <f>+IF(AGOSTO!T141=0,"",AGOSTO!T141)</f>
        <v>Impuestos y Multas</v>
      </c>
      <c r="U141" s="135">
        <f t="shared" ref="U141:AJ141" si="144">U142+U143</f>
        <v>10780963</v>
      </c>
      <c r="V141" s="124">
        <f t="shared" si="144"/>
        <v>7661935</v>
      </c>
      <c r="W141" s="124">
        <f t="shared" si="144"/>
        <v>1487943</v>
      </c>
      <c r="X141" s="132">
        <f t="shared" si="144"/>
        <v>19930841</v>
      </c>
      <c r="Y141" s="131">
        <f t="shared" si="144"/>
        <v>5324054</v>
      </c>
      <c r="Z141" s="124">
        <f t="shared" si="144"/>
        <v>9926021</v>
      </c>
      <c r="AA141" s="132">
        <f t="shared" si="144"/>
        <v>15250075</v>
      </c>
      <c r="AB141" s="131">
        <f t="shared" si="144"/>
        <v>5324054</v>
      </c>
      <c r="AC141" s="124">
        <f t="shared" si="144"/>
        <v>9926021</v>
      </c>
      <c r="AD141" s="132">
        <f t="shared" si="144"/>
        <v>15250075</v>
      </c>
      <c r="AE141" s="131">
        <f t="shared" si="144"/>
        <v>0</v>
      </c>
      <c r="AF141" s="124">
        <f t="shared" si="144"/>
        <v>7661935</v>
      </c>
      <c r="AG141" s="132">
        <f t="shared" si="144"/>
        <v>7661935</v>
      </c>
      <c r="AH141" s="131">
        <f t="shared" si="144"/>
        <v>4680766</v>
      </c>
      <c r="AI141" s="124">
        <f t="shared" si="144"/>
        <v>4680766</v>
      </c>
      <c r="AJ141" s="133">
        <f t="shared" si="144"/>
        <v>12268906</v>
      </c>
      <c r="AK141" s="10"/>
      <c r="AL141" s="131">
        <f>AL142+AL143</f>
        <v>7661935</v>
      </c>
      <c r="AM141" s="133">
        <f>AM142+AM143</f>
        <v>0</v>
      </c>
      <c r="AN141" s="9"/>
    </row>
    <row r="142" spans="1:52" s="385" customFormat="1" ht="24.95" customHeight="1" x14ac:dyDescent="0.2">
      <c r="A142" s="767"/>
      <c r="B142" s="668"/>
      <c r="N142" s="9"/>
      <c r="R142" s="9"/>
      <c r="S142" s="719" t="str">
        <f>+IF(AGOSTO!S142=0,"",AGOSTO!S142)</f>
        <v>2010300-1</v>
      </c>
      <c r="T142" s="693" t="str">
        <f>+IF(AGOSTO!T142=0,"",AGOSTO!T142)</f>
        <v>Impuestos (Predial, Vehiculos, Otros)</v>
      </c>
      <c r="U142" s="27">
        <f>+ENERO!U142</f>
        <v>10780963</v>
      </c>
      <c r="V142" s="15">
        <f>AGOSTO!V142+SEPTIEMBRE!AL142</f>
        <v>7661935</v>
      </c>
      <c r="W142" s="15">
        <f>AGOSTO!W142+SEPTIEMBRE!AM142</f>
        <v>0</v>
      </c>
      <c r="X142" s="18">
        <f>SUM(U142:W142)</f>
        <v>18442898</v>
      </c>
      <c r="Y142" s="19">
        <f>AGOSTO!AA142</f>
        <v>3836111</v>
      </c>
      <c r="Z142" s="377">
        <v>9926021</v>
      </c>
      <c r="AA142" s="18">
        <f>SUM(Y142:Z142)</f>
        <v>13762132</v>
      </c>
      <c r="AB142" s="19">
        <f>AGOSTO!AD142</f>
        <v>3836111</v>
      </c>
      <c r="AC142" s="377">
        <v>9926021</v>
      </c>
      <c r="AD142" s="18">
        <f>SUM(AB142:AC142)</f>
        <v>13762132</v>
      </c>
      <c r="AE142" s="19">
        <f>AGOSTO!AG142</f>
        <v>0</v>
      </c>
      <c r="AF142" s="377">
        <v>7661935</v>
      </c>
      <c r="AG142" s="18">
        <f>SUM(AE142:AF142)</f>
        <v>7661935</v>
      </c>
      <c r="AH142" s="19">
        <f>X142-AA142</f>
        <v>4680766</v>
      </c>
      <c r="AI142" s="15">
        <f>X142-AD142</f>
        <v>4680766</v>
      </c>
      <c r="AJ142" s="16">
        <f>X142-AG142</f>
        <v>10780963</v>
      </c>
      <c r="AK142" s="9"/>
      <c r="AL142" s="375">
        <v>7661935</v>
      </c>
      <c r="AM142" s="378">
        <v>0</v>
      </c>
      <c r="AN142" s="9"/>
    </row>
    <row r="143" spans="1:52" s="385" customFormat="1" ht="24.95" customHeight="1" x14ac:dyDescent="0.2">
      <c r="A143" s="767"/>
      <c r="B143" s="668"/>
      <c r="N143" s="9"/>
      <c r="R143" s="9"/>
      <c r="S143" s="719">
        <f>+IF(AGOSTO!S143=0,"",AGOSTO!S143)</f>
        <v>2010399</v>
      </c>
      <c r="T143" s="693" t="str">
        <f>+IF(AGOSTO!T143=0,"",AGOSTO!T143)</f>
        <v>Vigencias Anteriores</v>
      </c>
      <c r="U143" s="27">
        <f>+ENERO!U143</f>
        <v>0</v>
      </c>
      <c r="V143" s="15">
        <f>AGOSTO!V143+SEPTIEMBRE!AL143</f>
        <v>0</v>
      </c>
      <c r="W143" s="15">
        <f>AGOSTO!W143+SEPTIEMBRE!AM143</f>
        <v>1487943</v>
      </c>
      <c r="X143" s="18">
        <f>SUM(U143:W143)</f>
        <v>1487943</v>
      </c>
      <c r="Y143" s="19">
        <f>AGOSTO!AA143</f>
        <v>1487943</v>
      </c>
      <c r="Z143" s="377">
        <v>0</v>
      </c>
      <c r="AA143" s="18">
        <f>SUM(Y143:Z143)</f>
        <v>1487943</v>
      </c>
      <c r="AB143" s="19">
        <f>AGOSTO!AD143</f>
        <v>1487943</v>
      </c>
      <c r="AC143" s="377">
        <v>0</v>
      </c>
      <c r="AD143" s="18">
        <f>SUM(AB143:AC143)</f>
        <v>1487943</v>
      </c>
      <c r="AE143" s="19">
        <f>AGOSTO!AG143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+IF(AGOSTO!S144=0,"",AGOSTO!S144)</f>
        <v/>
      </c>
      <c r="T144" s="708" t="str">
        <f>+IF(AGOSTO!T144=0,"",AGOSTO!T144)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+IF(AGOSTO!S145=0,"",AGOSTO!S145)</f>
        <v>2020010</v>
      </c>
      <c r="T145" s="691" t="str">
        <f>+IF(AGOSTO!T145=0,"",AGOSTO!T145)</f>
        <v>Gastos de Operación</v>
      </c>
      <c r="U145" s="135">
        <f t="shared" ref="U145:AJ145" si="145">U147+U155</f>
        <v>323975875</v>
      </c>
      <c r="V145" s="124">
        <f t="shared" si="145"/>
        <v>27038065</v>
      </c>
      <c r="W145" s="124">
        <f t="shared" si="145"/>
        <v>111099188</v>
      </c>
      <c r="X145" s="132">
        <f t="shared" si="145"/>
        <v>462113128</v>
      </c>
      <c r="Y145" s="131">
        <f t="shared" si="145"/>
        <v>328664454</v>
      </c>
      <c r="Z145" s="124">
        <f t="shared" si="145"/>
        <v>15621775</v>
      </c>
      <c r="AA145" s="132">
        <f t="shared" si="145"/>
        <v>344286229</v>
      </c>
      <c r="AB145" s="131">
        <f t="shared" si="145"/>
        <v>291498850</v>
      </c>
      <c r="AC145" s="124">
        <f t="shared" si="145"/>
        <v>22578034</v>
      </c>
      <c r="AD145" s="132">
        <f t="shared" si="145"/>
        <v>314076884</v>
      </c>
      <c r="AE145" s="131">
        <f t="shared" si="145"/>
        <v>193964888</v>
      </c>
      <c r="AF145" s="124">
        <f t="shared" si="145"/>
        <v>27231773</v>
      </c>
      <c r="AG145" s="132">
        <f t="shared" si="145"/>
        <v>221196661</v>
      </c>
      <c r="AH145" s="131">
        <f t="shared" si="145"/>
        <v>117826899</v>
      </c>
      <c r="AI145" s="124">
        <f t="shared" si="145"/>
        <v>148036244</v>
      </c>
      <c r="AJ145" s="133">
        <f t="shared" si="145"/>
        <v>240916467</v>
      </c>
      <c r="AK145" s="10"/>
      <c r="AL145" s="131">
        <f>AL147+AL155</f>
        <v>-7661935</v>
      </c>
      <c r="AM145" s="133">
        <f>AM147+AM155</f>
        <v>0</v>
      </c>
      <c r="AN145" s="9"/>
    </row>
    <row r="146" spans="1:40" s="385" customFormat="1" ht="24.95" customHeight="1" x14ac:dyDescent="0.2">
      <c r="A146" s="767"/>
      <c r="B146" s="668"/>
      <c r="N146" s="9"/>
      <c r="R146" s="9"/>
      <c r="S146" s="720" t="str">
        <f>+IF(AGOSTO!S146=0,"",AGOSTO!S146)</f>
        <v/>
      </c>
      <c r="T146" s="694" t="str">
        <f>+IF(AGOSTO!T146=0,"",AGOSTO!T146)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+IF(AGOSTO!S147=0,"",AGOSTO!S147)</f>
        <v>2020100</v>
      </c>
      <c r="T147" s="692" t="str">
        <f>+IF(AGOSTO!T147=0,"",AGOSTO!T147)</f>
        <v>Adquisición de bienes</v>
      </c>
      <c r="U147" s="135">
        <f t="shared" ref="U147:AJ147" si="146">SUM(U148:U149)+U153</f>
        <v>113248636</v>
      </c>
      <c r="V147" s="124">
        <f t="shared" si="146"/>
        <v>-5661935</v>
      </c>
      <c r="W147" s="124">
        <f t="shared" si="146"/>
        <v>75561517</v>
      </c>
      <c r="X147" s="132">
        <f t="shared" si="146"/>
        <v>183148218</v>
      </c>
      <c r="Y147" s="131">
        <f t="shared" si="146"/>
        <v>105370256</v>
      </c>
      <c r="Z147" s="124">
        <f t="shared" si="146"/>
        <v>7151139</v>
      </c>
      <c r="AA147" s="132">
        <f t="shared" si="146"/>
        <v>112521395</v>
      </c>
      <c r="AB147" s="131">
        <f t="shared" si="146"/>
        <v>105370256</v>
      </c>
      <c r="AC147" s="124">
        <f t="shared" si="146"/>
        <v>7151139</v>
      </c>
      <c r="AD147" s="132">
        <f t="shared" si="146"/>
        <v>112521395</v>
      </c>
      <c r="AE147" s="131">
        <f t="shared" si="146"/>
        <v>62372004</v>
      </c>
      <c r="AF147" s="124">
        <f t="shared" si="146"/>
        <v>8065694</v>
      </c>
      <c r="AG147" s="132">
        <f t="shared" si="146"/>
        <v>70437698</v>
      </c>
      <c r="AH147" s="131">
        <f t="shared" si="146"/>
        <v>70626823</v>
      </c>
      <c r="AI147" s="124">
        <f t="shared" si="146"/>
        <v>70626823</v>
      </c>
      <c r="AJ147" s="133">
        <f t="shared" si="146"/>
        <v>112710520</v>
      </c>
      <c r="AK147" s="9"/>
      <c r="AL147" s="131">
        <f>SUM(AL148:AL149)+AL153</f>
        <v>-7661935</v>
      </c>
      <c r="AM147" s="133">
        <f>SUM(AM148:AM149)+AM153</f>
        <v>0</v>
      </c>
      <c r="AN147" s="9"/>
    </row>
    <row r="148" spans="1:40" s="385" customFormat="1" ht="24.95" customHeight="1" x14ac:dyDescent="0.2">
      <c r="A148" s="767"/>
      <c r="B148" s="668"/>
      <c r="N148" s="9"/>
      <c r="R148" s="9"/>
      <c r="S148" s="719">
        <f>+IF(AGOSTO!S148=0,"",AGOSTO!S148)</f>
        <v>2020101</v>
      </c>
      <c r="T148" s="693" t="str">
        <f>+IF(AGOSTO!T148=0,"",AGOSTO!T148)</f>
        <v>Mantenimiento Hospitalario</v>
      </c>
      <c r="U148" s="27">
        <f>+ENERO!U148</f>
        <v>74533223</v>
      </c>
      <c r="V148" s="15">
        <f>AGOSTO!V148+SEPTIEMBRE!AL148</f>
        <v>0</v>
      </c>
      <c r="W148" s="15">
        <f>AGOSTO!W148+SEPTIEMBRE!AM148</f>
        <v>0</v>
      </c>
      <c r="X148" s="18">
        <f>SUM(U148:W148)</f>
        <v>74533223</v>
      </c>
      <c r="Y148" s="19">
        <f>AGOSTO!AA148</f>
        <v>32464098</v>
      </c>
      <c r="Z148" s="377">
        <v>2770799</v>
      </c>
      <c r="AA148" s="18">
        <f>SUM(Y148:Z148)</f>
        <v>35234897</v>
      </c>
      <c r="AB148" s="19">
        <f>AGOSTO!AD148</f>
        <v>32464098</v>
      </c>
      <c r="AC148" s="377">
        <v>2770799</v>
      </c>
      <c r="AD148" s="18">
        <f>SUM(AB148:AC148)</f>
        <v>35234897</v>
      </c>
      <c r="AE148" s="19">
        <f>AGOSTO!AG148</f>
        <v>26313160</v>
      </c>
      <c r="AF148" s="377">
        <v>2323700</v>
      </c>
      <c r="AG148" s="18">
        <f>SUM(AE148:AF148)</f>
        <v>28636860</v>
      </c>
      <c r="AH148" s="19">
        <f>X148-AA148</f>
        <v>39298326</v>
      </c>
      <c r="AI148" s="15">
        <f>X148-AD148</f>
        <v>39298326</v>
      </c>
      <c r="AJ148" s="16">
        <f>X148-AG148</f>
        <v>45896363</v>
      </c>
      <c r="AK148" s="9"/>
      <c r="AL148" s="375">
        <v>0</v>
      </c>
      <c r="AM148" s="378">
        <v>0</v>
      </c>
      <c r="AN148" s="9"/>
    </row>
    <row r="149" spans="1:40" s="385" customFormat="1" ht="24.95" customHeight="1" x14ac:dyDescent="0.2">
      <c r="A149" s="767"/>
      <c r="B149" s="668"/>
      <c r="N149" s="9"/>
      <c r="R149" s="9"/>
      <c r="S149" s="719">
        <f>+IF(AGOSTO!S149=0,"",AGOSTO!S149)</f>
        <v>2020102</v>
      </c>
      <c r="T149" s="693" t="str">
        <f>+IF(AGOSTO!T149=0,"",AGOSTO!T149)</f>
        <v>Otros</v>
      </c>
      <c r="U149" s="27">
        <f t="shared" ref="U149:AJ149" si="147">SUM(U150:U152)</f>
        <v>38715413</v>
      </c>
      <c r="V149" s="15">
        <f t="shared" si="147"/>
        <v>-5661935</v>
      </c>
      <c r="W149" s="15">
        <f t="shared" si="147"/>
        <v>41780673</v>
      </c>
      <c r="X149" s="18">
        <f t="shared" si="147"/>
        <v>74834151</v>
      </c>
      <c r="Y149" s="19">
        <f t="shared" si="147"/>
        <v>39125314</v>
      </c>
      <c r="Z149" s="145">
        <f t="shared" si="147"/>
        <v>4380340</v>
      </c>
      <c r="AA149" s="18">
        <f t="shared" si="147"/>
        <v>43505654</v>
      </c>
      <c r="AB149" s="19">
        <f t="shared" si="147"/>
        <v>39125314</v>
      </c>
      <c r="AC149" s="145">
        <f t="shared" si="147"/>
        <v>4380340</v>
      </c>
      <c r="AD149" s="18">
        <f t="shared" si="147"/>
        <v>43505654</v>
      </c>
      <c r="AE149" s="19">
        <f t="shared" si="147"/>
        <v>2278000</v>
      </c>
      <c r="AF149" s="145">
        <f t="shared" si="147"/>
        <v>5741994</v>
      </c>
      <c r="AG149" s="18">
        <f t="shared" si="147"/>
        <v>8019994</v>
      </c>
      <c r="AH149" s="19">
        <f t="shared" si="147"/>
        <v>31328497</v>
      </c>
      <c r="AI149" s="15">
        <f t="shared" si="147"/>
        <v>31328497</v>
      </c>
      <c r="AJ149" s="16">
        <f t="shared" si="147"/>
        <v>66814157</v>
      </c>
      <c r="AK149" s="9"/>
      <c r="AL149" s="29">
        <f>SUM(AL150:AL152)</f>
        <v>-7661935</v>
      </c>
      <c r="AM149" s="26">
        <f>SUM(AM150:AM152)</f>
        <v>0</v>
      </c>
      <c r="AN149" s="9"/>
    </row>
    <row r="150" spans="1:40" s="385" customFormat="1" ht="24.95" customHeight="1" x14ac:dyDescent="0.2">
      <c r="A150" s="767"/>
      <c r="B150" s="668"/>
      <c r="N150" s="9"/>
      <c r="R150" s="9"/>
      <c r="S150" s="720" t="str">
        <f>+IF(AGOSTO!S150=0,"",AGOSTO!S150)</f>
        <v>2020102-1</v>
      </c>
      <c r="T150" s="693" t="str">
        <f>+IF(AGOSTO!T150=0,"",AGOSTO!T150)</f>
        <v>Compra de Equipo e Instr. Mco. y Laborat.</v>
      </c>
      <c r="U150" s="27">
        <f>+ENERO!U150</f>
        <v>0</v>
      </c>
      <c r="V150" s="15">
        <f>AGOSTO!V150+SEPTIEMBRE!AL150</f>
        <v>0</v>
      </c>
      <c r="W150" s="15">
        <f>AGOSTO!W150+SEPTIEMBRE!AM150</f>
        <v>40000000</v>
      </c>
      <c r="X150" s="18">
        <f>SUM(U150:W150)</f>
        <v>40000000</v>
      </c>
      <c r="Y150" s="19">
        <f>AGOSTO!AA150</f>
        <v>15833188</v>
      </c>
      <c r="Z150" s="377">
        <v>0</v>
      </c>
      <c r="AA150" s="18">
        <f>SUM(Y150:Z150)</f>
        <v>15833188</v>
      </c>
      <c r="AB150" s="19">
        <f>AGOSTO!AD150</f>
        <v>15833188</v>
      </c>
      <c r="AC150" s="377">
        <v>0</v>
      </c>
      <c r="AD150" s="18">
        <f>SUM(AB150:AC150)</f>
        <v>15833188</v>
      </c>
      <c r="AE150" s="19">
        <f>AGOSTO!AG150</f>
        <v>1809600</v>
      </c>
      <c r="AF150" s="377">
        <v>0</v>
      </c>
      <c r="AG150" s="18">
        <f>SUM(AE150:AF150)</f>
        <v>1809600</v>
      </c>
      <c r="AH150" s="19">
        <f>X150-AA150</f>
        <v>24166812</v>
      </c>
      <c r="AI150" s="15">
        <f>X150-AD150</f>
        <v>24166812</v>
      </c>
      <c r="AJ150" s="16">
        <f>X150-AG150</f>
        <v>38190400</v>
      </c>
      <c r="AK150" s="9"/>
      <c r="AL150" s="375">
        <v>0</v>
      </c>
      <c r="AM150" s="378">
        <v>0</v>
      </c>
      <c r="AN150" s="9"/>
    </row>
    <row r="151" spans="1:40" s="385" customFormat="1" ht="24.95" customHeight="1" x14ac:dyDescent="0.2">
      <c r="A151" s="767"/>
      <c r="B151" s="668"/>
      <c r="N151" s="9"/>
      <c r="R151" s="9"/>
      <c r="S151" s="720" t="str">
        <f>+IF(AGOSTO!S151=0,"",AGOSTO!S151)</f>
        <v>2020102-2</v>
      </c>
      <c r="T151" s="693" t="str">
        <f>+IF(AGOSTO!T151=0,"",AGOSTO!T151)</f>
        <v>Materiales</v>
      </c>
      <c r="U151" s="27">
        <f>+ENERO!U151</f>
        <v>15288294</v>
      </c>
      <c r="V151" s="15">
        <f>AGOSTO!V151+SEPTIEMBRE!AL151</f>
        <v>-5661935</v>
      </c>
      <c r="W151" s="15">
        <f>AGOSTO!W151+SEPTIEMBRE!AM151</f>
        <v>1780673</v>
      </c>
      <c r="X151" s="18">
        <f>SUM(U151:W151)</f>
        <v>11407032</v>
      </c>
      <c r="Y151" s="19">
        <f>AGOSTO!AA151</f>
        <v>7093808</v>
      </c>
      <c r="Z151" s="377">
        <v>1807760</v>
      </c>
      <c r="AA151" s="18">
        <f>SUM(Y151:Z151)</f>
        <v>8901568</v>
      </c>
      <c r="AB151" s="19">
        <f>AGOSTO!AD151</f>
        <v>7093808</v>
      </c>
      <c r="AC151" s="377">
        <v>1807760</v>
      </c>
      <c r="AD151" s="18">
        <f>SUM(AB151:AC151)</f>
        <v>8901568</v>
      </c>
      <c r="AE151" s="19">
        <f>AGOSTO!AG151</f>
        <v>383400</v>
      </c>
      <c r="AF151" s="377">
        <v>1943480</v>
      </c>
      <c r="AG151" s="18">
        <f>SUM(AE151:AF151)</f>
        <v>2326880</v>
      </c>
      <c r="AH151" s="19">
        <f>X151-AA151</f>
        <v>2505464</v>
      </c>
      <c r="AI151" s="15">
        <f>X151-AD151</f>
        <v>2505464</v>
      </c>
      <c r="AJ151" s="16">
        <f>X151-AG151</f>
        <v>9080152</v>
      </c>
      <c r="AK151" s="9"/>
      <c r="AL151" s="375">
        <v>-7661935</v>
      </c>
      <c r="AM151" s="378">
        <v>0</v>
      </c>
      <c r="AN151" s="9"/>
    </row>
    <row r="152" spans="1:40" s="385" customFormat="1" ht="24.95" customHeight="1" x14ac:dyDescent="0.2">
      <c r="A152" s="767"/>
      <c r="B152" s="668"/>
      <c r="N152" s="9"/>
      <c r="R152" s="9"/>
      <c r="S152" s="720" t="str">
        <f>+IF(AGOSTO!S152=0,"",AGOSTO!S152)</f>
        <v>2020102-3</v>
      </c>
      <c r="T152" s="693" t="str">
        <f>+IF(AGOSTO!T152=0,"",AGOSTO!T152)</f>
        <v>Combustible</v>
      </c>
      <c r="U152" s="27">
        <f>+ENERO!U152</f>
        <v>23427119</v>
      </c>
      <c r="V152" s="15">
        <f>AGOSTO!V152+SEPTIEMBRE!AL152</f>
        <v>0</v>
      </c>
      <c r="W152" s="15">
        <f>AGOSTO!W152+SEPTIEMBRE!AM152</f>
        <v>0</v>
      </c>
      <c r="X152" s="18">
        <f>SUM(U152:W152)</f>
        <v>23427119</v>
      </c>
      <c r="Y152" s="19">
        <f>AGOSTO!AA152</f>
        <v>16198318</v>
      </c>
      <c r="Z152" s="377">
        <v>2572580</v>
      </c>
      <c r="AA152" s="18">
        <f>SUM(Y152:Z152)</f>
        <v>18770898</v>
      </c>
      <c r="AB152" s="19">
        <f>AGOSTO!AD152</f>
        <v>16198318</v>
      </c>
      <c r="AC152" s="377">
        <v>2572580</v>
      </c>
      <c r="AD152" s="18">
        <f>SUM(AB152:AC152)</f>
        <v>18770898</v>
      </c>
      <c r="AE152" s="19">
        <f>AGOSTO!AG152</f>
        <v>85000</v>
      </c>
      <c r="AF152" s="377">
        <v>3798514</v>
      </c>
      <c r="AG152" s="18">
        <f>SUM(AE152:AF152)</f>
        <v>3883514</v>
      </c>
      <c r="AH152" s="19">
        <f>X152-AA152</f>
        <v>4656221</v>
      </c>
      <c r="AI152" s="15">
        <f>X152-AD152</f>
        <v>4656221</v>
      </c>
      <c r="AJ152" s="16">
        <f>X152-AG152</f>
        <v>19543605</v>
      </c>
      <c r="AK152" s="9"/>
      <c r="AL152" s="375">
        <v>0</v>
      </c>
      <c r="AM152" s="378">
        <v>0</v>
      </c>
      <c r="AN152" s="9"/>
    </row>
    <row r="153" spans="1:40" s="385" customFormat="1" ht="24.95" customHeight="1" x14ac:dyDescent="0.2">
      <c r="A153" s="767"/>
      <c r="B153" s="668"/>
      <c r="N153" s="9"/>
      <c r="R153" s="9"/>
      <c r="S153" s="719">
        <f>+IF(AGOSTO!S153=0,"",AGOSTO!S153)</f>
        <v>2020199</v>
      </c>
      <c r="T153" s="693" t="str">
        <f>+IF(AGOSTO!T153=0,"",AGOSTO!T153)</f>
        <v>Vigencias Anteriores</v>
      </c>
      <c r="U153" s="27">
        <f>+ENERO!U153</f>
        <v>0</v>
      </c>
      <c r="V153" s="15">
        <f>AGOSTO!V153+SEPTIEMBRE!AL153</f>
        <v>0</v>
      </c>
      <c r="W153" s="15">
        <f>AGOSTO!W153+SEPTIEMBRE!AM153</f>
        <v>33780844</v>
      </c>
      <c r="X153" s="18">
        <f>SUM(U153:W153)</f>
        <v>33780844</v>
      </c>
      <c r="Y153" s="19">
        <f>AGOSTO!AA153</f>
        <v>33780844</v>
      </c>
      <c r="Z153" s="377">
        <v>0</v>
      </c>
      <c r="AA153" s="18">
        <f>SUM(Y153:Z153)</f>
        <v>33780844</v>
      </c>
      <c r="AB153" s="19">
        <f>AGOSTO!AD153</f>
        <v>33780844</v>
      </c>
      <c r="AC153" s="377">
        <v>0</v>
      </c>
      <c r="AD153" s="18">
        <f>SUM(AB153:AC153)</f>
        <v>33780844</v>
      </c>
      <c r="AE153" s="19">
        <f>AGOSTO!AG153</f>
        <v>33780844</v>
      </c>
      <c r="AF153" s="377">
        <v>0</v>
      </c>
      <c r="AG153" s="18">
        <f>SUM(AE153:AF153)</f>
        <v>33780844</v>
      </c>
      <c r="AH153" s="19">
        <f>X153-AA153</f>
        <v>0</v>
      </c>
      <c r="AI153" s="15">
        <f>X153-AD153</f>
        <v>0</v>
      </c>
      <c r="AJ153" s="16">
        <f>X153-AG153</f>
        <v>0</v>
      </c>
      <c r="AK153" s="9"/>
      <c r="AL153" s="375">
        <v>0</v>
      </c>
      <c r="AM153" s="378">
        <v>0</v>
      </c>
      <c r="AN153" s="9"/>
    </row>
    <row r="154" spans="1:40" s="385" customFormat="1" ht="24.95" customHeight="1" x14ac:dyDescent="0.2">
      <c r="A154" s="767"/>
      <c r="B154" s="668"/>
      <c r="N154" s="9"/>
      <c r="R154" s="9"/>
      <c r="S154" s="369" t="str">
        <f>+IF(AGOSTO!S154=0,"",AGOSTO!S154)</f>
        <v/>
      </c>
      <c r="T154" s="708" t="str">
        <f>+IF(AGOSTO!T154=0,"",AGOSTO!T154)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+IF(AGOSTO!S155=0,"",AGOSTO!S155)</f>
        <v>2020200</v>
      </c>
      <c r="T155" s="692" t="str">
        <f>+IF(AGOSTO!T155=0,"",AGOSTO!T155)</f>
        <v>Adquisición de Servicios</v>
      </c>
      <c r="U155" s="135">
        <f t="shared" ref="U155:AJ155" si="148">SUM(U156:U157)+U168</f>
        <v>210727239</v>
      </c>
      <c r="V155" s="124">
        <f t="shared" si="148"/>
        <v>32700000</v>
      </c>
      <c r="W155" s="124">
        <f t="shared" si="148"/>
        <v>35537671</v>
      </c>
      <c r="X155" s="132">
        <f t="shared" si="148"/>
        <v>278964910</v>
      </c>
      <c r="Y155" s="131">
        <f t="shared" si="148"/>
        <v>223294198</v>
      </c>
      <c r="Z155" s="124">
        <f t="shared" si="148"/>
        <v>8470636</v>
      </c>
      <c r="AA155" s="132">
        <f t="shared" si="148"/>
        <v>231764834</v>
      </c>
      <c r="AB155" s="131">
        <f t="shared" si="148"/>
        <v>186128594</v>
      </c>
      <c r="AC155" s="124">
        <f t="shared" si="148"/>
        <v>15426895</v>
      </c>
      <c r="AD155" s="132">
        <f t="shared" si="148"/>
        <v>201555489</v>
      </c>
      <c r="AE155" s="131">
        <f t="shared" si="148"/>
        <v>131592884</v>
      </c>
      <c r="AF155" s="124">
        <f t="shared" si="148"/>
        <v>19166079</v>
      </c>
      <c r="AG155" s="132">
        <f t="shared" si="148"/>
        <v>150758963</v>
      </c>
      <c r="AH155" s="131">
        <f t="shared" si="148"/>
        <v>47200076</v>
      </c>
      <c r="AI155" s="124">
        <f t="shared" si="148"/>
        <v>77409421</v>
      </c>
      <c r="AJ155" s="133">
        <f t="shared" si="148"/>
        <v>128205947</v>
      </c>
      <c r="AK155" s="9"/>
      <c r="AL155" s="131">
        <f>SUM(AL156:AL157)+AL168</f>
        <v>0</v>
      </c>
      <c r="AM155" s="133">
        <f>SUM(AM156:AM157)+AM168</f>
        <v>0</v>
      </c>
      <c r="AN155" s="9"/>
    </row>
    <row r="156" spans="1:40" s="385" customFormat="1" ht="24.95" customHeight="1" x14ac:dyDescent="0.2">
      <c r="A156" s="767"/>
      <c r="B156" s="668"/>
      <c r="N156" s="9"/>
      <c r="P156" s="9"/>
      <c r="Q156" s="9"/>
      <c r="R156" s="9"/>
      <c r="S156" s="719">
        <f>+IF(AGOSTO!S156=0,"",AGOSTO!S156)</f>
        <v>2020201</v>
      </c>
      <c r="T156" s="693" t="str">
        <f>+IF(AGOSTO!T156=0,"",AGOSTO!T156)</f>
        <v>Mantenimiento Hospitalario</v>
      </c>
      <c r="U156" s="27">
        <f>+ENERO!U156</f>
        <v>82251828</v>
      </c>
      <c r="V156" s="15">
        <f>AGOSTO!V156+SEPTIEMBRE!AL156</f>
        <v>0</v>
      </c>
      <c r="W156" s="15">
        <f>AGOSTO!W156+SEPTIEMBRE!AM156</f>
        <v>0</v>
      </c>
      <c r="X156" s="18">
        <f>SUM(U156:W156)</f>
        <v>82251828</v>
      </c>
      <c r="Y156" s="19">
        <f>AGOSTO!AA156</f>
        <v>73057597</v>
      </c>
      <c r="Z156" s="377">
        <v>2006332</v>
      </c>
      <c r="AA156" s="18">
        <f>SUM(Y156:Z156)</f>
        <v>75063929</v>
      </c>
      <c r="AB156" s="19">
        <f>AGOSTO!AD156</f>
        <v>62630751</v>
      </c>
      <c r="AC156" s="377">
        <v>3006332</v>
      </c>
      <c r="AD156" s="18">
        <f>SUM(AB156:AC156)</f>
        <v>65637083</v>
      </c>
      <c r="AE156" s="19">
        <f>AGOSTO!AG156</f>
        <v>45746838</v>
      </c>
      <c r="AF156" s="377">
        <v>6338082</v>
      </c>
      <c r="AG156" s="18">
        <f>SUM(AE156:AF156)</f>
        <v>52084920</v>
      </c>
      <c r="AH156" s="19">
        <f>X156-AA156</f>
        <v>7187899</v>
      </c>
      <c r="AI156" s="15">
        <f>X156-AD156</f>
        <v>16614745</v>
      </c>
      <c r="AJ156" s="16">
        <f>X156-AG156</f>
        <v>30166908</v>
      </c>
      <c r="AK156" s="9"/>
      <c r="AL156" s="375">
        <v>0</v>
      </c>
      <c r="AM156" s="378">
        <v>0</v>
      </c>
      <c r="AN156" s="9"/>
    </row>
    <row r="157" spans="1:40" s="385" customFormat="1" ht="24.95" customHeight="1" x14ac:dyDescent="0.2">
      <c r="A157" s="767"/>
      <c r="B157" s="668"/>
      <c r="N157" s="9"/>
      <c r="P157" s="9"/>
      <c r="Q157" s="9"/>
      <c r="R157" s="9"/>
      <c r="S157" s="719">
        <f>+IF(AGOSTO!S157=0,"",AGOSTO!S157)</f>
        <v>2020202</v>
      </c>
      <c r="T157" s="693" t="str">
        <f>+IF(AGOSTO!T157=0,"",AGOSTO!T157)</f>
        <v>Otros</v>
      </c>
      <c r="U157" s="27">
        <f t="shared" ref="U157:AJ157" si="149">SUM(U158:U167)</f>
        <v>128475411</v>
      </c>
      <c r="V157" s="15">
        <f t="shared" si="149"/>
        <v>32700000</v>
      </c>
      <c r="W157" s="15">
        <f t="shared" si="149"/>
        <v>7000000</v>
      </c>
      <c r="X157" s="18">
        <f t="shared" si="149"/>
        <v>168175411</v>
      </c>
      <c r="Y157" s="19">
        <f t="shared" si="149"/>
        <v>121698930</v>
      </c>
      <c r="Z157" s="145">
        <f t="shared" si="149"/>
        <v>6464304</v>
      </c>
      <c r="AA157" s="18">
        <f t="shared" si="149"/>
        <v>128163234</v>
      </c>
      <c r="AB157" s="19">
        <f t="shared" si="149"/>
        <v>94960172</v>
      </c>
      <c r="AC157" s="145">
        <f t="shared" si="149"/>
        <v>12420563</v>
      </c>
      <c r="AD157" s="18">
        <f t="shared" si="149"/>
        <v>107380735</v>
      </c>
      <c r="AE157" s="19">
        <f t="shared" si="149"/>
        <v>64442794</v>
      </c>
      <c r="AF157" s="145">
        <f t="shared" si="149"/>
        <v>9803837</v>
      </c>
      <c r="AG157" s="18">
        <f t="shared" si="149"/>
        <v>74246631</v>
      </c>
      <c r="AH157" s="19">
        <f t="shared" si="149"/>
        <v>40012177</v>
      </c>
      <c r="AI157" s="15">
        <f t="shared" si="149"/>
        <v>60794676</v>
      </c>
      <c r="AJ157" s="16">
        <f t="shared" si="149"/>
        <v>93928780</v>
      </c>
      <c r="AK157" s="10"/>
      <c r="AL157" s="29">
        <f>SUM(AL158:AL167)</f>
        <v>0</v>
      </c>
      <c r="AM157" s="26">
        <f>SUM(AM158:AM167)</f>
        <v>0</v>
      </c>
      <c r="AN157" s="9"/>
    </row>
    <row r="158" spans="1:40" s="385" customFormat="1" ht="24.95" customHeight="1" x14ac:dyDescent="0.2">
      <c r="A158" s="767"/>
      <c r="B158" s="668"/>
      <c r="N158" s="9"/>
      <c r="P158" s="9"/>
      <c r="Q158" s="9"/>
      <c r="R158" s="9"/>
      <c r="S158" s="720" t="str">
        <f>+IF(AGOSTO!S158=0,"",AGOSTO!S158)</f>
        <v>2020202-1</v>
      </c>
      <c r="T158" s="694" t="str">
        <f>+IF(AGOSTO!T158=0,"",AGOSTO!T158)</f>
        <v>Seguros</v>
      </c>
      <c r="U158" s="27">
        <f>+ENERO!U158</f>
        <v>15745455</v>
      </c>
      <c r="V158" s="15">
        <f>AGOSTO!V158+SEPTIEMBRE!AL158</f>
        <v>0</v>
      </c>
      <c r="W158" s="15">
        <f>AGOSTO!W158+SEPTIEMBRE!AM158</f>
        <v>5000000</v>
      </c>
      <c r="X158" s="18">
        <f t="shared" ref="X158:X168" si="150">SUM(U158:W158)</f>
        <v>20745455</v>
      </c>
      <c r="Y158" s="19">
        <f>AGOSTO!AA158</f>
        <v>18105539</v>
      </c>
      <c r="Z158" s="377">
        <v>0</v>
      </c>
      <c r="AA158" s="18">
        <f t="shared" ref="AA158:AA168" si="151">SUM(Y158:Z158)</f>
        <v>18105539</v>
      </c>
      <c r="AB158" s="19">
        <f>AGOSTO!AD158</f>
        <v>18105539</v>
      </c>
      <c r="AC158" s="377">
        <v>0</v>
      </c>
      <c r="AD158" s="18">
        <f t="shared" ref="AD158:AD168" si="152">SUM(AB158:AC158)</f>
        <v>18105539</v>
      </c>
      <c r="AE158" s="19">
        <f>AGOSTO!AG158</f>
        <v>15857681</v>
      </c>
      <c r="AF158" s="377">
        <v>0</v>
      </c>
      <c r="AG158" s="18">
        <f t="shared" ref="AG158:AG168" si="153">SUM(AE158:AF158)</f>
        <v>15857681</v>
      </c>
      <c r="AH158" s="19">
        <f t="shared" ref="AH158:AH168" si="154">X158-AA158</f>
        <v>2639916</v>
      </c>
      <c r="AI158" s="15">
        <f t="shared" ref="AI158:AI168" si="155">X158-AD158</f>
        <v>2639916</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+IF(AGOSTO!S159=0,"",AGOSTO!S159)</f>
        <v>2020202-2</v>
      </c>
      <c r="T159" s="694" t="str">
        <f>+IF(AGOSTO!T159=0,"",AGOSTO!T159)</f>
        <v>Impresos y Publicaciones</v>
      </c>
      <c r="U159" s="27">
        <f>+ENERO!U159</f>
        <v>0</v>
      </c>
      <c r="V159" s="15">
        <f>AGOSTO!V159+SEPTIEMBRE!AL159</f>
        <v>0</v>
      </c>
      <c r="W159" s="15">
        <f>AGOSTO!W159+SEPTIEMBRE!AM159</f>
        <v>0</v>
      </c>
      <c r="X159" s="18">
        <f t="shared" si="150"/>
        <v>0</v>
      </c>
      <c r="Y159" s="19">
        <f>AGOSTO!AA159</f>
        <v>0</v>
      </c>
      <c r="Z159" s="377">
        <v>0</v>
      </c>
      <c r="AA159" s="18">
        <f t="shared" si="151"/>
        <v>0</v>
      </c>
      <c r="AB159" s="19">
        <f>AGOSTO!AD159</f>
        <v>0</v>
      </c>
      <c r="AC159" s="377">
        <v>0</v>
      </c>
      <c r="AD159" s="18">
        <f t="shared" si="152"/>
        <v>0</v>
      </c>
      <c r="AE159" s="19">
        <f>AGOSTO!AG159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+IF(AGOSTO!S160=0,"",AGOSTO!S160)</f>
        <v>2020202-3</v>
      </c>
      <c r="T160" s="694" t="str">
        <f>+IF(AGOSTO!T160=0,"",AGOSTO!T160)</f>
        <v>Pago a otras IPS</v>
      </c>
      <c r="U160" s="27">
        <f>+ENERO!U160</f>
        <v>893693</v>
      </c>
      <c r="V160" s="15">
        <f>AGOSTO!V160+SEPTIEMBRE!AL160</f>
        <v>23000000</v>
      </c>
      <c r="W160" s="15">
        <f>AGOSTO!W160+SEPTIEMBRE!AM160</f>
        <v>2000000</v>
      </c>
      <c r="X160" s="18">
        <f t="shared" si="150"/>
        <v>25893693</v>
      </c>
      <c r="Y160" s="19">
        <f>AGOSTO!AA160</f>
        <v>3222593</v>
      </c>
      <c r="Z160" s="377">
        <v>0</v>
      </c>
      <c r="AA160" s="18">
        <f t="shared" si="151"/>
        <v>3222593</v>
      </c>
      <c r="AB160" s="19">
        <f>AGOSTO!AD160</f>
        <v>3222593</v>
      </c>
      <c r="AC160" s="377">
        <v>0</v>
      </c>
      <c r="AD160" s="18">
        <f t="shared" si="152"/>
        <v>3222593</v>
      </c>
      <c r="AE160" s="19">
        <f>AGOSTO!AG160</f>
        <v>55000</v>
      </c>
      <c r="AF160" s="377">
        <v>0</v>
      </c>
      <c r="AG160" s="18">
        <f t="shared" si="153"/>
        <v>55000</v>
      </c>
      <c r="AH160" s="19">
        <f t="shared" si="154"/>
        <v>22671100</v>
      </c>
      <c r="AI160" s="15">
        <f t="shared" si="155"/>
        <v>22671100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+IF(AGOSTO!S161=0,"",AGOSTO!S161)</f>
        <v>2020202-4</v>
      </c>
      <c r="T161" s="694" t="str">
        <f>+IF(AGOSTO!T161=0,"",AGOSTO!T161)</f>
        <v>Comunicaciones y Transportes</v>
      </c>
      <c r="U161" s="27">
        <f>+ENERO!U161</f>
        <v>9528246</v>
      </c>
      <c r="V161" s="15">
        <f>AGOSTO!V161+SEPTIEMBRE!AL161</f>
        <v>0</v>
      </c>
      <c r="W161" s="15">
        <f>AGOSTO!W161+SEPTIEMBRE!AM161</f>
        <v>0</v>
      </c>
      <c r="X161" s="18">
        <f t="shared" si="150"/>
        <v>9528246</v>
      </c>
      <c r="Y161" s="19">
        <f>AGOSTO!AA161</f>
        <v>4676063</v>
      </c>
      <c r="Z161" s="377">
        <v>1180491</v>
      </c>
      <c r="AA161" s="18">
        <f t="shared" si="151"/>
        <v>5856554</v>
      </c>
      <c r="AB161" s="19">
        <f>AGOSTO!AD161</f>
        <v>4676063</v>
      </c>
      <c r="AC161" s="377">
        <v>1180491</v>
      </c>
      <c r="AD161" s="18">
        <f t="shared" si="152"/>
        <v>5856554</v>
      </c>
      <c r="AE161" s="19">
        <f>AGOSTO!AG161</f>
        <v>3960456</v>
      </c>
      <c r="AF161" s="377">
        <v>904558</v>
      </c>
      <c r="AG161" s="18">
        <f t="shared" si="153"/>
        <v>4865014</v>
      </c>
      <c r="AH161" s="19">
        <f t="shared" si="154"/>
        <v>3671692</v>
      </c>
      <c r="AI161" s="15">
        <f t="shared" si="155"/>
        <v>3671692</v>
      </c>
      <c r="AJ161" s="16">
        <f t="shared" si="156"/>
        <v>4663232</v>
      </c>
      <c r="AK161" s="9"/>
      <c r="AL161" s="375">
        <v>0</v>
      </c>
      <c r="AM161" s="378">
        <v>0</v>
      </c>
      <c r="AN161" s="9"/>
    </row>
    <row r="162" spans="1:40" s="385" customFormat="1" ht="24.95" customHeight="1" x14ac:dyDescent="0.2">
      <c r="A162" s="767"/>
      <c r="B162" s="668"/>
      <c r="N162" s="9"/>
      <c r="P162" s="9"/>
      <c r="Q162" s="9"/>
      <c r="R162" s="9"/>
      <c r="S162" s="720" t="str">
        <f>+IF(AGOSTO!S162=0,"",AGOSTO!S162)</f>
        <v>2020202-5</v>
      </c>
      <c r="T162" s="694" t="str">
        <f>+IF(AGOSTO!T162=0,"",AGOSTO!T162)</f>
        <v>Viáticos y Gastos de Viaje</v>
      </c>
      <c r="U162" s="27">
        <f>+ENERO!U162</f>
        <v>3326745</v>
      </c>
      <c r="V162" s="15">
        <f>AGOSTO!V162+SEPTIEMBRE!AL162</f>
        <v>0</v>
      </c>
      <c r="W162" s="15">
        <f>AGOSTO!W162+SEPTIEMBRE!AM162</f>
        <v>0</v>
      </c>
      <c r="X162" s="18">
        <f t="shared" si="150"/>
        <v>3326745</v>
      </c>
      <c r="Y162" s="19">
        <f>AGOSTO!AA162</f>
        <v>1103565</v>
      </c>
      <c r="Z162" s="377">
        <v>85913</v>
      </c>
      <c r="AA162" s="18">
        <f t="shared" si="151"/>
        <v>1189478</v>
      </c>
      <c r="AB162" s="19">
        <f>AGOSTO!AD162</f>
        <v>1103565</v>
      </c>
      <c r="AC162" s="377">
        <v>85913</v>
      </c>
      <c r="AD162" s="18">
        <f t="shared" si="152"/>
        <v>1189478</v>
      </c>
      <c r="AE162" s="19">
        <f>AGOSTO!AG162</f>
        <v>1024942</v>
      </c>
      <c r="AF162" s="377">
        <v>89787</v>
      </c>
      <c r="AG162" s="18">
        <f t="shared" si="153"/>
        <v>1114729</v>
      </c>
      <c r="AH162" s="19">
        <f t="shared" si="154"/>
        <v>2137267</v>
      </c>
      <c r="AI162" s="15">
        <f t="shared" si="155"/>
        <v>2137267</v>
      </c>
      <c r="AJ162" s="16">
        <f t="shared" si="156"/>
        <v>2212016</v>
      </c>
      <c r="AK162" s="9"/>
      <c r="AL162" s="375">
        <v>0</v>
      </c>
      <c r="AM162" s="378">
        <v>0</v>
      </c>
      <c r="AN162" s="9"/>
    </row>
    <row r="163" spans="1:40" s="385" customFormat="1" ht="24.95" customHeight="1" x14ac:dyDescent="0.2">
      <c r="A163" s="767"/>
      <c r="B163" s="668"/>
      <c r="N163" s="9"/>
      <c r="P163" s="9"/>
      <c r="Q163" s="9"/>
      <c r="R163" s="9"/>
      <c r="S163" s="720" t="str">
        <f>+IF(AGOSTO!S163=0,"",AGOSTO!S163)</f>
        <v>2020202-6</v>
      </c>
      <c r="T163" s="694" t="str">
        <f>+IF(AGOSTO!T163=0,"",AGOSTO!T163)</f>
        <v>Plan Integral de Manejo de Residuos Sólidos Hospitalarios</v>
      </c>
      <c r="U163" s="27">
        <f>+ENERO!U163</f>
        <v>10511470</v>
      </c>
      <c r="V163" s="15">
        <f>AGOSTO!V163+SEPTIEMBRE!AL163</f>
        <v>0</v>
      </c>
      <c r="W163" s="15">
        <f>AGOSTO!W163+SEPTIEMBRE!AM163</f>
        <v>0</v>
      </c>
      <c r="X163" s="18">
        <f t="shared" si="150"/>
        <v>10511470</v>
      </c>
      <c r="Y163" s="19">
        <f>AGOSTO!AA163</f>
        <v>10511470</v>
      </c>
      <c r="Z163" s="377">
        <v>0</v>
      </c>
      <c r="AA163" s="18">
        <f t="shared" si="151"/>
        <v>10511470</v>
      </c>
      <c r="AB163" s="19">
        <f>AGOSTO!AD163</f>
        <v>4156768</v>
      </c>
      <c r="AC163" s="377">
        <v>595185</v>
      </c>
      <c r="AD163" s="18">
        <f t="shared" si="152"/>
        <v>4751953</v>
      </c>
      <c r="AE163" s="19">
        <f>AGOSTO!AG163</f>
        <v>1759305</v>
      </c>
      <c r="AF163" s="377">
        <v>631730</v>
      </c>
      <c r="AG163" s="18">
        <f t="shared" si="153"/>
        <v>2391035</v>
      </c>
      <c r="AH163" s="19">
        <f t="shared" si="154"/>
        <v>0</v>
      </c>
      <c r="AI163" s="15">
        <f t="shared" si="155"/>
        <v>5759517</v>
      </c>
      <c r="AJ163" s="16">
        <f t="shared" si="156"/>
        <v>8120435</v>
      </c>
      <c r="AK163" s="9"/>
      <c r="AL163" s="375">
        <v>0</v>
      </c>
      <c r="AM163" s="378">
        <v>0</v>
      </c>
      <c r="AN163" s="9"/>
    </row>
    <row r="164" spans="1:40" s="385" customFormat="1" ht="24.95" customHeight="1" x14ac:dyDescent="0.2">
      <c r="A164" s="767"/>
      <c r="B164" s="668"/>
      <c r="N164" s="9"/>
      <c r="P164" s="9"/>
      <c r="Q164" s="9"/>
      <c r="R164" s="9"/>
      <c r="S164" s="720" t="str">
        <f>+IF(AGOSTO!S164=0,"",AGOSTO!S164)</f>
        <v>2020202-7</v>
      </c>
      <c r="T164" s="694" t="str">
        <f>+IF(AGOSTO!T164=0,"",AGOSTO!T164)</f>
        <v>Servicios de Laboratorio contratados con terceros</v>
      </c>
      <c r="U164" s="27">
        <f>+ENERO!U164</f>
        <v>21580478</v>
      </c>
      <c r="V164" s="15">
        <f>AGOSTO!V164+SEPTIEMBRE!AL164</f>
        <v>9700000</v>
      </c>
      <c r="W164" s="15">
        <f>AGOSTO!W164+SEPTIEMBRE!AM164</f>
        <v>0</v>
      </c>
      <c r="X164" s="18">
        <f t="shared" si="150"/>
        <v>31280478</v>
      </c>
      <c r="Y164" s="19">
        <f>AGOSTO!AA164</f>
        <v>20460000</v>
      </c>
      <c r="Z164" s="377">
        <v>5197900</v>
      </c>
      <c r="AA164" s="18">
        <f t="shared" si="151"/>
        <v>25657900</v>
      </c>
      <c r="AB164" s="19">
        <f>AGOSTO!AD164</f>
        <v>20454000</v>
      </c>
      <c r="AC164" s="377">
        <f>5197900+6000</f>
        <v>5203900</v>
      </c>
      <c r="AD164" s="18">
        <f t="shared" si="152"/>
        <v>25657900</v>
      </c>
      <c r="AE164" s="19">
        <f>AGOSTO!AG164</f>
        <v>10301700</v>
      </c>
      <c r="AF164" s="377">
        <v>2758300</v>
      </c>
      <c r="AG164" s="18">
        <f t="shared" si="153"/>
        <v>13060000</v>
      </c>
      <c r="AH164" s="19">
        <f t="shared" si="154"/>
        <v>5622578</v>
      </c>
      <c r="AI164" s="15">
        <f t="shared" si="155"/>
        <v>5622578</v>
      </c>
      <c r="AJ164" s="16">
        <f t="shared" si="156"/>
        <v>18220478</v>
      </c>
      <c r="AK164" s="9"/>
      <c r="AL164" s="375">
        <v>0</v>
      </c>
      <c r="AM164" s="378">
        <v>0</v>
      </c>
      <c r="AN164" s="9"/>
    </row>
    <row r="165" spans="1:40" s="385" customFormat="1" ht="24.95" customHeight="1" x14ac:dyDescent="0.2">
      <c r="A165" s="767"/>
      <c r="B165" s="668"/>
      <c r="N165" s="9"/>
      <c r="P165" s="9"/>
      <c r="Q165" s="9"/>
      <c r="R165" s="9"/>
      <c r="S165" s="720" t="str">
        <f>+IF(AGOSTO!S165=0,"",AGOSTO!S165)</f>
        <v>2020202-8</v>
      </c>
      <c r="T165" s="694" t="str">
        <f>+IF(AGOSTO!T165=0,"",AGOSTO!T165)</f>
        <v>Servicios de Rayos X e Imaginología contratado con terceros</v>
      </c>
      <c r="U165" s="27">
        <f>+ENERO!U165</f>
        <v>0</v>
      </c>
      <c r="V165" s="15">
        <f>AGOSTO!V165+SEPTIEMBRE!AL165</f>
        <v>0</v>
      </c>
      <c r="W165" s="15">
        <f>AGOSTO!W165+SEPTIEMBRE!AM165</f>
        <v>0</v>
      </c>
      <c r="X165" s="18">
        <f t="shared" si="150"/>
        <v>0</v>
      </c>
      <c r="Y165" s="19">
        <f>AGOSTO!AA165</f>
        <v>0</v>
      </c>
      <c r="Z165" s="377">
        <v>0</v>
      </c>
      <c r="AA165" s="18">
        <f t="shared" si="151"/>
        <v>0</v>
      </c>
      <c r="AB165" s="19">
        <f>AGOSTO!AD165</f>
        <v>0</v>
      </c>
      <c r="AC165" s="377">
        <v>0</v>
      </c>
      <c r="AD165" s="18">
        <f t="shared" si="152"/>
        <v>0</v>
      </c>
      <c r="AE165" s="19">
        <f>AGOSTO!AG165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+IF(AGOSTO!S166=0,"",AGOSTO!S166)</f>
        <v>2020202-9</v>
      </c>
      <c r="T166" s="694" t="str">
        <f>+IF(AGOSTO!T166=0,"",AGOSTO!T166)</f>
        <v>Arrendamientos</v>
      </c>
      <c r="U166" s="27">
        <f>+ENERO!U166</f>
        <v>66889324</v>
      </c>
      <c r="V166" s="15">
        <f>AGOSTO!V166+SEPTIEMBRE!AL166</f>
        <v>0</v>
      </c>
      <c r="W166" s="15">
        <f>AGOSTO!W166+SEPTIEMBRE!AM166</f>
        <v>0</v>
      </c>
      <c r="X166" s="18">
        <f t="shared" si="150"/>
        <v>66889324</v>
      </c>
      <c r="Y166" s="19">
        <f>AGOSTO!AA166</f>
        <v>63619700</v>
      </c>
      <c r="Z166" s="377">
        <v>0</v>
      </c>
      <c r="AA166" s="18">
        <f t="shared" si="151"/>
        <v>63619700</v>
      </c>
      <c r="AB166" s="19">
        <f>AGOSTO!AD166</f>
        <v>43241644</v>
      </c>
      <c r="AC166" s="377">
        <v>5355074</v>
      </c>
      <c r="AD166" s="18">
        <f t="shared" si="152"/>
        <v>48596718</v>
      </c>
      <c r="AE166" s="19">
        <f>AGOSTO!AG166</f>
        <v>31483710</v>
      </c>
      <c r="AF166" s="377">
        <v>5419462</v>
      </c>
      <c r="AG166" s="18">
        <f t="shared" si="153"/>
        <v>36903172</v>
      </c>
      <c r="AH166" s="19">
        <f t="shared" si="154"/>
        <v>3269624</v>
      </c>
      <c r="AI166" s="15">
        <f t="shared" si="155"/>
        <v>18292606</v>
      </c>
      <c r="AJ166" s="16">
        <f t="shared" si="156"/>
        <v>29986152</v>
      </c>
      <c r="AK166" s="9"/>
      <c r="AL166" s="375">
        <v>0</v>
      </c>
      <c r="AM166" s="378">
        <v>0</v>
      </c>
      <c r="AN166" s="9"/>
    </row>
    <row r="167" spans="1:40" s="385" customFormat="1" ht="24.95" customHeight="1" x14ac:dyDescent="0.2">
      <c r="A167" s="767"/>
      <c r="B167" s="668"/>
      <c r="N167" s="9"/>
      <c r="P167" s="9"/>
      <c r="Q167" s="9"/>
      <c r="R167" s="9"/>
      <c r="S167" s="720" t="str">
        <f>+IF(AGOSTO!S167=0,"",AGOSTO!S167)</f>
        <v>2020202-10</v>
      </c>
      <c r="T167" s="694" t="str">
        <f>+IF(AGOSTO!T167=0,"",AGOSTO!T167)</f>
        <v>Servicios Públicos</v>
      </c>
      <c r="U167" s="27">
        <f>+ENERO!U167</f>
        <v>0</v>
      </c>
      <c r="V167" s="15">
        <f>AGOSTO!V167+SEPTIEMBRE!AL167</f>
        <v>0</v>
      </c>
      <c r="W167" s="15">
        <f>AGOSTO!W167+SEPTIEMBRE!AM167</f>
        <v>0</v>
      </c>
      <c r="X167" s="18">
        <f>SUM(U167:W167)</f>
        <v>0</v>
      </c>
      <c r="Y167" s="19">
        <f>AGOSTO!AA167</f>
        <v>0</v>
      </c>
      <c r="Z167" s="377">
        <v>0</v>
      </c>
      <c r="AA167" s="18">
        <f>SUM(Y167:Z167)</f>
        <v>0</v>
      </c>
      <c r="AB167" s="19">
        <f>AGOSTO!AD167</f>
        <v>0</v>
      </c>
      <c r="AC167" s="377">
        <v>0</v>
      </c>
      <c r="AD167" s="18">
        <f>SUM(AB167:AC167)</f>
        <v>0</v>
      </c>
      <c r="AE167" s="19">
        <f>AGOSTO!AG167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+IF(AGOSTO!S168=0,"",AGOSTO!S168)</f>
        <v>2020299</v>
      </c>
      <c r="T168" s="693" t="str">
        <f>+IF(AGOSTO!T168=0,"",AGOSTO!T168)</f>
        <v>Vigencias Anteriores</v>
      </c>
      <c r="U168" s="27">
        <f>+ENERO!U168</f>
        <v>0</v>
      </c>
      <c r="V168" s="15">
        <f>AGOSTO!V168+SEPTIEMBRE!AL168</f>
        <v>0</v>
      </c>
      <c r="W168" s="15">
        <f>AGOSTO!W168+SEPTIEMBRE!AM168</f>
        <v>28537671</v>
      </c>
      <c r="X168" s="18">
        <f t="shared" si="150"/>
        <v>28537671</v>
      </c>
      <c r="Y168" s="19">
        <f>AGOSTO!AA168</f>
        <v>28537671</v>
      </c>
      <c r="Z168" s="377">
        <v>0</v>
      </c>
      <c r="AA168" s="18">
        <f t="shared" si="151"/>
        <v>28537671</v>
      </c>
      <c r="AB168" s="19">
        <f>AGOSTO!AD168</f>
        <v>28537671</v>
      </c>
      <c r="AC168" s="377">
        <v>0</v>
      </c>
      <c r="AD168" s="18">
        <f t="shared" si="152"/>
        <v>28537671</v>
      </c>
      <c r="AE168" s="19">
        <f>AGOSTO!AG168</f>
        <v>21403252</v>
      </c>
      <c r="AF168" s="377">
        <v>3024160</v>
      </c>
      <c r="AG168" s="18">
        <f t="shared" si="153"/>
        <v>24427412</v>
      </c>
      <c r="AH168" s="19">
        <f t="shared" si="154"/>
        <v>0</v>
      </c>
      <c r="AI168" s="15">
        <f t="shared" si="155"/>
        <v>0</v>
      </c>
      <c r="AJ168" s="16">
        <f t="shared" si="156"/>
        <v>4110259</v>
      </c>
      <c r="AK168" s="9"/>
      <c r="AL168" s="375">
        <v>0</v>
      </c>
      <c r="AM168" s="378">
        <v>0</v>
      </c>
      <c r="AN168" s="9"/>
    </row>
    <row r="169" spans="1:40" s="385" customFormat="1" ht="24.95" customHeight="1" x14ac:dyDescent="0.2">
      <c r="A169" s="767"/>
      <c r="B169" s="668"/>
      <c r="N169" s="9"/>
      <c r="P169" s="9"/>
      <c r="Q169" s="9"/>
      <c r="R169" s="9"/>
      <c r="S169" s="369" t="str">
        <f>+IF(AGOSTO!S169=0,"",AGOSTO!S169)</f>
        <v/>
      </c>
      <c r="T169" s="708" t="str">
        <f>+IF(AGOSTO!T169=0,"",AGOSTO!T169)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+IF(AGOSTO!S170=0,"",AGOSTO!S170)</f>
        <v>3000000</v>
      </c>
      <c r="T170" s="697" t="str">
        <f>+IF(AGOSTO!T170=0,"",AGOSTO!T170)</f>
        <v>TRANSFERENCIAS CORRIENTES</v>
      </c>
      <c r="U170" s="473">
        <f t="shared" ref="U170:AJ170" si="157">U172+U176+U185</f>
        <v>60072284</v>
      </c>
      <c r="V170" s="474">
        <f t="shared" si="157"/>
        <v>0</v>
      </c>
      <c r="W170" s="474">
        <f t="shared" si="157"/>
        <v>14421810</v>
      </c>
      <c r="X170" s="475">
        <f t="shared" si="157"/>
        <v>74494094</v>
      </c>
      <c r="Y170" s="382">
        <f t="shared" si="157"/>
        <v>37464123</v>
      </c>
      <c r="Z170" s="474">
        <f t="shared" si="157"/>
        <v>3629851</v>
      </c>
      <c r="AA170" s="475">
        <f t="shared" si="157"/>
        <v>41093974</v>
      </c>
      <c r="AB170" s="382">
        <f t="shared" si="157"/>
        <v>37140591</v>
      </c>
      <c r="AC170" s="474">
        <f t="shared" si="157"/>
        <v>3953383</v>
      </c>
      <c r="AD170" s="475">
        <f t="shared" si="157"/>
        <v>41093974</v>
      </c>
      <c r="AE170" s="382">
        <f t="shared" si="157"/>
        <v>31637906</v>
      </c>
      <c r="AF170" s="474">
        <f t="shared" si="157"/>
        <v>3371699</v>
      </c>
      <c r="AG170" s="475">
        <f t="shared" si="157"/>
        <v>35009605</v>
      </c>
      <c r="AH170" s="382">
        <f t="shared" si="157"/>
        <v>33400120</v>
      </c>
      <c r="AI170" s="474">
        <f t="shared" si="157"/>
        <v>33400120</v>
      </c>
      <c r="AJ170" s="383">
        <f t="shared" si="157"/>
        <v>39484489</v>
      </c>
      <c r="AK170" s="9"/>
      <c r="AL170" s="131">
        <f>AL172+AL176+AL185</f>
        <v>0</v>
      </c>
      <c r="AM170" s="133">
        <f>AM172+AM176+AM185</f>
        <v>0</v>
      </c>
      <c r="AN170" s="9"/>
    </row>
    <row r="171" spans="1:40" s="385" customFormat="1" ht="24.95" customHeight="1" x14ac:dyDescent="0.2">
      <c r="A171" s="767"/>
      <c r="B171" s="668"/>
      <c r="N171" s="9"/>
      <c r="P171" s="9"/>
      <c r="Q171" s="9"/>
      <c r="R171" s="9"/>
      <c r="S171" s="369" t="str">
        <f>+IF(AGOSTO!S171=0,"",AGOSTO!S171)</f>
        <v/>
      </c>
      <c r="T171" s="708" t="str">
        <f>+IF(AGOSTO!T171=0,"",AGOSTO!T171)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+IF(AGOSTO!S172=0,"",AGOSTO!S172)</f>
        <v>3100000</v>
      </c>
      <c r="T172" s="692" t="str">
        <f>+IF(AGOSTO!T172=0,"",AGOSTO!T172)</f>
        <v>Transferencias al Sector Público</v>
      </c>
      <c r="U172" s="135">
        <f t="shared" ref="U172:AJ172" si="158">SUM(U173:U174)</f>
        <v>5285000</v>
      </c>
      <c r="V172" s="124">
        <f t="shared" si="158"/>
        <v>0</v>
      </c>
      <c r="W172" s="124">
        <f t="shared" si="158"/>
        <v>243136</v>
      </c>
      <c r="X172" s="132">
        <f t="shared" si="158"/>
        <v>5528136</v>
      </c>
      <c r="Y172" s="131">
        <f t="shared" si="158"/>
        <v>2831392</v>
      </c>
      <c r="Z172" s="124">
        <f t="shared" si="158"/>
        <v>323532</v>
      </c>
      <c r="AA172" s="132">
        <f t="shared" si="158"/>
        <v>3154924</v>
      </c>
      <c r="AB172" s="131">
        <f t="shared" si="158"/>
        <v>2507860</v>
      </c>
      <c r="AC172" s="124">
        <f t="shared" si="158"/>
        <v>647064</v>
      </c>
      <c r="AD172" s="132">
        <f t="shared" si="158"/>
        <v>3154924</v>
      </c>
      <c r="AE172" s="131">
        <f t="shared" si="158"/>
        <v>2507860</v>
      </c>
      <c r="AF172" s="124">
        <f t="shared" si="158"/>
        <v>647064</v>
      </c>
      <c r="AG172" s="132">
        <f t="shared" si="158"/>
        <v>3154924</v>
      </c>
      <c r="AH172" s="131">
        <f t="shared" si="158"/>
        <v>2373212</v>
      </c>
      <c r="AI172" s="124">
        <f t="shared" si="158"/>
        <v>2373212</v>
      </c>
      <c r="AJ172" s="133">
        <f t="shared" si="158"/>
        <v>2373212</v>
      </c>
      <c r="AK172" s="9"/>
      <c r="AL172" s="131">
        <f>SUM(AL173:AL174)</f>
        <v>0</v>
      </c>
      <c r="AM172" s="133">
        <f>SUM(AM173:AM174)</f>
        <v>0</v>
      </c>
      <c r="AN172" s="9"/>
    </row>
    <row r="173" spans="1:40" s="385" customFormat="1" ht="24.95" customHeight="1" x14ac:dyDescent="0.2">
      <c r="A173" s="767"/>
      <c r="B173" s="668"/>
      <c r="N173" s="9"/>
      <c r="P173" s="9"/>
      <c r="Q173" s="9"/>
      <c r="R173" s="9"/>
      <c r="S173" s="719">
        <f>+IF(AGOSTO!S173=0,"",AGOSTO!S173)</f>
        <v>3100003</v>
      </c>
      <c r="T173" s="693" t="str">
        <f>+IF(AGOSTO!T173=0,"",AGOSTO!T173)</f>
        <v>Entidades Públicas (Contraloria, Supersalud,…)</v>
      </c>
      <c r="U173" s="27">
        <f>+ENERO!U173</f>
        <v>5285000</v>
      </c>
      <c r="V173" s="15">
        <f>AGOSTO!V173+SEPTIEMBRE!AL173</f>
        <v>0</v>
      </c>
      <c r="W173" s="15">
        <f>AGOSTO!W173+SEPTIEMBRE!AM173</f>
        <v>0</v>
      </c>
      <c r="X173" s="18">
        <f>SUM(U173:W173)</f>
        <v>5285000</v>
      </c>
      <c r="Y173" s="19">
        <f>AGOSTO!AA173</f>
        <v>2588256</v>
      </c>
      <c r="Z173" s="377">
        <v>323532</v>
      </c>
      <c r="AA173" s="18">
        <f>SUM(Y173:Z173)</f>
        <v>2911788</v>
      </c>
      <c r="AB173" s="19">
        <f>AGOSTO!AD173</f>
        <v>2264724</v>
      </c>
      <c r="AC173" s="377">
        <f>323532*2</f>
        <v>647064</v>
      </c>
      <c r="AD173" s="18">
        <f>SUM(AB173:AC173)</f>
        <v>2911788</v>
      </c>
      <c r="AE173" s="19">
        <f>AGOSTO!AG173</f>
        <v>2264724</v>
      </c>
      <c r="AF173" s="377">
        <v>647064</v>
      </c>
      <c r="AG173" s="18">
        <f>SUM(AE173:AF173)</f>
        <v>2911788</v>
      </c>
      <c r="AH173" s="19">
        <f>X173-AA173</f>
        <v>2373212</v>
      </c>
      <c r="AI173" s="15">
        <f>X173-AD173</f>
        <v>2373212</v>
      </c>
      <c r="AJ173" s="16">
        <f>X173-AG173</f>
        <v>2373212</v>
      </c>
      <c r="AK173" s="9"/>
      <c r="AL173" s="375">
        <v>0</v>
      </c>
      <c r="AM173" s="378">
        <v>0</v>
      </c>
      <c r="AN173" s="9"/>
    </row>
    <row r="174" spans="1:40" s="385" customFormat="1" ht="24.95" customHeight="1" x14ac:dyDescent="0.2">
      <c r="A174" s="767"/>
      <c r="B174" s="668"/>
      <c r="N174" s="9"/>
      <c r="P174" s="9"/>
      <c r="Q174" s="9"/>
      <c r="R174" s="9"/>
      <c r="S174" s="719">
        <f>+IF(AGOSTO!S174=0,"",AGOSTO!S174)</f>
        <v>3199999</v>
      </c>
      <c r="T174" s="693" t="str">
        <f>+IF(AGOSTO!T174=0,"",AGOSTO!T174)</f>
        <v>Vigencias Anteriores</v>
      </c>
      <c r="U174" s="27">
        <f>+ENERO!U174</f>
        <v>0</v>
      </c>
      <c r="V174" s="15">
        <f>AGOSTO!V174+SEPTIEMBRE!AL174</f>
        <v>0</v>
      </c>
      <c r="W174" s="15">
        <f>AGOSTO!W174+SEPTIEMBRE!AM174</f>
        <v>243136</v>
      </c>
      <c r="X174" s="18">
        <f>SUM(U174:W174)</f>
        <v>243136</v>
      </c>
      <c r="Y174" s="19">
        <f>AGOSTO!AA174</f>
        <v>243136</v>
      </c>
      <c r="Z174" s="377">
        <v>0</v>
      </c>
      <c r="AA174" s="18">
        <f>SUM(Y174:Z174)</f>
        <v>243136</v>
      </c>
      <c r="AB174" s="19">
        <f>AGOSTO!AD174</f>
        <v>243136</v>
      </c>
      <c r="AC174" s="377">
        <v>0</v>
      </c>
      <c r="AD174" s="18">
        <f>SUM(AB174:AC174)</f>
        <v>243136</v>
      </c>
      <c r="AE174" s="19">
        <f>AGOSTO!AG174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+IF(AGOSTO!S175=0,"",AGOSTO!S175)</f>
        <v/>
      </c>
      <c r="T175" s="708" t="str">
        <f>+IF(AGOSTO!T175=0,"",AGOSTO!T175)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+IF(AGOSTO!S176=0,"",AGOSTO!S176)</f>
        <v>320000</v>
      </c>
      <c r="T176" s="692" t="str">
        <f>+IF(AGOSTO!T176=0,"",AGOSTO!T176)</f>
        <v>Transf. Previsión y Seguridad Social</v>
      </c>
      <c r="U176" s="135">
        <f t="shared" ref="U176:AJ176" si="159">SUM(U177:U183)</f>
        <v>51170820</v>
      </c>
      <c r="V176" s="124">
        <f t="shared" si="159"/>
        <v>0</v>
      </c>
      <c r="W176" s="124">
        <f t="shared" si="159"/>
        <v>8290292</v>
      </c>
      <c r="X176" s="132">
        <f t="shared" si="159"/>
        <v>59461112</v>
      </c>
      <c r="Y176" s="131">
        <f t="shared" si="159"/>
        <v>28875427</v>
      </c>
      <c r="Z176" s="124">
        <f t="shared" si="159"/>
        <v>3306319</v>
      </c>
      <c r="AA176" s="132">
        <f t="shared" si="159"/>
        <v>32181746</v>
      </c>
      <c r="AB176" s="131">
        <f t="shared" si="159"/>
        <v>28875427</v>
      </c>
      <c r="AC176" s="124">
        <f t="shared" si="159"/>
        <v>3306319</v>
      </c>
      <c r="AD176" s="132">
        <f t="shared" si="159"/>
        <v>32181746</v>
      </c>
      <c r="AE176" s="131">
        <f t="shared" si="159"/>
        <v>28682721</v>
      </c>
      <c r="AF176" s="124">
        <f t="shared" si="159"/>
        <v>2724635</v>
      </c>
      <c r="AG176" s="132">
        <f t="shared" si="159"/>
        <v>31407356</v>
      </c>
      <c r="AH176" s="131">
        <f t="shared" si="159"/>
        <v>27279366</v>
      </c>
      <c r="AI176" s="124">
        <f t="shared" si="159"/>
        <v>27279366</v>
      </c>
      <c r="AJ176" s="133">
        <f t="shared" si="159"/>
        <v>28053756</v>
      </c>
      <c r="AK176" s="9"/>
      <c r="AL176" s="131">
        <f>SUM(AL177:AL183)</f>
        <v>0</v>
      </c>
      <c r="AM176" s="133">
        <f>SUM(AM177:AM183)</f>
        <v>0</v>
      </c>
      <c r="AN176" s="9"/>
    </row>
    <row r="177" spans="1:40" s="385" customFormat="1" ht="24.95" customHeight="1" x14ac:dyDescent="0.2">
      <c r="A177" s="767"/>
      <c r="B177" s="668"/>
      <c r="N177" s="9"/>
      <c r="P177" s="9"/>
      <c r="Q177" s="9"/>
      <c r="R177" s="9"/>
      <c r="S177" s="719">
        <f>+IF(AGOSTO!S177=0,"",AGOSTO!S177)</f>
        <v>3200100</v>
      </c>
      <c r="T177" s="693" t="str">
        <f>+IF(AGOSTO!T177=0,"",AGOSTO!T177)</f>
        <v>Pensiones y Jubilaciones (Pago Directo)</v>
      </c>
      <c r="U177" s="27">
        <f>+ENERO!U177</f>
        <v>39279816</v>
      </c>
      <c r="V177" s="15">
        <f>AGOSTO!V177+SEPTIEMBRE!AL177</f>
        <v>0</v>
      </c>
      <c r="W177" s="15">
        <f>AGOSTO!W177+SEPTIEMBRE!AM177</f>
        <v>0</v>
      </c>
      <c r="X177" s="18">
        <f t="shared" ref="X177:X183" si="160">SUM(U177:W177)</f>
        <v>39279816</v>
      </c>
      <c r="Y177" s="19">
        <f>AGOSTO!AA177</f>
        <v>20353332</v>
      </c>
      <c r="Z177" s="377">
        <v>2544030</v>
      </c>
      <c r="AA177" s="18">
        <f t="shared" ref="AA177:AA183" si="161">SUM(Y177:Z177)</f>
        <v>22897362</v>
      </c>
      <c r="AB177" s="19">
        <f>AGOSTO!AD177</f>
        <v>20353332</v>
      </c>
      <c r="AC177" s="377">
        <v>2544030</v>
      </c>
      <c r="AD177" s="18">
        <f t="shared" ref="AD177:AD183" si="162">SUM(AB177:AC177)</f>
        <v>22897362</v>
      </c>
      <c r="AE177" s="19">
        <f>AGOSTO!AG177</f>
        <v>20353332</v>
      </c>
      <c r="AF177" s="377">
        <v>2544030</v>
      </c>
      <c r="AG177" s="18">
        <f t="shared" ref="AG177:AG183" si="163">SUM(AE177:AF177)</f>
        <v>22897362</v>
      </c>
      <c r="AH177" s="19">
        <f t="shared" ref="AH177:AH183" si="164">X177-AA177</f>
        <v>16382454</v>
      </c>
      <c r="AI177" s="15">
        <f t="shared" ref="AI177:AI183" si="165">X177-AD177</f>
        <v>16382454</v>
      </c>
      <c r="AJ177" s="16">
        <f t="shared" ref="AJ177:AJ183" si="166">X177-AG177</f>
        <v>16382454</v>
      </c>
      <c r="AK177" s="9"/>
      <c r="AL177" s="375">
        <v>0</v>
      </c>
      <c r="AM177" s="378">
        <v>0</v>
      </c>
      <c r="AN177" s="9"/>
    </row>
    <row r="178" spans="1:40" s="385" customFormat="1" ht="24.95" customHeight="1" x14ac:dyDescent="0.2">
      <c r="A178" s="767"/>
      <c r="B178" s="668"/>
      <c r="N178" s="9"/>
      <c r="P178" s="9"/>
      <c r="Q178" s="9"/>
      <c r="R178" s="9"/>
      <c r="S178" s="719">
        <f>+IF(AGOSTO!S178=0,"",AGOSTO!S178)</f>
        <v>3200200</v>
      </c>
      <c r="T178" s="693" t="str">
        <f>+IF(AGOSTO!T178=0,"",AGOSTO!T178)</f>
        <v>Cesantías Pago Directo (Pago Directo)</v>
      </c>
      <c r="U178" s="27">
        <f>+ENERO!U178</f>
        <v>11891004</v>
      </c>
      <c r="V178" s="15">
        <f>AGOSTO!V178+SEPTIEMBRE!AL178</f>
        <v>-11891004</v>
      </c>
      <c r="W178" s="15">
        <f>AGOSTO!W178+SEPTIEMBRE!AM178</f>
        <v>0</v>
      </c>
      <c r="X178" s="18">
        <f t="shared" si="160"/>
        <v>0</v>
      </c>
      <c r="Y178" s="19">
        <f>AGOSTO!AA178</f>
        <v>0</v>
      </c>
      <c r="Z178" s="377">
        <v>0</v>
      </c>
      <c r="AA178" s="18">
        <f t="shared" si="161"/>
        <v>0</v>
      </c>
      <c r="AB178" s="19">
        <f>AGOSTO!AD178</f>
        <v>0</v>
      </c>
      <c r="AC178" s="377">
        <v>0</v>
      </c>
      <c r="AD178" s="18">
        <f t="shared" si="162"/>
        <v>0</v>
      </c>
      <c r="AE178" s="19">
        <f>AGOSTO!AG178</f>
        <v>0</v>
      </c>
      <c r="AF178" s="377">
        <v>0</v>
      </c>
      <c r="AG178" s="18">
        <f t="shared" si="163"/>
        <v>0</v>
      </c>
      <c r="AH178" s="19">
        <f t="shared" si="164"/>
        <v>0</v>
      </c>
      <c r="AI178" s="15">
        <f t="shared" si="165"/>
        <v>0</v>
      </c>
      <c r="AJ178" s="16">
        <f t="shared" si="166"/>
        <v>0</v>
      </c>
      <c r="AK178" s="9"/>
      <c r="AL178" s="375">
        <v>0</v>
      </c>
      <c r="AM178" s="378">
        <v>0</v>
      </c>
      <c r="AN178" s="9"/>
    </row>
    <row r="179" spans="1:40" s="385" customFormat="1" ht="24.95" customHeight="1" x14ac:dyDescent="0.2">
      <c r="A179" s="767"/>
      <c r="B179" s="668"/>
      <c r="N179" s="9"/>
      <c r="P179" s="9"/>
      <c r="Q179" s="9"/>
      <c r="R179" s="9"/>
      <c r="S179" s="719">
        <f>+IF(AGOSTO!S179=0,"",AGOSTO!S179)</f>
        <v>3200300</v>
      </c>
      <c r="T179" s="693" t="str">
        <f>+IF(AGOSTO!T179=0,"",AGOSTO!T179)</f>
        <v>Bonos, Cuotas de Bonos y cuotas partes jubilatorias</v>
      </c>
      <c r="U179" s="27">
        <f>+ENERO!U179</f>
        <v>0</v>
      </c>
      <c r="V179" s="15">
        <f>AGOSTO!V179+SEPTIEMBRE!AL179</f>
        <v>0</v>
      </c>
      <c r="W179" s="15">
        <f>AGOSTO!W179+SEPTIEMBRE!AM179</f>
        <v>0</v>
      </c>
      <c r="X179" s="18">
        <f t="shared" si="160"/>
        <v>0</v>
      </c>
      <c r="Y179" s="19">
        <f>AGOSTO!AA179</f>
        <v>0</v>
      </c>
      <c r="Z179" s="377">
        <v>0</v>
      </c>
      <c r="AA179" s="18">
        <f t="shared" si="161"/>
        <v>0</v>
      </c>
      <c r="AB179" s="19">
        <f>AGOSTO!AD179</f>
        <v>0</v>
      </c>
      <c r="AC179" s="377">
        <v>0</v>
      </c>
      <c r="AD179" s="18">
        <f t="shared" si="162"/>
        <v>0</v>
      </c>
      <c r="AE179" s="19">
        <f>AGOSTO!AG179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+IF(AGOSTO!S180=0,"",AGOSTO!S180)</f>
        <v>3200400</v>
      </c>
      <c r="T180" s="693" t="str">
        <f>+IF(AGOSTO!T180=0,"",AGOSTO!T180)</f>
        <v>Intereses a las cesantias</v>
      </c>
      <c r="U180" s="27">
        <f>+ENERO!U180</f>
        <v>0</v>
      </c>
      <c r="V180" s="15">
        <f>AGOSTO!V180+SEPTIEMBRE!AL180</f>
        <v>11891004</v>
      </c>
      <c r="W180" s="15">
        <f>AGOSTO!W180+SEPTIEMBRE!AM180</f>
        <v>0</v>
      </c>
      <c r="X180" s="18">
        <f t="shared" si="160"/>
        <v>11891004</v>
      </c>
      <c r="Y180" s="19">
        <f>AGOSTO!AA180</f>
        <v>231803</v>
      </c>
      <c r="Z180" s="377">
        <v>762289</v>
      </c>
      <c r="AA180" s="18">
        <f t="shared" si="161"/>
        <v>994092</v>
      </c>
      <c r="AB180" s="19">
        <f>AGOSTO!AD180</f>
        <v>231803</v>
      </c>
      <c r="AC180" s="377">
        <v>762289</v>
      </c>
      <c r="AD180" s="18">
        <f t="shared" si="162"/>
        <v>994092</v>
      </c>
      <c r="AE180" s="19">
        <f>AGOSTO!AG180</f>
        <v>51198</v>
      </c>
      <c r="AF180" s="377">
        <v>180605</v>
      </c>
      <c r="AG180" s="18">
        <f t="shared" si="163"/>
        <v>231803</v>
      </c>
      <c r="AH180" s="19">
        <f t="shared" si="164"/>
        <v>10896912</v>
      </c>
      <c r="AI180" s="15">
        <f t="shared" si="165"/>
        <v>10896912</v>
      </c>
      <c r="AJ180" s="16">
        <f t="shared" si="166"/>
        <v>11659201</v>
      </c>
      <c r="AK180" s="9"/>
      <c r="AL180" s="375">
        <v>0</v>
      </c>
      <c r="AM180" s="378">
        <v>0</v>
      </c>
      <c r="AN180" s="9"/>
    </row>
    <row r="181" spans="1:40" s="385" customFormat="1" ht="24.95" customHeight="1" x14ac:dyDescent="0.2">
      <c r="A181" s="767"/>
      <c r="B181" s="668"/>
      <c r="N181" s="9"/>
      <c r="P181" s="9"/>
      <c r="Q181" s="9"/>
      <c r="R181" s="9"/>
      <c r="S181" s="719" t="str">
        <f>+IF(AGOSTO!S181=0,"",AGOSTO!S181)</f>
        <v/>
      </c>
      <c r="T181" s="693" t="str">
        <f>+IF(AGOSTO!T181=0,"",AGOSTO!T181)</f>
        <v/>
      </c>
      <c r="U181" s="27">
        <f>+ENERO!U181</f>
        <v>0</v>
      </c>
      <c r="V181" s="15">
        <f>AGOSTO!V181+SEPTIEMBRE!AL181</f>
        <v>0</v>
      </c>
      <c r="W181" s="15">
        <f>AGOSTO!W181+SEPTIEMBRE!AM181</f>
        <v>0</v>
      </c>
      <c r="X181" s="18">
        <f t="shared" si="160"/>
        <v>0</v>
      </c>
      <c r="Y181" s="19">
        <f>AGOSTO!AA181</f>
        <v>0</v>
      </c>
      <c r="Z181" s="377">
        <v>0</v>
      </c>
      <c r="AA181" s="18">
        <f t="shared" si="161"/>
        <v>0</v>
      </c>
      <c r="AB181" s="19">
        <f>AGOSTO!AD181</f>
        <v>0</v>
      </c>
      <c r="AC181" s="377">
        <v>0</v>
      </c>
      <c r="AD181" s="18">
        <f t="shared" si="162"/>
        <v>0</v>
      </c>
      <c r="AE181" s="19">
        <f>AGOSTO!AG181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+IF(AGOSTO!S182=0,"",AGOSTO!S182)</f>
        <v/>
      </c>
      <c r="T182" s="693" t="str">
        <f>+IF(AGOSTO!T182=0,"",AGOSTO!T182)</f>
        <v/>
      </c>
      <c r="U182" s="27">
        <f>+ENERO!U182</f>
        <v>0</v>
      </c>
      <c r="V182" s="15">
        <f>AGOSTO!V182+SEPTIEMBRE!AL182</f>
        <v>0</v>
      </c>
      <c r="W182" s="15">
        <f>AGOSTO!W182+SEPTIEMBRE!AM182</f>
        <v>0</v>
      </c>
      <c r="X182" s="18">
        <f t="shared" si="160"/>
        <v>0</v>
      </c>
      <c r="Y182" s="19">
        <f>AGOSTO!AA182</f>
        <v>0</v>
      </c>
      <c r="Z182" s="377">
        <v>0</v>
      </c>
      <c r="AA182" s="18">
        <f t="shared" si="161"/>
        <v>0</v>
      </c>
      <c r="AB182" s="19">
        <f>AGOSTO!AD182</f>
        <v>0</v>
      </c>
      <c r="AC182" s="377">
        <v>0</v>
      </c>
      <c r="AD182" s="18">
        <f t="shared" si="162"/>
        <v>0</v>
      </c>
      <c r="AE182" s="19">
        <f>AGOSTO!AG182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+IF(AGOSTO!S183=0,"",AGOSTO!S183)</f>
        <v>3299999</v>
      </c>
      <c r="T183" s="693" t="str">
        <f>+IF(AGOSTO!T183=0,"",AGOSTO!T183)</f>
        <v>Vigencias Anteriores</v>
      </c>
      <c r="U183" s="27">
        <f>+ENERO!U183</f>
        <v>0</v>
      </c>
      <c r="V183" s="15">
        <f>AGOSTO!V183+SEPTIEMBRE!AL183</f>
        <v>0</v>
      </c>
      <c r="W183" s="15">
        <f>AGOSTO!W183+SEPTIEMBRE!AM183</f>
        <v>8290292</v>
      </c>
      <c r="X183" s="18">
        <f t="shared" si="160"/>
        <v>8290292</v>
      </c>
      <c r="Y183" s="19">
        <f>AGOSTO!AA183</f>
        <v>8290292</v>
      </c>
      <c r="Z183" s="377">
        <v>0</v>
      </c>
      <c r="AA183" s="18">
        <f t="shared" si="161"/>
        <v>8290292</v>
      </c>
      <c r="AB183" s="19">
        <f>AGOSTO!AD183</f>
        <v>8290292</v>
      </c>
      <c r="AC183" s="377">
        <v>0</v>
      </c>
      <c r="AD183" s="18">
        <f t="shared" si="162"/>
        <v>8290292</v>
      </c>
      <c r="AE183" s="19">
        <f>AGOSTO!AG183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+IF(AGOSTO!S184=0,"",AGOSTO!S184)</f>
        <v/>
      </c>
      <c r="T184" s="708" t="str">
        <f>+IF(AGOSTO!T184=0,"",AGOSTO!T184)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+IF(AGOSTO!S185=0,"",AGOSTO!S185)</f>
        <v>3300000</v>
      </c>
      <c r="T185" s="692" t="str">
        <f>+IF(AGOSTO!T185=0,"",AGOSTO!T185)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447325</v>
      </c>
      <c r="AF185" s="124">
        <f t="shared" si="167"/>
        <v>0</v>
      </c>
      <c r="AG185" s="132">
        <f t="shared" si="167"/>
        <v>447325</v>
      </c>
      <c r="AH185" s="131">
        <f t="shared" si="167"/>
        <v>3747542</v>
      </c>
      <c r="AI185" s="124">
        <f t="shared" si="167"/>
        <v>3747542</v>
      </c>
      <c r="AJ185" s="133">
        <f t="shared" si="167"/>
        <v>9057521</v>
      </c>
      <c r="AK185" s="9"/>
      <c r="AL185" s="131">
        <f>AL186+AL187+AL191</f>
        <v>0</v>
      </c>
      <c r="AM185" s="133">
        <f>AM186+AM187+AM191</f>
        <v>0</v>
      </c>
      <c r="AN185" s="9"/>
    </row>
    <row r="186" spans="1:40" s="385" customFormat="1" ht="24.95" customHeight="1" x14ac:dyDescent="0.2">
      <c r="A186" s="767"/>
      <c r="B186" s="668"/>
      <c r="N186" s="9"/>
      <c r="P186" s="9"/>
      <c r="Q186" s="9"/>
      <c r="R186" s="9"/>
      <c r="S186" s="719">
        <f>+IF(AGOSTO!S186=0,"",AGOSTO!S186)</f>
        <v>3300100</v>
      </c>
      <c r="T186" s="693" t="str">
        <f>+IF(AGOSTO!T186=0,"",AGOSTO!T186)</f>
        <v>Sentencias y Conciliaciones</v>
      </c>
      <c r="U186" s="27">
        <f>+ENERO!U186</f>
        <v>0</v>
      </c>
      <c r="V186" s="15">
        <f>AGOSTO!V186+SEPTIEMBRE!AL186</f>
        <v>0</v>
      </c>
      <c r="W186" s="15">
        <f>AGOSTO!W186+SEPTIEMBRE!AM186</f>
        <v>0</v>
      </c>
      <c r="X186" s="18">
        <f>SUM(U186:W186)</f>
        <v>0</v>
      </c>
      <c r="Y186" s="19">
        <f>AGOSTO!AA186</f>
        <v>0</v>
      </c>
      <c r="Z186" s="377">
        <v>0</v>
      </c>
      <c r="AA186" s="18">
        <f>SUM(Y186:Z186)</f>
        <v>0</v>
      </c>
      <c r="AB186" s="19">
        <f>AGOSTO!AD186</f>
        <v>0</v>
      </c>
      <c r="AC186" s="377">
        <v>0</v>
      </c>
      <c r="AD186" s="18">
        <f>SUM(AB186:AC186)</f>
        <v>0</v>
      </c>
      <c r="AE186" s="19">
        <f>AGOSTO!AG186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+IF(AGOSTO!S187=0,"",AGOSTO!S187)</f>
        <v>3300200</v>
      </c>
      <c r="T187" s="693" t="str">
        <f>+IF(AGOSTO!T187=0,"",AGOSTO!T187)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58943</v>
      </c>
      <c r="AF187" s="145">
        <f t="shared" si="168"/>
        <v>0</v>
      </c>
      <c r="AG187" s="18">
        <f t="shared" si="168"/>
        <v>58943</v>
      </c>
      <c r="AH187" s="19">
        <f t="shared" si="168"/>
        <v>3747542</v>
      </c>
      <c r="AI187" s="15">
        <f t="shared" si="168"/>
        <v>3747542</v>
      </c>
      <c r="AJ187" s="16">
        <f t="shared" si="168"/>
        <v>9057521</v>
      </c>
      <c r="AK187" s="9"/>
      <c r="AL187" s="29">
        <f t="shared" si="168"/>
        <v>0</v>
      </c>
      <c r="AM187" s="26">
        <f t="shared" si="168"/>
        <v>0</v>
      </c>
      <c r="AN187" s="9"/>
    </row>
    <row r="188" spans="1:40" s="385" customFormat="1" ht="24.95" customHeight="1" x14ac:dyDescent="0.2">
      <c r="A188" s="767"/>
      <c r="B188" s="669"/>
      <c r="N188" s="9"/>
      <c r="P188" s="9"/>
      <c r="Q188" s="9"/>
      <c r="R188" s="9"/>
      <c r="S188" s="720" t="str">
        <f>+IF(AGOSTO!S188=0,"",AGOSTO!S188)</f>
        <v>3300200-1</v>
      </c>
      <c r="T188" s="693" t="str">
        <f>+IF(AGOSTO!T188=0,"",AGOSTO!T188)</f>
        <v>COHAN</v>
      </c>
      <c r="U188" s="27">
        <f>+ENERO!U188</f>
        <v>793940</v>
      </c>
      <c r="V188" s="15">
        <f>AGOSTO!V188+SEPTIEMBRE!AL188</f>
        <v>0</v>
      </c>
      <c r="W188" s="15">
        <f>AGOSTO!W188+SEPTIEMBRE!AM188</f>
        <v>5500000</v>
      </c>
      <c r="X188" s="18">
        <f>SUM(U188:W188)</f>
        <v>6293940</v>
      </c>
      <c r="Y188" s="19">
        <f>AGOSTO!AA188</f>
        <v>2791522</v>
      </c>
      <c r="Z188" s="377">
        <v>0</v>
      </c>
      <c r="AA188" s="18">
        <f>SUM(Y188:Z188)</f>
        <v>2791522</v>
      </c>
      <c r="AB188" s="19">
        <f>AGOSTO!AD188</f>
        <v>2791522</v>
      </c>
      <c r="AC188" s="377">
        <v>0</v>
      </c>
      <c r="AD188" s="18">
        <f>SUM(AB188:AC188)</f>
        <v>2791522</v>
      </c>
      <c r="AE188" s="19">
        <f>AGOSTO!AG188</f>
        <v>58943</v>
      </c>
      <c r="AF188" s="377">
        <v>0</v>
      </c>
      <c r="AG188" s="18">
        <f>SUM(AE188:AF188)</f>
        <v>58943</v>
      </c>
      <c r="AH188" s="19">
        <f>X188-AA188</f>
        <v>3502418</v>
      </c>
      <c r="AI188" s="15">
        <f>X188-AD188</f>
        <v>3502418</v>
      </c>
      <c r="AJ188" s="16">
        <f>X188-AG188</f>
        <v>6234997</v>
      </c>
      <c r="AK188" s="9"/>
      <c r="AL188" s="375">
        <v>0</v>
      </c>
      <c r="AM188" s="378">
        <v>0</v>
      </c>
      <c r="AN188" s="9"/>
    </row>
    <row r="189" spans="1:40" s="385" customFormat="1" ht="24.95" customHeight="1" x14ac:dyDescent="0.2">
      <c r="A189" s="767"/>
      <c r="B189" s="669"/>
      <c r="N189" s="9"/>
      <c r="P189" s="9"/>
      <c r="Q189" s="9"/>
      <c r="R189" s="9"/>
      <c r="S189" s="720" t="str">
        <f>+IF(AGOSTO!S189=0,"",AGOSTO!S189)</f>
        <v>3300200-2</v>
      </c>
      <c r="T189" s="693" t="str">
        <f>+IF(AGOSTO!T189=0,"",AGOSTO!T189)</f>
        <v>AESA</v>
      </c>
      <c r="U189" s="27">
        <f>+ENERO!U189</f>
        <v>2822524</v>
      </c>
      <c r="V189" s="15">
        <f>AGOSTO!V189+SEPTIEMBRE!AL189</f>
        <v>0</v>
      </c>
      <c r="W189" s="15">
        <f>AGOSTO!W189+SEPTIEMBRE!AM189</f>
        <v>0</v>
      </c>
      <c r="X189" s="18">
        <f>SUM(U189:W189)</f>
        <v>2822524</v>
      </c>
      <c r="Y189" s="19">
        <f>AGOSTO!AA189</f>
        <v>2577400</v>
      </c>
      <c r="Z189" s="377">
        <v>0</v>
      </c>
      <c r="AA189" s="18">
        <f>SUM(Y189:Z189)</f>
        <v>2577400</v>
      </c>
      <c r="AB189" s="19">
        <f>AGOSTO!AD189</f>
        <v>2577400</v>
      </c>
      <c r="AC189" s="377">
        <v>0</v>
      </c>
      <c r="AD189" s="18">
        <f>SUM(AB189:AC189)</f>
        <v>2577400</v>
      </c>
      <c r="AE189" s="19">
        <f>AGOSTO!AG189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+IF(AGOSTO!S190=0,"",AGOSTO!S190)</f>
        <v>3300200-3</v>
      </c>
      <c r="T190" s="693" t="str">
        <f>+IF(AGOSTO!T190=0,"",AGOSTO!T190)</f>
        <v xml:space="preserve">OTRAS </v>
      </c>
      <c r="U190" s="27">
        <f>+ENERO!U190</f>
        <v>0</v>
      </c>
      <c r="V190" s="15">
        <f>AGOSTO!V190+SEPTIEMBRE!AL190</f>
        <v>0</v>
      </c>
      <c r="W190" s="15">
        <f>AGOSTO!W190+SEPTIEMBRE!AM190</f>
        <v>0</v>
      </c>
      <c r="X190" s="18">
        <f>SUM(U190:W190)</f>
        <v>0</v>
      </c>
      <c r="Y190" s="19">
        <f>AGOSTO!AA190</f>
        <v>0</v>
      </c>
      <c r="Z190" s="377">
        <v>0</v>
      </c>
      <c r="AA190" s="18">
        <f>SUM(Y190:Z190)</f>
        <v>0</v>
      </c>
      <c r="AB190" s="19">
        <f>AGOSTO!AD190</f>
        <v>0</v>
      </c>
      <c r="AC190" s="377">
        <v>0</v>
      </c>
      <c r="AD190" s="18">
        <f>SUM(AB190:AC190)</f>
        <v>0</v>
      </c>
      <c r="AE190" s="19">
        <f>AGOSTO!AG190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+IF(AGOSTO!S191=0,"",AGOSTO!S191)</f>
        <v>3399999</v>
      </c>
      <c r="T191" s="693" t="str">
        <f>+IF(AGOSTO!T191=0,"",AGOSTO!T191)</f>
        <v>Vigencias Anteriores</v>
      </c>
      <c r="U191" s="27">
        <f>+ENERO!U191</f>
        <v>0</v>
      </c>
      <c r="V191" s="15">
        <f>AGOSTO!V191+SEPTIEMBRE!AL191</f>
        <v>0</v>
      </c>
      <c r="W191" s="15">
        <f>AGOSTO!W191+SEPTIEMBRE!AM191</f>
        <v>388382</v>
      </c>
      <c r="X191" s="18">
        <f>SUM(U191:W191)</f>
        <v>388382</v>
      </c>
      <c r="Y191" s="19">
        <f>AGOSTO!AA191</f>
        <v>388382</v>
      </c>
      <c r="Z191" s="377">
        <v>0</v>
      </c>
      <c r="AA191" s="18">
        <f>SUM(Y191:Z191)</f>
        <v>388382</v>
      </c>
      <c r="AB191" s="19">
        <f>AGOSTO!AD191</f>
        <v>388382</v>
      </c>
      <c r="AC191" s="377">
        <v>0</v>
      </c>
      <c r="AD191" s="18">
        <f>SUM(AB191:AC191)</f>
        <v>388382</v>
      </c>
      <c r="AE191" s="19">
        <f>AGOSTO!AG191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+IF(AGOSTO!S192=0,"",AGOSTO!S192)</f>
        <v/>
      </c>
      <c r="T192" s="708" t="str">
        <f>+IF(AGOSTO!T192=0,"",AGOSTO!T192)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+IF(AGOSTO!S193=0,"",AGOSTO!S193)</f>
        <v>4000000</v>
      </c>
      <c r="T193" s="697" t="str">
        <f>+IF(AGOSTO!T193=0,"",AGOSTO!T193)</f>
        <v>GASTOS  DE PRESTACION DE SERVICIOS</v>
      </c>
      <c r="U193" s="473">
        <f t="shared" ref="U193:AJ193" si="169">U194</f>
        <v>272529328</v>
      </c>
      <c r="V193" s="474">
        <f t="shared" si="169"/>
        <v>-27900000</v>
      </c>
      <c r="W193" s="474">
        <f t="shared" si="169"/>
        <v>196423942</v>
      </c>
      <c r="X193" s="475">
        <f t="shared" si="169"/>
        <v>441053270</v>
      </c>
      <c r="Y193" s="382">
        <f t="shared" si="169"/>
        <v>321123874</v>
      </c>
      <c r="Z193" s="474">
        <f t="shared" si="169"/>
        <v>33611058</v>
      </c>
      <c r="AA193" s="475">
        <f t="shared" si="169"/>
        <v>354734932</v>
      </c>
      <c r="AB193" s="382">
        <f t="shared" si="169"/>
        <v>306766777</v>
      </c>
      <c r="AC193" s="474">
        <f t="shared" si="169"/>
        <v>36159211</v>
      </c>
      <c r="AD193" s="475">
        <f t="shared" si="169"/>
        <v>342925988</v>
      </c>
      <c r="AE193" s="382">
        <f t="shared" si="169"/>
        <v>156443992</v>
      </c>
      <c r="AF193" s="474">
        <f t="shared" si="169"/>
        <v>21273150</v>
      </c>
      <c r="AG193" s="475">
        <f t="shared" si="169"/>
        <v>177717142</v>
      </c>
      <c r="AH193" s="382">
        <f t="shared" si="169"/>
        <v>86318338</v>
      </c>
      <c r="AI193" s="474">
        <f t="shared" si="169"/>
        <v>98127282</v>
      </c>
      <c r="AJ193" s="383">
        <f t="shared" si="169"/>
        <v>263336128</v>
      </c>
      <c r="AK193" s="9"/>
      <c r="AL193" s="131">
        <f>AL194</f>
        <v>0</v>
      </c>
      <c r="AM193" s="133">
        <f>AM194</f>
        <v>0</v>
      </c>
      <c r="AN193" s="9"/>
    </row>
    <row r="194" spans="1:40" s="385" customFormat="1" ht="24.95" customHeight="1" x14ac:dyDescent="0.2">
      <c r="A194" s="767"/>
      <c r="B194" s="669"/>
      <c r="N194" s="9"/>
      <c r="P194" s="9"/>
      <c r="Q194" s="9"/>
      <c r="R194" s="9"/>
      <c r="S194" s="718">
        <f>+IF(AGOSTO!S194=0,"",AGOSTO!S194)</f>
        <v>4100000</v>
      </c>
      <c r="T194" s="692" t="str">
        <f>+IF(AGOSTO!T194=0,"",AGOSTO!T194)</f>
        <v>Insumos y Suministros Hospitalarios</v>
      </c>
      <c r="U194" s="135">
        <f t="shared" ref="U194:AJ194" si="170">U195+U203+U205</f>
        <v>272529328</v>
      </c>
      <c r="V194" s="124">
        <f t="shared" si="170"/>
        <v>-27900000</v>
      </c>
      <c r="W194" s="124">
        <f t="shared" si="170"/>
        <v>196423942</v>
      </c>
      <c r="X194" s="132">
        <f t="shared" si="170"/>
        <v>441053270</v>
      </c>
      <c r="Y194" s="131">
        <f t="shared" si="170"/>
        <v>321123874</v>
      </c>
      <c r="Z194" s="124">
        <f t="shared" si="170"/>
        <v>33611058</v>
      </c>
      <c r="AA194" s="132">
        <f t="shared" si="170"/>
        <v>354734932</v>
      </c>
      <c r="AB194" s="131">
        <f t="shared" si="170"/>
        <v>306766777</v>
      </c>
      <c r="AC194" s="124">
        <f t="shared" si="170"/>
        <v>36159211</v>
      </c>
      <c r="AD194" s="132">
        <f t="shared" si="170"/>
        <v>342925988</v>
      </c>
      <c r="AE194" s="131">
        <f t="shared" si="170"/>
        <v>156443992</v>
      </c>
      <c r="AF194" s="124">
        <f t="shared" si="170"/>
        <v>21273150</v>
      </c>
      <c r="AG194" s="132">
        <f t="shared" si="170"/>
        <v>177717142</v>
      </c>
      <c r="AH194" s="131">
        <f t="shared" si="170"/>
        <v>86318338</v>
      </c>
      <c r="AI194" s="124">
        <f t="shared" si="170"/>
        <v>98127282</v>
      </c>
      <c r="AJ194" s="133">
        <f t="shared" si="170"/>
        <v>263336128</v>
      </c>
      <c r="AK194" s="10"/>
      <c r="AL194" s="131">
        <f>AL195+AL203+AL205</f>
        <v>0</v>
      </c>
      <c r="AM194" s="133">
        <f>AM195+AM203+AM205</f>
        <v>0</v>
      </c>
      <c r="AN194" s="9"/>
    </row>
    <row r="195" spans="1:40" s="385" customFormat="1" ht="24.95" customHeight="1" x14ac:dyDescent="0.2">
      <c r="A195" s="767"/>
      <c r="B195" s="669"/>
      <c r="N195" s="9"/>
      <c r="P195" s="9"/>
      <c r="Q195" s="9"/>
      <c r="R195" s="9"/>
      <c r="S195" s="719">
        <f>+IF(AGOSTO!S195=0,"",AGOSTO!S195)</f>
        <v>4100100</v>
      </c>
      <c r="T195" s="693" t="str">
        <f>+IF(AGOSTO!T195=0,"",AGOSTO!T195)</f>
        <v>Compra de Bienes para la Prestacion de servicios</v>
      </c>
      <c r="U195" s="27">
        <f t="shared" ref="U195:AJ195" si="171">SUM(U196:U202)</f>
        <v>240561284</v>
      </c>
      <c r="V195" s="15">
        <f t="shared" si="171"/>
        <v>-30900000</v>
      </c>
      <c r="W195" s="15">
        <f t="shared" si="171"/>
        <v>104588010</v>
      </c>
      <c r="X195" s="18">
        <f t="shared" si="171"/>
        <v>314249294</v>
      </c>
      <c r="Y195" s="19">
        <f t="shared" si="171"/>
        <v>203562416</v>
      </c>
      <c r="Z195" s="145">
        <f t="shared" si="171"/>
        <v>30402274</v>
      </c>
      <c r="AA195" s="18">
        <f t="shared" si="171"/>
        <v>233964690</v>
      </c>
      <c r="AB195" s="19">
        <f t="shared" si="171"/>
        <v>189205319</v>
      </c>
      <c r="AC195" s="145">
        <f t="shared" si="171"/>
        <v>32991207</v>
      </c>
      <c r="AD195" s="18">
        <f t="shared" si="171"/>
        <v>222196526</v>
      </c>
      <c r="AE195" s="19">
        <f t="shared" si="171"/>
        <v>44447846</v>
      </c>
      <c r="AF195" s="145">
        <f t="shared" si="171"/>
        <v>16642130</v>
      </c>
      <c r="AG195" s="18">
        <f t="shared" si="171"/>
        <v>61089976</v>
      </c>
      <c r="AH195" s="19">
        <f t="shared" si="171"/>
        <v>80284604</v>
      </c>
      <c r="AI195" s="15">
        <f t="shared" si="171"/>
        <v>92052768</v>
      </c>
      <c r="AJ195" s="16">
        <f t="shared" si="171"/>
        <v>253159318</v>
      </c>
      <c r="AK195" s="9"/>
      <c r="AL195" s="29">
        <f>SUM(AL196:AL202)</f>
        <v>0</v>
      </c>
      <c r="AM195" s="26">
        <f>SUM(AM196:AM202)</f>
        <v>0</v>
      </c>
      <c r="AN195" s="9"/>
    </row>
    <row r="196" spans="1:40" s="385" customFormat="1" ht="24.95" customHeight="1" x14ac:dyDescent="0.2">
      <c r="A196" s="767"/>
      <c r="B196" s="669"/>
      <c r="N196" s="9"/>
      <c r="P196" s="9"/>
      <c r="Q196" s="9"/>
      <c r="R196" s="9"/>
      <c r="S196" s="720" t="str">
        <f>+IF(AGOSTO!S196=0,"",AGOSTO!S196)</f>
        <v>4100100-1</v>
      </c>
      <c r="T196" s="694" t="str">
        <f>+IF(AGOSTO!T196=0,"",AGOSTO!T196)</f>
        <v>Productos Farmaceuticos</v>
      </c>
      <c r="U196" s="27">
        <f>+ENERO!U196</f>
        <v>145961721</v>
      </c>
      <c r="V196" s="15">
        <f>AGOSTO!V196+SEPTIEMBRE!AL196</f>
        <v>-36874000</v>
      </c>
      <c r="W196" s="15">
        <f>AGOSTO!W196+SEPTIEMBRE!AM196</f>
        <v>102588010</v>
      </c>
      <c r="X196" s="18">
        <f t="shared" ref="X196:X202" si="172">SUM(U196:W196)</f>
        <v>211675731</v>
      </c>
      <c r="Y196" s="19">
        <f>AGOSTO!AA196</f>
        <v>137944966</v>
      </c>
      <c r="Z196" s="377">
        <v>15221105</v>
      </c>
      <c r="AA196" s="18">
        <f t="shared" ref="AA196:AA202" si="173">SUM(Y196:Z196)</f>
        <v>153166071</v>
      </c>
      <c r="AB196" s="19">
        <f>AGOSTO!AD196</f>
        <v>123587869</v>
      </c>
      <c r="AC196" s="377">
        <v>17810038</v>
      </c>
      <c r="AD196" s="18">
        <f t="shared" ref="AD196:AD202" si="174">SUM(AB196:AC196)</f>
        <v>141397907</v>
      </c>
      <c r="AE196" s="19">
        <f>AGOSTO!AG196</f>
        <v>24700228</v>
      </c>
      <c r="AF196" s="377">
        <v>9191273</v>
      </c>
      <c r="AG196" s="18">
        <f t="shared" ref="AG196:AG202" si="175">SUM(AE196:AF196)</f>
        <v>33891501</v>
      </c>
      <c r="AH196" s="19">
        <f t="shared" ref="AH196:AH202" si="176">X196-AA196</f>
        <v>58509660</v>
      </c>
      <c r="AI196" s="15">
        <f t="shared" ref="AI196:AI202" si="177">X196-AD196</f>
        <v>70277824</v>
      </c>
      <c r="AJ196" s="16">
        <f t="shared" ref="AJ196:AJ202" si="178">X196-AG196</f>
        <v>177784230</v>
      </c>
      <c r="AK196" s="9"/>
      <c r="AL196" s="375">
        <v>0</v>
      </c>
      <c r="AM196" s="378">
        <v>0</v>
      </c>
      <c r="AN196" s="9"/>
    </row>
    <row r="197" spans="1:40" s="385" customFormat="1" ht="24.95" customHeight="1" x14ac:dyDescent="0.2">
      <c r="A197" s="767"/>
      <c r="B197" s="669"/>
      <c r="N197" s="9"/>
      <c r="P197" s="9"/>
      <c r="Q197" s="9"/>
      <c r="R197" s="9"/>
      <c r="S197" s="720" t="str">
        <f>+IF(AGOSTO!S197=0,"",AGOSTO!S197)</f>
        <v>4100100-2</v>
      </c>
      <c r="T197" s="694" t="str">
        <f>+IF(AGOSTO!T197=0,"",AGOSTO!T197)</f>
        <v>Material Médico Quirúrgico</v>
      </c>
      <c r="U197" s="27">
        <f>+ENERO!U197</f>
        <v>49263202</v>
      </c>
      <c r="V197" s="15">
        <f>AGOSTO!V197+SEPTIEMBRE!AL197</f>
        <v>0</v>
      </c>
      <c r="W197" s="15">
        <f>AGOSTO!W197+SEPTIEMBRE!AM197</f>
        <v>0</v>
      </c>
      <c r="X197" s="18">
        <f t="shared" si="172"/>
        <v>49263202</v>
      </c>
      <c r="Y197" s="19">
        <f>AGOSTO!AA197</f>
        <v>36075319</v>
      </c>
      <c r="Z197" s="377">
        <v>5676332</v>
      </c>
      <c r="AA197" s="18">
        <f t="shared" si="173"/>
        <v>41751651</v>
      </c>
      <c r="AB197" s="19">
        <f>AGOSTO!AD197</f>
        <v>36075319</v>
      </c>
      <c r="AC197" s="377">
        <f>5717112-40780</f>
        <v>5676332</v>
      </c>
      <c r="AD197" s="18">
        <f t="shared" si="174"/>
        <v>41751651</v>
      </c>
      <c r="AE197" s="19">
        <f>AGOSTO!AG197</f>
        <v>10686350</v>
      </c>
      <c r="AF197" s="377">
        <v>2379306</v>
      </c>
      <c r="AG197" s="18">
        <f t="shared" si="175"/>
        <v>13065656</v>
      </c>
      <c r="AH197" s="19">
        <f t="shared" si="176"/>
        <v>7511551</v>
      </c>
      <c r="AI197" s="15">
        <f t="shared" si="177"/>
        <v>7511551</v>
      </c>
      <c r="AJ197" s="16">
        <f t="shared" si="178"/>
        <v>36197546</v>
      </c>
      <c r="AK197" s="9"/>
      <c r="AL197" s="375">
        <v>0</v>
      </c>
      <c r="AM197" s="378">
        <v>0</v>
      </c>
      <c r="AN197" s="9"/>
    </row>
    <row r="198" spans="1:40" s="385" customFormat="1" ht="24.95" customHeight="1" x14ac:dyDescent="0.2">
      <c r="A198" s="767"/>
      <c r="B198" s="669"/>
      <c r="N198" s="9"/>
      <c r="P198" s="9"/>
      <c r="Q198" s="9"/>
      <c r="R198" s="9"/>
      <c r="S198" s="720" t="str">
        <f>+IF(AGOSTO!S198=0,"",AGOSTO!S198)</f>
        <v>4100100-3</v>
      </c>
      <c r="T198" s="694" t="str">
        <f>+IF(AGOSTO!T198=0,"",AGOSTO!T198)</f>
        <v>Material de Laboratorio</v>
      </c>
      <c r="U198" s="27">
        <f>+ENERO!U198</f>
        <v>20729510</v>
      </c>
      <c r="V198" s="15">
        <f>AGOSTO!V198+SEPTIEMBRE!AL198</f>
        <v>8974000</v>
      </c>
      <c r="W198" s="15">
        <f>AGOSTO!W198+SEPTIEMBRE!AM198</f>
        <v>0</v>
      </c>
      <c r="X198" s="18">
        <f t="shared" si="172"/>
        <v>29703510</v>
      </c>
      <c r="Y198" s="19">
        <f>AGOSTO!AA198</f>
        <v>19465790</v>
      </c>
      <c r="Z198" s="377">
        <v>2976483</v>
      </c>
      <c r="AA198" s="18">
        <f t="shared" si="173"/>
        <v>22442273</v>
      </c>
      <c r="AB198" s="19">
        <f>AGOSTO!AD198</f>
        <v>19465790</v>
      </c>
      <c r="AC198" s="377">
        <v>2976483</v>
      </c>
      <c r="AD198" s="18">
        <f t="shared" si="174"/>
        <v>22442273</v>
      </c>
      <c r="AE198" s="19">
        <f>AGOSTO!AG198</f>
        <v>3945820</v>
      </c>
      <c r="AF198" s="377">
        <v>2651096</v>
      </c>
      <c r="AG198" s="18">
        <f t="shared" si="175"/>
        <v>6596916</v>
      </c>
      <c r="AH198" s="19">
        <f t="shared" si="176"/>
        <v>7261237</v>
      </c>
      <c r="AI198" s="15">
        <f t="shared" si="177"/>
        <v>7261237</v>
      </c>
      <c r="AJ198" s="16">
        <f t="shared" si="178"/>
        <v>23106594</v>
      </c>
      <c r="AK198" s="9"/>
      <c r="AL198" s="375">
        <v>0</v>
      </c>
      <c r="AM198" s="378">
        <v>0</v>
      </c>
      <c r="AN198" s="9"/>
    </row>
    <row r="199" spans="1:40" s="385" customFormat="1" ht="24.95" customHeight="1" x14ac:dyDescent="0.2">
      <c r="A199" s="767"/>
      <c r="B199" s="669"/>
      <c r="N199" s="9"/>
      <c r="P199" s="9"/>
      <c r="Q199" s="9"/>
      <c r="R199" s="9"/>
      <c r="S199" s="720" t="str">
        <f>+IF(AGOSTO!S199=0,"",AGOSTO!S199)</f>
        <v>4100100-4</v>
      </c>
      <c r="T199" s="694" t="str">
        <f>+IF(AGOSTO!T199=0,"",AGOSTO!T199)</f>
        <v>Material para Odontologia</v>
      </c>
      <c r="U199" s="27">
        <f>+ENERO!U199</f>
        <v>22568185</v>
      </c>
      <c r="V199" s="15">
        <f>AGOSTO!V199+SEPTIEMBRE!AL199</f>
        <v>0</v>
      </c>
      <c r="W199" s="15">
        <f>AGOSTO!W199+SEPTIEMBRE!AM199</f>
        <v>0</v>
      </c>
      <c r="X199" s="18">
        <f t="shared" si="172"/>
        <v>22568185</v>
      </c>
      <c r="Y199" s="19">
        <f>AGOSTO!AA199</f>
        <v>10076341</v>
      </c>
      <c r="Z199" s="377">
        <v>6528354</v>
      </c>
      <c r="AA199" s="18">
        <f t="shared" si="173"/>
        <v>16604695</v>
      </c>
      <c r="AB199" s="19">
        <f>AGOSTO!AD199</f>
        <v>10076341</v>
      </c>
      <c r="AC199" s="377">
        <v>6528354</v>
      </c>
      <c r="AD199" s="18">
        <f t="shared" si="174"/>
        <v>16604695</v>
      </c>
      <c r="AE199" s="19">
        <f>AGOSTO!AG199</f>
        <v>5115448</v>
      </c>
      <c r="AF199" s="377">
        <v>2420455</v>
      </c>
      <c r="AG199" s="18">
        <f t="shared" si="175"/>
        <v>7535903</v>
      </c>
      <c r="AH199" s="19">
        <f t="shared" si="176"/>
        <v>5963490</v>
      </c>
      <c r="AI199" s="15">
        <f t="shared" si="177"/>
        <v>5963490</v>
      </c>
      <c r="AJ199" s="16">
        <f t="shared" si="178"/>
        <v>15032282</v>
      </c>
      <c r="AK199" s="9"/>
      <c r="AL199" s="375">
        <v>0</v>
      </c>
      <c r="AM199" s="378">
        <v>0</v>
      </c>
      <c r="AN199" s="9"/>
    </row>
    <row r="200" spans="1:40" s="385" customFormat="1" ht="24.95" customHeight="1" x14ac:dyDescent="0.2">
      <c r="A200" s="767"/>
      <c r="B200" s="669"/>
      <c r="N200" s="9"/>
      <c r="P200" s="9"/>
      <c r="Q200" s="9"/>
      <c r="R200" s="9"/>
      <c r="S200" s="720" t="str">
        <f>+IF(AGOSTO!S200=0,"",AGOSTO!S200)</f>
        <v>4100100-5</v>
      </c>
      <c r="T200" s="694" t="str">
        <f>+IF(AGOSTO!T200=0,"",AGOSTO!T200)</f>
        <v>Material para Rayos X</v>
      </c>
      <c r="U200" s="27">
        <f>+ENERO!U200</f>
        <v>2038666</v>
      </c>
      <c r="V200" s="15">
        <f>AGOSTO!V200+SEPTIEMBRE!AL200</f>
        <v>-3000000</v>
      </c>
      <c r="W200" s="15">
        <f>AGOSTO!W200+SEPTIEMBRE!AM200</f>
        <v>2000000</v>
      </c>
      <c r="X200" s="18">
        <f t="shared" si="172"/>
        <v>1038666</v>
      </c>
      <c r="Y200" s="19">
        <f>AGOSTO!AA200</f>
        <v>0</v>
      </c>
      <c r="Z200" s="377">
        <v>0</v>
      </c>
      <c r="AA200" s="18">
        <f t="shared" si="173"/>
        <v>0</v>
      </c>
      <c r="AB200" s="19">
        <f>AGOSTO!AD200</f>
        <v>0</v>
      </c>
      <c r="AC200" s="377">
        <v>0</v>
      </c>
      <c r="AD200" s="18">
        <f t="shared" si="174"/>
        <v>0</v>
      </c>
      <c r="AE200" s="19">
        <f>AGOSTO!AG200</f>
        <v>0</v>
      </c>
      <c r="AF200" s="377">
        <v>0</v>
      </c>
      <c r="AG200" s="18">
        <f t="shared" si="175"/>
        <v>0</v>
      </c>
      <c r="AH200" s="19">
        <f t="shared" si="176"/>
        <v>1038666</v>
      </c>
      <c r="AI200" s="15">
        <f t="shared" si="177"/>
        <v>1038666</v>
      </c>
      <c r="AJ200" s="16">
        <f t="shared" si="178"/>
        <v>1038666</v>
      </c>
      <c r="AK200" s="9"/>
      <c r="AL200" s="375">
        <v>0</v>
      </c>
      <c r="AM200" s="378">
        <v>0</v>
      </c>
      <c r="AN200" s="9"/>
    </row>
    <row r="201" spans="1:40" s="385" customFormat="1" ht="24.95" customHeight="1" x14ac:dyDescent="0.2">
      <c r="A201" s="767"/>
      <c r="B201" s="669"/>
      <c r="N201" s="9"/>
      <c r="P201" s="9"/>
      <c r="Q201" s="9"/>
      <c r="R201" s="9"/>
      <c r="S201" s="720" t="str">
        <f>+IF(AGOSTO!S201=0,"",AGOSTO!S201)</f>
        <v/>
      </c>
      <c r="T201" s="694" t="str">
        <f>+IF(AGOSTO!T201=0,"",AGOSTO!T201)</f>
        <v/>
      </c>
      <c r="U201" s="27">
        <f>+ENERO!U201</f>
        <v>0</v>
      </c>
      <c r="V201" s="15">
        <f>AGOSTO!V201+SEPTIEMBRE!AL201</f>
        <v>0</v>
      </c>
      <c r="W201" s="15">
        <f>AGOSTO!W201+SEPTIEMBRE!AM201</f>
        <v>0</v>
      </c>
      <c r="X201" s="18">
        <f t="shared" si="172"/>
        <v>0</v>
      </c>
      <c r="Y201" s="19">
        <f>AGOSTO!AA201</f>
        <v>0</v>
      </c>
      <c r="Z201" s="377">
        <v>0</v>
      </c>
      <c r="AA201" s="18">
        <f t="shared" si="173"/>
        <v>0</v>
      </c>
      <c r="AB201" s="19">
        <f>AGOSTO!AD201</f>
        <v>0</v>
      </c>
      <c r="AC201" s="377">
        <v>0</v>
      </c>
      <c r="AD201" s="18">
        <f t="shared" si="174"/>
        <v>0</v>
      </c>
      <c r="AE201" s="19">
        <f>AGOSTO!AG201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+IF(AGOSTO!S202=0,"",AGOSTO!S202)</f>
        <v/>
      </c>
      <c r="T202" s="694" t="str">
        <f>+IF(AGOSTO!T202=0,"",AGOSTO!T202)</f>
        <v/>
      </c>
      <c r="U202" s="27">
        <f>+ENERO!U202</f>
        <v>0</v>
      </c>
      <c r="V202" s="15">
        <f>AGOSTO!V202+SEPTIEMBRE!AL202</f>
        <v>0</v>
      </c>
      <c r="W202" s="15">
        <f>AGOSTO!W202+SEPTIEMBRE!AM202</f>
        <v>0</v>
      </c>
      <c r="X202" s="18">
        <f t="shared" si="172"/>
        <v>0</v>
      </c>
      <c r="Y202" s="19">
        <f>AGOSTO!AA202</f>
        <v>0</v>
      </c>
      <c r="Z202" s="377">
        <v>0</v>
      </c>
      <c r="AA202" s="18">
        <f t="shared" si="173"/>
        <v>0</v>
      </c>
      <c r="AB202" s="19">
        <f>AGOSTO!AD202</f>
        <v>0</v>
      </c>
      <c r="AC202" s="377">
        <v>0</v>
      </c>
      <c r="AD202" s="18">
        <f t="shared" si="174"/>
        <v>0</v>
      </c>
      <c r="AE202" s="19">
        <f>AGOSTO!AG202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+IF(AGOSTO!S203=0,"",AGOSTO!S203)</f>
        <v>4100200</v>
      </c>
      <c r="T203" s="693" t="str">
        <f>+IF(AGOSTO!T203=0,"",AGOSTO!T203)</f>
        <v>Gastos Complementarios e Intermedios</v>
      </c>
      <c r="U203" s="27">
        <f t="shared" ref="U203:AJ203" si="179">U204</f>
        <v>31968044</v>
      </c>
      <c r="V203" s="15">
        <f t="shared" si="179"/>
        <v>3000000</v>
      </c>
      <c r="W203" s="15">
        <f t="shared" si="179"/>
        <v>0</v>
      </c>
      <c r="X203" s="18">
        <f t="shared" si="179"/>
        <v>34968044</v>
      </c>
      <c r="Y203" s="19">
        <f t="shared" si="179"/>
        <v>25725526</v>
      </c>
      <c r="Z203" s="145">
        <f t="shared" si="179"/>
        <v>3208784</v>
      </c>
      <c r="AA203" s="18">
        <f t="shared" si="179"/>
        <v>28934310</v>
      </c>
      <c r="AB203" s="19">
        <f t="shared" si="179"/>
        <v>25725526</v>
      </c>
      <c r="AC203" s="145">
        <f t="shared" si="179"/>
        <v>3168004</v>
      </c>
      <c r="AD203" s="18">
        <f t="shared" si="179"/>
        <v>28893530</v>
      </c>
      <c r="AE203" s="19">
        <f t="shared" si="179"/>
        <v>20386576</v>
      </c>
      <c r="AF203" s="145">
        <f t="shared" si="179"/>
        <v>4631020</v>
      </c>
      <c r="AG203" s="18">
        <f t="shared" si="179"/>
        <v>25017596</v>
      </c>
      <c r="AH203" s="19">
        <f t="shared" si="179"/>
        <v>6033734</v>
      </c>
      <c r="AI203" s="15">
        <f t="shared" si="179"/>
        <v>6074514</v>
      </c>
      <c r="AJ203" s="16">
        <f t="shared" si="179"/>
        <v>9950448</v>
      </c>
      <c r="AK203" s="9"/>
      <c r="AL203" s="29">
        <f>AL204</f>
        <v>0</v>
      </c>
      <c r="AM203" s="26">
        <f>AM204</f>
        <v>0</v>
      </c>
      <c r="AN203" s="9"/>
    </row>
    <row r="204" spans="1:40" s="385" customFormat="1" ht="24.95" customHeight="1" x14ac:dyDescent="0.2">
      <c r="A204" s="767"/>
      <c r="B204" s="669"/>
      <c r="N204" s="9"/>
      <c r="P204" s="9"/>
      <c r="Q204" s="9"/>
      <c r="R204" s="9"/>
      <c r="S204" s="720" t="str">
        <f>+IF(AGOSTO!S204=0,"",AGOSTO!S204)</f>
        <v>4100200-1</v>
      </c>
      <c r="T204" s="694" t="str">
        <f>+IF(AGOSTO!T204=0,"",AGOSTO!T204)</f>
        <v>Alimentación</v>
      </c>
      <c r="U204" s="27">
        <f>+ENERO!U204</f>
        <v>31968044</v>
      </c>
      <c r="V204" s="15">
        <f>AGOSTO!V204+SEPTIEMBRE!AL204</f>
        <v>3000000</v>
      </c>
      <c r="W204" s="15">
        <f>AGOSTO!W204+SEPTIEMBRE!AM204</f>
        <v>0</v>
      </c>
      <c r="X204" s="18">
        <f>SUM(U204:W204)</f>
        <v>34968044</v>
      </c>
      <c r="Y204" s="19">
        <f>AGOSTO!AA204</f>
        <v>25725526</v>
      </c>
      <c r="Z204" s="377">
        <v>3208784</v>
      </c>
      <c r="AA204" s="18">
        <f>SUM(Y204:Z204)</f>
        <v>28934310</v>
      </c>
      <c r="AB204" s="19">
        <f>AGOSTO!AD204</f>
        <v>25725526</v>
      </c>
      <c r="AC204" s="377">
        <v>3168004</v>
      </c>
      <c r="AD204" s="18">
        <f>SUM(AB204:AC204)</f>
        <v>28893530</v>
      </c>
      <c r="AE204" s="19">
        <f>AGOSTO!AG204</f>
        <v>20386576</v>
      </c>
      <c r="AF204" s="377">
        <v>4631020</v>
      </c>
      <c r="AG204" s="18">
        <f>SUM(AE204:AF204)</f>
        <v>25017596</v>
      </c>
      <c r="AH204" s="19">
        <f>X204-AA204</f>
        <v>6033734</v>
      </c>
      <c r="AI204" s="15">
        <f>X204-AD204</f>
        <v>6074514</v>
      </c>
      <c r="AJ204" s="16">
        <f>X204-AG204</f>
        <v>9950448</v>
      </c>
      <c r="AK204" s="9"/>
      <c r="AL204" s="375">
        <v>0</v>
      </c>
      <c r="AM204" s="378">
        <v>0</v>
      </c>
      <c r="AN204" s="9"/>
    </row>
    <row r="205" spans="1:40" s="385" customFormat="1" ht="24.95" customHeight="1" thickBot="1" x14ac:dyDescent="0.25">
      <c r="A205" s="767"/>
      <c r="B205" s="669"/>
      <c r="N205" s="9"/>
      <c r="P205" s="9"/>
      <c r="Q205" s="9"/>
      <c r="R205" s="9"/>
      <c r="S205" s="724">
        <f>+IF(AGOSTO!S205=0,"",AGOSTO!S205)</f>
        <v>4199999</v>
      </c>
      <c r="T205" s="699" t="str">
        <f>+IF(AGOSTO!T205=0,"",AGOSTO!T205)</f>
        <v>Vigencias Anteriores</v>
      </c>
      <c r="U205" s="136">
        <f>+ENERO!U205</f>
        <v>0</v>
      </c>
      <c r="V205" s="123">
        <f>AGOSTO!V205+SEPTIEMBRE!AL205</f>
        <v>0</v>
      </c>
      <c r="W205" s="123">
        <f>AGOSTO!W205+SEPTIEMBRE!AM205</f>
        <v>91835932</v>
      </c>
      <c r="X205" s="129">
        <f>SUM(U205:W205)</f>
        <v>91835932</v>
      </c>
      <c r="Y205" s="127">
        <f>AGOSTO!AA205</f>
        <v>91835932</v>
      </c>
      <c r="Z205" s="391">
        <v>0</v>
      </c>
      <c r="AA205" s="129">
        <f>SUM(Y205:Z205)</f>
        <v>91835932</v>
      </c>
      <c r="AB205" s="127">
        <f>AGOSTO!AD205</f>
        <v>91835932</v>
      </c>
      <c r="AC205" s="391">
        <v>0</v>
      </c>
      <c r="AD205" s="129">
        <f>SUM(AB205:AC205)</f>
        <v>91835932</v>
      </c>
      <c r="AE205" s="127">
        <f>AGOSTO!AG205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+IF(AGOSTO!S206=0,"",AGOSTO!S206)</f>
        <v/>
      </c>
      <c r="T206" s="700" t="str">
        <f>+IF(AGOSTO!T206=0,"",AGOSTO!T206)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+IF(AGOSTO!S207=0,"",AGOSTO!S207)</f>
        <v>B</v>
      </c>
      <c r="T207" s="709" t="str">
        <f>+IF(AGOSTO!T207=0,"",AGOSTO!T207)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+IF(AGOSTO!S209=0,"",AGOSTO!S209)</f>
        <v>5000000</v>
      </c>
      <c r="T209" s="697" t="s">
        <v>460</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+IF(AGOSTO!S210=0,"",AGOSTO!S210)</f>
        <v>5100000</v>
      </c>
      <c r="T210" s="692" t="str">
        <f>+IF(AGOSTO!T210=0,"",AGOSTO!T210)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+IF(AGOSTO!S211=0,"",AGOSTO!S211)</f>
        <v>5100100</v>
      </c>
      <c r="T211" s="693" t="str">
        <f>+IF(AGOSTO!T211=0,"",AGOSTO!T211)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+IF(AGOSTO!S212=0,"",AGOSTO!S212)</f>
        <v>5100100-1</v>
      </c>
      <c r="T212" s="694" t="str">
        <f>+IF(AGOSTO!T212=0,"",AGOSTO!T212)</f>
        <v>Productos Farmaceuticos</v>
      </c>
      <c r="U212" s="27">
        <f>+ENERO!U212</f>
        <v>0</v>
      </c>
      <c r="V212" s="15">
        <f>AGOSTO!V212+SEPTIEMBRE!AL212</f>
        <v>0</v>
      </c>
      <c r="W212" s="15">
        <f>AGOSTO!W212+SEPTIEMBRE!AM212</f>
        <v>0</v>
      </c>
      <c r="X212" s="18">
        <f t="shared" ref="X212:X218" si="184">SUM(U212:W212)</f>
        <v>0</v>
      </c>
      <c r="Y212" s="19">
        <f>AGOSTO!AA212</f>
        <v>0</v>
      </c>
      <c r="Z212" s="377">
        <v>0</v>
      </c>
      <c r="AA212" s="18">
        <f t="shared" ref="AA212:AA218" si="185">SUM(Y212:Z212)</f>
        <v>0</v>
      </c>
      <c r="AB212" s="19">
        <f>AGOSTO!AD212</f>
        <v>0</v>
      </c>
      <c r="AC212" s="377">
        <v>0</v>
      </c>
      <c r="AD212" s="18">
        <f t="shared" ref="AD212:AD218" si="186">SUM(AB212:AC212)</f>
        <v>0</v>
      </c>
      <c r="AE212" s="19">
        <f>AGOSTO!AG212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+IF(AGOSTO!S213=0,"",AGOSTO!S213)</f>
        <v>5100100-2</v>
      </c>
      <c r="T213" s="694" t="str">
        <f>+IF(AGOSTO!T213=0,"",AGOSTO!T213)</f>
        <v>Material Médico Quirúrgico</v>
      </c>
      <c r="U213" s="27">
        <f>+ENERO!U213</f>
        <v>0</v>
      </c>
      <c r="V213" s="15">
        <f>AGOSTO!V213+SEPTIEMBRE!AL213</f>
        <v>0</v>
      </c>
      <c r="W213" s="15">
        <f>AGOSTO!W213+SEPTIEMBRE!AM213</f>
        <v>0</v>
      </c>
      <c r="X213" s="18">
        <f t="shared" si="184"/>
        <v>0</v>
      </c>
      <c r="Y213" s="19">
        <f>AGOSTO!AA213</f>
        <v>0</v>
      </c>
      <c r="Z213" s="377">
        <v>0</v>
      </c>
      <c r="AA213" s="18">
        <f t="shared" si="185"/>
        <v>0</v>
      </c>
      <c r="AB213" s="19">
        <f>AGOSTO!AD213</f>
        <v>0</v>
      </c>
      <c r="AC213" s="377">
        <v>0</v>
      </c>
      <c r="AD213" s="18">
        <f t="shared" si="186"/>
        <v>0</v>
      </c>
      <c r="AE213" s="19">
        <f>AGOSTO!AG213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+IF(AGOSTO!S214=0,"",AGOSTO!S214)</f>
        <v>5100100-3</v>
      </c>
      <c r="T214" s="694" t="str">
        <f>+IF(AGOSTO!T214=0,"",AGOSTO!T214)</f>
        <v>Material de Laboratorio</v>
      </c>
      <c r="U214" s="27">
        <f>+ENERO!U214</f>
        <v>0</v>
      </c>
      <c r="V214" s="15">
        <f>AGOSTO!V214+SEPTIEMBRE!AL214</f>
        <v>0</v>
      </c>
      <c r="W214" s="15">
        <f>AGOSTO!W214+SEPTIEMBRE!AM214</f>
        <v>0</v>
      </c>
      <c r="X214" s="18">
        <f t="shared" si="184"/>
        <v>0</v>
      </c>
      <c r="Y214" s="19">
        <f>AGOSTO!AA214</f>
        <v>0</v>
      </c>
      <c r="Z214" s="377">
        <v>0</v>
      </c>
      <c r="AA214" s="18">
        <f t="shared" si="185"/>
        <v>0</v>
      </c>
      <c r="AB214" s="19">
        <f>AGOSTO!AD214</f>
        <v>0</v>
      </c>
      <c r="AC214" s="377">
        <v>0</v>
      </c>
      <c r="AD214" s="18">
        <f t="shared" si="186"/>
        <v>0</v>
      </c>
      <c r="AE214" s="19">
        <f>AGOSTO!AG214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+IF(AGOSTO!S215=0,"",AGOSTO!S215)</f>
        <v>5100100-4</v>
      </c>
      <c r="T215" s="694" t="str">
        <f>+IF(AGOSTO!T215=0,"",AGOSTO!T215)</f>
        <v>Material para Odontologia</v>
      </c>
      <c r="U215" s="27">
        <f>+ENERO!U215</f>
        <v>0</v>
      </c>
      <c r="V215" s="15">
        <f>AGOSTO!V215+SEPTIEMBRE!AL215</f>
        <v>0</v>
      </c>
      <c r="W215" s="15">
        <f>AGOSTO!W215+SEPTIEMBRE!AM215</f>
        <v>0</v>
      </c>
      <c r="X215" s="18">
        <f t="shared" si="184"/>
        <v>0</v>
      </c>
      <c r="Y215" s="19">
        <f>AGOSTO!AA215</f>
        <v>0</v>
      </c>
      <c r="Z215" s="377">
        <v>0</v>
      </c>
      <c r="AA215" s="18">
        <f t="shared" si="185"/>
        <v>0</v>
      </c>
      <c r="AB215" s="19">
        <f>AGOSTO!AD215</f>
        <v>0</v>
      </c>
      <c r="AC215" s="377">
        <v>0</v>
      </c>
      <c r="AD215" s="18">
        <f t="shared" si="186"/>
        <v>0</v>
      </c>
      <c r="AE215" s="19">
        <f>AGOSTO!AG215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+IF(AGOSTO!S216=0,"",AGOSTO!S216)</f>
        <v>5100100-5</v>
      </c>
      <c r="T216" s="694" t="str">
        <f>+IF(AGOSTO!T216=0,"",AGOSTO!T216)</f>
        <v>Material para Rayos X</v>
      </c>
      <c r="U216" s="27">
        <f>+ENERO!U216</f>
        <v>0</v>
      </c>
      <c r="V216" s="15">
        <f>AGOSTO!V216+SEPTIEMBRE!AL216</f>
        <v>0</v>
      </c>
      <c r="W216" s="15">
        <f>AGOSTO!W216+SEPTIEMBRE!AM216</f>
        <v>0</v>
      </c>
      <c r="X216" s="18">
        <f t="shared" si="184"/>
        <v>0</v>
      </c>
      <c r="Y216" s="19">
        <f>AGOSTO!AA216</f>
        <v>0</v>
      </c>
      <c r="Z216" s="377">
        <v>0</v>
      </c>
      <c r="AA216" s="18">
        <f t="shared" si="185"/>
        <v>0</v>
      </c>
      <c r="AB216" s="19">
        <f>AGOSTO!AD216</f>
        <v>0</v>
      </c>
      <c r="AC216" s="377">
        <v>0</v>
      </c>
      <c r="AD216" s="18">
        <f t="shared" si="186"/>
        <v>0</v>
      </c>
      <c r="AE216" s="19">
        <f>AGOSTO!AG216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+IF(AGOSTO!S217=0,"",AGOSTO!S217)</f>
        <v>5100100-6</v>
      </c>
      <c r="T217" s="694" t="str">
        <f>+IF(AGOSTO!T217=0,"",AGOSTO!T217)</f>
        <v>Material aseo personal, etc.</v>
      </c>
      <c r="U217" s="27">
        <f>+ENERO!U217</f>
        <v>0</v>
      </c>
      <c r="V217" s="15">
        <f>AGOSTO!V217+SEPTIEMBRE!AL217</f>
        <v>0</v>
      </c>
      <c r="W217" s="15">
        <f>AGOSTO!W217+SEPTIEMBRE!AM217</f>
        <v>0</v>
      </c>
      <c r="X217" s="18">
        <f t="shared" si="184"/>
        <v>0</v>
      </c>
      <c r="Y217" s="19">
        <f>AGOSTO!AA217</f>
        <v>0</v>
      </c>
      <c r="Z217" s="377">
        <v>0</v>
      </c>
      <c r="AA217" s="18">
        <f t="shared" si="185"/>
        <v>0</v>
      </c>
      <c r="AB217" s="19">
        <f>AGOSTO!AD217</f>
        <v>0</v>
      </c>
      <c r="AC217" s="377">
        <v>0</v>
      </c>
      <c r="AD217" s="18">
        <f t="shared" si="186"/>
        <v>0</v>
      </c>
      <c r="AE217" s="19">
        <f>AGOSTO!AG217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+IF(AGOSTO!S218=0,"",AGOSTO!S218)</f>
        <v>5199999</v>
      </c>
      <c r="T218" s="710" t="str">
        <f>+IF(AGOSTO!T218=0,"",AGOSTO!T218)</f>
        <v>Vigencias Anteriores</v>
      </c>
      <c r="U218" s="136">
        <f>+ENERO!U218</f>
        <v>0</v>
      </c>
      <c r="V218" s="123">
        <f>AGOSTO!V218+SEPTIEMBRE!AL218</f>
        <v>0</v>
      </c>
      <c r="W218" s="123">
        <f>AGOSTO!W218+SEPTIEMBRE!AM218</f>
        <v>0</v>
      </c>
      <c r="X218" s="129">
        <f t="shared" si="184"/>
        <v>0</v>
      </c>
      <c r="Y218" s="127">
        <f>AGOSTO!AA218</f>
        <v>0</v>
      </c>
      <c r="Z218" s="391">
        <v>0</v>
      </c>
      <c r="AA218" s="129">
        <f t="shared" si="185"/>
        <v>0</v>
      </c>
      <c r="AB218" s="127">
        <f>AGOSTO!AD218</f>
        <v>0</v>
      </c>
      <c r="AC218" s="391">
        <v>0</v>
      </c>
      <c r="AD218" s="129">
        <f t="shared" si="186"/>
        <v>0</v>
      </c>
      <c r="AE218" s="127">
        <f>AGOSTO!AG218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+IF(AGOSTO!S219=0,"",AGOSTO!S219)</f>
        <v/>
      </c>
      <c r="T219" s="707" t="str">
        <f>+IF(AGOSTO!T219=0,"",AGOSTO!T219)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+IF(AGOSTO!S220=0,"",AGOSTO!S220)</f>
        <v>C</v>
      </c>
      <c r="T220" s="688" t="str">
        <f>+IF(AGOSTO!T220=0,"",AGOSTO!T220)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+IF(AGOSTO!S221=0,"",AGOSTO!S221)</f>
        <v/>
      </c>
      <c r="T221" s="708" t="str">
        <f>+IF(AGOSTO!T221=0,"",AGOSTO!T221)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+IF(AGOSTO!S222=0,"",AGOSTO!S222)</f>
        <v>7001000</v>
      </c>
      <c r="T222" s="692" t="str">
        <f>+IF(AGOSTO!T222=0,"",AGOSTO!T222)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+IF(AGOSTO!S223=0,"",AGOSTO!S223)</f>
        <v>7001100</v>
      </c>
      <c r="T223" s="693" t="str">
        <f>+IF(AGOSTO!T223=0,"",AGOSTO!T223)</f>
        <v>Amortización deuda Pública Interna</v>
      </c>
      <c r="U223" s="27">
        <f>+ENERO!U223</f>
        <v>0</v>
      </c>
      <c r="V223" s="15">
        <f>AGOSTO!V223+SEPTIEMBRE!AL223</f>
        <v>0</v>
      </c>
      <c r="W223" s="15">
        <f>AGOSTO!W223+SEPTIEMBRE!AM223</f>
        <v>0</v>
      </c>
      <c r="X223" s="18">
        <f>SUM(U223:W223)</f>
        <v>0</v>
      </c>
      <c r="Y223" s="19">
        <f>AGOSTO!AA223</f>
        <v>0</v>
      </c>
      <c r="Z223" s="377">
        <v>0</v>
      </c>
      <c r="AA223" s="18">
        <f>SUM(Y223:Z223)</f>
        <v>0</v>
      </c>
      <c r="AB223" s="19">
        <f>AGOSTO!AD223</f>
        <v>0</v>
      </c>
      <c r="AC223" s="377">
        <v>0</v>
      </c>
      <c r="AD223" s="18">
        <f>SUM(AB223:AC223)</f>
        <v>0</v>
      </c>
      <c r="AE223" s="19">
        <f>AGOSTO!AG223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+IF(AGOSTO!S224=0,"",AGOSTO!S224)</f>
        <v>7001200</v>
      </c>
      <c r="T224" s="693" t="str">
        <f>+IF(AGOSTO!T224=0,"",AGOSTO!T224)</f>
        <v>Intereses Comisiones y gastos de la Deuda Pública</v>
      </c>
      <c r="U224" s="27">
        <f>+ENERO!U224</f>
        <v>0</v>
      </c>
      <c r="V224" s="15">
        <f>AGOSTO!V224+SEPTIEMBRE!AL224</f>
        <v>0</v>
      </c>
      <c r="W224" s="15">
        <f>AGOSTO!W224+SEPTIEMBRE!AM224</f>
        <v>0</v>
      </c>
      <c r="X224" s="18">
        <f>SUM(U224:W224)</f>
        <v>0</v>
      </c>
      <c r="Y224" s="19">
        <f>AGOSTO!AA224</f>
        <v>0</v>
      </c>
      <c r="Z224" s="377">
        <v>0</v>
      </c>
      <c r="AA224" s="18">
        <f>SUM(Y224:Z224)</f>
        <v>0</v>
      </c>
      <c r="AB224" s="19">
        <f>AGOSTO!AD224</f>
        <v>0</v>
      </c>
      <c r="AC224" s="377">
        <v>0</v>
      </c>
      <c r="AD224" s="18">
        <f>SUM(AB224:AC224)</f>
        <v>0</v>
      </c>
      <c r="AE224" s="19">
        <f>AGOSTO!AG224</f>
        <v>0</v>
      </c>
      <c r="AF224" s="377">
        <v>0</v>
      </c>
      <c r="AG224" s="18">
        <f>SUM(AE224:AF224)</f>
        <v>0</v>
      </c>
      <c r="AH224" s="19">
        <f>X224-AA224</f>
        <v>0</v>
      </c>
      <c r="AI224" s="15">
        <f>X224-AD224</f>
        <v>0</v>
      </c>
      <c r="AJ224" s="16">
        <f>X224-AG224</f>
        <v>0</v>
      </c>
      <c r="AK224" s="9"/>
      <c r="AL224" s="375">
        <v>0</v>
      </c>
      <c r="AM224" s="378">
        <v>0</v>
      </c>
      <c r="AN224" s="9"/>
    </row>
    <row r="225" spans="1:40" s="385" customFormat="1" ht="24.95" customHeight="1" x14ac:dyDescent="0.2">
      <c r="A225" s="767"/>
      <c r="B225" s="669"/>
      <c r="N225" s="9"/>
      <c r="P225" s="9"/>
      <c r="Q225" s="9"/>
      <c r="R225" s="9"/>
      <c r="S225" s="719">
        <f>+IF(AGOSTO!S225=0,"",AGOSTO!S225)</f>
        <v>7001999</v>
      </c>
      <c r="T225" s="693" t="str">
        <f>+IF(AGOSTO!T225=0,"",AGOSTO!T225)</f>
        <v>Vigencias Anteriores</v>
      </c>
      <c r="U225" s="27">
        <f>+ENERO!U225</f>
        <v>0</v>
      </c>
      <c r="V225" s="15">
        <f>AGOSTO!V225+SEPTIEMBRE!AL225</f>
        <v>0</v>
      </c>
      <c r="W225" s="15">
        <f>AGOSTO!W225+SEPTIEMBRE!AM225</f>
        <v>0</v>
      </c>
      <c r="X225" s="18">
        <f>SUM(U225:W225)</f>
        <v>0</v>
      </c>
      <c r="Y225" s="19">
        <f>AGOSTO!AA225</f>
        <v>0</v>
      </c>
      <c r="Z225" s="377">
        <v>0</v>
      </c>
      <c r="AA225" s="18">
        <f>SUM(Y225:Z225)</f>
        <v>0</v>
      </c>
      <c r="AB225" s="19">
        <f>AGOSTO!AD225</f>
        <v>0</v>
      </c>
      <c r="AC225" s="377">
        <v>0</v>
      </c>
      <c r="AD225" s="18">
        <f>SUM(AB225:AC225)</f>
        <v>0</v>
      </c>
      <c r="AE225" s="19">
        <f>AGOSTO!AG225</f>
        <v>0</v>
      </c>
      <c r="AF225" s="377">
        <v>0</v>
      </c>
      <c r="AG225" s="18">
        <f>SUM(AE225:AF225)</f>
        <v>0</v>
      </c>
      <c r="AH225" s="19">
        <f>X225-AA225</f>
        <v>0</v>
      </c>
      <c r="AI225" s="15">
        <f>X225-AD225</f>
        <v>0</v>
      </c>
      <c r="AJ225" s="16">
        <f>X225-AG225</f>
        <v>0</v>
      </c>
      <c r="AK225" s="9"/>
      <c r="AL225" s="375">
        <v>0</v>
      </c>
      <c r="AM225" s="378">
        <v>0</v>
      </c>
      <c r="AN225" s="9"/>
    </row>
    <row r="226" spans="1:40" s="385" customFormat="1" ht="24.95" customHeight="1" x14ac:dyDescent="0.2">
      <c r="A226" s="767"/>
      <c r="B226" s="669"/>
      <c r="N226" s="9"/>
      <c r="P226" s="9"/>
      <c r="Q226" s="9"/>
      <c r="R226" s="9"/>
      <c r="S226" s="369" t="str">
        <f>+IF(AGOSTO!S226=0,"",AGOSTO!S226)</f>
        <v/>
      </c>
      <c r="T226" s="708" t="str">
        <f>+IF(AGOSTO!T226=0,"",AGOSTO!T226)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40" s="385" customFormat="1" ht="24.95" customHeight="1" x14ac:dyDescent="0.2">
      <c r="A227" s="767"/>
      <c r="B227" s="669"/>
      <c r="N227" s="9"/>
      <c r="P227" s="9"/>
      <c r="Q227" s="9"/>
      <c r="R227" s="9"/>
      <c r="S227" s="718">
        <f>+IF(AGOSTO!S227=0,"",AGOSTO!S227)</f>
        <v>7002001</v>
      </c>
      <c r="T227" s="692" t="str">
        <f>+IF(AGOSTO!T227=0,"",AGOSTO!T227)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40" s="385" customFormat="1" ht="24.95" customHeight="1" x14ac:dyDescent="0.2">
      <c r="A228" s="767"/>
      <c r="B228" s="669"/>
      <c r="N228" s="9"/>
      <c r="P228" s="9"/>
      <c r="Q228" s="9"/>
      <c r="R228" s="9"/>
      <c r="S228" s="719">
        <f>+IF(AGOSTO!S228=0,"",AGOSTO!S228)</f>
        <v>7002100</v>
      </c>
      <c r="T228" s="693" t="str">
        <f>+IF(AGOSTO!T228=0,"",AGOSTO!T228)</f>
        <v>Amortización deuda Pública Externa</v>
      </c>
      <c r="U228" s="27">
        <f>+ENERO!U228</f>
        <v>0</v>
      </c>
      <c r="V228" s="15">
        <f>AGOSTO!V228+SEPTIEMBRE!AL228</f>
        <v>0</v>
      </c>
      <c r="W228" s="15">
        <f>AGOSTO!W228+SEPTIEMBRE!AM228</f>
        <v>0</v>
      </c>
      <c r="X228" s="18">
        <f>SUM(U228:W228)</f>
        <v>0</v>
      </c>
      <c r="Y228" s="19">
        <f>AGOSTO!AA228</f>
        <v>0</v>
      </c>
      <c r="Z228" s="377">
        <v>0</v>
      </c>
      <c r="AA228" s="18">
        <f>SUM(Y228:Z228)</f>
        <v>0</v>
      </c>
      <c r="AB228" s="19">
        <f>AGOSTO!AD228</f>
        <v>0</v>
      </c>
      <c r="AC228" s="377">
        <v>0</v>
      </c>
      <c r="AD228" s="18">
        <f>SUM(AB228:AC228)</f>
        <v>0</v>
      </c>
      <c r="AE228" s="19">
        <f>AGOSTO!AG228</f>
        <v>0</v>
      </c>
      <c r="AF228" s="377">
        <v>0</v>
      </c>
      <c r="AG228" s="18">
        <f>SUM(AE228:AF228)</f>
        <v>0</v>
      </c>
      <c r="AH228" s="19">
        <f>X228-AA228</f>
        <v>0</v>
      </c>
      <c r="AI228" s="15">
        <f>X228-AD228</f>
        <v>0</v>
      </c>
      <c r="AJ228" s="16">
        <f>X228-AG228</f>
        <v>0</v>
      </c>
      <c r="AK228" s="9"/>
      <c r="AL228" s="375">
        <v>0</v>
      </c>
      <c r="AM228" s="378">
        <v>0</v>
      </c>
      <c r="AN228" s="9"/>
    </row>
    <row r="229" spans="1:40" s="385" customFormat="1" ht="24.95" customHeight="1" x14ac:dyDescent="0.2">
      <c r="A229" s="767"/>
      <c r="B229" s="669"/>
      <c r="N229" s="9"/>
      <c r="P229" s="9"/>
      <c r="Q229" s="9"/>
      <c r="R229" s="9"/>
      <c r="S229" s="719">
        <f>+IF(AGOSTO!S229=0,"",AGOSTO!S229)</f>
        <v>7002200</v>
      </c>
      <c r="T229" s="693" t="str">
        <f>+IF(AGOSTO!T229=0,"",AGOSTO!T229)</f>
        <v>Intereses Comisiones y gastos de la Deuda Pública</v>
      </c>
      <c r="U229" s="27">
        <f>+ENERO!U229</f>
        <v>0</v>
      </c>
      <c r="V229" s="15">
        <f>AGOSTO!V229+SEPTIEMBRE!AL229</f>
        <v>0</v>
      </c>
      <c r="W229" s="15">
        <f>AGOSTO!W229+SEPTIEMBRE!AM229</f>
        <v>0</v>
      </c>
      <c r="X229" s="18">
        <f>SUM(U229:W229)</f>
        <v>0</v>
      </c>
      <c r="Y229" s="19">
        <f>AGOSTO!AA229</f>
        <v>0</v>
      </c>
      <c r="Z229" s="377">
        <v>0</v>
      </c>
      <c r="AA229" s="18">
        <f>SUM(Y229:Z229)</f>
        <v>0</v>
      </c>
      <c r="AB229" s="19">
        <f>AGOSTO!AD229</f>
        <v>0</v>
      </c>
      <c r="AC229" s="377">
        <v>0</v>
      </c>
      <c r="AD229" s="18">
        <f>SUM(AB229:AC229)</f>
        <v>0</v>
      </c>
      <c r="AE229" s="19">
        <f>AGOSTO!AG229</f>
        <v>0</v>
      </c>
      <c r="AF229" s="377">
        <v>0</v>
      </c>
      <c r="AG229" s="18">
        <f>SUM(AE229:AF229)</f>
        <v>0</v>
      </c>
      <c r="AH229" s="19">
        <f>X229-AA229</f>
        <v>0</v>
      </c>
      <c r="AI229" s="15">
        <f>X229-AD229</f>
        <v>0</v>
      </c>
      <c r="AJ229" s="16">
        <f>X229-AG229</f>
        <v>0</v>
      </c>
      <c r="AK229" s="9"/>
      <c r="AL229" s="375">
        <v>0</v>
      </c>
      <c r="AM229" s="378">
        <v>0</v>
      </c>
      <c r="AN229" s="9"/>
    </row>
    <row r="230" spans="1:40" s="385" customFormat="1" ht="24.95" customHeight="1" thickBot="1" x14ac:dyDescent="0.25">
      <c r="A230" s="767"/>
      <c r="B230" s="669"/>
      <c r="N230" s="9"/>
      <c r="P230" s="9"/>
      <c r="Q230" s="9"/>
      <c r="R230" s="9"/>
      <c r="S230" s="724">
        <f>+IF(AGOSTO!S230=0,"",AGOSTO!S230)</f>
        <v>7002999</v>
      </c>
      <c r="T230" s="699" t="str">
        <f>+IF(AGOSTO!T230=0,"",AGOSTO!T230)</f>
        <v>Vigencias Anteriores</v>
      </c>
      <c r="U230" s="136">
        <f>+ENERO!U230</f>
        <v>0</v>
      </c>
      <c r="V230" s="123">
        <f>AGOSTO!V230+SEPTIEMBRE!AL230</f>
        <v>0</v>
      </c>
      <c r="W230" s="123">
        <f>AGOSTO!W230+SEPTIEMBRE!AM230</f>
        <v>0</v>
      </c>
      <c r="X230" s="129">
        <f>SUM(U230:W230)</f>
        <v>0</v>
      </c>
      <c r="Y230" s="127">
        <f>AGOSTO!AA230</f>
        <v>0</v>
      </c>
      <c r="Z230" s="391">
        <v>0</v>
      </c>
      <c r="AA230" s="129">
        <f>SUM(Y230:Z230)</f>
        <v>0</v>
      </c>
      <c r="AB230" s="127">
        <f>AGOSTO!AD230</f>
        <v>0</v>
      </c>
      <c r="AC230" s="391">
        <v>0</v>
      </c>
      <c r="AD230" s="129">
        <f>SUM(AB230:AC230)</f>
        <v>0</v>
      </c>
      <c r="AE230" s="127">
        <f>AGOSTO!AG230</f>
        <v>0</v>
      </c>
      <c r="AF230" s="391">
        <v>0</v>
      </c>
      <c r="AG230" s="129">
        <f>SUM(AE230:AF230)</f>
        <v>0</v>
      </c>
      <c r="AH230" s="127">
        <f>X230-AA230</f>
        <v>0</v>
      </c>
      <c r="AI230" s="123">
        <f>X230-AD230</f>
        <v>0</v>
      </c>
      <c r="AJ230" s="128">
        <f>X230-AG230</f>
        <v>0</v>
      </c>
      <c r="AK230" s="9"/>
      <c r="AL230" s="507">
        <v>0</v>
      </c>
      <c r="AM230" s="508">
        <v>0</v>
      </c>
      <c r="AN230" s="9"/>
    </row>
    <row r="231" spans="1:40" s="385" customFormat="1" ht="24.95" customHeight="1" x14ac:dyDescent="0.2">
      <c r="A231" s="767"/>
      <c r="B231" s="669"/>
      <c r="N231" s="9"/>
      <c r="P231" s="9"/>
      <c r="Q231" s="9"/>
      <c r="R231" s="9"/>
      <c r="S231" s="492" t="str">
        <f>+IF(AGOSTO!S231=0,"",AGOSTO!S231)</f>
        <v/>
      </c>
      <c r="T231" s="700" t="str">
        <f>+IF(AGOSTO!T231=0,"",AGOSTO!T231)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40" s="385" customFormat="1" ht="24.95" customHeight="1" x14ac:dyDescent="0.2">
      <c r="A232" s="767"/>
      <c r="B232" s="669"/>
      <c r="N232" s="9"/>
      <c r="P232" s="9"/>
      <c r="Q232" s="9"/>
      <c r="R232" s="9"/>
      <c r="S232" s="511" t="str">
        <f>+IF(AGOSTO!S232=0,"",AGOSTO!S232)</f>
        <v>D</v>
      </c>
      <c r="T232" s="709" t="str">
        <f>+IF(AGOSTO!T232=0,"",AGOSTO!T232)</f>
        <v>INVERSION</v>
      </c>
      <c r="U232" s="473">
        <f t="shared" ref="U232:AJ232" si="194">U234</f>
        <v>303000000</v>
      </c>
      <c r="V232" s="474">
        <f t="shared" si="194"/>
        <v>-103000000</v>
      </c>
      <c r="W232" s="474">
        <f t="shared" si="194"/>
        <v>178000000</v>
      </c>
      <c r="X232" s="475">
        <f t="shared" si="194"/>
        <v>378000000</v>
      </c>
      <c r="Y232" s="382">
        <f t="shared" si="194"/>
        <v>120161334</v>
      </c>
      <c r="Z232" s="474">
        <f t="shared" si="194"/>
        <v>1268992</v>
      </c>
      <c r="AA232" s="475">
        <f t="shared" si="194"/>
        <v>121430326</v>
      </c>
      <c r="AB232" s="382">
        <f t="shared" si="194"/>
        <v>58948000</v>
      </c>
      <c r="AC232" s="474">
        <f t="shared" si="194"/>
        <v>22924992</v>
      </c>
      <c r="AD232" s="475">
        <f t="shared" si="194"/>
        <v>81872992</v>
      </c>
      <c r="AE232" s="382">
        <f t="shared" si="194"/>
        <v>48320000</v>
      </c>
      <c r="AF232" s="474">
        <f t="shared" si="194"/>
        <v>15141000</v>
      </c>
      <c r="AG232" s="475">
        <f t="shared" si="194"/>
        <v>63461000</v>
      </c>
      <c r="AH232" s="382">
        <f t="shared" si="194"/>
        <v>256569674</v>
      </c>
      <c r="AI232" s="474">
        <f t="shared" si="194"/>
        <v>296127008</v>
      </c>
      <c r="AJ232" s="383">
        <f t="shared" si="194"/>
        <v>314539000</v>
      </c>
      <c r="AK232" s="506"/>
      <c r="AL232" s="382">
        <f>AL234</f>
        <v>0</v>
      </c>
      <c r="AM232" s="383">
        <f>AM234</f>
        <v>0</v>
      </c>
      <c r="AN232" s="9"/>
    </row>
    <row r="233" spans="1:40" s="385" customFormat="1" ht="24.95" customHeight="1" x14ac:dyDescent="0.2">
      <c r="A233" s="767"/>
      <c r="B233" s="669"/>
      <c r="N233" s="9"/>
      <c r="P233" s="9"/>
      <c r="Q233" s="9"/>
      <c r="R233" s="9"/>
      <c r="S233" s="369" t="str">
        <f>+IF(AGOSTO!S233=0,"",AGOSTO!S233)</f>
        <v/>
      </c>
      <c r="T233" s="708" t="str">
        <f>+IF(AGOSTO!T233=0,"",AGOSTO!T233)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40" s="385" customFormat="1" ht="24.95" customHeight="1" x14ac:dyDescent="0.2">
      <c r="A234" s="767"/>
      <c r="B234" s="669"/>
      <c r="N234" s="9"/>
      <c r="P234" s="9"/>
      <c r="Q234" s="9"/>
      <c r="R234" s="9"/>
      <c r="S234" s="718">
        <f>+IF(AGOSTO!S234=0,"",AGOSTO!S234)</f>
        <v>8000000</v>
      </c>
      <c r="T234" s="692" t="str">
        <f>+IF(AGOSTO!T234=0,"",AGOSTO!T234)</f>
        <v>Programas de Inversión</v>
      </c>
      <c r="U234" s="135">
        <f t="shared" ref="U234:AJ234" si="195">U235+U243</f>
        <v>303000000</v>
      </c>
      <c r="V234" s="124">
        <f t="shared" si="195"/>
        <v>-103000000</v>
      </c>
      <c r="W234" s="124">
        <f t="shared" si="195"/>
        <v>178000000</v>
      </c>
      <c r="X234" s="132">
        <f t="shared" si="195"/>
        <v>378000000</v>
      </c>
      <c r="Y234" s="131">
        <f t="shared" si="195"/>
        <v>120161334</v>
      </c>
      <c r="Z234" s="124">
        <f t="shared" si="195"/>
        <v>1268992</v>
      </c>
      <c r="AA234" s="132">
        <f t="shared" si="195"/>
        <v>121430326</v>
      </c>
      <c r="AB234" s="131">
        <f t="shared" si="195"/>
        <v>58948000</v>
      </c>
      <c r="AC234" s="124">
        <f t="shared" si="195"/>
        <v>22924992</v>
      </c>
      <c r="AD234" s="132">
        <f t="shared" si="195"/>
        <v>81872992</v>
      </c>
      <c r="AE234" s="131">
        <f t="shared" si="195"/>
        <v>48320000</v>
      </c>
      <c r="AF234" s="124">
        <f t="shared" si="195"/>
        <v>15141000</v>
      </c>
      <c r="AG234" s="132">
        <f t="shared" si="195"/>
        <v>63461000</v>
      </c>
      <c r="AH234" s="131">
        <f t="shared" si="195"/>
        <v>256569674</v>
      </c>
      <c r="AI234" s="124">
        <f t="shared" si="195"/>
        <v>296127008</v>
      </c>
      <c r="AJ234" s="133">
        <f t="shared" si="195"/>
        <v>314539000</v>
      </c>
      <c r="AK234" s="9"/>
      <c r="AL234" s="131">
        <f>AL235+AL243</f>
        <v>0</v>
      </c>
      <c r="AM234" s="133">
        <f>AM235+AM243</f>
        <v>0</v>
      </c>
      <c r="AN234" s="9"/>
    </row>
    <row r="235" spans="1:40" s="385" customFormat="1" ht="24.95" customHeight="1" x14ac:dyDescent="0.2">
      <c r="A235" s="767"/>
      <c r="B235" s="669"/>
      <c r="N235" s="9"/>
      <c r="P235" s="9"/>
      <c r="Q235" s="9"/>
      <c r="R235" s="9"/>
      <c r="S235" s="719">
        <f>+IF(AGOSTO!S235=0,"",AGOSTO!S235)</f>
        <v>8001000</v>
      </c>
      <c r="T235" s="693" t="str">
        <f>+IF(AGOSTO!T235=0,"",AGOSTO!T235)</f>
        <v>Formación Bruta del Capital</v>
      </c>
      <c r="U235" s="27">
        <f t="shared" ref="U235:AJ235" si="196">SUM(U236:U241)</f>
        <v>185000000</v>
      </c>
      <c r="V235" s="15">
        <f t="shared" si="196"/>
        <v>0</v>
      </c>
      <c r="W235" s="15">
        <f t="shared" si="196"/>
        <v>0</v>
      </c>
      <c r="X235" s="18">
        <f t="shared" si="196"/>
        <v>185000000</v>
      </c>
      <c r="Y235" s="19">
        <f t="shared" si="196"/>
        <v>0</v>
      </c>
      <c r="Z235" s="145">
        <f t="shared" si="196"/>
        <v>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185000000</v>
      </c>
      <c r="AI235" s="15">
        <f t="shared" si="196"/>
        <v>185000000</v>
      </c>
      <c r="AJ235" s="16">
        <f t="shared" si="196"/>
        <v>185000000</v>
      </c>
      <c r="AK235" s="9"/>
      <c r="AL235" s="29">
        <f>SUM(AL236:AL241)</f>
        <v>0</v>
      </c>
      <c r="AM235" s="26">
        <f>SUM(AM236:AM241)</f>
        <v>0</v>
      </c>
      <c r="AN235" s="9"/>
    </row>
    <row r="236" spans="1:40" s="385" customFormat="1" ht="24.95" customHeight="1" x14ac:dyDescent="0.2">
      <c r="A236" s="767"/>
      <c r="B236" s="669"/>
      <c r="N236" s="9"/>
      <c r="P236" s="9"/>
      <c r="Q236" s="9"/>
      <c r="R236" s="9"/>
      <c r="S236" s="720" t="str">
        <f>+IF(AGOSTO!S236=0,"",AGOSTO!S236)</f>
        <v>8001000-1</v>
      </c>
      <c r="T236" s="694" t="str">
        <f>+IF(AGOSTO!T236=0,"",AGOSTO!T236)</f>
        <v>Subprogr.Diseño Proyecto plan maestro, remodelacion y adec.primer piso</v>
      </c>
      <c r="U236" s="27">
        <f>+ENERO!U236</f>
        <v>60000000</v>
      </c>
      <c r="V236" s="15">
        <f>AGOSTO!V236+SEPTIEMBRE!AL236</f>
        <v>0</v>
      </c>
      <c r="W236" s="15">
        <f>AGOSTO!W236+SEPTIEMBRE!AM236</f>
        <v>0</v>
      </c>
      <c r="X236" s="18">
        <f t="shared" ref="X236:X241" si="197">SUM(U236:W236)</f>
        <v>60000000</v>
      </c>
      <c r="Y236" s="19">
        <f>AGOSTO!AA236</f>
        <v>0</v>
      </c>
      <c r="Z236" s="377">
        <v>0</v>
      </c>
      <c r="AA236" s="18">
        <f t="shared" ref="AA236:AA241" si="198">SUM(Y236:Z236)</f>
        <v>0</v>
      </c>
      <c r="AB236" s="19">
        <f>AGOSTO!AD236</f>
        <v>0</v>
      </c>
      <c r="AC236" s="377">
        <v>0</v>
      </c>
      <c r="AD236" s="18">
        <f t="shared" ref="AD236:AD241" si="199">SUM(AB236:AC236)</f>
        <v>0</v>
      </c>
      <c r="AE236" s="19">
        <f>AGOSTO!AG236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40" s="385" customFormat="1" ht="24.95" customHeight="1" x14ac:dyDescent="0.2">
      <c r="A237" s="767"/>
      <c r="B237" s="669"/>
      <c r="N237" s="9"/>
      <c r="P237" s="9"/>
      <c r="Q237" s="9"/>
      <c r="R237" s="9"/>
      <c r="S237" s="720" t="str">
        <f>+IF(AGOSTO!S237=0,"",AGOSTO!S237)</f>
        <v>8001000-2</v>
      </c>
      <c r="T237" s="694" t="str">
        <f>+IF(AGOSTO!T237=0,"",AGOSTO!T237)</f>
        <v>Subprogr.Adquisicion de ambulancia</v>
      </c>
      <c r="U237" s="27">
        <f>+ENERO!U237</f>
        <v>50000000</v>
      </c>
      <c r="V237" s="15">
        <f>AGOSTO!V237+SEPTIEMBRE!AL237</f>
        <v>0</v>
      </c>
      <c r="W237" s="15">
        <f>AGOSTO!W237+SEPTIEMBRE!AM237</f>
        <v>0</v>
      </c>
      <c r="X237" s="18">
        <f t="shared" si="197"/>
        <v>50000000</v>
      </c>
      <c r="Y237" s="19">
        <f>AGOSTO!AA237</f>
        <v>0</v>
      </c>
      <c r="Z237" s="377">
        <v>0</v>
      </c>
      <c r="AA237" s="18">
        <f t="shared" si="198"/>
        <v>0</v>
      </c>
      <c r="AB237" s="19">
        <f>AGOSTO!AD237</f>
        <v>0</v>
      </c>
      <c r="AC237" s="377">
        <v>0</v>
      </c>
      <c r="AD237" s="18">
        <f t="shared" si="199"/>
        <v>0</v>
      </c>
      <c r="AE237" s="19">
        <f>AGOSTO!AG237</f>
        <v>0</v>
      </c>
      <c r="AF237" s="377">
        <v>0</v>
      </c>
      <c r="AG237" s="18">
        <f t="shared" si="200"/>
        <v>0</v>
      </c>
      <c r="AH237" s="19">
        <f t="shared" si="201"/>
        <v>50000000</v>
      </c>
      <c r="AI237" s="15">
        <f t="shared" si="202"/>
        <v>50000000</v>
      </c>
      <c r="AJ237" s="16">
        <f t="shared" si="203"/>
        <v>50000000</v>
      </c>
      <c r="AK237" s="9"/>
      <c r="AL237" s="375">
        <v>0</v>
      </c>
      <c r="AM237" s="378">
        <v>0</v>
      </c>
      <c r="AN237" s="9"/>
    </row>
    <row r="238" spans="1:40" s="385" customFormat="1" ht="24.95" customHeight="1" x14ac:dyDescent="0.2">
      <c r="A238" s="767"/>
      <c r="B238" s="669"/>
      <c r="N238" s="9"/>
      <c r="P238" s="9"/>
      <c r="Q238" s="9"/>
      <c r="R238" s="9"/>
      <c r="S238" s="720" t="str">
        <f>+IF(AGOSTO!S238=0,"",AGOSTO!S238)</f>
        <v>8001000-3</v>
      </c>
      <c r="T238" s="694" t="str">
        <f>+IF(AGOSTO!T238=0,"",AGOSTO!T238)</f>
        <v>Subprogr.Actualizacion software hacia NICSP y Adquisicion de Historias clinicas</v>
      </c>
      <c r="U238" s="27">
        <f>+ENERO!U238</f>
        <v>75000000</v>
      </c>
      <c r="V238" s="15">
        <f>AGOSTO!V238+SEPTIEMBRE!AL238</f>
        <v>0</v>
      </c>
      <c r="W238" s="15">
        <f>AGOSTO!W238+SEPTIEMBRE!AM238</f>
        <v>0</v>
      </c>
      <c r="X238" s="18">
        <f t="shared" si="197"/>
        <v>75000000</v>
      </c>
      <c r="Y238" s="19">
        <f>AGOSTO!AA238</f>
        <v>0</v>
      </c>
      <c r="Z238" s="377">
        <v>0</v>
      </c>
      <c r="AA238" s="18">
        <f t="shared" si="198"/>
        <v>0</v>
      </c>
      <c r="AB238" s="19">
        <f>AGOSTO!AD238</f>
        <v>0</v>
      </c>
      <c r="AC238" s="377">
        <v>0</v>
      </c>
      <c r="AD238" s="18">
        <f t="shared" si="199"/>
        <v>0</v>
      </c>
      <c r="AE238" s="19">
        <f>AGOSTO!AG238</f>
        <v>0</v>
      </c>
      <c r="AF238" s="377">
        <v>0</v>
      </c>
      <c r="AG238" s="18">
        <f t="shared" si="200"/>
        <v>0</v>
      </c>
      <c r="AH238" s="19">
        <f t="shared" si="201"/>
        <v>75000000</v>
      </c>
      <c r="AI238" s="15">
        <f t="shared" si="202"/>
        <v>75000000</v>
      </c>
      <c r="AJ238" s="16">
        <f t="shared" si="203"/>
        <v>75000000</v>
      </c>
      <c r="AK238" s="9"/>
      <c r="AL238" s="375">
        <v>0</v>
      </c>
      <c r="AM238" s="378">
        <v>0</v>
      </c>
      <c r="AN238" s="9"/>
    </row>
    <row r="239" spans="1:40" s="385" customFormat="1" ht="24.95" customHeight="1" x14ac:dyDescent="0.2">
      <c r="A239" s="767"/>
      <c r="B239" s="669"/>
      <c r="N239" s="9"/>
      <c r="P239" s="9"/>
      <c r="Q239" s="9"/>
      <c r="S239" s="720" t="str">
        <f>+IF(AGOSTO!S239=0,"",AGOSTO!S239)</f>
        <v>8001000-4</v>
      </c>
      <c r="T239" s="694" t="str">
        <f>+IF(AGOSTO!T239=0,"",AGOSTO!T239)</f>
        <v>Subprogr.Construc. Remodelac. Adecuación y Apliac.4</v>
      </c>
      <c r="U239" s="27">
        <f>+ENERO!U239</f>
        <v>0</v>
      </c>
      <c r="V239" s="15">
        <f>AGOSTO!V239+SEPTIEMBRE!AL239</f>
        <v>0</v>
      </c>
      <c r="W239" s="15">
        <f>AGOSTO!W239+SEPTIEMBRE!AM239</f>
        <v>0</v>
      </c>
      <c r="X239" s="18">
        <f t="shared" si="197"/>
        <v>0</v>
      </c>
      <c r="Y239" s="19">
        <f>AGOSTO!AA239</f>
        <v>0</v>
      </c>
      <c r="Z239" s="377">
        <v>0</v>
      </c>
      <c r="AA239" s="18">
        <f t="shared" si="198"/>
        <v>0</v>
      </c>
      <c r="AB239" s="19">
        <f>AGOSTO!AD239</f>
        <v>0</v>
      </c>
      <c r="AC239" s="377">
        <v>0</v>
      </c>
      <c r="AD239" s="18">
        <f t="shared" si="199"/>
        <v>0</v>
      </c>
      <c r="AE239" s="19">
        <f>AGOSTO!AG239</f>
        <v>0</v>
      </c>
      <c r="AF239" s="377">
        <v>0</v>
      </c>
      <c r="AG239" s="18">
        <f t="shared" si="200"/>
        <v>0</v>
      </c>
      <c r="AH239" s="19">
        <f t="shared" si="201"/>
        <v>0</v>
      </c>
      <c r="AI239" s="15">
        <f t="shared" si="202"/>
        <v>0</v>
      </c>
      <c r="AJ239" s="16">
        <f t="shared" si="203"/>
        <v>0</v>
      </c>
      <c r="AK239" s="9"/>
      <c r="AL239" s="375">
        <v>0</v>
      </c>
      <c r="AM239" s="378">
        <v>0</v>
      </c>
      <c r="AN239" s="9"/>
    </row>
    <row r="240" spans="1:40" s="385" customFormat="1" ht="24.95" customHeight="1" x14ac:dyDescent="0.2">
      <c r="A240" s="767"/>
      <c r="B240" s="669"/>
      <c r="N240" s="9"/>
      <c r="P240" s="9"/>
      <c r="Q240" s="9"/>
      <c r="S240" s="720" t="str">
        <f>+IF(AGOSTO!S240=0,"",AGOSTO!S240)</f>
        <v>8001000-7</v>
      </c>
      <c r="T240" s="694" t="str">
        <f>+IF(AGOSTO!T240=0,"",AGOSTO!T240)</f>
        <v>Subprogr.Construc. Remodelac. Adecuación y Apliac.5</v>
      </c>
      <c r="U240" s="27">
        <f>+ENERO!U240</f>
        <v>0</v>
      </c>
      <c r="V240" s="15">
        <f>AGOSTO!V240+SEPTIEMBRE!AL240</f>
        <v>0</v>
      </c>
      <c r="W240" s="15">
        <f>AGOSTO!W240+SEPTIEMBRE!AM240</f>
        <v>0</v>
      </c>
      <c r="X240" s="18">
        <f t="shared" si="197"/>
        <v>0</v>
      </c>
      <c r="Y240" s="19">
        <f>AGOSTO!AA240</f>
        <v>0</v>
      </c>
      <c r="Z240" s="377">
        <v>0</v>
      </c>
      <c r="AA240" s="18">
        <f t="shared" si="198"/>
        <v>0</v>
      </c>
      <c r="AB240" s="19">
        <f>AGOSTO!AD240</f>
        <v>0</v>
      </c>
      <c r="AC240" s="377">
        <v>0</v>
      </c>
      <c r="AD240" s="18">
        <f t="shared" si="199"/>
        <v>0</v>
      </c>
      <c r="AE240" s="19">
        <f>AGOSTO!AG240</f>
        <v>0</v>
      </c>
      <c r="AF240" s="377">
        <v>0</v>
      </c>
      <c r="AG240" s="18">
        <f t="shared" si="200"/>
        <v>0</v>
      </c>
      <c r="AH240" s="19">
        <f t="shared" si="201"/>
        <v>0</v>
      </c>
      <c r="AI240" s="15">
        <f t="shared" si="202"/>
        <v>0</v>
      </c>
      <c r="AJ240" s="16">
        <f t="shared" si="203"/>
        <v>0</v>
      </c>
      <c r="AK240" s="9"/>
      <c r="AL240" s="375">
        <v>0</v>
      </c>
      <c r="AM240" s="378">
        <v>0</v>
      </c>
      <c r="AN240" s="9"/>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+IF(AGOSTO!S241=0,"",AGOSTO!S241)</f>
        <v>8001999</v>
      </c>
      <c r="T241" s="694" t="str">
        <f>+IF(AGOSTO!T241=0,"",AGOSTO!T241)</f>
        <v>Vigencias Anteriores</v>
      </c>
      <c r="U241" s="27">
        <f>+ENERO!U241</f>
        <v>0</v>
      </c>
      <c r="V241" s="15">
        <f>AGOSTO!V241+SEPTIEMBRE!AL241</f>
        <v>0</v>
      </c>
      <c r="W241" s="15">
        <f>AGOSTO!W241+SEPTIEMBRE!AM241</f>
        <v>0</v>
      </c>
      <c r="X241" s="18">
        <f t="shared" si="197"/>
        <v>0</v>
      </c>
      <c r="Y241" s="19">
        <f>AGOSTO!AA241</f>
        <v>0</v>
      </c>
      <c r="Z241" s="377">
        <v>0</v>
      </c>
      <c r="AA241" s="18">
        <f t="shared" si="198"/>
        <v>0</v>
      </c>
      <c r="AB241" s="19">
        <f>AGOSTO!AD241</f>
        <v>0</v>
      </c>
      <c r="AC241" s="377">
        <v>0</v>
      </c>
      <c r="AD241" s="18">
        <f t="shared" si="199"/>
        <v>0</v>
      </c>
      <c r="AE241" s="19">
        <f>AGOSTO!AG241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+IF(AGOSTO!S242=0,"",AGOSTO!S242)</f>
        <v/>
      </c>
      <c r="T242" s="708" t="str">
        <f>+IF(AGOSTO!T242=0,"",AGOSTO!T242)</f>
        <v/>
      </c>
      <c r="U242" s="164"/>
      <c r="V242" s="164"/>
      <c r="W242" s="164"/>
      <c r="X242" s="164"/>
      <c r="Y242" s="164"/>
      <c r="Z242" s="164"/>
      <c r="AA242" s="164"/>
      <c r="AB242" s="164"/>
      <c r="AC242" s="164"/>
      <c r="AD242" s="164"/>
      <c r="AE242" s="164"/>
      <c r="AF242" s="164"/>
      <c r="AG242" s="164"/>
      <c r="AH242" s="164"/>
      <c r="AI242" s="164"/>
      <c r="AJ242" s="169"/>
      <c r="AK242" s="9"/>
      <c r="AL242" s="175"/>
      <c r="AM242" s="176"/>
      <c r="BM242" s="385"/>
      <c r="BN242" s="385"/>
      <c r="BO242" s="385"/>
      <c r="BP242" s="385"/>
      <c r="BQ242" s="385"/>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+IF(AGOSTO!S243=0,"",AGOSTO!S243)</f>
        <v>8002001</v>
      </c>
      <c r="T243" s="693" t="str">
        <f>+IF(AGOSTO!T243=0,"",AGOSTO!T243)</f>
        <v>Gastos Operativos de Inversion   (Programas Especiales)</v>
      </c>
      <c r="U243" s="27">
        <f t="shared" ref="U243:AJ243" si="204">SUM(U244:U256)</f>
        <v>118000000</v>
      </c>
      <c r="V243" s="15">
        <f t="shared" si="204"/>
        <v>-103000000</v>
      </c>
      <c r="W243" s="15">
        <f t="shared" si="204"/>
        <v>178000000</v>
      </c>
      <c r="X243" s="18">
        <f t="shared" si="204"/>
        <v>193000000</v>
      </c>
      <c r="Y243" s="19">
        <f t="shared" si="204"/>
        <v>120161334</v>
      </c>
      <c r="Z243" s="145">
        <f t="shared" si="204"/>
        <v>1268992</v>
      </c>
      <c r="AA243" s="18">
        <f t="shared" si="204"/>
        <v>121430326</v>
      </c>
      <c r="AB243" s="19">
        <f t="shared" si="204"/>
        <v>58948000</v>
      </c>
      <c r="AC243" s="145">
        <f t="shared" si="204"/>
        <v>22924992</v>
      </c>
      <c r="AD243" s="18">
        <f t="shared" si="204"/>
        <v>81872992</v>
      </c>
      <c r="AE243" s="19">
        <f t="shared" si="204"/>
        <v>48320000</v>
      </c>
      <c r="AF243" s="145">
        <f t="shared" si="204"/>
        <v>15141000</v>
      </c>
      <c r="AG243" s="18">
        <f t="shared" si="204"/>
        <v>63461000</v>
      </c>
      <c r="AH243" s="19">
        <f t="shared" si="204"/>
        <v>71569674</v>
      </c>
      <c r="AI243" s="15">
        <f t="shared" si="204"/>
        <v>111127008</v>
      </c>
      <c r="AJ243" s="16">
        <f t="shared" si="204"/>
        <v>129539000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+IF(AGOSTO!S244=0,"",AGOSTO!S244)</f>
        <v>8002100-1</v>
      </c>
      <c r="T244" s="694" t="str">
        <f>+IF(AGOSTO!T244=0,"",AGOSTO!T244)</f>
        <v>Fondo de la Vivienda</v>
      </c>
      <c r="U244" s="27">
        <f>+ENERO!U244</f>
        <v>0</v>
      </c>
      <c r="V244" s="15">
        <f>AGOSTO!V244+SEPTIEMBRE!AL244</f>
        <v>0</v>
      </c>
      <c r="W244" s="15">
        <f>AGOSTO!W244+SEPTIEMBRE!AM244</f>
        <v>0</v>
      </c>
      <c r="X244" s="18">
        <f t="shared" ref="X244:X256" si="205">SUM(U244:W244)</f>
        <v>0</v>
      </c>
      <c r="Y244" s="19">
        <f>AGOSTO!AA244</f>
        <v>0</v>
      </c>
      <c r="Z244" s="377">
        <v>0</v>
      </c>
      <c r="AA244" s="18">
        <f t="shared" ref="AA244:AA256" si="206">SUM(Y244:Z244)</f>
        <v>0</v>
      </c>
      <c r="AB244" s="19">
        <f>AGOSTO!AD244</f>
        <v>0</v>
      </c>
      <c r="AC244" s="377">
        <v>0</v>
      </c>
      <c r="AD244" s="18">
        <f t="shared" ref="AD244:AD256" si="207">SUM(AB244:AC244)</f>
        <v>0</v>
      </c>
      <c r="AE244" s="19">
        <f>AGOSTO!AG244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+IF(AGOSTO!S245=0,"",AGOSTO!S245)</f>
        <v>8002100-2</v>
      </c>
      <c r="T245" s="694" t="str">
        <f>+IF(AGOSTO!T245=0,"",AGOSTO!T245)</f>
        <v>Programas Especial 01 Convenio APS Municipio</v>
      </c>
      <c r="U245" s="27">
        <f>+ENERO!U245</f>
        <v>94000000</v>
      </c>
      <c r="V245" s="15">
        <f>AGOSTO!V245+SEPTIEMBRE!AL245</f>
        <v>-68000000</v>
      </c>
      <c r="W245" s="15">
        <f>AGOSTO!W245+SEPTIEMBRE!AM245</f>
        <v>94000000</v>
      </c>
      <c r="X245" s="18">
        <f t="shared" si="205"/>
        <v>120000000</v>
      </c>
      <c r="Y245" s="19">
        <f>AGOSTO!AA245</f>
        <v>74373334</v>
      </c>
      <c r="Z245" s="377">
        <v>1268992</v>
      </c>
      <c r="AA245" s="18">
        <f t="shared" si="206"/>
        <v>75642326</v>
      </c>
      <c r="AB245" s="19">
        <f>AGOSTO!AD245</f>
        <v>41200000</v>
      </c>
      <c r="AC245" s="377">
        <v>10818992</v>
      </c>
      <c r="AD245" s="18">
        <f t="shared" si="207"/>
        <v>52018992</v>
      </c>
      <c r="AE245" s="19">
        <f>AGOSTO!AG245</f>
        <v>38850000</v>
      </c>
      <c r="AF245" s="377">
        <v>10691000</v>
      </c>
      <c r="AG245" s="18">
        <f t="shared" si="208"/>
        <v>49541000</v>
      </c>
      <c r="AH245" s="19">
        <f t="shared" si="209"/>
        <v>44357674</v>
      </c>
      <c r="AI245" s="15">
        <f t="shared" si="210"/>
        <v>67981008</v>
      </c>
      <c r="AJ245" s="16">
        <f t="shared" si="211"/>
        <v>70459000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+IF(AGOSTO!S246=0,"",AGOSTO!S246)</f>
        <v>8002100-3</v>
      </c>
      <c r="T246" s="694" t="str">
        <f>+IF(AGOSTO!T246=0,"",AGOSTO!T246)</f>
        <v>Programas Especial 02 Convenios APS  Departamento</v>
      </c>
      <c r="U246" s="27">
        <f>+ENERO!U246</f>
        <v>0</v>
      </c>
      <c r="V246" s="15">
        <f>AGOSTO!V246+SEPTIEMBRE!AL246</f>
        <v>0</v>
      </c>
      <c r="W246" s="15">
        <f>AGOSTO!W246+SEPTIEMBRE!AM246</f>
        <v>50000000</v>
      </c>
      <c r="X246" s="18">
        <f t="shared" si="205"/>
        <v>50000000</v>
      </c>
      <c r="Y246" s="19">
        <f>AGOSTO!AA246</f>
        <v>22820000</v>
      </c>
      <c r="Z246" s="377">
        <v>0</v>
      </c>
      <c r="AA246" s="18">
        <f t="shared" si="206"/>
        <v>22820000</v>
      </c>
      <c r="AB246" s="19">
        <f>AGOSTO!AD246</f>
        <v>13920000</v>
      </c>
      <c r="AC246" s="377">
        <v>4450000</v>
      </c>
      <c r="AD246" s="18">
        <f t="shared" si="207"/>
        <v>18370000</v>
      </c>
      <c r="AE246" s="19">
        <f>AGOSTO!AG246</f>
        <v>9470000</v>
      </c>
      <c r="AF246" s="377">
        <v>4450000</v>
      </c>
      <c r="AG246" s="18">
        <f t="shared" si="208"/>
        <v>13920000</v>
      </c>
      <c r="AH246" s="19">
        <f t="shared" si="209"/>
        <v>27180000</v>
      </c>
      <c r="AI246" s="15">
        <f t="shared" si="210"/>
        <v>31630000</v>
      </c>
      <c r="AJ246" s="16">
        <f t="shared" si="211"/>
        <v>36080000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+IF(AGOSTO!S247=0,"",AGOSTO!S247)</f>
        <v>8002100-4</v>
      </c>
      <c r="T247" s="694" t="str">
        <f>+IF(AGOSTO!T247=0,"",AGOSTO!T247)</f>
        <v>Subprogr. Implementacion Normas Internacionales de Contabilidad Publica</v>
      </c>
      <c r="U247" s="27">
        <f>+ENERO!U247</f>
        <v>0</v>
      </c>
      <c r="V247" s="15">
        <f>AGOSTO!V247+SEPTIEMBRE!AL247</f>
        <v>23000000</v>
      </c>
      <c r="W247" s="15">
        <f>AGOSTO!W247+SEPTIEMBRE!AM247</f>
        <v>0</v>
      </c>
      <c r="X247" s="18">
        <f t="shared" si="205"/>
        <v>23000000</v>
      </c>
      <c r="Y247" s="19">
        <f>AGOSTO!AA247</f>
        <v>22968000</v>
      </c>
      <c r="Z247" s="377">
        <v>0</v>
      </c>
      <c r="AA247" s="18">
        <f t="shared" si="206"/>
        <v>22968000</v>
      </c>
      <c r="AB247" s="19">
        <f>AGOSTO!AD247</f>
        <v>3828000</v>
      </c>
      <c r="AC247" s="377">
        <v>7656000</v>
      </c>
      <c r="AD247" s="18">
        <f t="shared" si="207"/>
        <v>11484000</v>
      </c>
      <c r="AE247" s="19">
        <f>AGOSTO!AG247</f>
        <v>0</v>
      </c>
      <c r="AF247" s="377">
        <v>0</v>
      </c>
      <c r="AG247" s="18">
        <f t="shared" si="208"/>
        <v>0</v>
      </c>
      <c r="AH247" s="19">
        <f t="shared" si="209"/>
        <v>32000</v>
      </c>
      <c r="AI247" s="15">
        <f t="shared" si="210"/>
        <v>11516000</v>
      </c>
      <c r="AJ247" s="16">
        <f t="shared" si="211"/>
        <v>23000000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+IF(AGOSTO!S248=0,"",AGOSTO!S248)</f>
        <v>8002100-5</v>
      </c>
      <c r="T248" s="694" t="str">
        <f>+IF(AGOSTO!T248=0,"",AGOSTO!T248)</f>
        <v>Programas Especial 04 Convenio Puestos de Salud</v>
      </c>
      <c r="U248" s="27">
        <f>+ENERO!U248</f>
        <v>24000000</v>
      </c>
      <c r="V248" s="15">
        <f>AGOSTO!V248+SEPTIEMBRE!AL248</f>
        <v>-58000000</v>
      </c>
      <c r="W248" s="15">
        <f>AGOSTO!W248+SEPTIEMBRE!AM248</f>
        <v>34000000</v>
      </c>
      <c r="X248" s="18">
        <f t="shared" si="205"/>
        <v>0</v>
      </c>
      <c r="Y248" s="19">
        <f>AGOSTO!AA248</f>
        <v>0</v>
      </c>
      <c r="Z248" s="377">
        <v>0</v>
      </c>
      <c r="AA248" s="18">
        <f t="shared" si="206"/>
        <v>0</v>
      </c>
      <c r="AB248" s="19">
        <f>AGOSTO!AD248</f>
        <v>0</v>
      </c>
      <c r="AC248" s="377">
        <v>0</v>
      </c>
      <c r="AD248" s="18">
        <f t="shared" si="207"/>
        <v>0</v>
      </c>
      <c r="AE248" s="19">
        <f>AGOSTO!AG248</f>
        <v>0</v>
      </c>
      <c r="AF248" s="377">
        <v>0</v>
      </c>
      <c r="AG248" s="18">
        <f t="shared" si="208"/>
        <v>0</v>
      </c>
      <c r="AH248" s="19">
        <f t="shared" si="209"/>
        <v>0</v>
      </c>
      <c r="AI248" s="15">
        <f t="shared" si="210"/>
        <v>0</v>
      </c>
      <c r="AJ248" s="16">
        <f t="shared" si="211"/>
        <v>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+IF(AGOSTO!S249=0,"",AGOSTO!S249)</f>
        <v>8002100-6</v>
      </c>
      <c r="T249" s="694" t="str">
        <f>+IF(AGOSTO!T249=0,"",AGOSTO!T249)</f>
        <v>Programas Especial 05</v>
      </c>
      <c r="U249" s="27">
        <f>+ENERO!U249</f>
        <v>0</v>
      </c>
      <c r="V249" s="15">
        <f>AGOSTO!V249+SEPTIEMBRE!AL249</f>
        <v>0</v>
      </c>
      <c r="W249" s="15">
        <f>AGOSTO!W249+SEPTIEMBRE!AM249</f>
        <v>0</v>
      </c>
      <c r="X249" s="18">
        <f t="shared" si="205"/>
        <v>0</v>
      </c>
      <c r="Y249" s="19">
        <f>AGOSTO!AA249</f>
        <v>0</v>
      </c>
      <c r="Z249" s="377">
        <v>0</v>
      </c>
      <c r="AA249" s="18">
        <f t="shared" si="206"/>
        <v>0</v>
      </c>
      <c r="AB249" s="19">
        <f>AGOSTO!AD249</f>
        <v>0</v>
      </c>
      <c r="AC249" s="377">
        <v>0</v>
      </c>
      <c r="AD249" s="18">
        <f t="shared" si="207"/>
        <v>0</v>
      </c>
      <c r="AE249" s="19">
        <f>AGOSTO!AG249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+IF(AGOSTO!S250=0,"",AGOSTO!S250)</f>
        <v>8002100-7</v>
      </c>
      <c r="T250" s="694" t="str">
        <f>+IF(AGOSTO!T250=0,"",AGOSTO!T250)</f>
        <v>Programas Especial 06</v>
      </c>
      <c r="U250" s="27">
        <f>+ENERO!U250</f>
        <v>0</v>
      </c>
      <c r="V250" s="15">
        <f>AGOSTO!V250+SEPTIEMBRE!AL250</f>
        <v>0</v>
      </c>
      <c r="W250" s="15">
        <f>AGOSTO!W250+SEPTIEMBRE!AM250</f>
        <v>0</v>
      </c>
      <c r="X250" s="18">
        <f>SUM(U250:W250)</f>
        <v>0</v>
      </c>
      <c r="Y250" s="19">
        <f>AGOSTO!AA250</f>
        <v>0</v>
      </c>
      <c r="Z250" s="377">
        <v>0</v>
      </c>
      <c r="AA250" s="18">
        <f>SUM(Y250:Z250)</f>
        <v>0</v>
      </c>
      <c r="AB250" s="19">
        <f>AGOSTO!AD250</f>
        <v>0</v>
      </c>
      <c r="AC250" s="377">
        <v>0</v>
      </c>
      <c r="AD250" s="18">
        <f>SUM(AB250:AC250)</f>
        <v>0</v>
      </c>
      <c r="AE250" s="19">
        <f>AGOSTO!AG250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+IF(AGOSTO!S251=0,"",AGOSTO!S251)</f>
        <v>8002100-8</v>
      </c>
      <c r="T251" s="694" t="str">
        <f>+IF(AGOSTO!T251=0,"",AGOSTO!T251)</f>
        <v>Programas Especial 07</v>
      </c>
      <c r="U251" s="27">
        <f>+ENERO!U251</f>
        <v>0</v>
      </c>
      <c r="V251" s="15">
        <f>AGOSTO!V251+SEPTIEMBRE!AL251</f>
        <v>0</v>
      </c>
      <c r="W251" s="15">
        <f>AGOSTO!W251+SEPTIEMBRE!AM251</f>
        <v>0</v>
      </c>
      <c r="X251" s="18">
        <f>SUM(U251:W251)</f>
        <v>0</v>
      </c>
      <c r="Y251" s="19">
        <f>AGOSTO!AA251</f>
        <v>0</v>
      </c>
      <c r="Z251" s="377">
        <v>0</v>
      </c>
      <c r="AA251" s="18">
        <f>SUM(Y251:Z251)</f>
        <v>0</v>
      </c>
      <c r="AB251" s="19">
        <f>AGOSTO!AD251</f>
        <v>0</v>
      </c>
      <c r="AC251" s="377">
        <v>0</v>
      </c>
      <c r="AD251" s="18">
        <f>SUM(AB251:AC251)</f>
        <v>0</v>
      </c>
      <c r="AE251" s="19">
        <f>AGOSTO!AG251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+IF(AGOSTO!S252=0,"",AGOSTO!S252)</f>
        <v>8002100-9</v>
      </c>
      <c r="T252" s="694" t="str">
        <f>+IF(AGOSTO!T252=0,"",AGOSTO!T252)</f>
        <v>Programas Especial 08</v>
      </c>
      <c r="U252" s="27">
        <f>+ENERO!U252</f>
        <v>0</v>
      </c>
      <c r="V252" s="15">
        <f>AGOSTO!V252+SEPTIEMBRE!AL252</f>
        <v>0</v>
      </c>
      <c r="W252" s="15">
        <f>AGOSTO!W252+SEPTIEMBRE!AM252</f>
        <v>0</v>
      </c>
      <c r="X252" s="18">
        <f>SUM(U252:W252)</f>
        <v>0</v>
      </c>
      <c r="Y252" s="19">
        <f>AGOSTO!AA252</f>
        <v>0</v>
      </c>
      <c r="Z252" s="377">
        <v>0</v>
      </c>
      <c r="AA252" s="18">
        <f>SUM(Y252:Z252)</f>
        <v>0</v>
      </c>
      <c r="AB252" s="19">
        <f>AGOSTO!AD252</f>
        <v>0</v>
      </c>
      <c r="AC252" s="377">
        <v>0</v>
      </c>
      <c r="AD252" s="18">
        <f>SUM(AB252:AC252)</f>
        <v>0</v>
      </c>
      <c r="AE252" s="19">
        <f>AGOSTO!AG252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+IF(AGOSTO!S253=0,"",AGOSTO!S253)</f>
        <v>8002100-10</v>
      </c>
      <c r="T253" s="694" t="str">
        <f>+IF(AGOSTO!T253=0,"",AGOSTO!T253)</f>
        <v>Programas Especial 09</v>
      </c>
      <c r="U253" s="27">
        <f>+ENERO!U253</f>
        <v>0</v>
      </c>
      <c r="V253" s="15">
        <f>AGOSTO!V253+SEPTIEMBRE!AL253</f>
        <v>0</v>
      </c>
      <c r="W253" s="15">
        <f>AGOSTO!W253+SEPTIEMBRE!AM253</f>
        <v>0</v>
      </c>
      <c r="X253" s="18">
        <f>SUM(U253:W253)</f>
        <v>0</v>
      </c>
      <c r="Y253" s="19">
        <f>AGOSTO!AA253</f>
        <v>0</v>
      </c>
      <c r="Z253" s="377">
        <v>0</v>
      </c>
      <c r="AA253" s="18">
        <f>SUM(Y253:Z253)</f>
        <v>0</v>
      </c>
      <c r="AB253" s="19">
        <f>AGOSTO!AD253</f>
        <v>0</v>
      </c>
      <c r="AC253" s="377">
        <v>0</v>
      </c>
      <c r="AD253" s="18">
        <f>SUM(AB253:AC253)</f>
        <v>0</v>
      </c>
      <c r="AE253" s="19">
        <f>AGOSTO!AG253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+IF(AGOSTO!S254=0,"",AGOSTO!S254)</f>
        <v>8002100-11</v>
      </c>
      <c r="T254" s="694" t="str">
        <f>+IF(AGOSTO!T254=0,"",AGOSTO!T254)</f>
        <v>Programas Especial 10</v>
      </c>
      <c r="U254" s="27">
        <f>+ENERO!U254</f>
        <v>0</v>
      </c>
      <c r="V254" s="15">
        <f>AGOSTO!V254+SEPTIEMBRE!AL254</f>
        <v>0</v>
      </c>
      <c r="W254" s="15">
        <f>AGOSTO!W254+SEPTIEMBRE!AM254</f>
        <v>0</v>
      </c>
      <c r="X254" s="18">
        <f>SUM(U254:W254)</f>
        <v>0</v>
      </c>
      <c r="Y254" s="19">
        <f>AGOSTO!AA254</f>
        <v>0</v>
      </c>
      <c r="Z254" s="377">
        <v>0</v>
      </c>
      <c r="AA254" s="18">
        <f>SUM(Y254:Z254)</f>
        <v>0</v>
      </c>
      <c r="AB254" s="19">
        <f>AGOSTO!AD254</f>
        <v>0</v>
      </c>
      <c r="AC254" s="377">
        <v>0</v>
      </c>
      <c r="AD254" s="18">
        <f>SUM(AB254:AC254)</f>
        <v>0</v>
      </c>
      <c r="AE254" s="19">
        <f>AGOSTO!AG254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+IF(AGOSTO!S255=0,"",AGOSTO!S255)</f>
        <v>8002100-12</v>
      </c>
      <c r="T255" s="694" t="str">
        <f>+IF(AGOSTO!T255=0,"",AGOSTO!T255)</f>
        <v>Programas Especial 11</v>
      </c>
      <c r="U255" s="27">
        <f>+ENERO!U255</f>
        <v>0</v>
      </c>
      <c r="V255" s="15">
        <f>AGOSTO!V255+SEPTIEMBRE!AL255</f>
        <v>0</v>
      </c>
      <c r="W255" s="15">
        <f>AGOSTO!W255+SEPTIEMBRE!AM255</f>
        <v>0</v>
      </c>
      <c r="X255" s="18">
        <f t="shared" si="205"/>
        <v>0</v>
      </c>
      <c r="Y255" s="19">
        <f>AGOSTO!AA255</f>
        <v>0</v>
      </c>
      <c r="Z255" s="377">
        <v>0</v>
      </c>
      <c r="AA255" s="18">
        <f t="shared" si="206"/>
        <v>0</v>
      </c>
      <c r="AB255" s="19">
        <f>AGOSTO!AD255</f>
        <v>0</v>
      </c>
      <c r="AC255" s="377">
        <v>0</v>
      </c>
      <c r="AD255" s="18">
        <f t="shared" si="207"/>
        <v>0</v>
      </c>
      <c r="AE255" s="19">
        <f>AGOSTO!AG255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+IF(AGOSTO!S256=0,"",AGOSTO!S256)</f>
        <v>8002999</v>
      </c>
      <c r="T256" s="710" t="str">
        <f>+IF(AGOSTO!T256=0,"",AGOSTO!T256)</f>
        <v>Vigencias Anteriores</v>
      </c>
      <c r="U256" s="136">
        <f>+ENERO!U256</f>
        <v>0</v>
      </c>
      <c r="V256" s="123">
        <f>AGOSTO!V256+SEPTIEMBRE!AL256</f>
        <v>0</v>
      </c>
      <c r="W256" s="123">
        <f>AGOSTO!W256+SEPTIEMBRE!AM256</f>
        <v>0</v>
      </c>
      <c r="X256" s="129">
        <f t="shared" si="205"/>
        <v>0</v>
      </c>
      <c r="Y256" s="127">
        <f>AGOSTO!AA256</f>
        <v>0</v>
      </c>
      <c r="Z256" s="391">
        <v>0</v>
      </c>
      <c r="AA256" s="129">
        <f t="shared" si="206"/>
        <v>0</v>
      </c>
      <c r="AB256" s="127">
        <f>AGOSTO!AD256</f>
        <v>0</v>
      </c>
      <c r="AC256" s="391">
        <v>0</v>
      </c>
      <c r="AD256" s="129">
        <f t="shared" si="207"/>
        <v>0</v>
      </c>
      <c r="AE256" s="127">
        <f>AGOSTO!AG256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+IF(AGOSTO!S257=0,"",AGOSTO!S257)</f>
        <v/>
      </c>
      <c r="T257" s="707" t="str">
        <f>+IF(AGOSTO!T257=0,"",AGOSTO!T257)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+IF(AGOSTO!S258=0,"",AGOSTO!S258)</f>
        <v>E</v>
      </c>
      <c r="T258" s="711" t="str">
        <f>+IF(AGOSTO!T258=0,"",AGOSTO!T258)</f>
        <v>DISPONIBILIDAD FINAL</v>
      </c>
      <c r="U258" s="341">
        <f t="shared" ref="U258:AJ258" si="212">+(C10+C17+C113)-(U10+U207+U220+U232)</f>
        <v>0</v>
      </c>
      <c r="V258" s="341">
        <f t="shared" si="212"/>
        <v>0</v>
      </c>
      <c r="W258" s="341">
        <f t="shared" si="212"/>
        <v>0</v>
      </c>
      <c r="X258" s="341">
        <f t="shared" si="212"/>
        <v>0</v>
      </c>
      <c r="Y258" s="341">
        <f t="shared" si="212"/>
        <v>232803277</v>
      </c>
      <c r="Z258" s="341">
        <f t="shared" si="212"/>
        <v>66412355</v>
      </c>
      <c r="AA258" s="341">
        <f t="shared" si="212"/>
        <v>299215632</v>
      </c>
      <c r="AB258" s="341">
        <f t="shared" si="212"/>
        <v>-374185150</v>
      </c>
      <c r="AC258" s="341">
        <f t="shared" si="212"/>
        <v>13818292</v>
      </c>
      <c r="AD258" s="341">
        <f t="shared" si="212"/>
        <v>-360366858</v>
      </c>
      <c r="AE258" s="341">
        <f t="shared" si="212"/>
        <v>-926659403</v>
      </c>
      <c r="AF258" s="341">
        <f t="shared" si="212"/>
        <v>1442537778</v>
      </c>
      <c r="AG258" s="341">
        <f t="shared" si="212"/>
        <v>-2054277226</v>
      </c>
      <c r="AH258" s="341">
        <f t="shared" si="212"/>
        <v>-1164514071</v>
      </c>
      <c r="AI258" s="341">
        <f t="shared" si="212"/>
        <v>-1344490304</v>
      </c>
      <c r="AJ258" s="341">
        <f t="shared" si="212"/>
        <v>-1836323521</v>
      </c>
      <c r="AK258" s="9"/>
      <c r="AL258" s="341">
        <v>0</v>
      </c>
      <c r="AM258" s="342">
        <v>0</v>
      </c>
    </row>
    <row r="259" spans="1:39" ht="24.95" customHeight="1" thickBot="1" x14ac:dyDescent="0.25">
      <c r="S259" s="912" t="str">
        <f>+IF(AGOSTO!S259=0,"",AGOSTO!S259)</f>
        <v>TOTAL VIGENCIAS ANTERIORES</v>
      </c>
      <c r="T259" s="913"/>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300813287</v>
      </c>
      <c r="AF259" s="115">
        <f t="shared" si="213"/>
        <v>3024160</v>
      </c>
      <c r="AG259" s="126">
        <f t="shared" si="213"/>
        <v>303837447</v>
      </c>
      <c r="AH259" s="125">
        <f t="shared" si="213"/>
        <v>0</v>
      </c>
      <c r="AI259" s="115">
        <f t="shared" si="213"/>
        <v>0</v>
      </c>
      <c r="AJ259" s="116">
        <f t="shared" si="213"/>
        <v>38526609</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FF6" sheet="1" objects="1" scenarios="1" formatCells="0" formatColumns="0"/>
  <mergeCells count="48">
    <mergeCell ref="S259:T259"/>
    <mergeCell ref="BM5:BM6"/>
    <mergeCell ref="AL2:AM2"/>
    <mergeCell ref="BB2:BC2"/>
    <mergeCell ref="BB3:BC3"/>
    <mergeCell ref="AE5:AG5"/>
    <mergeCell ref="BL5:BL6"/>
    <mergeCell ref="AW4:AZ4"/>
    <mergeCell ref="BH5:BK5"/>
    <mergeCell ref="T3:T4"/>
    <mergeCell ref="S5:S6"/>
    <mergeCell ref="BM2:BO2"/>
    <mergeCell ref="BM3:BO3"/>
    <mergeCell ref="V2:X2"/>
    <mergeCell ref="Y3:AG4"/>
    <mergeCell ref="Y2:AG2"/>
    <mergeCell ref="AH2:AI2"/>
    <mergeCell ref="BG2:BI2"/>
    <mergeCell ref="AM3:AM5"/>
    <mergeCell ref="BF5:BF6"/>
    <mergeCell ref="AH5:AJ5"/>
    <mergeCell ref="BG3:BI3"/>
    <mergeCell ref="AL3:AL5"/>
    <mergeCell ref="AB5:AD5"/>
    <mergeCell ref="Q3:Q5"/>
    <mergeCell ref="AH3:AI4"/>
    <mergeCell ref="AJ3:AJ4"/>
    <mergeCell ref="AW19:AZ19"/>
    <mergeCell ref="V3:X4"/>
    <mergeCell ref="C1:J1"/>
    <mergeCell ref="B3:B4"/>
    <mergeCell ref="D3:E4"/>
    <mergeCell ref="F3:K4"/>
    <mergeCell ref="A1:B1"/>
    <mergeCell ref="K1:N1"/>
    <mergeCell ref="D2:E2"/>
    <mergeCell ref="P2:Q2"/>
    <mergeCell ref="L2:M2"/>
    <mergeCell ref="T5:T6"/>
    <mergeCell ref="A5:A6"/>
    <mergeCell ref="B5:B6"/>
    <mergeCell ref="N3:N4"/>
    <mergeCell ref="L3:M4"/>
    <mergeCell ref="C5:F5"/>
    <mergeCell ref="G5:I5"/>
    <mergeCell ref="P3:P5"/>
    <mergeCell ref="M5:N5"/>
    <mergeCell ref="J5:L5"/>
  </mergeCells>
  <phoneticPr fontId="1" type="noConversion"/>
  <conditionalFormatting sqref="B5:B7">
    <cfRule type="expression" dxfId="3"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dimension ref="A1:BS261"/>
  <sheetViews>
    <sheetView showGridLines="0" topLeftCell="O220" zoomScale="80" zoomScaleNormal="80" workbookViewId="0">
      <selection activeCell="U258" sqref="U258:AJ258"/>
    </sheetView>
  </sheetViews>
  <sheetFormatPr baseColWidth="10" defaultColWidth="0" defaultRowHeight="24.95" customHeight="1" x14ac:dyDescent="0.2"/>
  <cols>
    <col min="1" max="1" width="11.7109375" style="768" customWidth="1"/>
    <col min="2" max="2" width="51" style="670" customWidth="1"/>
    <col min="3" max="3" width="14.425781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8.85546875" style="712" customWidth="1"/>
    <col min="20" max="20" width="60.140625" style="686" customWidth="1"/>
    <col min="2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1"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37.5"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10</v>
      </c>
      <c r="AP2" s="283" t="s">
        <v>8</v>
      </c>
      <c r="AQ2" s="284"/>
      <c r="AR2" s="3"/>
      <c r="AS2" s="3"/>
      <c r="AT2" s="3"/>
      <c r="AU2" s="3"/>
      <c r="AV2" s="3"/>
      <c r="AW2" s="3"/>
      <c r="AX2" s="3"/>
      <c r="AY2" s="3"/>
      <c r="AZ2" s="4"/>
      <c r="BB2" s="899" t="s">
        <v>404</v>
      </c>
      <c r="BC2" s="901"/>
      <c r="BD2" s="51" t="s">
        <v>392</v>
      </c>
      <c r="BE2" s="281" t="str">
        <f>+L3</f>
        <v>OCTUBRE</v>
      </c>
      <c r="BF2" s="276"/>
      <c r="BG2" s="899" t="s">
        <v>405</v>
      </c>
      <c r="BH2" s="901"/>
      <c r="BI2" s="901"/>
      <c r="BJ2" s="51" t="s">
        <v>392</v>
      </c>
      <c r="BK2" s="281" t="str">
        <f>+BE2</f>
        <v>OCTUBRE</v>
      </c>
      <c r="BM2" s="899" t="s">
        <v>405</v>
      </c>
      <c r="BN2" s="901"/>
      <c r="BO2" s="901"/>
      <c r="BP2" s="51" t="s">
        <v>392</v>
      </c>
      <c r="BQ2" s="281" t="str">
        <f>+BK2</f>
        <v>OCTUBRE</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378</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OCTUBRE</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298"/>
    </row>
    <row r="5" spans="1:69" ht="42" customHeight="1" thickBot="1" x14ac:dyDescent="0.3">
      <c r="A5" s="935" t="s">
        <v>19</v>
      </c>
      <c r="B5" s="937" t="s">
        <v>20</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5" t="str">
        <f>+CONCATENATE("ACUMULADO ",N3)</f>
        <v>ACUMULADO 2015</v>
      </c>
      <c r="BI5" s="876"/>
      <c r="BJ5" s="876"/>
      <c r="BK5" s="877"/>
      <c r="BM5" s="910" t="s">
        <v>34</v>
      </c>
      <c r="BN5" s="311" t="str">
        <f>+CONCATENATE("ACUMULADO ",BQ3)</f>
        <v>ACUMULADO 2015</v>
      </c>
      <c r="BO5" s="312"/>
      <c r="BP5" s="313"/>
      <c r="BQ5" s="314"/>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OCTUBRE</v>
      </c>
      <c r="AS6" s="319" t="str">
        <f>AR6</f>
        <v>OCTUBRE</v>
      </c>
      <c r="AT6" s="319" t="str">
        <f>AR6</f>
        <v>OCTUBRE</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1395117330</v>
      </c>
      <c r="AS7" s="330">
        <f>L22</f>
        <v>817005247</v>
      </c>
      <c r="AT7" s="13"/>
      <c r="AU7" s="331">
        <f t="shared" ref="AU7:AU17" si="0">IF(AQ7=0," ",AR7/AQ7)</f>
        <v>0.79324130166664009</v>
      </c>
      <c r="AV7" s="331">
        <f t="shared" ref="AV7:AV17" si="1">IF(AQ7=0," ",AS7/AQ7)</f>
        <v>0.46453605848244667</v>
      </c>
      <c r="AW7" s="330">
        <f>I23/AO$2*12+I24</f>
        <v>1592220306.5999999</v>
      </c>
      <c r="AX7" s="330">
        <f>L23/AO$2*12+L24</f>
        <v>898485807</v>
      </c>
      <c r="AY7" s="330">
        <f t="shared" ref="AY7:AY16" si="2">AW7-AQ7</f>
        <v>-166534976.4000001</v>
      </c>
      <c r="AZ7" s="332">
        <f t="shared" ref="AZ7:AZ16" si="3">AX7-AQ7</f>
        <v>-860269476</v>
      </c>
      <c r="BB7" s="333" t="s">
        <v>55</v>
      </c>
      <c r="BC7" s="54">
        <f>F10</f>
        <v>90342061</v>
      </c>
      <c r="BD7" s="55">
        <f>I10</f>
        <v>90342061</v>
      </c>
      <c r="BE7" s="56">
        <f>K10</f>
        <v>0</v>
      </c>
      <c r="BF7" s="57"/>
      <c r="BG7" s="91" t="s">
        <v>56</v>
      </c>
      <c r="BH7" s="117">
        <f>+SUM(BH8:BH11)</f>
        <v>2821019353</v>
      </c>
      <c r="BI7" s="117">
        <f>+SUM(BI8:BI11)</f>
        <v>1999393294</v>
      </c>
      <c r="BJ7" s="117">
        <f>+SUM(BJ8:BJ11)</f>
        <v>1870783339</v>
      </c>
      <c r="BK7" s="117">
        <f>+SUM(BK8:BK11)</f>
        <v>0</v>
      </c>
      <c r="BM7" s="61" t="s">
        <v>56</v>
      </c>
      <c r="BN7" s="62">
        <f>BN8+BN15+BN22</f>
        <v>2821019353</v>
      </c>
      <c r="BO7" s="63">
        <f>BO8+BO15+BO22</f>
        <v>1999393294</v>
      </c>
      <c r="BP7" s="63">
        <f>BP8+BP15+BP22</f>
        <v>1870783339</v>
      </c>
      <c r="BQ7" s="64">
        <f>BQ8+BQ15+BQ22</f>
        <v>0</v>
      </c>
    </row>
    <row r="8" spans="1:69" s="9" customFormat="1" ht="24.95" customHeight="1" thickBot="1" x14ac:dyDescent="0.3">
      <c r="A8" s="744">
        <f>+IF(SEPTIEMBRE!A8=0,"",SEPTIEMBRE!A8)</f>
        <v>1</v>
      </c>
      <c r="B8" s="643" t="str">
        <f>+IF(SEPTIEMBRE!B8=0,"",SEPTIEMBRE!B8)</f>
        <v>INGRESOS</v>
      </c>
      <c r="C8" s="334">
        <f>C10+C17+C113</f>
        <v>3135701014</v>
      </c>
      <c r="D8" s="334">
        <f t="shared" ref="D8:Q8" si="4">D10+D17+D113</f>
        <v>0</v>
      </c>
      <c r="E8" s="334">
        <f t="shared" si="4"/>
        <v>754899733</v>
      </c>
      <c r="F8" s="334">
        <f t="shared" si="4"/>
        <v>3890600747</v>
      </c>
      <c r="G8" s="334">
        <f t="shared" si="4"/>
        <v>3025302308</v>
      </c>
      <c r="H8" s="334">
        <f t="shared" si="4"/>
        <v>0</v>
      </c>
      <c r="I8" s="334">
        <f t="shared" si="4"/>
        <v>3025302308</v>
      </c>
      <c r="J8" s="334">
        <f t="shared" si="4"/>
        <v>2185743585</v>
      </c>
      <c r="K8" s="334">
        <f t="shared" si="4"/>
        <v>0</v>
      </c>
      <c r="L8" s="334">
        <f t="shared" si="4"/>
        <v>2185743585</v>
      </c>
      <c r="M8" s="334">
        <f t="shared" si="4"/>
        <v>865298439</v>
      </c>
      <c r="N8" s="334">
        <f t="shared" si="4"/>
        <v>1704857162</v>
      </c>
      <c r="O8" s="336"/>
      <c r="P8" s="337">
        <f t="shared" si="4"/>
        <v>0</v>
      </c>
      <c r="Q8" s="335">
        <f t="shared" si="4"/>
        <v>0</v>
      </c>
      <c r="S8" s="715" t="str">
        <f>+IF(SEPTIEMBRE!S8=0,"",SEPTIEMBRE!S8)</f>
        <v/>
      </c>
      <c r="T8" s="687" t="str">
        <f>+IF(SEPTIEMBRE!T8=0,"",SEPTIEMBRE!T8)</f>
        <v>GASTOS</v>
      </c>
      <c r="U8" s="338">
        <f t="shared" ref="U8:AM8" si="5">U10+U207+U220+U232</f>
        <v>3135701014</v>
      </c>
      <c r="V8" s="339">
        <f t="shared" si="5"/>
        <v>0</v>
      </c>
      <c r="W8" s="339">
        <f t="shared" si="5"/>
        <v>754899733</v>
      </c>
      <c r="X8" s="340">
        <f t="shared" si="5"/>
        <v>3890600747</v>
      </c>
      <c r="Y8" s="341">
        <f t="shared" si="5"/>
        <v>2726086676</v>
      </c>
      <c r="Z8" s="339">
        <f t="shared" si="5"/>
        <v>0</v>
      </c>
      <c r="AA8" s="340">
        <f t="shared" si="5"/>
        <v>2726086676</v>
      </c>
      <c r="AB8" s="341">
        <f t="shared" si="5"/>
        <v>2546110443</v>
      </c>
      <c r="AC8" s="339">
        <f t="shared" si="5"/>
        <v>0</v>
      </c>
      <c r="AD8" s="340">
        <f t="shared" si="5"/>
        <v>2546110443</v>
      </c>
      <c r="AE8" s="341">
        <f t="shared" si="5"/>
        <v>2054277226</v>
      </c>
      <c r="AF8" s="339">
        <f t="shared" si="5"/>
        <v>0</v>
      </c>
      <c r="AG8" s="340">
        <f t="shared" si="5"/>
        <v>2054277226</v>
      </c>
      <c r="AH8" s="341">
        <f t="shared" si="5"/>
        <v>1164514071</v>
      </c>
      <c r="AI8" s="339">
        <f t="shared" si="5"/>
        <v>1344490304</v>
      </c>
      <c r="AJ8" s="342">
        <f t="shared" si="5"/>
        <v>1836323521</v>
      </c>
      <c r="AL8" s="343">
        <f t="shared" si="5"/>
        <v>0</v>
      </c>
      <c r="AM8" s="344">
        <f t="shared" si="5"/>
        <v>0</v>
      </c>
      <c r="AO8" s="21"/>
      <c r="AP8" s="11" t="s">
        <v>58</v>
      </c>
      <c r="AQ8" s="12">
        <f>F25</f>
        <v>945539330</v>
      </c>
      <c r="AR8" s="12">
        <f>I25</f>
        <v>685227161</v>
      </c>
      <c r="AS8" s="12">
        <f>L25</f>
        <v>489985240</v>
      </c>
      <c r="AT8" s="13"/>
      <c r="AU8" s="345">
        <f t="shared" si="0"/>
        <v>0.72469450953457426</v>
      </c>
      <c r="AV8" s="345">
        <f t="shared" si="1"/>
        <v>0.51820714850645078</v>
      </c>
      <c r="AW8" s="12">
        <f>I26/AO$2*12+I27</f>
        <v>812287887.4000001</v>
      </c>
      <c r="AX8" s="12">
        <f>L26/AO$2*12+L27</f>
        <v>577997582.20000005</v>
      </c>
      <c r="AY8" s="12">
        <f t="shared" si="2"/>
        <v>-133251442.5999999</v>
      </c>
      <c r="AZ8" s="346">
        <f t="shared" si="3"/>
        <v>-367541747.79999995</v>
      </c>
      <c r="BB8" s="143" t="s">
        <v>59</v>
      </c>
      <c r="BC8" s="65">
        <f>BC9+BC19</f>
        <v>3195036512</v>
      </c>
      <c r="BD8" s="66">
        <f>BD9+BD19</f>
        <v>2388229492</v>
      </c>
      <c r="BE8" s="67">
        <f>BE9+BE19</f>
        <v>0</v>
      </c>
      <c r="BF8" s="57"/>
      <c r="BG8" s="68" t="s">
        <v>60</v>
      </c>
      <c r="BH8" s="69">
        <f>BN9+BN13</f>
        <v>1707852065</v>
      </c>
      <c r="BI8" s="69">
        <f>BO9+BO13</f>
        <v>1158447893</v>
      </c>
      <c r="BJ8" s="69">
        <f>BP9+BP13</f>
        <v>1158447893</v>
      </c>
      <c r="BK8" s="69">
        <f>BQ9+BQ13</f>
        <v>0</v>
      </c>
      <c r="BM8" s="71" t="s">
        <v>61</v>
      </c>
      <c r="BN8" s="72">
        <f>BN9+BN14+BN13</f>
        <v>2098181582</v>
      </c>
      <c r="BO8" s="69">
        <f>BO9+BO14+BO13</f>
        <v>1515696393</v>
      </c>
      <c r="BP8" s="69">
        <f>BP9+BP14+BP13</f>
        <v>1419770783</v>
      </c>
      <c r="BQ8" s="70">
        <f>BQ9+BQ14+BQ13</f>
        <v>0</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244146079</v>
      </c>
      <c r="AS9" s="12">
        <f>L28+L75</f>
        <v>237325602</v>
      </c>
      <c r="AT9" s="13"/>
      <c r="AU9" s="353">
        <f t="shared" si="0"/>
        <v>0.69611463825630127</v>
      </c>
      <c r="AV9" s="353">
        <f t="shared" si="1"/>
        <v>0.67666794511653383</v>
      </c>
      <c r="AW9" s="354">
        <f>(I30+I33+I36+I76)/AO$2*12+I31+I34+I37+I38+I39+I40+I77</f>
        <v>245825167.19999999</v>
      </c>
      <c r="AX9" s="354">
        <f>(L30+L33+L36+L76)/AO$2*12+L31+L34+L37+L38+L39+L40+L77</f>
        <v>238384358</v>
      </c>
      <c r="AY9" s="354">
        <f t="shared" si="2"/>
        <v>-104901660.80000001</v>
      </c>
      <c r="AZ9" s="355">
        <f t="shared" si="3"/>
        <v>-112342470</v>
      </c>
      <c r="BB9" s="356" t="s">
        <v>437</v>
      </c>
      <c r="BC9" s="73">
        <f>BC10+BC18</f>
        <v>3087854833</v>
      </c>
      <c r="BD9" s="74">
        <f>BD10+BD18</f>
        <v>2311210606</v>
      </c>
      <c r="BE9" s="75">
        <f>BE10+BE18</f>
        <v>0</v>
      </c>
      <c r="BF9" s="76"/>
      <c r="BG9" s="77" t="s">
        <v>64</v>
      </c>
      <c r="BH9" s="78">
        <f t="shared" ref="BH9:BK10" si="6">BN14</f>
        <v>390329517</v>
      </c>
      <c r="BI9" s="78">
        <f t="shared" si="6"/>
        <v>357248500</v>
      </c>
      <c r="BJ9" s="78">
        <f t="shared" si="6"/>
        <v>261322890</v>
      </c>
      <c r="BK9" s="78">
        <f t="shared" si="6"/>
        <v>0</v>
      </c>
      <c r="BM9" s="140" t="s">
        <v>65</v>
      </c>
      <c r="BN9" s="80">
        <f>SUM(BN10:BN12)</f>
        <v>1254304402</v>
      </c>
      <c r="BO9" s="78">
        <f>SUM(BO10:BO12)</f>
        <v>857958328</v>
      </c>
      <c r="BP9" s="78">
        <f>SUM(BP10:BP12)</f>
        <v>857958328</v>
      </c>
      <c r="BQ9" s="79">
        <f>SUM(BQ10:BQ12)</f>
        <v>0</v>
      </c>
    </row>
    <row r="10" spans="1:69" s="9" customFormat="1" ht="24.95" customHeight="1" x14ac:dyDescent="0.2">
      <c r="A10" s="745">
        <f>+IF(SEPTIEMBRE!A10=0,"",SEPTIEMBRE!A10)</f>
        <v>10</v>
      </c>
      <c r="B10" s="645" t="str">
        <f>+IF(SEPTIEMBRE!B10=0,"",SEPTIEMBRE!B10)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+IF(SEPTIEMBRE!S10=0,"",SEPTIEMBRE!S10)</f>
        <v>A</v>
      </c>
      <c r="T10" s="688" t="str">
        <f>+IF(SEPTIEMBRE!T10=0,"",SEPTIEMBRE!T10)</f>
        <v>GASTOS DE FUNCIONAMIENTO</v>
      </c>
      <c r="U10" s="361">
        <f t="shared" ref="U10:AJ10" si="8">U12+U110+U170+U193</f>
        <v>2832701014</v>
      </c>
      <c r="V10" s="362">
        <f t="shared" si="8"/>
        <v>103000000</v>
      </c>
      <c r="W10" s="362">
        <f t="shared" si="8"/>
        <v>576899733</v>
      </c>
      <c r="X10" s="365">
        <f t="shared" si="8"/>
        <v>3512600747</v>
      </c>
      <c r="Y10" s="364">
        <f t="shared" si="8"/>
        <v>2604656350</v>
      </c>
      <c r="Z10" s="362">
        <f t="shared" si="8"/>
        <v>0</v>
      </c>
      <c r="AA10" s="365">
        <f t="shared" si="8"/>
        <v>2604656350</v>
      </c>
      <c r="AB10" s="364">
        <f t="shared" si="8"/>
        <v>2464237451</v>
      </c>
      <c r="AC10" s="362">
        <f t="shared" si="8"/>
        <v>0</v>
      </c>
      <c r="AD10" s="365">
        <f t="shared" si="8"/>
        <v>2464237451</v>
      </c>
      <c r="AE10" s="364">
        <f t="shared" si="8"/>
        <v>1990816226</v>
      </c>
      <c r="AF10" s="362">
        <f t="shared" si="8"/>
        <v>0</v>
      </c>
      <c r="AG10" s="365">
        <f t="shared" si="8"/>
        <v>1990816226</v>
      </c>
      <c r="AH10" s="364">
        <f t="shared" si="8"/>
        <v>907944397</v>
      </c>
      <c r="AI10" s="362">
        <f t="shared" si="8"/>
        <v>1048363296</v>
      </c>
      <c r="AJ10" s="363">
        <f t="shared" si="8"/>
        <v>1521784521</v>
      </c>
      <c r="AL10" s="366">
        <f>AL12+AL110+AL170+AL193</f>
        <v>0</v>
      </c>
      <c r="AM10" s="367">
        <f>AM12+AM110+AM170+AM193</f>
        <v>0</v>
      </c>
      <c r="AO10" s="352"/>
      <c r="AP10" s="11" t="s">
        <v>67</v>
      </c>
      <c r="AQ10" s="12">
        <f>F42</f>
        <v>111280673</v>
      </c>
      <c r="AR10" s="12">
        <f>I42</f>
        <v>67464121</v>
      </c>
      <c r="AS10" s="12">
        <f>L42</f>
        <v>65005392</v>
      </c>
      <c r="AT10" s="13"/>
      <c r="AU10" s="353">
        <f t="shared" si="0"/>
        <v>0.60625191402284206</v>
      </c>
      <c r="AV10" s="353">
        <f t="shared" si="1"/>
        <v>0.58415707101268155</v>
      </c>
      <c r="AW10" s="354">
        <f>I43/AO$2*12+I44</f>
        <v>80956945.199999988</v>
      </c>
      <c r="AX10" s="354">
        <f>L43/AO$2*12+L44</f>
        <v>78006470.400000006</v>
      </c>
      <c r="AY10" s="354">
        <f t="shared" si="2"/>
        <v>-30323727.800000012</v>
      </c>
      <c r="AZ10" s="355">
        <f t="shared" si="3"/>
        <v>-33274202.599999994</v>
      </c>
      <c r="BB10" s="368" t="s">
        <v>438</v>
      </c>
      <c r="BC10" s="73">
        <f>BC11+BC12+BC13+BC14+BC16+BC17+BC15</f>
        <v>3013140862</v>
      </c>
      <c r="BD10" s="74">
        <f>BD11+BD12+BD13+BD14+BD16+BD17+BD15</f>
        <v>2173338810</v>
      </c>
      <c r="BE10" s="75">
        <f>BE11+BE12+BE13+BE14+BE16+BE17+BE15</f>
        <v>0</v>
      </c>
      <c r="BF10" s="76"/>
      <c r="BG10" s="68" t="s">
        <v>68</v>
      </c>
      <c r="BH10" s="81">
        <f t="shared" si="6"/>
        <v>657265487</v>
      </c>
      <c r="BI10" s="81">
        <f t="shared" si="6"/>
        <v>451524737</v>
      </c>
      <c r="BJ10" s="81">
        <f t="shared" si="6"/>
        <v>418840392</v>
      </c>
      <c r="BK10" s="81">
        <f t="shared" si="6"/>
        <v>0</v>
      </c>
      <c r="BM10" s="137" t="s">
        <v>450</v>
      </c>
      <c r="BN10" s="83">
        <f>X17+X66</f>
        <v>943171180</v>
      </c>
      <c r="BO10" s="81">
        <f>AA17+AA66</f>
        <v>701547252</v>
      </c>
      <c r="BP10" s="81">
        <f>AD17+AD66</f>
        <v>701547252</v>
      </c>
      <c r="BQ10" s="82">
        <f>AF17+AF66</f>
        <v>0</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559</v>
      </c>
      <c r="AQ11" s="12">
        <f>F88</f>
        <v>0</v>
      </c>
      <c r="AR11" s="12">
        <f>I88</f>
        <v>0</v>
      </c>
      <c r="AS11" s="12">
        <f>L88</f>
        <v>0</v>
      </c>
      <c r="AT11" s="374">
        <f>AO2/12</f>
        <v>0.83333333333333337</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635303632</v>
      </c>
      <c r="BE11" s="75">
        <f>K26</f>
        <v>0</v>
      </c>
      <c r="BF11" s="76"/>
      <c r="BG11" s="68" t="s">
        <v>69</v>
      </c>
      <c r="BH11" s="84">
        <f>BN22</f>
        <v>65572284</v>
      </c>
      <c r="BI11" s="84">
        <f>BO22</f>
        <v>32172164</v>
      </c>
      <c r="BJ11" s="84">
        <f>BP22</f>
        <v>32172164</v>
      </c>
      <c r="BK11" s="84">
        <f>BQ22</f>
        <v>0</v>
      </c>
      <c r="BM11" s="138" t="s">
        <v>451</v>
      </c>
      <c r="BN11" s="86">
        <f>X18+X67</f>
        <v>138639980</v>
      </c>
      <c r="BO11" s="84">
        <f>AA18+AA67</f>
        <v>119045861</v>
      </c>
      <c r="BP11" s="84">
        <f>AD18+AD67</f>
        <v>119045861</v>
      </c>
      <c r="BQ11" s="85">
        <f>AF18+AF67</f>
        <v>0</v>
      </c>
    </row>
    <row r="12" spans="1:69" s="9" customFormat="1" ht="24.95" customHeight="1" x14ac:dyDescent="0.2">
      <c r="A12" s="618">
        <f>+IF(SEPTIEMBRE!A12=0,"",SEPTIEMBRE!A12)</f>
        <v>1001</v>
      </c>
      <c r="B12" s="646" t="str">
        <f>+IF(SEPTIEMBRE!B12=0,"",SEPTIEMBRE!B12)</f>
        <v>Bienestar Social (Caja, Bancos, Inversiones Tempor.) a Dic-31-2014</v>
      </c>
      <c r="C12" s="375">
        <f>+ENERO!C12</f>
        <v>0</v>
      </c>
      <c r="D12" s="376">
        <f>SEPTIEMBRE!D12+OCTUBRE!P12</f>
        <v>0</v>
      </c>
      <c r="E12" s="376">
        <f>SEPTIEMBRE!E12+OCTUBRE!Q12</f>
        <v>81553</v>
      </c>
      <c r="F12" s="146">
        <f>SUM(C12:E12)</f>
        <v>81553</v>
      </c>
      <c r="G12" s="222">
        <f>SEPTIEMBRE!I12</f>
        <v>81553</v>
      </c>
      <c r="H12" s="377">
        <v>0</v>
      </c>
      <c r="I12" s="146">
        <f>SUM(G12:H12)</f>
        <v>81553</v>
      </c>
      <c r="J12" s="222">
        <f>SEPTIEMBRE!L12</f>
        <v>81553</v>
      </c>
      <c r="K12" s="134">
        <v>0</v>
      </c>
      <c r="L12" s="146">
        <f>SUM(J12:K12)</f>
        <v>81553</v>
      </c>
      <c r="M12" s="222">
        <f>F12-I12</f>
        <v>0</v>
      </c>
      <c r="N12" s="146">
        <f>F12-L12</f>
        <v>0</v>
      </c>
      <c r="O12" s="297"/>
      <c r="P12" s="375">
        <v>0</v>
      </c>
      <c r="Q12" s="378">
        <v>0</v>
      </c>
      <c r="S12" s="716">
        <f>+IF(SEPTIEMBRE!S12=0,"",SEPTIEMBRE!S12)</f>
        <v>1000000</v>
      </c>
      <c r="T12" s="690" t="str">
        <f>+IF(SEPTIEMBRE!T12=0,"",SEPTIEMBRE!T12)</f>
        <v>GASTOS DE PERSONAL</v>
      </c>
      <c r="U12" s="379">
        <f t="shared" ref="U12:AJ12" si="9">U14+U63</f>
        <v>1994472741</v>
      </c>
      <c r="V12" s="380">
        <f t="shared" si="9"/>
        <v>90300000</v>
      </c>
      <c r="W12" s="380">
        <f t="shared" si="9"/>
        <v>152721141</v>
      </c>
      <c r="X12" s="381">
        <f t="shared" si="9"/>
        <v>2237493882</v>
      </c>
      <c r="Y12" s="366">
        <f t="shared" si="9"/>
        <v>1655008693</v>
      </c>
      <c r="Z12" s="380">
        <f t="shared" si="9"/>
        <v>0</v>
      </c>
      <c r="AA12" s="381">
        <f t="shared" si="9"/>
        <v>1655008693</v>
      </c>
      <c r="AB12" s="366">
        <f t="shared" si="9"/>
        <v>1559083083</v>
      </c>
      <c r="AC12" s="380">
        <f t="shared" si="9"/>
        <v>0</v>
      </c>
      <c r="AD12" s="381">
        <f t="shared" si="9"/>
        <v>1559083083</v>
      </c>
      <c r="AE12" s="366">
        <f t="shared" si="9"/>
        <v>1392383421</v>
      </c>
      <c r="AF12" s="380">
        <f t="shared" si="9"/>
        <v>0</v>
      </c>
      <c r="AG12" s="381">
        <f t="shared" si="9"/>
        <v>1392383421</v>
      </c>
      <c r="AH12" s="366">
        <f t="shared" si="9"/>
        <v>582485189</v>
      </c>
      <c r="AI12" s="380">
        <f t="shared" si="9"/>
        <v>678410799</v>
      </c>
      <c r="AJ12" s="367">
        <f t="shared" si="9"/>
        <v>845110461</v>
      </c>
      <c r="AK12" s="10"/>
      <c r="AL12" s="382">
        <f>AL14+AL63</f>
        <v>0</v>
      </c>
      <c r="AM12" s="383">
        <f>AM14+AM63</f>
        <v>0</v>
      </c>
      <c r="AO12" s="373"/>
      <c r="AP12" s="536" t="s">
        <v>560</v>
      </c>
      <c r="AQ12" s="12">
        <f>F89</f>
        <v>50000000</v>
      </c>
      <c r="AR12" s="12">
        <f>I89</f>
        <v>29658686</v>
      </c>
      <c r="AS12" s="12">
        <f>L89</f>
        <v>22329343</v>
      </c>
      <c r="AT12" s="13"/>
      <c r="AU12" s="353">
        <f t="shared" si="0"/>
        <v>0.59317372000000002</v>
      </c>
      <c r="AV12" s="353">
        <f t="shared" si="1"/>
        <v>0.44658685999999997</v>
      </c>
      <c r="AW12" s="354">
        <f>I89</f>
        <v>29658686</v>
      </c>
      <c r="AX12" s="354">
        <f>L89</f>
        <v>22329343</v>
      </c>
      <c r="AY12" s="354">
        <f t="shared" si="2"/>
        <v>-20341314</v>
      </c>
      <c r="AZ12" s="355">
        <f t="shared" si="3"/>
        <v>-27670657</v>
      </c>
      <c r="BB12" s="368" t="s">
        <v>440</v>
      </c>
      <c r="BC12" s="73">
        <f>F23</f>
        <v>1323143662</v>
      </c>
      <c r="BD12" s="74">
        <f>I23</f>
        <v>985514883</v>
      </c>
      <c r="BE12" s="75">
        <f>K23</f>
        <v>0</v>
      </c>
      <c r="BF12" s="76"/>
      <c r="BG12" s="384" t="s">
        <v>395</v>
      </c>
      <c r="BH12" s="84">
        <f>BN25</f>
        <v>349217338</v>
      </c>
      <c r="BI12" s="15">
        <f>BO25</f>
        <v>262899000</v>
      </c>
      <c r="BJ12" s="84">
        <f>BP25</f>
        <v>251090056</v>
      </c>
      <c r="BK12" s="84">
        <f>BQ25</f>
        <v>0</v>
      </c>
      <c r="BM12" s="139" t="s">
        <v>452</v>
      </c>
      <c r="BN12" s="86">
        <f>X16+X65-X81-X33-BN10-BN11</f>
        <v>172493242</v>
      </c>
      <c r="BO12" s="84">
        <f>AA16+AA65-AA81-AA33-BO10-BO11</f>
        <v>37365215</v>
      </c>
      <c r="BP12" s="84">
        <f>AD16+AD65-AD81-AD33-BP10-BP11</f>
        <v>37365215</v>
      </c>
      <c r="BQ12" s="85">
        <f>AF16+AF65-AF81-AF33-BQ10-BQ11</f>
        <v>0</v>
      </c>
    </row>
    <row r="13" spans="1:69" s="9" customFormat="1" ht="24.95" customHeight="1" x14ac:dyDescent="0.25">
      <c r="A13" s="618">
        <f>+IF(SEPTIEMBRE!A13=0,"",SEPTIEMBRE!A13)</f>
        <v>1002</v>
      </c>
      <c r="B13" s="646" t="str">
        <f>+IF(SEPTIEMBRE!B13=0,"",SEPTIEMBRE!B13)</f>
        <v>Fondo Vivienda (Caja, Bancos, Inversiones Tempor.) a Dic-31-2014</v>
      </c>
      <c r="C13" s="375">
        <f>+ENERO!C13</f>
        <v>0</v>
      </c>
      <c r="D13" s="376">
        <f>SEPTIEMBRE!D13+OCTUBRE!P13</f>
        <v>0</v>
      </c>
      <c r="E13" s="376">
        <f>SEPTIEMBRE!E13+OCTUBRE!Q13</f>
        <v>0</v>
      </c>
      <c r="F13" s="146">
        <f>SUM(C13:E13)</f>
        <v>0</v>
      </c>
      <c r="G13" s="222">
        <f>SEPTIEMBRE!I13</f>
        <v>0</v>
      </c>
      <c r="H13" s="377">
        <v>0</v>
      </c>
      <c r="I13" s="146">
        <f>SUM(G13:H13)</f>
        <v>0</v>
      </c>
      <c r="J13" s="222">
        <f>SEPTIEMBRE!L13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561</v>
      </c>
      <c r="AQ13" s="12">
        <f>F90</f>
        <v>24000000</v>
      </c>
      <c r="AR13" s="12">
        <f>I90</f>
        <v>9600000</v>
      </c>
      <c r="AS13" s="12">
        <f>L90</f>
        <v>9600000</v>
      </c>
      <c r="AT13" s="13"/>
      <c r="AU13" s="353">
        <f t="shared" si="0"/>
        <v>0.4</v>
      </c>
      <c r="AV13" s="353">
        <f t="shared" si="1"/>
        <v>0.4</v>
      </c>
      <c r="AW13" s="354">
        <f>I90</f>
        <v>9600000</v>
      </c>
      <c r="AX13" s="354">
        <f>L90</f>
        <v>9600000</v>
      </c>
      <c r="AY13" s="354">
        <f t="shared" si="2"/>
        <v>-14400000</v>
      </c>
      <c r="AZ13" s="355">
        <f t="shared" si="3"/>
        <v>-14400000</v>
      </c>
      <c r="BA13" s="385"/>
      <c r="BB13" s="386" t="s">
        <v>441</v>
      </c>
      <c r="BC13" s="87">
        <f>+F30+F33+F36+F38+F39+F40</f>
        <v>350726828</v>
      </c>
      <c r="BD13" s="88">
        <f>+I30+I33+I36+I38+I39+I40</f>
        <v>244146079</v>
      </c>
      <c r="BE13" s="89">
        <f>+K30+K33+K36+K38+K39+K40</f>
        <v>0</v>
      </c>
      <c r="BF13" s="90"/>
      <c r="BG13" s="91" t="s">
        <v>72</v>
      </c>
      <c r="BH13" s="84">
        <f t="shared" ref="BH13:BK15" si="10">BN29</f>
        <v>378000000</v>
      </c>
      <c r="BI13" s="84">
        <f t="shared" si="10"/>
        <v>121430326</v>
      </c>
      <c r="BJ13" s="84">
        <f t="shared" si="10"/>
        <v>81872992</v>
      </c>
      <c r="BK13" s="84">
        <f t="shared" si="10"/>
        <v>0</v>
      </c>
      <c r="BM13" s="142" t="s">
        <v>453</v>
      </c>
      <c r="BN13" s="83">
        <f>X43-X55+X57-X61+X90-X102+X104-X108</f>
        <v>453547663</v>
      </c>
      <c r="BO13" s="81">
        <f>AA43-AA55+AA57-AA61+AA90-AA102+AA104-AA108</f>
        <v>300489565</v>
      </c>
      <c r="BP13" s="81">
        <f>AD43-AD55+AD57-AD61+AD90-AD102+AD104-AD108</f>
        <v>300489565</v>
      </c>
      <c r="BQ13" s="82">
        <f>AF43-AF55+AF57-AF61+AF90-AF102+AF104-AF108</f>
        <v>0</v>
      </c>
    </row>
    <row r="14" spans="1:69" s="9" customFormat="1" ht="24.95" customHeight="1" x14ac:dyDescent="0.25">
      <c r="A14" s="618">
        <f>+IF(SEPTIEMBRE!A14=0,"",SEPTIEMBRE!A14)</f>
        <v>1003</v>
      </c>
      <c r="B14" s="646" t="str">
        <f>+IF(SEPTIEMBRE!B14=0,"",SEPTIEMBRE!B14)</f>
        <v>Fondos Comunes y Especiales (Caja, Bancos, Invers. Tempor.) a Dic-31-2014</v>
      </c>
      <c r="C14" s="375">
        <f>+ENERO!C14</f>
        <v>0</v>
      </c>
      <c r="D14" s="376">
        <f>SEPTIEMBRE!D14+OCTUBRE!P14</f>
        <v>0</v>
      </c>
      <c r="E14" s="376">
        <f>SEPTIEMBRE!E14+OCTUBRE!Q14</f>
        <v>11310362</v>
      </c>
      <c r="F14" s="146">
        <f>SUM(C14:E14)</f>
        <v>11310362</v>
      </c>
      <c r="G14" s="222">
        <f>SEPTIEMBRE!I14</f>
        <v>11310362</v>
      </c>
      <c r="H14" s="377">
        <v>0</v>
      </c>
      <c r="I14" s="146">
        <f>SUM(G14:H14)</f>
        <v>11310362</v>
      </c>
      <c r="J14" s="222">
        <f>SEPTIEMBRE!L14</f>
        <v>11310362</v>
      </c>
      <c r="K14" s="134">
        <v>0</v>
      </c>
      <c r="L14" s="146">
        <f>SUM(J14:K14)</f>
        <v>11310362</v>
      </c>
      <c r="M14" s="222">
        <f>F14-I14</f>
        <v>0</v>
      </c>
      <c r="N14" s="146">
        <f>F14-L14</f>
        <v>0</v>
      </c>
      <c r="O14" s="385"/>
      <c r="P14" s="375">
        <v>0</v>
      </c>
      <c r="Q14" s="378">
        <v>0</v>
      </c>
      <c r="S14" s="717">
        <f>+IF(SEPTIEMBRE!S14=0,"",SEPTIEMBRE!S14)</f>
        <v>1010000</v>
      </c>
      <c r="T14" s="691" t="str">
        <f>+IF(SEPTIEMBRE!T14=0,"",SEPTIEMBRE!T14)</f>
        <v>Gastos de Administración</v>
      </c>
      <c r="U14" s="135">
        <f t="shared" ref="U14:AJ14" si="11">U16+U35+U43+U57</f>
        <v>717551072</v>
      </c>
      <c r="V14" s="124">
        <f t="shared" si="11"/>
        <v>3000000</v>
      </c>
      <c r="W14" s="124">
        <f t="shared" si="11"/>
        <v>74426723</v>
      </c>
      <c r="X14" s="132">
        <f t="shared" si="11"/>
        <v>794977795</v>
      </c>
      <c r="Y14" s="131">
        <f t="shared" si="11"/>
        <v>588616225</v>
      </c>
      <c r="Z14" s="124">
        <f t="shared" si="11"/>
        <v>0</v>
      </c>
      <c r="AA14" s="132">
        <f t="shared" si="11"/>
        <v>588616225</v>
      </c>
      <c r="AB14" s="131">
        <f t="shared" si="11"/>
        <v>533290615</v>
      </c>
      <c r="AC14" s="124">
        <f t="shared" si="11"/>
        <v>0</v>
      </c>
      <c r="AD14" s="132">
        <f t="shared" si="11"/>
        <v>533290615</v>
      </c>
      <c r="AE14" s="131">
        <f t="shared" si="11"/>
        <v>474733647</v>
      </c>
      <c r="AF14" s="124">
        <f t="shared" si="11"/>
        <v>0</v>
      </c>
      <c r="AG14" s="132">
        <f t="shared" si="11"/>
        <v>474733647</v>
      </c>
      <c r="AH14" s="131">
        <f t="shared" si="11"/>
        <v>206361570</v>
      </c>
      <c r="AI14" s="124">
        <f t="shared" si="11"/>
        <v>261687180</v>
      </c>
      <c r="AJ14" s="133">
        <f t="shared" si="11"/>
        <v>320244148</v>
      </c>
      <c r="AK14" s="10"/>
      <c r="AL14" s="131">
        <f>AL16+AL35+AL43+AL57</f>
        <v>0</v>
      </c>
      <c r="AM14" s="133">
        <f>AM16+AM35+AM43+AM57</f>
        <v>0</v>
      </c>
      <c r="AO14" s="21"/>
      <c r="AP14" s="11" t="s">
        <v>75</v>
      </c>
      <c r="AQ14" s="12">
        <f>F19-AQ7-AQ8-AQ9-AQ10-AQ11-AQ12-AQ13</f>
        <v>318225176</v>
      </c>
      <c r="AR14" s="12">
        <f>I19-AR7-AR8-AR9-AR10-AR11-AR12-AR13</f>
        <v>237067418</v>
      </c>
      <c r="AS14" s="12">
        <f>L19-AS7-AS8-AS9-AS10-AS11-AS12-AS13</f>
        <v>187471248</v>
      </c>
      <c r="AT14" s="385"/>
      <c r="AU14" s="353">
        <f t="shared" si="0"/>
        <v>0.74496751319260801</v>
      </c>
      <c r="AV14" s="353">
        <f t="shared" si="1"/>
        <v>0.58911507366092242</v>
      </c>
      <c r="AW14" s="354">
        <f>(I41+I46+I49+I52+I55+I58+I61+I64+I67+I70+I73+I78+I81+I82+I83+I85+I94+I104)/AO$2*12+I47+I50+I53+I56+I59+I62+I65+I68+I71+I74</f>
        <v>582472941.4000001</v>
      </c>
      <c r="AX14" s="354">
        <f>(L41+L46+L49+L52+L55+L58+L61+L64+L67+L70+L73+L78+L81+L82+L83+L85+L94+L104)/AO$2*12+L47+L50+L53+L56+L59+L62+L65+L68+L71+L74</f>
        <v>514162325.79999995</v>
      </c>
      <c r="AY14" s="354">
        <f t="shared" si="2"/>
        <v>264247765.4000001</v>
      </c>
      <c r="AZ14" s="355">
        <f t="shared" si="3"/>
        <v>195937149.79999995</v>
      </c>
      <c r="BB14" s="386" t="s">
        <v>442</v>
      </c>
      <c r="BC14" s="92">
        <f>+F64</f>
        <v>22951026</v>
      </c>
      <c r="BD14" s="93">
        <f>+I64</f>
        <v>22121153</v>
      </c>
      <c r="BE14" s="94">
        <f>K64</f>
        <v>0</v>
      </c>
      <c r="BF14" s="95"/>
      <c r="BG14" s="91" t="s">
        <v>76</v>
      </c>
      <c r="BH14" s="81">
        <f t="shared" si="10"/>
        <v>0</v>
      </c>
      <c r="BI14" s="81">
        <f t="shared" si="10"/>
        <v>0</v>
      </c>
      <c r="BJ14" s="81">
        <f t="shared" si="10"/>
        <v>0</v>
      </c>
      <c r="BK14" s="81">
        <f t="shared" si="10"/>
        <v>0</v>
      </c>
      <c r="BM14" s="141" t="s">
        <v>449</v>
      </c>
      <c r="BN14" s="86">
        <f>X35-X41+X83-X88</f>
        <v>390329517</v>
      </c>
      <c r="BO14" s="84">
        <f>AA35-AA41+AA83-AA88</f>
        <v>357248500</v>
      </c>
      <c r="BP14" s="84">
        <f>AD35-AD41+AD83-AD88</f>
        <v>261322890</v>
      </c>
      <c r="BQ14" s="85">
        <f>AF35-AF41+AF83-AF88</f>
        <v>0</v>
      </c>
    </row>
    <row r="15" spans="1:69" s="9" customFormat="1" ht="24.95" customHeight="1" thickBot="1" x14ac:dyDescent="0.3">
      <c r="A15" s="619">
        <f>+IF(SEPTIEMBRE!A15=0,"",SEPTIEMBRE!A15)</f>
        <v>1004</v>
      </c>
      <c r="B15" s="646" t="str">
        <f>+IF(SEPTIEMBRE!B15=0,"",SEPTIEMBRE!B15)</f>
        <v>Cesantias Ley 50/1990 a Dic-31-2014</v>
      </c>
      <c r="C15" s="387">
        <f>+ENERO!C15</f>
        <v>0</v>
      </c>
      <c r="D15" s="388">
        <f>SEPTIEMBRE!D15+OCTUBRE!P15</f>
        <v>0</v>
      </c>
      <c r="E15" s="388">
        <f>SEPTIEMBRE!E15+OCTUBRE!Q15</f>
        <v>78950146</v>
      </c>
      <c r="F15" s="389">
        <f>SUM(C15:E15)</f>
        <v>78950146</v>
      </c>
      <c r="G15" s="390">
        <f>SEPTIEMBRE!I15</f>
        <v>78950146</v>
      </c>
      <c r="H15" s="391">
        <v>0</v>
      </c>
      <c r="I15" s="389">
        <f>SUM(G15:H15)</f>
        <v>78950146</v>
      </c>
      <c r="J15" s="390">
        <f>SEPTIEMBRE!L15</f>
        <v>78950146</v>
      </c>
      <c r="K15" s="168">
        <v>0</v>
      </c>
      <c r="L15" s="389">
        <f>SUM(J15:K15)</f>
        <v>78950146</v>
      </c>
      <c r="M15" s="390">
        <f>F15-I15</f>
        <v>0</v>
      </c>
      <c r="N15" s="389">
        <f>F15-L15</f>
        <v>0</v>
      </c>
      <c r="O15" s="385"/>
      <c r="P15" s="387">
        <v>0</v>
      </c>
      <c r="Q15" s="392">
        <v>0</v>
      </c>
      <c r="S15" s="369" t="str">
        <f>+IF(SEPTIEMBRE!S15=0,"",SEPTIEMBRE!S15)</f>
        <v/>
      </c>
      <c r="T15" s="708" t="str">
        <f>+IF(SEPTIEMBRE!T15=0,"",SEPTIEMBRE!T15)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51708770</v>
      </c>
      <c r="AS15" s="12">
        <f>L113</f>
        <v>51708770</v>
      </c>
      <c r="AT15" s="13"/>
      <c r="AU15" s="353">
        <f t="shared" si="0"/>
        <v>0.8641785798074616</v>
      </c>
      <c r="AV15" s="353">
        <f t="shared" si="1"/>
        <v>0.8641785798074616</v>
      </c>
      <c r="AW15" s="12">
        <f>+AR15</f>
        <v>51708770</v>
      </c>
      <c r="AX15" s="12">
        <f>+AS15</f>
        <v>51708770</v>
      </c>
      <c r="AY15" s="12">
        <f t="shared" si="2"/>
        <v>-8126976</v>
      </c>
      <c r="AZ15" s="346">
        <f t="shared" si="3"/>
        <v>-8126976</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0</v>
      </c>
      <c r="BM15" s="71" t="s">
        <v>68</v>
      </c>
      <c r="BN15" s="83">
        <f>SUM(BN16:BN21)</f>
        <v>657265487</v>
      </c>
      <c r="BO15" s="81">
        <f>SUM(BO16:BO21)</f>
        <v>451524737</v>
      </c>
      <c r="BP15" s="81">
        <f>SUM(BP16:BP21)</f>
        <v>418840392</v>
      </c>
      <c r="BQ15" s="82">
        <f>SUM(BQ16:BQ21)</f>
        <v>0</v>
      </c>
    </row>
    <row r="16" spans="1:69" s="9" customFormat="1" ht="24.95" customHeight="1" thickBot="1" x14ac:dyDescent="0.3">
      <c r="A16" s="746" t="str">
        <f>+IF(SEPTIEMBRE!A16=0,"",SEPTIEMBRE!A16)</f>
        <v/>
      </c>
      <c r="B16" s="647" t="str">
        <f>+IF(SEPTIEMBRE!B16=0,"",SEPTIEMBRE!B16)</f>
        <v/>
      </c>
      <c r="C16" s="393"/>
      <c r="D16" s="393"/>
      <c r="E16" s="393"/>
      <c r="F16" s="393"/>
      <c r="G16" s="393"/>
      <c r="H16" s="393"/>
      <c r="I16" s="393"/>
      <c r="J16" s="393"/>
      <c r="K16" s="393"/>
      <c r="L16" s="393"/>
      <c r="M16" s="393"/>
      <c r="N16" s="394"/>
      <c r="O16" s="385"/>
      <c r="P16" s="395"/>
      <c r="Q16" s="396"/>
      <c r="S16" s="718">
        <f>+IF(SEPTIEMBRE!S16=0,"",SEPTIEMBRE!S16)</f>
        <v>1010100</v>
      </c>
      <c r="T16" s="692" t="str">
        <f>+IF(SEPTIEMBRE!T16=0,"",SEPTIEMBRE!T16)</f>
        <v>Servicios Personales Asociados a Nómina</v>
      </c>
      <c r="U16" s="135">
        <f t="shared" ref="U16:AJ16" si="12">SUM(U17:U20)+U33</f>
        <v>372660589</v>
      </c>
      <c r="V16" s="124">
        <f t="shared" si="12"/>
        <v>3000000</v>
      </c>
      <c r="W16" s="124">
        <f t="shared" si="12"/>
        <v>2702630</v>
      </c>
      <c r="X16" s="132">
        <f t="shared" si="12"/>
        <v>378363219</v>
      </c>
      <c r="Y16" s="131">
        <f t="shared" si="12"/>
        <v>244775802</v>
      </c>
      <c r="Z16" s="124">
        <f t="shared" si="12"/>
        <v>0</v>
      </c>
      <c r="AA16" s="132">
        <f t="shared" si="12"/>
        <v>244775802</v>
      </c>
      <c r="AB16" s="131">
        <f t="shared" si="12"/>
        <v>244775802</v>
      </c>
      <c r="AC16" s="124">
        <f t="shared" si="12"/>
        <v>0</v>
      </c>
      <c r="AD16" s="132">
        <f t="shared" si="12"/>
        <v>244775802</v>
      </c>
      <c r="AE16" s="131">
        <f t="shared" si="12"/>
        <v>244033451</v>
      </c>
      <c r="AF16" s="124">
        <f t="shared" si="12"/>
        <v>0</v>
      </c>
      <c r="AG16" s="132">
        <f t="shared" si="12"/>
        <v>244033451</v>
      </c>
      <c r="AH16" s="131">
        <f t="shared" si="12"/>
        <v>133587417</v>
      </c>
      <c r="AI16" s="124">
        <f t="shared" si="12"/>
        <v>133587417</v>
      </c>
      <c r="AJ16" s="133">
        <f t="shared" si="12"/>
        <v>134329768</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67464121</v>
      </c>
      <c r="BE16" s="75">
        <f>K43</f>
        <v>0</v>
      </c>
      <c r="BF16" s="76"/>
      <c r="BG16" s="91" t="s">
        <v>84</v>
      </c>
      <c r="BH16" s="96">
        <f>BH7+BH12+BH13+BH14+BH15</f>
        <v>3890600747</v>
      </c>
      <c r="BI16" s="96">
        <f>BI7+BI12+BI13+BI14+BI15</f>
        <v>2726086676</v>
      </c>
      <c r="BJ16" s="96">
        <f>BJ7+BJ12+BJ13+BJ14+BJ15</f>
        <v>2546110443</v>
      </c>
      <c r="BK16" s="96">
        <f>BK7+BK12+BK13+BK14+BK15</f>
        <v>0</v>
      </c>
      <c r="BM16" s="140" t="s">
        <v>85</v>
      </c>
      <c r="BN16" s="83">
        <f>X114-X121+X147-X148-X153</f>
        <v>161782184</v>
      </c>
      <c r="BO16" s="81">
        <f>AA114-AA121+AA147-AA148-AA153</f>
        <v>99088706</v>
      </c>
      <c r="BP16" s="81">
        <f>AD114-AD121+AD147-AD148-AD153</f>
        <v>99088706</v>
      </c>
      <c r="BQ16" s="82">
        <f>AF114-AF121+AF147-AF148-AF153</f>
        <v>0</v>
      </c>
    </row>
    <row r="17" spans="1:70" s="385" customFormat="1" ht="24.95" customHeight="1" thickBot="1" x14ac:dyDescent="0.3">
      <c r="A17" s="745">
        <f>+IF(SEPTIEMBRE!A17=0,"",SEPTIEMBRE!A17)</f>
        <v>11</v>
      </c>
      <c r="B17" s="648" t="str">
        <f>+IF(SEPTIEMBRE!B17=0,"",SEPTIEMBRE!B17)</f>
        <v>INGRESOS  CORRIENTES</v>
      </c>
      <c r="C17" s="337">
        <f>C19+C94+C104</f>
        <v>3103041868</v>
      </c>
      <c r="D17" s="334">
        <f t="shared" ref="D17:Q17" si="13">D19+D94+D104</f>
        <v>0</v>
      </c>
      <c r="E17" s="334">
        <f t="shared" si="13"/>
        <v>637381072</v>
      </c>
      <c r="F17" s="334">
        <f t="shared" si="13"/>
        <v>3740422940</v>
      </c>
      <c r="G17" s="334">
        <f t="shared" si="13"/>
        <v>2883251477</v>
      </c>
      <c r="H17" s="334">
        <f t="shared" si="13"/>
        <v>0</v>
      </c>
      <c r="I17" s="334">
        <f t="shared" si="13"/>
        <v>2883251477</v>
      </c>
      <c r="J17" s="334">
        <f t="shared" si="13"/>
        <v>2043692754</v>
      </c>
      <c r="K17" s="334">
        <f t="shared" si="13"/>
        <v>0</v>
      </c>
      <c r="L17" s="334">
        <f t="shared" si="13"/>
        <v>2043692754</v>
      </c>
      <c r="M17" s="334">
        <f t="shared" si="13"/>
        <v>857171463</v>
      </c>
      <c r="N17" s="335">
        <f t="shared" si="13"/>
        <v>1696730186</v>
      </c>
      <c r="P17" s="177">
        <f t="shared" si="13"/>
        <v>0</v>
      </c>
      <c r="Q17" s="178">
        <f t="shared" si="13"/>
        <v>0</v>
      </c>
      <c r="R17" s="9"/>
      <c r="S17" s="719">
        <f>+IF(SEPTIEMBRE!S17=0,"",SEPTIEMBRE!S17)</f>
        <v>1010101</v>
      </c>
      <c r="T17" s="693" t="str">
        <f>+IF(SEPTIEMBRE!T17=0,"",SEPTIEMBRE!T17)</f>
        <v>Sueldos del Personal de nómina</v>
      </c>
      <c r="U17" s="27">
        <f>+ENERO!U17</f>
        <v>304405836</v>
      </c>
      <c r="V17" s="15">
        <f>SEPTIEMBRE!V17+OCTUBRE!AL17</f>
        <v>0</v>
      </c>
      <c r="W17" s="15">
        <f>SEPTIEMBRE!W17+OCTUBRE!AM17</f>
        <v>0</v>
      </c>
      <c r="X17" s="18">
        <f>SUM(U17:W17)</f>
        <v>304405836</v>
      </c>
      <c r="Y17" s="19">
        <f>SEPTIEMBRE!AA17</f>
        <v>225802101</v>
      </c>
      <c r="Z17" s="377">
        <v>0</v>
      </c>
      <c r="AA17" s="18">
        <f>SUM(Y17:Z17)</f>
        <v>225802101</v>
      </c>
      <c r="AB17" s="19">
        <f>SEPTIEMBRE!AD17</f>
        <v>225802101</v>
      </c>
      <c r="AC17" s="377">
        <v>0</v>
      </c>
      <c r="AD17" s="18">
        <f>SUM(AB17:AC17)</f>
        <v>225802101</v>
      </c>
      <c r="AE17" s="19">
        <f>SEPTIEMBRE!AG17</f>
        <v>225802101</v>
      </c>
      <c r="AF17" s="377">
        <v>0</v>
      </c>
      <c r="AG17" s="18">
        <f>SUM(AE17:AF17)</f>
        <v>225802101</v>
      </c>
      <c r="AH17" s="19">
        <f>X17-AA17</f>
        <v>78603735</v>
      </c>
      <c r="AI17" s="15">
        <f>X17-AD17</f>
        <v>78603735</v>
      </c>
      <c r="AJ17" s="16">
        <f>X17-AG17</f>
        <v>78603735</v>
      </c>
      <c r="AK17" s="9"/>
      <c r="AL17" s="375">
        <v>0</v>
      </c>
      <c r="AM17" s="378">
        <v>0</v>
      </c>
      <c r="AN17" s="9"/>
      <c r="AO17" s="352"/>
      <c r="AP17" s="402" t="s">
        <v>87</v>
      </c>
      <c r="AQ17" s="403">
        <f>SUM(AQ7:AQ16)</f>
        <v>3708705097</v>
      </c>
      <c r="AR17" s="404">
        <f>SUM(AR7:AR16)</f>
        <v>2810331626</v>
      </c>
      <c r="AS17" s="405">
        <f>SUM(AS7:AS16)</f>
        <v>1970772903</v>
      </c>
      <c r="AT17" s="406"/>
      <c r="AU17" s="404">
        <f t="shared" si="0"/>
        <v>0.7577662694920928</v>
      </c>
      <c r="AV17" s="404">
        <f t="shared" si="1"/>
        <v>0.53139110591299732</v>
      </c>
      <c r="AW17" s="407">
        <f>SUM(AX7:AX16)</f>
        <v>2481016717.4000001</v>
      </c>
      <c r="AX17" s="407">
        <f>SUM(AX7:AX16)</f>
        <v>2481016717.4000001</v>
      </c>
      <c r="AY17" s="407">
        <f>SUM(AY7:AY16)</f>
        <v>-213632332.19999993</v>
      </c>
      <c r="AZ17" s="408">
        <f>SUM(AZ7:AZ16)</f>
        <v>-1227688379.5999999</v>
      </c>
      <c r="BA17" s="9"/>
      <c r="BB17" s="368" t="s">
        <v>444</v>
      </c>
      <c r="BC17" s="73">
        <f>F41+F52+F55+F58+F61+F67+F70+F73+F76+F79+F82+F86+F87+F88+F89+F90+F91</f>
        <v>331051770</v>
      </c>
      <c r="BD17" s="74">
        <f>I41+I52+I55+I58+I61+I67+I70+I73+I76+I79+I82+I86+I87+I88+I89+I90+I91</f>
        <v>218788942</v>
      </c>
      <c r="BE17" s="75">
        <f>K41+K52+K55+K58+K61+K67+K70+K73+K76+K79+K82+K86+K87+K88+K89+K90+K91</f>
        <v>0</v>
      </c>
      <c r="BF17" s="76"/>
      <c r="BG17" s="98" t="s">
        <v>88</v>
      </c>
      <c r="BH17" s="99">
        <f>BC23-BH16</f>
        <v>-3890600747</v>
      </c>
      <c r="BI17" s="99"/>
      <c r="BJ17" s="99"/>
      <c r="BK17" s="99"/>
      <c r="BM17" s="140" t="s">
        <v>459</v>
      </c>
      <c r="BN17" s="83">
        <f>X123-X126-X139+X155-X156-X167-X168</f>
        <v>264763207</v>
      </c>
      <c r="BO17" s="81">
        <f>AA123-AA126-AA139+AA155-AA156-AA167-AA168</f>
        <v>186303943</v>
      </c>
      <c r="BP17" s="81">
        <f>AD123-AD126-AD139+AD155-AD156-AD167-AD168</f>
        <v>163046444</v>
      </c>
      <c r="BQ17" s="82">
        <f>AF123-AF126-AF139+AF155-AF156-AF167-AF168</f>
        <v>0</v>
      </c>
      <c r="BR17" s="9"/>
    </row>
    <row r="18" spans="1:70" s="9" customFormat="1" ht="24.95" customHeight="1" thickBot="1" x14ac:dyDescent="0.25">
      <c r="A18" s="618" t="str">
        <f>+IF(SEPTIEMBRE!A18=0,"",SEPTIEMBRE!A18)</f>
        <v/>
      </c>
      <c r="B18" s="649" t="str">
        <f>+IF(SEPTIEMBRE!B18=0,"",SEPTIEMBRE!B18)</f>
        <v/>
      </c>
      <c r="C18" s="297"/>
      <c r="D18" s="297"/>
      <c r="E18" s="297"/>
      <c r="F18" s="297"/>
      <c r="G18" s="297"/>
      <c r="H18" s="297"/>
      <c r="I18" s="297"/>
      <c r="J18" s="297"/>
      <c r="K18" s="297"/>
      <c r="L18" s="297"/>
      <c r="M18" s="297"/>
      <c r="N18" s="466"/>
      <c r="P18" s="410"/>
      <c r="Q18" s="409"/>
      <c r="S18" s="719">
        <f>+IF(SEPTIEMBRE!S18=0,"",SEPTIEMBRE!S18)</f>
        <v>1010102</v>
      </c>
      <c r="T18" s="693" t="str">
        <f>+IF(SEPTIEMBRE!T18=0,"",SEPTIEMBRE!T18)</f>
        <v>Horas Extras,Dominic.,Festivos y Rec. Nocturnos</v>
      </c>
      <c r="U18" s="27">
        <f>+ENERO!U18</f>
        <v>12090252</v>
      </c>
      <c r="V18" s="15">
        <f>SEPTIEMBRE!V18+OCTUBRE!AL18</f>
        <v>3000000</v>
      </c>
      <c r="W18" s="15">
        <f>SEPTIEMBRE!W18+OCTUBRE!AM18</f>
        <v>0</v>
      </c>
      <c r="X18" s="18">
        <f>SUM(U18:W18)</f>
        <v>15090252</v>
      </c>
      <c r="Y18" s="19">
        <f>SEPTIEMBRE!AA18</f>
        <v>13243848</v>
      </c>
      <c r="Z18" s="377">
        <v>0</v>
      </c>
      <c r="AA18" s="18">
        <f>SUM(Y18:Z18)</f>
        <v>13243848</v>
      </c>
      <c r="AB18" s="19">
        <f>SEPTIEMBRE!AD18</f>
        <v>13243848</v>
      </c>
      <c r="AC18" s="377">
        <v>0</v>
      </c>
      <c r="AD18" s="18">
        <f>SUM(AB18:AC18)</f>
        <v>13243848</v>
      </c>
      <c r="AE18" s="19">
        <f>SEPTIEMBRE!AG18</f>
        <v>13243848</v>
      </c>
      <c r="AF18" s="377">
        <v>0</v>
      </c>
      <c r="AG18" s="18">
        <f>SUM(AE18:AF18)</f>
        <v>13243848</v>
      </c>
      <c r="AH18" s="19">
        <f>X18-AA18</f>
        <v>1846404</v>
      </c>
      <c r="AI18" s="15">
        <f>X18-AD18</f>
        <v>1846404</v>
      </c>
      <c r="AJ18" s="16">
        <f>X18-AG18</f>
        <v>1846404</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137871796</v>
      </c>
      <c r="BE18" s="75">
        <f>+K95+K96+K97+K99+K100+K101</f>
        <v>0</v>
      </c>
      <c r="BF18" s="95"/>
      <c r="BM18" s="140" t="s">
        <v>89</v>
      </c>
      <c r="BN18" s="83">
        <f>X148+X156</f>
        <v>156785051</v>
      </c>
      <c r="BO18" s="81">
        <f>AA148+AA156</f>
        <v>110298826</v>
      </c>
      <c r="BP18" s="81">
        <f>AD148+AD156</f>
        <v>100871980</v>
      </c>
      <c r="BQ18" s="82">
        <f>AF148+AF156</f>
        <v>0</v>
      </c>
      <c r="BR18" s="385"/>
    </row>
    <row r="19" spans="1:70" s="9" customFormat="1" ht="24.95" customHeight="1" thickBot="1" x14ac:dyDescent="0.3">
      <c r="A19" s="747">
        <f>+IF(SEPTIEMBRE!A19=0,"",SEPTIEMBRE!A19)</f>
        <v>113</v>
      </c>
      <c r="B19" s="650" t="str">
        <f>+IF(SEPTIEMBRE!B19=0,"",SEPTIEMBRE!B19)</f>
        <v>VENTA DE SERVICIOS</v>
      </c>
      <c r="C19" s="337">
        <f t="shared" ref="C19:N19" si="14">C21+C85</f>
        <v>2995860189</v>
      </c>
      <c r="D19" s="334">
        <f t="shared" si="14"/>
        <v>0</v>
      </c>
      <c r="E19" s="334">
        <f t="shared" si="14"/>
        <v>562667101</v>
      </c>
      <c r="F19" s="335">
        <f t="shared" si="14"/>
        <v>3558527290</v>
      </c>
      <c r="G19" s="337">
        <f t="shared" si="14"/>
        <v>2668280795</v>
      </c>
      <c r="H19" s="334">
        <f t="shared" si="14"/>
        <v>0</v>
      </c>
      <c r="I19" s="335">
        <f t="shared" si="14"/>
        <v>2668280795</v>
      </c>
      <c r="J19" s="337">
        <f t="shared" si="14"/>
        <v>1828722072</v>
      </c>
      <c r="K19" s="334">
        <f t="shared" si="14"/>
        <v>0</v>
      </c>
      <c r="L19" s="335">
        <f t="shared" si="14"/>
        <v>1828722072</v>
      </c>
      <c r="M19" s="337">
        <f t="shared" si="14"/>
        <v>890246495</v>
      </c>
      <c r="N19" s="335">
        <f t="shared" si="14"/>
        <v>1729805218</v>
      </c>
      <c r="O19" s="385"/>
      <c r="P19" s="43">
        <f>P21+P85</f>
        <v>0</v>
      </c>
      <c r="Q19" s="45">
        <f>Q21+Q85</f>
        <v>0</v>
      </c>
      <c r="S19" s="719">
        <f>+IF(SEPTIEMBRE!S19=0,"",SEPTIEMBRE!S19)</f>
        <v>1010103</v>
      </c>
      <c r="T19" s="693" t="str">
        <f>+IF(SEPTIEMBRE!T19=0,"",SEPTIEMBRE!T19)</f>
        <v>Prima Técnica</v>
      </c>
      <c r="U19" s="27">
        <f>+ENERO!U19</f>
        <v>0</v>
      </c>
      <c r="V19" s="15">
        <f>SEPTIEMBRE!V19+OCTUBRE!AL19</f>
        <v>0</v>
      </c>
      <c r="W19" s="15">
        <f>SEPTIEMBRE!W19+OCTUBRE!AM19</f>
        <v>0</v>
      </c>
      <c r="X19" s="18">
        <f>SUM(U19:W19)</f>
        <v>0</v>
      </c>
      <c r="Y19" s="19">
        <f>SEPTIEMBRE!AA19</f>
        <v>0</v>
      </c>
      <c r="Z19" s="377">
        <v>0</v>
      </c>
      <c r="AA19" s="18">
        <f>SUM(Y19:Z19)</f>
        <v>0</v>
      </c>
      <c r="AB19" s="19">
        <f>SEPTIEMBRE!AD19</f>
        <v>0</v>
      </c>
      <c r="AC19" s="377">
        <v>0</v>
      </c>
      <c r="AD19" s="18">
        <f>SUM(AB19:AC19)</f>
        <v>0</v>
      </c>
      <c r="AE19" s="19">
        <f>SEPTIEMBRE!AG19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77018886</v>
      </c>
      <c r="BE19" s="94">
        <f>+K105+K106+K107+K108+K109+K110+K98</f>
        <v>0</v>
      </c>
      <c r="BF19" s="57"/>
      <c r="BG19" s="385"/>
      <c r="BH19" s="385">
        <f>BN33</f>
        <v>0</v>
      </c>
      <c r="BI19" s="385"/>
      <c r="BJ19" s="385"/>
      <c r="BK19" s="385"/>
      <c r="BM19" s="140" t="s">
        <v>96</v>
      </c>
      <c r="BN19" s="83">
        <f>X126+X167</f>
        <v>55492147</v>
      </c>
      <c r="BO19" s="81">
        <f>AA126+AA167</f>
        <v>42071130</v>
      </c>
      <c r="BP19" s="81">
        <f>AD126+AD167</f>
        <v>42071130</v>
      </c>
      <c r="BQ19" s="82">
        <f>AF126+AF167</f>
        <v>0</v>
      </c>
    </row>
    <row r="20" spans="1:70" s="425" customFormat="1" ht="24.95" customHeight="1" thickBot="1" x14ac:dyDescent="0.3">
      <c r="A20" s="618" t="str">
        <f>+IF(SEPTIEMBRE!A20=0,"",SEPTIEMBRE!A20)</f>
        <v/>
      </c>
      <c r="B20" s="651" t="str">
        <f>+IF(SEPTIEMBRE!B20=0,"",SEPTIEMBRE!B20)</f>
        <v/>
      </c>
      <c r="C20" s="297"/>
      <c r="D20" s="297"/>
      <c r="E20" s="297"/>
      <c r="F20" s="297"/>
      <c r="G20" s="297"/>
      <c r="H20" s="297"/>
      <c r="I20" s="297"/>
      <c r="J20" s="297"/>
      <c r="K20" s="297"/>
      <c r="L20" s="297"/>
      <c r="M20" s="297"/>
      <c r="N20" s="466"/>
      <c r="O20" s="9"/>
      <c r="P20" s="410"/>
      <c r="Q20" s="409"/>
      <c r="R20" s="9"/>
      <c r="S20" s="719">
        <f>+IF(SEPTIEMBRE!S20=0,"",SEPTIEMBRE!S20)</f>
        <v>1010104</v>
      </c>
      <c r="T20" s="693" t="str">
        <f>+IF(SEPTIEMBRE!T20=0,"",SEPTIEMBRE!T20)</f>
        <v>Otros</v>
      </c>
      <c r="U20" s="27">
        <f t="shared" ref="U20:AJ20" si="15">SUM(U21:U32)</f>
        <v>56164501</v>
      </c>
      <c r="V20" s="15">
        <f t="shared" si="15"/>
        <v>0</v>
      </c>
      <c r="W20" s="15">
        <f t="shared" si="15"/>
        <v>0</v>
      </c>
      <c r="X20" s="18">
        <f t="shared" si="15"/>
        <v>56164501</v>
      </c>
      <c r="Y20" s="19">
        <f t="shared" si="15"/>
        <v>3027223</v>
      </c>
      <c r="Z20" s="145">
        <f t="shared" si="15"/>
        <v>0</v>
      </c>
      <c r="AA20" s="18">
        <f t="shared" si="15"/>
        <v>3027223</v>
      </c>
      <c r="AB20" s="19">
        <f t="shared" si="15"/>
        <v>3027223</v>
      </c>
      <c r="AC20" s="145">
        <f t="shared" si="15"/>
        <v>0</v>
      </c>
      <c r="AD20" s="18">
        <f t="shared" si="15"/>
        <v>3027223</v>
      </c>
      <c r="AE20" s="19">
        <f t="shared" si="15"/>
        <v>3027223</v>
      </c>
      <c r="AF20" s="145">
        <f t="shared" si="15"/>
        <v>0</v>
      </c>
      <c r="AG20" s="18">
        <f t="shared" si="15"/>
        <v>3027223</v>
      </c>
      <c r="AH20" s="19">
        <f t="shared" si="15"/>
        <v>53137278</v>
      </c>
      <c r="AI20" s="15">
        <f t="shared" si="15"/>
        <v>53137278</v>
      </c>
      <c r="AJ20" s="16">
        <f t="shared" si="15"/>
        <v>53137278</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41646636</v>
      </c>
      <c r="BE20" s="67">
        <f>+K115+K117+K119+K120+K121+K123+K124</f>
        <v>0</v>
      </c>
      <c r="BF20" s="57"/>
      <c r="BG20" s="385"/>
      <c r="BH20" s="385">
        <f>BH19-BH16</f>
        <v>-3890600747</v>
      </c>
      <c r="BI20" s="385"/>
      <c r="BJ20" s="385"/>
      <c r="BK20" s="385"/>
      <c r="BL20" s="385"/>
      <c r="BM20" s="142" t="s">
        <v>454</v>
      </c>
      <c r="BN20" s="83">
        <f>+X141-X143</f>
        <v>18442898</v>
      </c>
      <c r="BO20" s="81">
        <f>+AA141-AA143</f>
        <v>13762132</v>
      </c>
      <c r="BP20" s="81">
        <f>+AD141-AD143</f>
        <v>13762132</v>
      </c>
      <c r="BQ20" s="82">
        <f>+AF141-AF143</f>
        <v>0</v>
      </c>
      <c r="BR20" s="9"/>
    </row>
    <row r="21" spans="1:70" s="425" customFormat="1" ht="24.95" customHeight="1" thickBot="1" x14ac:dyDescent="0.3">
      <c r="A21" s="748">
        <f>+IF(SEPTIEMBRE!A21=0,"",SEPTIEMBRE!A21)</f>
        <v>11301</v>
      </c>
      <c r="B21" s="652" t="str">
        <f>+IF(SEPTIEMBRE!B21=0,"",SEPTIEMBRE!B21)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2629022109</v>
      </c>
      <c r="H21" s="357">
        <f t="shared" si="16"/>
        <v>0</v>
      </c>
      <c r="I21" s="357">
        <f t="shared" si="16"/>
        <v>2629022109</v>
      </c>
      <c r="J21" s="357">
        <f t="shared" si="16"/>
        <v>1796792729</v>
      </c>
      <c r="K21" s="357">
        <f t="shared" si="16"/>
        <v>0</v>
      </c>
      <c r="L21" s="357">
        <f t="shared" si="16"/>
        <v>1796792729</v>
      </c>
      <c r="M21" s="357">
        <f t="shared" si="16"/>
        <v>855505181</v>
      </c>
      <c r="N21" s="178">
        <f t="shared" si="16"/>
        <v>1687734561</v>
      </c>
      <c r="O21" s="385"/>
      <c r="P21" s="43">
        <f>P22+P25+P28+P41+P42+P45+P48+P51+P54+P57+P60+P63+P66+P69+P72+P75+P78+P81</f>
        <v>0</v>
      </c>
      <c r="Q21" s="45">
        <f>Q22+Q25+Q28+Q41+Q42+Q45+Q48+Q51+Q54+Q57+Q60+Q63+Q66+Q69+Q72+Q75+Q78+Q81</f>
        <v>0</v>
      </c>
      <c r="R21" s="9"/>
      <c r="S21" s="720" t="str">
        <f>+IF(SEPTIEMBRE!S21=0,"",SEPTIEMBRE!S21)</f>
        <v>1010104-1</v>
      </c>
      <c r="T21" s="694" t="str">
        <f>+IF(SEPTIEMBRE!T21=0,"",SEPTIEMBRE!T21)</f>
        <v xml:space="preserve">Prima de Navidad </v>
      </c>
      <c r="U21" s="27">
        <f>+ENERO!U21</f>
        <v>27481083</v>
      </c>
      <c r="V21" s="15">
        <f>SEPTIEMBRE!V21+OCTUBRE!AL21</f>
        <v>0</v>
      </c>
      <c r="W21" s="15">
        <f>SEPTIEMBRE!W21+OCTUBRE!AM21</f>
        <v>0</v>
      </c>
      <c r="X21" s="18">
        <f t="shared" ref="X21:X33" si="17">SUM(U21:W21)</f>
        <v>27481083</v>
      </c>
      <c r="Y21" s="19">
        <f>SEPTIEMBRE!AA21</f>
        <v>0</v>
      </c>
      <c r="Z21" s="377">
        <v>0</v>
      </c>
      <c r="AA21" s="18">
        <f t="shared" ref="AA21:AA33" si="18">SUM(Y21:Z21)</f>
        <v>0</v>
      </c>
      <c r="AB21" s="19">
        <f>SEPTIEMBRE!AD21</f>
        <v>0</v>
      </c>
      <c r="AC21" s="377">
        <v>0</v>
      </c>
      <c r="AD21" s="18">
        <f t="shared" ref="AD21:AD33" si="19">SUM(AB21:AC21)</f>
        <v>0</v>
      </c>
      <c r="AE21" s="19">
        <f>SEPTIEMBRE!AG21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OCTUBRE</v>
      </c>
      <c r="AS21" s="429" t="str">
        <f>AR6</f>
        <v>OCTUBRE</v>
      </c>
      <c r="AT21" s="428" t="str">
        <f>AR6</f>
        <v>OCTUBRE</v>
      </c>
      <c r="AU21" s="428" t="s">
        <v>46</v>
      </c>
      <c r="AV21" s="428" t="s">
        <v>24</v>
      </c>
      <c r="AW21" s="430"/>
      <c r="AX21" s="430"/>
      <c r="AY21" s="428" t="s">
        <v>46</v>
      </c>
      <c r="AZ21" s="431" t="s">
        <v>24</v>
      </c>
      <c r="BA21" s="9"/>
      <c r="BB21" s="101" t="s">
        <v>447</v>
      </c>
      <c r="BC21" s="65">
        <f>SUMIF($B8:B122,$B24,F8:F122)+F122</f>
        <v>577451227</v>
      </c>
      <c r="BD21" s="66">
        <f>SUMIF($B8:B122,$B24,I8:I122)+I122</f>
        <v>505084119</v>
      </c>
      <c r="BE21" s="67">
        <f>SUMIF($B8:B122,$B24,K8:K122)+K122</f>
        <v>0</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+IF(SEPTIEMBRE!A22=0,"",SEPTIEMBRE!A22)</f>
        <v>1130101</v>
      </c>
      <c r="B22" s="653" t="str">
        <f>+IF(SEPTIEMBRE!B22=0,"",SEPTIEMBRE!B22)</f>
        <v>EPS - REGIMEN CONTRIBUTIVO</v>
      </c>
      <c r="C22" s="43">
        <f t="shared" ref="C22:N22" si="24">SUM(C23:C24)</f>
        <v>1323143662</v>
      </c>
      <c r="D22" s="44">
        <f t="shared" si="24"/>
        <v>0</v>
      </c>
      <c r="E22" s="44">
        <f t="shared" si="24"/>
        <v>435611621</v>
      </c>
      <c r="F22" s="44">
        <f t="shared" si="24"/>
        <v>1758755283</v>
      </c>
      <c r="G22" s="44">
        <f t="shared" si="24"/>
        <v>1395117330</v>
      </c>
      <c r="H22" s="44">
        <f t="shared" si="24"/>
        <v>0</v>
      </c>
      <c r="I22" s="44">
        <f t="shared" si="24"/>
        <v>1395117330</v>
      </c>
      <c r="J22" s="44">
        <f t="shared" si="24"/>
        <v>817005247</v>
      </c>
      <c r="K22" s="44">
        <f t="shared" si="24"/>
        <v>0</v>
      </c>
      <c r="L22" s="44">
        <f t="shared" si="24"/>
        <v>817005247</v>
      </c>
      <c r="M22" s="44">
        <f t="shared" si="24"/>
        <v>363637953</v>
      </c>
      <c r="N22" s="45">
        <f t="shared" si="24"/>
        <v>941750036</v>
      </c>
      <c r="P22" s="43">
        <f>SUM(P23:P24)</f>
        <v>0</v>
      </c>
      <c r="Q22" s="45">
        <f>SUM(Q23:Q24)</f>
        <v>0</v>
      </c>
      <c r="S22" s="720" t="str">
        <f>+IF(SEPTIEMBRE!S22=0,"",SEPTIEMBRE!S22)</f>
        <v>1010104-2</v>
      </c>
      <c r="T22" s="694" t="str">
        <f>+IF(SEPTIEMBRE!T22=0,"",SEPTIEMBRE!T22)</f>
        <v>Prima Vida Cara</v>
      </c>
      <c r="U22" s="27">
        <f>+ENERO!U22</f>
        <v>0</v>
      </c>
      <c r="V22" s="15">
        <f>SEPTIEMBRE!V22+OCTUBRE!AL22</f>
        <v>0</v>
      </c>
      <c r="W22" s="15">
        <f>SEPTIEMBRE!W22+OCTUBRE!AM22</f>
        <v>0</v>
      </c>
      <c r="X22" s="18">
        <f t="shared" si="17"/>
        <v>0</v>
      </c>
      <c r="Y22" s="19">
        <f>SEPTIEMBRE!AA22</f>
        <v>0</v>
      </c>
      <c r="Z22" s="377">
        <v>0</v>
      </c>
      <c r="AA22" s="18">
        <f t="shared" si="18"/>
        <v>0</v>
      </c>
      <c r="AB22" s="19">
        <f>SEPTIEMBRE!AD22</f>
        <v>0</v>
      </c>
      <c r="AC22" s="377">
        <v>0</v>
      </c>
      <c r="AD22" s="18">
        <f t="shared" si="19"/>
        <v>0</v>
      </c>
      <c r="AE22" s="19">
        <f>SEPTIEMBRE!AG22</f>
        <v>0</v>
      </c>
      <c r="AF22" s="377">
        <v>0</v>
      </c>
      <c r="AG22" s="18">
        <f t="shared" si="20"/>
        <v>0</v>
      </c>
      <c r="AH22" s="19">
        <f t="shared" si="21"/>
        <v>0</v>
      </c>
      <c r="AI22" s="15">
        <f t="shared" si="22"/>
        <v>0</v>
      </c>
      <c r="AJ22" s="16">
        <f t="shared" si="23"/>
        <v>0</v>
      </c>
      <c r="AL22" s="375">
        <v>0</v>
      </c>
      <c r="AM22" s="378">
        <v>0</v>
      </c>
      <c r="AO22" s="21"/>
      <c r="AP22" s="432" t="s">
        <v>106</v>
      </c>
      <c r="AQ22" s="433">
        <f>X17+X66</f>
        <v>943171180</v>
      </c>
      <c r="AR22" s="433">
        <f>AD17+AD66</f>
        <v>701547252</v>
      </c>
      <c r="AS22" s="433">
        <f>AG17+AG66</f>
        <v>671543837</v>
      </c>
      <c r="AT22" s="434"/>
      <c r="AU22" s="435">
        <f t="shared" ref="AU22:AU32" si="25">IF(AQ22=0," ",AR22/AQ22)</f>
        <v>0.74381752419534275</v>
      </c>
      <c r="AV22" s="435">
        <f t="shared" ref="AV22:AV32" si="26">IF(AQ22=0," ",AS22/AQ22)</f>
        <v>0.71200631575701878</v>
      </c>
      <c r="AW22" s="436">
        <f>AR22/$AO$2*12</f>
        <v>841856702.4000001</v>
      </c>
      <c r="AX22" s="436">
        <f>AS22/$AO$2*12</f>
        <v>805852604.4000001</v>
      </c>
      <c r="AY22" s="436">
        <f t="shared" ref="AY22:AY31" si="27">AW22-AQ22</f>
        <v>-101314477.5999999</v>
      </c>
      <c r="AZ22" s="437">
        <f t="shared" ref="AZ22:AZ31" si="28">AQ22-AX22</f>
        <v>137318575.5999999</v>
      </c>
      <c r="BA22" s="385"/>
      <c r="BB22" s="102" t="s">
        <v>111</v>
      </c>
      <c r="BC22" s="103">
        <f>BC7+BC8+BC20+BC21</f>
        <v>3890600747</v>
      </c>
      <c r="BD22" s="104">
        <f>BD7+BD8+BD20+BD21</f>
        <v>3025302308</v>
      </c>
      <c r="BE22" s="105">
        <f>BE7+BE8+BE20+BE21</f>
        <v>0</v>
      </c>
      <c r="BF22" s="57"/>
      <c r="BG22" s="385"/>
      <c r="BH22" s="385"/>
      <c r="BI22" s="385"/>
      <c r="BJ22" s="385"/>
      <c r="BK22" s="385"/>
      <c r="BM22" s="71" t="s">
        <v>69</v>
      </c>
      <c r="BN22" s="83">
        <f>BN23+BN24</f>
        <v>65572284</v>
      </c>
      <c r="BO22" s="81">
        <f>BO23+BO24</f>
        <v>32172164</v>
      </c>
      <c r="BP22" s="81">
        <f>BP23+BP24</f>
        <v>32172164</v>
      </c>
      <c r="BQ22" s="82">
        <f>BQ23+BQ24</f>
        <v>0</v>
      </c>
      <c r="BR22" s="385"/>
    </row>
    <row r="23" spans="1:70" s="425" customFormat="1" ht="24.95" customHeight="1" x14ac:dyDescent="0.2">
      <c r="A23" s="618" t="str">
        <f>+IF(SEPTIEMBRE!A23=0,"",SEPTIEMBRE!A23)</f>
        <v>1130101-1</v>
      </c>
      <c r="B23" s="654" t="str">
        <f>+CONCATENATE("Vigencia ",INSTRUCCIONES!$F$3)</f>
        <v>Vigencia 2015</v>
      </c>
      <c r="C23" s="375">
        <f>+ENERO!C23</f>
        <v>1323143662</v>
      </c>
      <c r="D23" s="376">
        <f>SEPTIEMBRE!D23+OCTUBRE!P23</f>
        <v>0</v>
      </c>
      <c r="E23" s="376">
        <f>SEPTIEMBRE!E23+OCTUBRE!Q23</f>
        <v>0</v>
      </c>
      <c r="F23" s="376">
        <f>SUM(C23:E23)</f>
        <v>1323143662</v>
      </c>
      <c r="G23" s="376">
        <f>SEPTIEMBRE!I23</f>
        <v>985514883</v>
      </c>
      <c r="H23" s="377">
        <v>0</v>
      </c>
      <c r="I23" s="376">
        <f>SUM(G23:H23)</f>
        <v>985514883</v>
      </c>
      <c r="J23" s="376">
        <f>SEPTIEMBRE!L23</f>
        <v>407402800</v>
      </c>
      <c r="K23" s="377">
        <v>0</v>
      </c>
      <c r="L23" s="376">
        <f>SUM(J23:K23)</f>
        <v>407402800</v>
      </c>
      <c r="M23" s="376">
        <f>F23-I23</f>
        <v>337628779</v>
      </c>
      <c r="N23" s="146">
        <f>F23-L23</f>
        <v>915740862</v>
      </c>
      <c r="O23" s="9"/>
      <c r="P23" s="375">
        <v>0</v>
      </c>
      <c r="Q23" s="378">
        <v>0</v>
      </c>
      <c r="R23" s="9"/>
      <c r="S23" s="720" t="str">
        <f>+IF(SEPTIEMBRE!S23=0,"",SEPTIEMBRE!S23)</f>
        <v>1010104-3</v>
      </c>
      <c r="T23" s="694" t="str">
        <f>+IF(SEPTIEMBRE!T23=0,"",SEPTIEMBRE!T23)</f>
        <v>Prima de Vacaciones</v>
      </c>
      <c r="U23" s="27">
        <f>+ENERO!U23</f>
        <v>12683577</v>
      </c>
      <c r="V23" s="15">
        <f>SEPTIEMBRE!V23+OCTUBRE!AL23</f>
        <v>0</v>
      </c>
      <c r="W23" s="15">
        <f>SEPTIEMBRE!W23+OCTUBRE!AM23</f>
        <v>0</v>
      </c>
      <c r="X23" s="18">
        <f t="shared" si="17"/>
        <v>12683577</v>
      </c>
      <c r="Y23" s="19">
        <f>SEPTIEMBRE!AA23</f>
        <v>2128961</v>
      </c>
      <c r="Z23" s="377">
        <v>0</v>
      </c>
      <c r="AA23" s="18">
        <f t="shared" si="18"/>
        <v>2128961</v>
      </c>
      <c r="AB23" s="19">
        <f>SEPTIEMBRE!AD23</f>
        <v>2128961</v>
      </c>
      <c r="AC23" s="377">
        <v>0</v>
      </c>
      <c r="AD23" s="18">
        <f t="shared" si="19"/>
        <v>2128961</v>
      </c>
      <c r="AE23" s="19">
        <f>SEPTIEMBRE!AG23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327491529</v>
      </c>
      <c r="AR23" s="439">
        <f>AD16+AD65-AR22</f>
        <v>172769383</v>
      </c>
      <c r="AS23" s="439">
        <f>AG16+AG65-AS22</f>
        <v>145794943</v>
      </c>
      <c r="AT23" s="330"/>
      <c r="AU23" s="345">
        <f t="shared" si="25"/>
        <v>0.52755374628331231</v>
      </c>
      <c r="AV23" s="345">
        <f t="shared" si="26"/>
        <v>0.4451869135216624</v>
      </c>
      <c r="AW23" s="439">
        <f>(AR23-AD21-AD22-AD23-AD25-AD30-AD33-AD70-AD71-AD72-AD74-AD78-AD81)/$AO$2*12+AX22/12*2.5+AD30+AD33+AD78+AD81</f>
        <v>331630002.64999998</v>
      </c>
      <c r="AX23" s="439">
        <f>(AS23-AG21-AG22-AG23-AG25-AG30-AG33-AG70-AG71-AG72-AG74-AG78-AG81)/$AO$2*12+AX22/12*2.5+AG30+AG33+AG78+AG81</f>
        <v>316702567.85000002</v>
      </c>
      <c r="AY23" s="439">
        <f t="shared" si="27"/>
        <v>4138473.6499999762</v>
      </c>
      <c r="AZ23" s="46">
        <f t="shared" si="28"/>
        <v>10788961.149999976</v>
      </c>
      <c r="BA23" s="385"/>
      <c r="BF23" s="385"/>
      <c r="BG23" s="385"/>
      <c r="BH23" s="385"/>
      <c r="BI23" s="385"/>
      <c r="BJ23" s="385"/>
      <c r="BK23" s="385"/>
      <c r="BL23" s="385"/>
      <c r="BM23" s="140" t="s">
        <v>107</v>
      </c>
      <c r="BN23" s="83">
        <f>X177</f>
        <v>39279816</v>
      </c>
      <c r="BO23" s="81">
        <f>AA177</f>
        <v>22897362</v>
      </c>
      <c r="BP23" s="81">
        <f>AD177</f>
        <v>22897362</v>
      </c>
      <c r="BQ23" s="82">
        <f>AF177</f>
        <v>0</v>
      </c>
      <c r="BR23" s="9"/>
    </row>
    <row r="24" spans="1:70" s="425" customFormat="1" ht="24.95" customHeight="1" x14ac:dyDescent="0.2">
      <c r="A24" s="618" t="str">
        <f>+IF(SEPTIEMBRE!A24=0,"",SEPTIEMBRE!A24)</f>
        <v>1130101-2</v>
      </c>
      <c r="B24" s="654" t="str">
        <f>+IF(SEPTIEMBRE!B24=0,"",SEPTIEMBRE!B24)</f>
        <v>Vigencia Anterior</v>
      </c>
      <c r="C24" s="375">
        <f>+ENERO!C24</f>
        <v>0</v>
      </c>
      <c r="D24" s="376">
        <f>SEPTIEMBRE!D24+OCTUBRE!P24</f>
        <v>0</v>
      </c>
      <c r="E24" s="376">
        <f>SEPTIEMBRE!E24+OCTUBRE!Q24</f>
        <v>435611621</v>
      </c>
      <c r="F24" s="376">
        <f>SUM(C24:E24)</f>
        <v>435611621</v>
      </c>
      <c r="G24" s="376">
        <f>SEPTIEMBRE!I24</f>
        <v>409602447</v>
      </c>
      <c r="H24" s="377">
        <v>0</v>
      </c>
      <c r="I24" s="376">
        <f>SUM(G24:H24)</f>
        <v>409602447</v>
      </c>
      <c r="J24" s="376">
        <f>SEPTIEMBRE!L24</f>
        <v>409602447</v>
      </c>
      <c r="K24" s="377">
        <v>0</v>
      </c>
      <c r="L24" s="376">
        <f>SUM(J24:K24)</f>
        <v>409602447</v>
      </c>
      <c r="M24" s="376">
        <f>F24-I24</f>
        <v>26009174</v>
      </c>
      <c r="N24" s="146">
        <f>F24-L24</f>
        <v>26009174</v>
      </c>
      <c r="O24" s="385"/>
      <c r="P24" s="375">
        <v>0</v>
      </c>
      <c r="Q24" s="378">
        <v>0</v>
      </c>
      <c r="R24" s="9"/>
      <c r="S24" s="720" t="str">
        <f>+IF(SEPTIEMBRE!S24=0,"",SEPTIEMBRE!S24)</f>
        <v>1010104-4</v>
      </c>
      <c r="T24" s="694" t="str">
        <f>+IF(SEPTIEMBRE!T24=0,"",SEPTIEMBRE!T24)</f>
        <v>Prima Clima</v>
      </c>
      <c r="U24" s="27">
        <f>+ENERO!U24</f>
        <v>0</v>
      </c>
      <c r="V24" s="15">
        <f>SEPTIEMBRE!V24+OCTUBRE!AL24</f>
        <v>0</v>
      </c>
      <c r="W24" s="15">
        <f>SEPTIEMBRE!W24+OCTUBRE!AM24</f>
        <v>0</v>
      </c>
      <c r="X24" s="18">
        <f t="shared" si="17"/>
        <v>0</v>
      </c>
      <c r="Y24" s="19">
        <f>SEPTIEMBRE!AA24</f>
        <v>0</v>
      </c>
      <c r="Z24" s="377">
        <v>0</v>
      </c>
      <c r="AA24" s="18">
        <f t="shared" si="18"/>
        <v>0</v>
      </c>
      <c r="AB24" s="19">
        <f>SEPTIEMBRE!AD24</f>
        <v>0</v>
      </c>
      <c r="AC24" s="377">
        <v>0</v>
      </c>
      <c r="AD24" s="18">
        <f t="shared" si="19"/>
        <v>0</v>
      </c>
      <c r="AE24" s="19">
        <f>SEPTIEMBRE!AG24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295277368</v>
      </c>
      <c r="AS24" s="434">
        <f>AG35+AG83</f>
        <v>248039060</v>
      </c>
      <c r="AT24" s="434"/>
      <c r="AU24" s="376">
        <f t="shared" si="25"/>
        <v>0.69594274467034756</v>
      </c>
      <c r="AV24" s="376">
        <f t="shared" si="26"/>
        <v>0.58460621405245328</v>
      </c>
      <c r="AW24" s="376">
        <f>(AR24-AD41-AD88)/$AO$2*12+AD41+AD88</f>
        <v>347541946</v>
      </c>
      <c r="AX24" s="376">
        <f>(AS24-AG41-AG88)/$AO$2*12+AG41+AG88</f>
        <v>292245947.20000005</v>
      </c>
      <c r="AY24" s="376">
        <f t="shared" si="27"/>
        <v>-76742049</v>
      </c>
      <c r="AZ24" s="146">
        <f t="shared" si="28"/>
        <v>132038047.79999995</v>
      </c>
      <c r="BA24" s="9"/>
      <c r="BB24" s="440"/>
      <c r="BC24" s="385"/>
      <c r="BD24" s="385"/>
      <c r="BE24" s="385"/>
      <c r="BF24" s="385"/>
      <c r="BG24" s="385"/>
      <c r="BH24" s="385"/>
      <c r="BI24" s="385"/>
      <c r="BJ24" s="385"/>
      <c r="BK24" s="385"/>
      <c r="BL24" s="385"/>
      <c r="BM24" s="140" t="s">
        <v>112</v>
      </c>
      <c r="BN24" s="83">
        <f>X170-X177-X174-X183-X191</f>
        <v>26292468</v>
      </c>
      <c r="BO24" s="81">
        <f>AA170-AA177-AA174-AA183-AA191</f>
        <v>9274802</v>
      </c>
      <c r="BP24" s="81">
        <f>AD170-AD177-AD174-AD183-AD191</f>
        <v>9274802</v>
      </c>
      <c r="BQ24" s="82">
        <f>AF170-AF177-AF174-AF183-AF191</f>
        <v>0</v>
      </c>
      <c r="BR24" s="385"/>
    </row>
    <row r="25" spans="1:70" s="385" customFormat="1" ht="24.95" customHeight="1" x14ac:dyDescent="0.25">
      <c r="A25" s="747">
        <f>+IF(SEPTIEMBRE!A25=0,"",SEPTIEMBRE!A25)</f>
        <v>1130102</v>
      </c>
      <c r="B25" s="653" t="str">
        <f>+IF(SEPTIEMBRE!B25=0,"",SEPTIEMBRE!B25)</f>
        <v>ARS - REGIMEN SUBSIDIADO</v>
      </c>
      <c r="C25" s="43">
        <f t="shared" ref="C25:N25" si="29">SUM(C26:C27)</f>
        <v>873986903</v>
      </c>
      <c r="D25" s="44">
        <f t="shared" si="29"/>
        <v>0</v>
      </c>
      <c r="E25" s="44">
        <f t="shared" si="29"/>
        <v>71552427</v>
      </c>
      <c r="F25" s="44">
        <f t="shared" si="29"/>
        <v>945539330</v>
      </c>
      <c r="G25" s="44">
        <f t="shared" si="29"/>
        <v>685227161</v>
      </c>
      <c r="H25" s="44">
        <f t="shared" si="29"/>
        <v>0</v>
      </c>
      <c r="I25" s="44">
        <f t="shared" si="29"/>
        <v>685227161</v>
      </c>
      <c r="J25" s="44">
        <f t="shared" si="29"/>
        <v>489985240</v>
      </c>
      <c r="K25" s="44">
        <f t="shared" si="29"/>
        <v>0</v>
      </c>
      <c r="L25" s="44">
        <f t="shared" si="29"/>
        <v>489985240</v>
      </c>
      <c r="M25" s="44">
        <f t="shared" si="29"/>
        <v>260312169</v>
      </c>
      <c r="N25" s="45">
        <f t="shared" si="29"/>
        <v>455554090</v>
      </c>
      <c r="P25" s="43">
        <f>SUM(P26:P27)</f>
        <v>0</v>
      </c>
      <c r="Q25" s="45">
        <f>SUM(Q26:Q27)</f>
        <v>0</v>
      </c>
      <c r="R25" s="9"/>
      <c r="S25" s="720" t="str">
        <f>+IF(SEPTIEMBRE!S25=0,"",SEPTIEMBRE!S25)</f>
        <v>1010104-5</v>
      </c>
      <c r="T25" s="694" t="str">
        <f>+IF(SEPTIEMBRE!T25=0,"",SEPTIEMBRE!T25)</f>
        <v>Prima de Servicios</v>
      </c>
      <c r="U25" s="27">
        <f>+ENERO!U25</f>
        <v>12683577</v>
      </c>
      <c r="V25" s="15">
        <f>SEPTIEMBRE!V25+OCTUBRE!AL25</f>
        <v>0</v>
      </c>
      <c r="W25" s="15">
        <f>SEPTIEMBRE!W25+OCTUBRE!AM25</f>
        <v>0</v>
      </c>
      <c r="X25" s="18">
        <f t="shared" si="17"/>
        <v>12683577</v>
      </c>
      <c r="Y25" s="19">
        <f>SEPTIEMBRE!AA25</f>
        <v>0</v>
      </c>
      <c r="Z25" s="377">
        <v>0</v>
      </c>
      <c r="AA25" s="18">
        <f t="shared" si="18"/>
        <v>0</v>
      </c>
      <c r="AB25" s="19">
        <f>SEPTIEMBRE!AD25</f>
        <v>0</v>
      </c>
      <c r="AC25" s="377">
        <v>0</v>
      </c>
      <c r="AD25" s="18">
        <f t="shared" si="19"/>
        <v>0</v>
      </c>
      <c r="AE25" s="19">
        <f>SEPTIEMBRE!AG25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389489080</v>
      </c>
      <c r="AS25" s="376">
        <f>AG43+AG57+AG90+AG104</f>
        <v>327005581</v>
      </c>
      <c r="AT25" s="434"/>
      <c r="AU25" s="376">
        <f t="shared" si="25"/>
        <v>0.71788979059070879</v>
      </c>
      <c r="AV25" s="376">
        <f t="shared" si="26"/>
        <v>0.60272284929293285</v>
      </c>
      <c r="AW25" s="376">
        <f>(AR25-AD55-AD61-AD102-AD108)/$AO$2*12+AD55+AD61+AD102+AD108</f>
        <v>449586993</v>
      </c>
      <c r="AX25" s="376">
        <f>(AS25-AG55-AG61-AG102-AG108)/$AO$2*12+AG55+AG61+AG102+AG108</f>
        <v>375001378</v>
      </c>
      <c r="AY25" s="376">
        <f t="shared" si="27"/>
        <v>-92960185</v>
      </c>
      <c r="AZ25" s="146">
        <f t="shared" si="28"/>
        <v>167545800</v>
      </c>
      <c r="BM25" s="143" t="s">
        <v>455</v>
      </c>
      <c r="BN25" s="106">
        <f>+SUM(BN26:BN28)</f>
        <v>349217338</v>
      </c>
      <c r="BO25" s="107">
        <f>+SUM(BO26:BO28)</f>
        <v>262899000</v>
      </c>
      <c r="BP25" s="107">
        <f>+SUM(BP26:BP28)</f>
        <v>251090056</v>
      </c>
      <c r="BQ25" s="108">
        <f>+SUM(BQ26:BQ28)</f>
        <v>0</v>
      </c>
    </row>
    <row r="26" spans="1:70" s="9" customFormat="1" ht="24.95" customHeight="1" x14ac:dyDescent="0.2">
      <c r="A26" s="618" t="str">
        <f>+IF(SEPTIEMBRE!A26=0,"",SEPTIEMBRE!A26)</f>
        <v>1130102-1</v>
      </c>
      <c r="B26" s="654" t="str">
        <f>+CONCATENATE("Vigencia ",INSTRUCCIONES!$F$3)</f>
        <v>Vigencia 2015</v>
      </c>
      <c r="C26" s="375">
        <f>+ENERO!C26</f>
        <v>873986903</v>
      </c>
      <c r="D26" s="376">
        <f>SEPTIEMBRE!D26+OCTUBRE!P26</f>
        <v>0</v>
      </c>
      <c r="E26" s="376">
        <f>SEPTIEMBRE!E26+OCTUBRE!Q26</f>
        <v>0</v>
      </c>
      <c r="F26" s="376">
        <f>SUM(C26:E26)</f>
        <v>873986903</v>
      </c>
      <c r="G26" s="376">
        <f>SEPTIEMBRE!I26</f>
        <v>635303632</v>
      </c>
      <c r="H26" s="377">
        <v>0</v>
      </c>
      <c r="I26" s="376">
        <f>SUM(G26:H26)</f>
        <v>635303632</v>
      </c>
      <c r="J26" s="376">
        <f>SEPTIEMBRE!L26</f>
        <v>440061711</v>
      </c>
      <c r="K26" s="377">
        <v>0</v>
      </c>
      <c r="L26" s="376">
        <f>SUM(J26:K26)</f>
        <v>440061711</v>
      </c>
      <c r="M26" s="376">
        <f>F26-I26</f>
        <v>238683271</v>
      </c>
      <c r="N26" s="146">
        <f>F26-L26</f>
        <v>433925192</v>
      </c>
      <c r="P26" s="375">
        <v>0</v>
      </c>
      <c r="Q26" s="378">
        <v>0</v>
      </c>
      <c r="S26" s="720" t="str">
        <f>+IF(SEPTIEMBRE!S26=0,"",SEPTIEMBRE!S26)</f>
        <v>1010104-8</v>
      </c>
      <c r="T26" s="694" t="str">
        <f>+IF(SEPTIEMBRE!T26=0,"",SEPTIEMBRE!T26)</f>
        <v>Bonific. por Servicios Prestados (Convencional)</v>
      </c>
      <c r="U26" s="27">
        <f>+ENERO!U26</f>
        <v>0</v>
      </c>
      <c r="V26" s="15">
        <f>SEPTIEMBRE!V26+OCTUBRE!AL26</f>
        <v>0</v>
      </c>
      <c r="W26" s="15">
        <f>SEPTIEMBRE!W26+OCTUBRE!AM26</f>
        <v>0</v>
      </c>
      <c r="X26" s="18">
        <f t="shared" si="17"/>
        <v>0</v>
      </c>
      <c r="Y26" s="19">
        <f>SEPTIEMBRE!AA26</f>
        <v>0</v>
      </c>
      <c r="Z26" s="377">
        <v>0</v>
      </c>
      <c r="AA26" s="18">
        <f t="shared" si="18"/>
        <v>0</v>
      </c>
      <c r="AB26" s="19">
        <f>SEPTIEMBRE!AD26</f>
        <v>0</v>
      </c>
      <c r="AC26" s="377">
        <v>0</v>
      </c>
      <c r="AD26" s="18">
        <f t="shared" si="19"/>
        <v>0</v>
      </c>
      <c r="AE26" s="19">
        <f>SEPTIEMBRE!AG26</f>
        <v>0</v>
      </c>
      <c r="AF26" s="377">
        <v>0</v>
      </c>
      <c r="AG26" s="18">
        <f t="shared" si="20"/>
        <v>0</v>
      </c>
      <c r="AH26" s="19">
        <f t="shared" si="21"/>
        <v>0</v>
      </c>
      <c r="AI26" s="15">
        <f t="shared" si="22"/>
        <v>0</v>
      </c>
      <c r="AJ26" s="16">
        <f t="shared" si="23"/>
        <v>0</v>
      </c>
      <c r="AL26" s="375">
        <v>0</v>
      </c>
      <c r="AM26" s="378">
        <v>0</v>
      </c>
      <c r="AO26" s="21"/>
      <c r="AP26" s="442" t="s">
        <v>122</v>
      </c>
      <c r="AQ26" s="330">
        <f>X110</f>
        <v>759559501</v>
      </c>
      <c r="AR26" s="330">
        <f>AD110</f>
        <v>521134406</v>
      </c>
      <c r="AS26" s="330">
        <f>AG110</f>
        <v>385706058</v>
      </c>
      <c r="AT26" s="374">
        <f>AO2/12</f>
        <v>0.83333333333333337</v>
      </c>
      <c r="AU26" s="345">
        <f t="shared" si="25"/>
        <v>0.68610083254030685</v>
      </c>
      <c r="AV26" s="345">
        <f t="shared" si="26"/>
        <v>0.50780229526745135</v>
      </c>
      <c r="AW26" s="439">
        <f>(AR26-AD121-AD139-AD143-AD153-AD168)/$AO$2*12+AD121+AD139+AD143+AD153+AD168</f>
        <v>604902484.4000001</v>
      </c>
      <c r="AX26" s="439">
        <f>(AS26-AG121-AG139-AG143-AG153-AG168)/$AO$2*12+AG121+AG139+AG143+AG153+AG168</f>
        <v>446808035.39999998</v>
      </c>
      <c r="AY26" s="439">
        <f t="shared" si="27"/>
        <v>-154657016.5999999</v>
      </c>
      <c r="AZ26" s="46">
        <f t="shared" si="28"/>
        <v>312751465.60000002</v>
      </c>
      <c r="BA26" s="385"/>
      <c r="BB26" s="385"/>
      <c r="BC26" s="385"/>
      <c r="BD26" s="385"/>
      <c r="BE26" s="385"/>
      <c r="BF26" s="385"/>
      <c r="BG26" s="385"/>
      <c r="BH26" s="385"/>
      <c r="BI26" s="385"/>
      <c r="BJ26" s="385"/>
      <c r="BK26" s="385"/>
      <c r="BM26" s="109" t="s">
        <v>456</v>
      </c>
      <c r="BN26" s="86">
        <f>+X196+X212</f>
        <v>211675731</v>
      </c>
      <c r="BO26" s="84">
        <f>+AA196+AA212</f>
        <v>153166071</v>
      </c>
      <c r="BP26" s="84">
        <f>+AD196+AD212</f>
        <v>141397907</v>
      </c>
      <c r="BQ26" s="85">
        <f>+AF196+AF212</f>
        <v>0</v>
      </c>
      <c r="BR26" s="385"/>
    </row>
    <row r="27" spans="1:70" s="425" customFormat="1" ht="24.95" customHeight="1" x14ac:dyDescent="0.2">
      <c r="A27" s="618" t="str">
        <f>+IF(SEPTIEMBRE!A27=0,"",SEPTIEMBRE!A27)</f>
        <v>1130102-2</v>
      </c>
      <c r="B27" s="654" t="str">
        <f>+IF(SEPTIEMBRE!B27=0,"",SEPTIEMBRE!B27)</f>
        <v>Vigencia Anterior</v>
      </c>
      <c r="C27" s="375">
        <f>+ENERO!C27</f>
        <v>0</v>
      </c>
      <c r="D27" s="376">
        <f>SEPTIEMBRE!D27+OCTUBRE!P27</f>
        <v>0</v>
      </c>
      <c r="E27" s="376">
        <f>SEPTIEMBRE!E27+OCTUBRE!Q27</f>
        <v>71552427</v>
      </c>
      <c r="F27" s="376">
        <f>SUM(C27:E27)</f>
        <v>71552427</v>
      </c>
      <c r="G27" s="376">
        <f>SEPTIEMBRE!I27</f>
        <v>49923529</v>
      </c>
      <c r="H27" s="377">
        <v>0</v>
      </c>
      <c r="I27" s="376">
        <f>SUM(G27:H27)</f>
        <v>49923529</v>
      </c>
      <c r="J27" s="376">
        <f>SEPTIEMBRE!L27</f>
        <v>49923529</v>
      </c>
      <c r="K27" s="377">
        <v>0</v>
      </c>
      <c r="L27" s="376">
        <f>SUM(J27:K27)</f>
        <v>49923529</v>
      </c>
      <c r="M27" s="376">
        <f>F27-I27</f>
        <v>21628898</v>
      </c>
      <c r="N27" s="146">
        <f>F27-L27</f>
        <v>21628898</v>
      </c>
      <c r="O27" s="385"/>
      <c r="P27" s="375">
        <v>0</v>
      </c>
      <c r="Q27" s="378">
        <v>0</v>
      </c>
      <c r="R27" s="9"/>
      <c r="S27" s="720" t="str">
        <f>+IF(SEPTIEMBRE!S27=0,"",SEPTIEMBRE!S27)</f>
        <v>1010104-9</v>
      </c>
      <c r="T27" s="694" t="str">
        <f>+IF(SEPTIEMBRE!T27=0,"",SEPTIEMBRE!T27)</f>
        <v>Auxilio de Transporte</v>
      </c>
      <c r="U27" s="27">
        <f>+ENERO!U27</f>
        <v>1625120</v>
      </c>
      <c r="V27" s="15">
        <f>SEPTIEMBRE!V27+OCTUBRE!AL27</f>
        <v>0</v>
      </c>
      <c r="W27" s="15">
        <f>SEPTIEMBRE!W27+OCTUBRE!AM27</f>
        <v>0</v>
      </c>
      <c r="X27" s="18">
        <f t="shared" si="17"/>
        <v>1625120</v>
      </c>
      <c r="Y27" s="19">
        <f>SEPTIEMBRE!AA27</f>
        <v>614400</v>
      </c>
      <c r="Z27" s="377">
        <v>0</v>
      </c>
      <c r="AA27" s="18">
        <f t="shared" si="18"/>
        <v>614400</v>
      </c>
      <c r="AB27" s="19">
        <f>SEPTIEMBRE!AD27</f>
        <v>614400</v>
      </c>
      <c r="AC27" s="377">
        <v>0</v>
      </c>
      <c r="AD27" s="18">
        <f t="shared" si="19"/>
        <v>614400</v>
      </c>
      <c r="AE27" s="19">
        <f>SEPTIEMBRE!AG27</f>
        <v>614400</v>
      </c>
      <c r="AF27" s="377">
        <v>0</v>
      </c>
      <c r="AG27" s="18">
        <f t="shared" si="20"/>
        <v>614400</v>
      </c>
      <c r="AH27" s="19">
        <f t="shared" si="21"/>
        <v>1010720</v>
      </c>
      <c r="AI27" s="15">
        <f t="shared" si="22"/>
        <v>1010720</v>
      </c>
      <c r="AJ27" s="16">
        <f t="shared" si="23"/>
        <v>1010720</v>
      </c>
      <c r="AK27" s="9"/>
      <c r="AL27" s="375">
        <v>0</v>
      </c>
      <c r="AM27" s="378">
        <v>0</v>
      </c>
      <c r="AN27" s="9"/>
      <c r="AO27" s="352"/>
      <c r="AP27" s="441" t="s">
        <v>126</v>
      </c>
      <c r="AQ27" s="376">
        <f>X170</f>
        <v>74494094</v>
      </c>
      <c r="AR27" s="376">
        <f>AD170</f>
        <v>41093974</v>
      </c>
      <c r="AS27" s="376">
        <f>AG170</f>
        <v>35009605</v>
      </c>
      <c r="AT27" s="434"/>
      <c r="AU27" s="376">
        <f t="shared" si="25"/>
        <v>0.55164069785183234</v>
      </c>
      <c r="AV27" s="376">
        <f t="shared" si="26"/>
        <v>0.46996484043419601</v>
      </c>
      <c r="AW27" s="376">
        <f>(AR27-AD174-AD183-AD191)/$AO$2*12+AD174+AD183+AD191</f>
        <v>47528406.799999997</v>
      </c>
      <c r="AX27" s="376">
        <f>(AS27-AG174-AG183-AG191)/$AO$2*12+AG174+AG183+AG191</f>
        <v>40229584.200000003</v>
      </c>
      <c r="AY27" s="376">
        <f t="shared" si="27"/>
        <v>-26965687.200000003</v>
      </c>
      <c r="AZ27" s="146">
        <f t="shared" si="28"/>
        <v>34264509.799999997</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+IF(SEPTIEMBRE!A28=0,"",SEPTIEMBRE!A28)</f>
        <v>1130103</v>
      </c>
      <c r="B28" s="630" t="str">
        <f>+IF(SEPTIEMBRE!B28=0,"",SEPTIEMBRE!B28)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244146079</v>
      </c>
      <c r="H28" s="44">
        <f t="shared" si="30"/>
        <v>0</v>
      </c>
      <c r="I28" s="44">
        <f t="shared" si="30"/>
        <v>244146079</v>
      </c>
      <c r="J28" s="44">
        <f t="shared" si="30"/>
        <v>237325602</v>
      </c>
      <c r="K28" s="44">
        <f t="shared" si="30"/>
        <v>0</v>
      </c>
      <c r="L28" s="44">
        <f t="shared" si="30"/>
        <v>237325602</v>
      </c>
      <c r="M28" s="44">
        <f t="shared" si="30"/>
        <v>106580749</v>
      </c>
      <c r="N28" s="45">
        <f t="shared" si="30"/>
        <v>113401226</v>
      </c>
      <c r="O28" s="385"/>
      <c r="P28" s="43">
        <f>P29+P32+P35+P38+P39+P940</f>
        <v>0</v>
      </c>
      <c r="Q28" s="45">
        <f>Q29+Q32+Q35+Q38+Q39+Q40</f>
        <v>0</v>
      </c>
      <c r="R28" s="9"/>
      <c r="S28" s="720" t="str">
        <f>+IF(SEPTIEMBRE!S28=0,"",SEPTIEMBRE!S28)</f>
        <v>1010104-10</v>
      </c>
      <c r="T28" s="694" t="str">
        <f>+IF(SEPTIEMBRE!T28=0,"",SEPTIEMBRE!T28)</f>
        <v>Subsidio de Alimentación</v>
      </c>
      <c r="U28" s="27">
        <f>+ENERO!U28</f>
        <v>0</v>
      </c>
      <c r="V28" s="15">
        <f>SEPTIEMBRE!V28+OCTUBRE!AL28</f>
        <v>0</v>
      </c>
      <c r="W28" s="15">
        <f>SEPTIEMBRE!W28+OCTUBRE!AM28</f>
        <v>0</v>
      </c>
      <c r="X28" s="18">
        <f t="shared" si="17"/>
        <v>0</v>
      </c>
      <c r="Y28" s="19">
        <f>SEPTIEMBRE!AA28</f>
        <v>0</v>
      </c>
      <c r="Z28" s="377">
        <v>0</v>
      </c>
      <c r="AA28" s="18">
        <f t="shared" si="18"/>
        <v>0</v>
      </c>
      <c r="AB28" s="19">
        <f>SEPTIEMBRE!AD28</f>
        <v>0</v>
      </c>
      <c r="AC28" s="377">
        <v>0</v>
      </c>
      <c r="AD28" s="18">
        <f t="shared" si="19"/>
        <v>0</v>
      </c>
      <c r="AE28" s="19">
        <f>SEPTIEMBRE!AG28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441053270</v>
      </c>
      <c r="AR28" s="434">
        <f>AD193</f>
        <v>342925988</v>
      </c>
      <c r="AS28" s="434">
        <f>AG193</f>
        <v>177717142</v>
      </c>
      <c r="AT28" s="434"/>
      <c r="AU28" s="376">
        <f t="shared" si="25"/>
        <v>0.77751603111342993</v>
      </c>
      <c r="AV28" s="376">
        <f t="shared" si="26"/>
        <v>0.40293804419588591</v>
      </c>
      <c r="AW28" s="376">
        <f>(AR28-AD205)/$AO$2*12+AD205</f>
        <v>393143999.20000005</v>
      </c>
      <c r="AX28" s="376">
        <f>(AS28-AG205)/$AO$2*12+AG205</f>
        <v>194938656.39999998</v>
      </c>
      <c r="AY28" s="376">
        <f t="shared" si="27"/>
        <v>-47909270.799999952</v>
      </c>
      <c r="AZ28" s="146">
        <f t="shared" si="28"/>
        <v>246114613.60000002</v>
      </c>
      <c r="BA28" s="385"/>
      <c r="BB28" s="385"/>
      <c r="BC28" s="385"/>
      <c r="BD28" s="385"/>
      <c r="BE28" s="385"/>
      <c r="BF28" s="385"/>
      <c r="BG28" s="385"/>
      <c r="BH28" s="385"/>
      <c r="BI28" s="385"/>
      <c r="BJ28" s="385"/>
      <c r="BK28" s="385"/>
      <c r="BL28" s="385"/>
      <c r="BM28" s="71" t="s">
        <v>458</v>
      </c>
      <c r="BN28" s="83">
        <f>+X194-X196-X205</f>
        <v>137541607</v>
      </c>
      <c r="BO28" s="81">
        <f>+AA194-AA196-AA205</f>
        <v>109732929</v>
      </c>
      <c r="BP28" s="81">
        <f>+AD194-AD196-AD205</f>
        <v>109692149</v>
      </c>
      <c r="BQ28" s="82">
        <f>+AF194-AF196-AF205</f>
        <v>0</v>
      </c>
      <c r="BR28" s="9"/>
    </row>
    <row r="29" spans="1:70" s="9" customFormat="1" ht="24.95" customHeight="1" x14ac:dyDescent="0.25">
      <c r="A29" s="618" t="str">
        <f>+IF(SEPTIEMBRE!A29=0,"",SEPTIEMBRE!A29)</f>
        <v>1130103-1</v>
      </c>
      <c r="B29" s="655" t="str">
        <f>+IF(SEPTIEMBRE!B29=0,"",SEPTIEMBRE!B29)</f>
        <v>Prestación de Servicios de salud  1er Nivel</v>
      </c>
      <c r="C29" s="19">
        <f t="shared" ref="C29:N29" si="31">SUM(C30:C31)</f>
        <v>24095828</v>
      </c>
      <c r="D29" s="15">
        <f t="shared" si="31"/>
        <v>0</v>
      </c>
      <c r="E29" s="15">
        <f t="shared" si="31"/>
        <v>0</v>
      </c>
      <c r="F29" s="15">
        <f t="shared" si="31"/>
        <v>24095828</v>
      </c>
      <c r="G29" s="15">
        <f t="shared" si="31"/>
        <v>8395441</v>
      </c>
      <c r="H29" s="15">
        <f t="shared" si="31"/>
        <v>0</v>
      </c>
      <c r="I29" s="15">
        <f t="shared" si="31"/>
        <v>8395441</v>
      </c>
      <c r="J29" s="15">
        <f t="shared" si="31"/>
        <v>5293780</v>
      </c>
      <c r="K29" s="15">
        <f t="shared" si="31"/>
        <v>0</v>
      </c>
      <c r="L29" s="15">
        <f t="shared" si="31"/>
        <v>5293780</v>
      </c>
      <c r="M29" s="15">
        <f t="shared" si="31"/>
        <v>15700387</v>
      </c>
      <c r="N29" s="16">
        <f t="shared" si="31"/>
        <v>18802048</v>
      </c>
      <c r="O29" s="385"/>
      <c r="P29" s="147">
        <f>SUM(P30:P31)</f>
        <v>0</v>
      </c>
      <c r="Q29" s="148">
        <f>SUM(Q30:Q31)</f>
        <v>0</v>
      </c>
      <c r="S29" s="720" t="str">
        <f>+IF(SEPTIEMBRE!S29=0,"",SEPTIEMBRE!S29)</f>
        <v>1010104-11</v>
      </c>
      <c r="T29" s="694" t="str">
        <f>+IF(SEPTIEMBRE!T29=0,"",SEPTIEMBRE!T29)</f>
        <v>Gastos de Representación</v>
      </c>
      <c r="U29" s="27">
        <f>+ENERO!U29</f>
        <v>0</v>
      </c>
      <c r="V29" s="15">
        <f>SEPTIEMBRE!V29+OCTUBRE!AL29</f>
        <v>0</v>
      </c>
      <c r="W29" s="15">
        <f>SEPTIEMBRE!W29+OCTUBRE!AM29</f>
        <v>0</v>
      </c>
      <c r="X29" s="18">
        <f t="shared" si="17"/>
        <v>0</v>
      </c>
      <c r="Y29" s="19">
        <f>SEPTIEMBRE!AA29</f>
        <v>0</v>
      </c>
      <c r="Z29" s="377">
        <v>0</v>
      </c>
      <c r="AA29" s="18">
        <f t="shared" si="18"/>
        <v>0</v>
      </c>
      <c r="AB29" s="19">
        <f>SEPTIEMBRE!AD29</f>
        <v>0</v>
      </c>
      <c r="AC29" s="377">
        <v>0</v>
      </c>
      <c r="AD29" s="18">
        <f t="shared" si="19"/>
        <v>0</v>
      </c>
      <c r="AE29" s="19">
        <f>SEPTIEMBRE!AG29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378000000</v>
      </c>
      <c r="BO29" s="107">
        <f>AA232-AA256-AA241</f>
        <v>121430326</v>
      </c>
      <c r="BP29" s="107">
        <f>AD232-AD256-AD241</f>
        <v>81872992</v>
      </c>
      <c r="BQ29" s="108">
        <f>AF232-AF256-AF241</f>
        <v>0</v>
      </c>
      <c r="BR29" s="385"/>
    </row>
    <row r="30" spans="1:70" s="425" customFormat="1" ht="24.95" customHeight="1" x14ac:dyDescent="0.25">
      <c r="A30" s="618" t="str">
        <f>+IF(SEPTIEMBRE!A30=0,"",SEPTIEMBRE!A30)</f>
        <v>1130103-1-1</v>
      </c>
      <c r="B30" s="654" t="str">
        <f>+CONCATENATE("Vigencia ",INSTRUCCIONES!$F$3)</f>
        <v>Vigencia 2015</v>
      </c>
      <c r="C30" s="375">
        <f>+ENERO!C30</f>
        <v>24095828</v>
      </c>
      <c r="D30" s="376">
        <f>SEPTIEMBRE!D30+OCTUBRE!P30</f>
        <v>0</v>
      </c>
      <c r="E30" s="376">
        <f>SEPTIEMBRE!E30+OCTUBRE!Q30</f>
        <v>0</v>
      </c>
      <c r="F30" s="376">
        <f>SUM(C30:E30)</f>
        <v>24095828</v>
      </c>
      <c r="G30" s="376">
        <f>SEPTIEMBRE!I30</f>
        <v>8395441</v>
      </c>
      <c r="H30" s="377">
        <v>0</v>
      </c>
      <c r="I30" s="376">
        <f>SUM(G30:H30)</f>
        <v>8395441</v>
      </c>
      <c r="J30" s="376">
        <f>SEPTIEMBRE!L30</f>
        <v>5293780</v>
      </c>
      <c r="K30" s="377">
        <v>0</v>
      </c>
      <c r="L30" s="376">
        <f>SUM(J30:K30)</f>
        <v>5293780</v>
      </c>
      <c r="M30" s="376">
        <f>F30-I30</f>
        <v>15700387</v>
      </c>
      <c r="N30" s="146">
        <f>F30-L30</f>
        <v>18802048</v>
      </c>
      <c r="O30" s="9"/>
      <c r="P30" s="375">
        <v>0</v>
      </c>
      <c r="Q30" s="378">
        <v>0</v>
      </c>
      <c r="R30" s="9"/>
      <c r="S30" s="720" t="str">
        <f>+IF(SEPTIEMBRE!S30=0,"",SEPTIEMBRE!S30)</f>
        <v>1010104-12</v>
      </c>
      <c r="T30" s="694" t="str">
        <f>+IF(SEPTIEMBRE!T30=0,"",SEPTIEMBRE!T30)</f>
        <v xml:space="preserve"> Indemnizaciones por Vacaciones o Supresión de Cargos por Reestructuración</v>
      </c>
      <c r="U30" s="27">
        <f>+ENERO!U30</f>
        <v>0</v>
      </c>
      <c r="V30" s="15">
        <f>SEPTIEMBRE!V30+OCTUBRE!AL30</f>
        <v>0</v>
      </c>
      <c r="W30" s="15">
        <f>SEPTIEMBRE!W30+OCTUBRE!AM30</f>
        <v>0</v>
      </c>
      <c r="X30" s="18">
        <f t="shared" si="17"/>
        <v>0</v>
      </c>
      <c r="Y30" s="19">
        <f>SEPTIEMBRE!AA30</f>
        <v>0</v>
      </c>
      <c r="Z30" s="377">
        <v>0</v>
      </c>
      <c r="AA30" s="18">
        <f t="shared" si="18"/>
        <v>0</v>
      </c>
      <c r="AB30" s="19">
        <f>SEPTIEMBRE!AD30</f>
        <v>0</v>
      </c>
      <c r="AC30" s="377">
        <v>0</v>
      </c>
      <c r="AD30" s="18">
        <f t="shared" si="19"/>
        <v>0</v>
      </c>
      <c r="AE30" s="19">
        <f>SEPTIEMBRE!AG30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378000000</v>
      </c>
      <c r="AR30" s="376">
        <f>AD220+AD232</f>
        <v>81872992</v>
      </c>
      <c r="AS30" s="376">
        <f>AG220+AG232</f>
        <v>63461000</v>
      </c>
      <c r="AT30" s="434"/>
      <c r="AU30" s="376">
        <f t="shared" si="25"/>
        <v>0.21659521693121694</v>
      </c>
      <c r="AV30" s="376">
        <f t="shared" si="26"/>
        <v>0.16788624338624339</v>
      </c>
      <c r="AW30" s="376">
        <f>(AR30-AD225-AD230-AD241-AD256)/$AO$2*12+AD225+AD230+AD241+AD256</f>
        <v>98247590.400000006</v>
      </c>
      <c r="AX30" s="376">
        <f>(AS30-AG225-AG230-AG241-AG256)/$AO$2*12+AG225+AG230+AG241+AG256</f>
        <v>76153200</v>
      </c>
      <c r="AY30" s="376">
        <f t="shared" si="27"/>
        <v>-279752409.60000002</v>
      </c>
      <c r="AZ30" s="146">
        <f t="shared" si="28"/>
        <v>301846800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+IF(SEPTIEMBRE!A31=0,"",SEPTIEMBRE!A31)</f>
        <v>1130103-1-2</v>
      </c>
      <c r="B31" s="654" t="str">
        <f>+IF(SEPTIEMBRE!B31=0,"",SEPTIEMBRE!B31)</f>
        <v>Vigencia Anterior</v>
      </c>
      <c r="C31" s="375">
        <f>+ENERO!C31</f>
        <v>0</v>
      </c>
      <c r="D31" s="376">
        <f>SEPTIEMBRE!D31+OCTUBRE!P31</f>
        <v>0</v>
      </c>
      <c r="E31" s="376">
        <f>SEPTIEMBRE!E31+OCTUBRE!Q31</f>
        <v>0</v>
      </c>
      <c r="F31" s="376">
        <f>SUM(C31:E31)</f>
        <v>0</v>
      </c>
      <c r="G31" s="376">
        <f>SEPTIEMBRE!I31</f>
        <v>0</v>
      </c>
      <c r="H31" s="377">
        <v>0</v>
      </c>
      <c r="I31" s="376">
        <f>SUM(G31:H31)</f>
        <v>0</v>
      </c>
      <c r="J31" s="376">
        <f>SEPTIEMBRE!L31</f>
        <v>0</v>
      </c>
      <c r="K31" s="377">
        <v>0</v>
      </c>
      <c r="L31" s="376">
        <f>SUM(J31:K31)</f>
        <v>0</v>
      </c>
      <c r="M31" s="376">
        <f>F31-I31</f>
        <v>0</v>
      </c>
      <c r="N31" s="146">
        <f>F31-L31</f>
        <v>0</v>
      </c>
      <c r="O31" s="385"/>
      <c r="P31" s="375">
        <v>0</v>
      </c>
      <c r="Q31" s="378">
        <v>0</v>
      </c>
      <c r="R31" s="9"/>
      <c r="S31" s="720" t="str">
        <f>+IF(SEPTIEMBRE!S31=0,"",SEPTIEMBRE!S31)</f>
        <v>1010104-13</v>
      </c>
      <c r="T31" s="694" t="str">
        <f>+IF(SEPTIEMBRE!T31=0,"",SEPTIEMBRE!T31)</f>
        <v>Bonificación Especial por Recreación</v>
      </c>
      <c r="U31" s="27">
        <f>+ENERO!U31</f>
        <v>1691144</v>
      </c>
      <c r="V31" s="15">
        <f>SEPTIEMBRE!V31+OCTUBRE!AL31</f>
        <v>0</v>
      </c>
      <c r="W31" s="15">
        <f>SEPTIEMBRE!W31+OCTUBRE!AM31</f>
        <v>0</v>
      </c>
      <c r="X31" s="18">
        <f t="shared" si="17"/>
        <v>1691144</v>
      </c>
      <c r="Y31" s="19">
        <f>SEPTIEMBRE!AA31</f>
        <v>283862</v>
      </c>
      <c r="Z31" s="377">
        <v>0</v>
      </c>
      <c r="AA31" s="18">
        <f t="shared" si="18"/>
        <v>283862</v>
      </c>
      <c r="AB31" s="19">
        <f>SEPTIEMBRE!AD31</f>
        <v>283862</v>
      </c>
      <c r="AC31" s="377">
        <v>0</v>
      </c>
      <c r="AD31" s="18">
        <f t="shared" si="19"/>
        <v>283862</v>
      </c>
      <c r="AE31" s="19">
        <f>SEPTIEMBRE!AG31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-360366858</v>
      </c>
      <c r="AS31" s="434">
        <f>AG258</f>
        <v>-2054277226</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0</v>
      </c>
      <c r="BR31" s="9"/>
    </row>
    <row r="32" spans="1:70" s="9" customFormat="1" ht="24.95" customHeight="1" thickBot="1" x14ac:dyDescent="0.3">
      <c r="A32" s="618" t="str">
        <f>+IF(SEPTIEMBRE!A32=0,"",SEPTIEMBRE!A32)</f>
        <v>1130103-2</v>
      </c>
      <c r="B32" s="655" t="str">
        <f>+IF(SEPTIEMBRE!B32=0,"",SEPTIEMBRE!B32)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+IF(SEPTIEMBRE!S32=0,"",SEPTIEMBRE!S32)</f>
        <v>1010104-14</v>
      </c>
      <c r="T32" s="694" t="str">
        <f>+IF(SEPTIEMBRE!T32=0,"",SEPTIEMBRE!T32)</f>
        <v/>
      </c>
      <c r="U32" s="27">
        <f>+ENERO!U32</f>
        <v>0</v>
      </c>
      <c r="V32" s="15">
        <f>SEPTIEMBRE!V32+OCTUBRE!AL32</f>
        <v>0</v>
      </c>
      <c r="W32" s="15">
        <f>SEPTIEMBRE!W32+OCTUBRE!AM32</f>
        <v>0</v>
      </c>
      <c r="X32" s="18">
        <f t="shared" si="17"/>
        <v>0</v>
      </c>
      <c r="Y32" s="19">
        <f>SEPTIEMBRE!AA32</f>
        <v>0</v>
      </c>
      <c r="Z32" s="377">
        <v>0</v>
      </c>
      <c r="AA32" s="18">
        <f t="shared" si="18"/>
        <v>0</v>
      </c>
      <c r="AB32" s="19">
        <f>SEPTIEMBRE!AD32</f>
        <v>0</v>
      </c>
      <c r="AC32" s="377">
        <v>0</v>
      </c>
      <c r="AD32" s="18">
        <f t="shared" si="19"/>
        <v>0</v>
      </c>
      <c r="AE32" s="19">
        <f>SEPTIEMBRE!AG32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2185743585</v>
      </c>
      <c r="AS32" s="398">
        <f>SUM(AS22:AS31)</f>
        <v>0</v>
      </c>
      <c r="AT32" s="444"/>
      <c r="AU32" s="445">
        <f t="shared" si="25"/>
        <v>0.56180105005259229</v>
      </c>
      <c r="AV32" s="445">
        <f t="shared" si="26"/>
        <v>0</v>
      </c>
      <c r="AW32" s="354">
        <f>SUM(AW22:AW31)</f>
        <v>3114438124.8500009</v>
      </c>
      <c r="AX32" s="354">
        <f>SUM(AX22:AX31)</f>
        <v>2547931973.4499998</v>
      </c>
      <c r="AY32" s="354">
        <f>SUM(AY22:AY31)</f>
        <v>-776162622.14999986</v>
      </c>
      <c r="AZ32" s="355">
        <f>SUM(AZ22:AZ31)</f>
        <v>1342668773.5499997</v>
      </c>
      <c r="BA32" s="385"/>
      <c r="BB32" s="425"/>
      <c r="BC32" s="425"/>
      <c r="BD32" s="425"/>
      <c r="BE32" s="425"/>
      <c r="BF32" s="425"/>
      <c r="BG32" s="385"/>
      <c r="BH32" s="385"/>
      <c r="BI32" s="385"/>
      <c r="BJ32" s="385"/>
      <c r="BK32" s="385"/>
      <c r="BM32" s="110" t="s">
        <v>140</v>
      </c>
      <c r="BN32" s="106">
        <f>+BN7+BN25+BN29+BN30+BN31</f>
        <v>3890600747</v>
      </c>
      <c r="BO32" s="107">
        <f>+BO7+BO25+BO29+BO30+BO31</f>
        <v>2726086676</v>
      </c>
      <c r="BP32" s="107">
        <f>+BP7+BP25+BP29+BP30+BP31</f>
        <v>2546110443</v>
      </c>
      <c r="BQ32" s="108">
        <f>+BQ7+BQ25+BQ29+BQ30+BQ31</f>
        <v>0</v>
      </c>
      <c r="BR32" s="385"/>
    </row>
    <row r="33" spans="1:70" s="425" customFormat="1" ht="24.95" customHeight="1" thickBot="1" x14ac:dyDescent="0.3">
      <c r="A33" s="618" t="str">
        <f>+IF(SEPTIEMBRE!A33=0,"",SEPTIEMBRE!A33)</f>
        <v>1130103-2-1</v>
      </c>
      <c r="B33" s="654" t="str">
        <f>+CONCATENATE("Vigencia ",INSTRUCCIONES!$F$3)</f>
        <v>Vigencia 2015</v>
      </c>
      <c r="C33" s="375">
        <f>+ENERO!C33</f>
        <v>0</v>
      </c>
      <c r="D33" s="376">
        <f>SEPTIEMBRE!D33+OCTUBRE!P33</f>
        <v>0</v>
      </c>
      <c r="E33" s="376">
        <f>SEPTIEMBRE!E33+OCTUBRE!Q33</f>
        <v>0</v>
      </c>
      <c r="F33" s="376">
        <f>SUM(C33:E33)</f>
        <v>0</v>
      </c>
      <c r="G33" s="376">
        <f>SEPTIEMBRE!I33</f>
        <v>0</v>
      </c>
      <c r="H33" s="377">
        <v>0</v>
      </c>
      <c r="I33" s="376">
        <f>SUM(G33:H33)</f>
        <v>0</v>
      </c>
      <c r="J33" s="376">
        <f>SEPTIEMBRE!L33</f>
        <v>0</v>
      </c>
      <c r="K33" s="377">
        <v>0</v>
      </c>
      <c r="L33" s="376">
        <f>SUM(J33:K33)</f>
        <v>0</v>
      </c>
      <c r="M33" s="376">
        <f>F33-I33</f>
        <v>0</v>
      </c>
      <c r="N33" s="146">
        <f>F33-L33</f>
        <v>0</v>
      </c>
      <c r="O33" s="9"/>
      <c r="P33" s="375">
        <v>0</v>
      </c>
      <c r="Q33" s="378">
        <v>0</v>
      </c>
      <c r="R33" s="9"/>
      <c r="S33" s="719">
        <f>+IF(SEPTIEMBRE!S33=0,"",SEPTIEMBRE!S33)</f>
        <v>1010199</v>
      </c>
      <c r="T33" s="693" t="str">
        <f>+IF(SEPTIEMBRE!T33=0,"",SEPTIEMBRE!T33)</f>
        <v>Vigencias Anteriores</v>
      </c>
      <c r="U33" s="27">
        <f>+ENERO!U33</f>
        <v>0</v>
      </c>
      <c r="V33" s="15">
        <f>SEPTIEMBRE!V33+OCTUBRE!AL33</f>
        <v>0</v>
      </c>
      <c r="W33" s="15">
        <f>SEPTIEMBRE!W33+OCTUBRE!AM33</f>
        <v>2702630</v>
      </c>
      <c r="X33" s="18">
        <f t="shared" si="17"/>
        <v>2702630</v>
      </c>
      <c r="Y33" s="19">
        <f>SEPTIEMBRE!AA33</f>
        <v>2702630</v>
      </c>
      <c r="Z33" s="377">
        <v>0</v>
      </c>
      <c r="AA33" s="18">
        <f t="shared" si="18"/>
        <v>2702630</v>
      </c>
      <c r="AB33" s="19">
        <f>SEPTIEMBRE!AD33</f>
        <v>2702630</v>
      </c>
      <c r="AC33" s="377">
        <v>0</v>
      </c>
      <c r="AD33" s="18">
        <f t="shared" si="19"/>
        <v>2702630</v>
      </c>
      <c r="AE33" s="19">
        <f>SEPTIEMBRE!AG33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299215632</v>
      </c>
      <c r="BP33" s="113">
        <f>AD258</f>
        <v>-360366858</v>
      </c>
      <c r="BQ33" s="114">
        <f>AF258</f>
        <v>1704857162</v>
      </c>
      <c r="BR33" s="385"/>
    </row>
    <row r="34" spans="1:70" s="425" customFormat="1" ht="24.95" customHeight="1" thickBot="1" x14ac:dyDescent="0.25">
      <c r="A34" s="618" t="str">
        <f>+IF(SEPTIEMBRE!A34=0,"",SEPTIEMBRE!A34)</f>
        <v>1130103-2-2</v>
      </c>
      <c r="B34" s="654" t="str">
        <f>+IF(SEPTIEMBRE!B34=0,"",SEPTIEMBRE!B34)</f>
        <v>Vigencia Anterior</v>
      </c>
      <c r="C34" s="375">
        <f>+ENERO!C34</f>
        <v>0</v>
      </c>
      <c r="D34" s="376">
        <f>SEPTIEMBRE!D34+OCTUBRE!P34</f>
        <v>0</v>
      </c>
      <c r="E34" s="376">
        <f>SEPTIEMBRE!E34+OCTUBRE!Q34</f>
        <v>0</v>
      </c>
      <c r="F34" s="376">
        <f>SUM(C34:E34)</f>
        <v>0</v>
      </c>
      <c r="G34" s="376">
        <f>SEPTIEMBRE!I34</f>
        <v>0</v>
      </c>
      <c r="H34" s="377">
        <v>0</v>
      </c>
      <c r="I34" s="376">
        <f>SUM(G34:H34)</f>
        <v>0</v>
      </c>
      <c r="J34" s="376">
        <f>SEPTIEMBRE!L34</f>
        <v>0</v>
      </c>
      <c r="K34" s="377">
        <v>0</v>
      </c>
      <c r="L34" s="376">
        <f>SUM(J34:K34)</f>
        <v>0</v>
      </c>
      <c r="M34" s="376">
        <f>F34-I34</f>
        <v>0</v>
      </c>
      <c r="N34" s="146">
        <f>F34-L34</f>
        <v>0</v>
      </c>
      <c r="O34" s="385"/>
      <c r="P34" s="375">
        <v>0</v>
      </c>
      <c r="Q34" s="378">
        <v>0</v>
      </c>
      <c r="R34" s="9"/>
      <c r="S34" s="369" t="str">
        <f>+IF(SEPTIEMBRE!S34=0,"",SEPTIEMBRE!S34)</f>
        <v/>
      </c>
      <c r="T34" s="708" t="str">
        <f>+IF(SEPTIEMBRE!T34=0,"",SEPTIEMBRE!T34)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+IF(SEPTIEMBRE!A35=0,"",SEPTIEMBRE!A35)</f>
        <v>1130103-3</v>
      </c>
      <c r="B35" s="655" t="str">
        <f>+IF(SEPTIEMBRE!B35=0,"",SEPTIEMBRE!B35)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+IF(SEPTIEMBRE!S35=0,"",SEPTIEMBRE!S35)</f>
        <v>1010200</v>
      </c>
      <c r="T35" s="692" t="str">
        <f>+IF(SEPTIEMBRE!T35=0,"",SEPTIEMBRE!T35)</f>
        <v>Servicios Personales Indirectos</v>
      </c>
      <c r="U35" s="135">
        <f t="shared" ref="U35:AJ35" si="34">SUM(U36:U41)</f>
        <v>215072393</v>
      </c>
      <c r="V35" s="124">
        <f t="shared" si="34"/>
        <v>0</v>
      </c>
      <c r="W35" s="124">
        <f t="shared" si="34"/>
        <v>27070478</v>
      </c>
      <c r="X35" s="132">
        <f t="shared" si="34"/>
        <v>242142871</v>
      </c>
      <c r="Y35" s="131">
        <f t="shared" si="34"/>
        <v>227940978</v>
      </c>
      <c r="Z35" s="124">
        <f t="shared" si="34"/>
        <v>0</v>
      </c>
      <c r="AA35" s="132">
        <f t="shared" si="34"/>
        <v>227940978</v>
      </c>
      <c r="AB35" s="131">
        <f t="shared" si="34"/>
        <v>172615368</v>
      </c>
      <c r="AC35" s="124">
        <f t="shared" si="34"/>
        <v>0</v>
      </c>
      <c r="AD35" s="132">
        <f t="shared" si="34"/>
        <v>172615368</v>
      </c>
      <c r="AE35" s="131">
        <f t="shared" si="34"/>
        <v>132114560</v>
      </c>
      <c r="AF35" s="124">
        <f t="shared" si="34"/>
        <v>0</v>
      </c>
      <c r="AG35" s="132">
        <f t="shared" si="34"/>
        <v>132114560</v>
      </c>
      <c r="AH35" s="131">
        <f t="shared" si="34"/>
        <v>14201893</v>
      </c>
      <c r="AI35" s="124">
        <f t="shared" si="34"/>
        <v>69527503</v>
      </c>
      <c r="AJ35" s="133">
        <f t="shared" si="34"/>
        <v>110028311</v>
      </c>
      <c r="AK35" s="9"/>
      <c r="AL35" s="131">
        <f>SUM(AL36:AL41)</f>
        <v>0</v>
      </c>
      <c r="AM35" s="133">
        <f>SUM(AM36:AM41)</f>
        <v>0</v>
      </c>
      <c r="AN35" s="9"/>
      <c r="AO35" s="352"/>
      <c r="AP35" s="453"/>
      <c r="AQ35" s="295"/>
      <c r="AR35" s="454"/>
      <c r="AS35" s="454"/>
      <c r="AT35" s="454"/>
      <c r="AU35" s="455">
        <f>AR17-AR32</f>
        <v>624588041</v>
      </c>
      <c r="AV35" s="456">
        <f>AS17-AR32</f>
        <v>-214970682</v>
      </c>
      <c r="AW35" s="456" t="s">
        <v>158</v>
      </c>
      <c r="AX35" s="457"/>
      <c r="AY35" s="456">
        <f>AY17+AY32</f>
        <v>-989794954.34999979</v>
      </c>
      <c r="AZ35" s="458">
        <f>AZ17+AY32</f>
        <v>-2003851001.7499998</v>
      </c>
      <c r="BB35" s="425"/>
      <c r="BC35" s="425"/>
      <c r="BD35" s="425"/>
      <c r="BE35" s="425"/>
      <c r="BF35" s="425"/>
    </row>
    <row r="36" spans="1:70" s="385" customFormat="1" ht="24.95" customHeight="1" thickBot="1" x14ac:dyDescent="0.25">
      <c r="A36" s="618" t="str">
        <f>+IF(SEPTIEMBRE!A36=0,"",SEPTIEMBRE!A36)</f>
        <v>1130103-3-1</v>
      </c>
      <c r="B36" s="654" t="str">
        <f>+CONCATENATE("Vigencia ",INSTRUCCIONES!$F$3)</f>
        <v>Vigencia 2015</v>
      </c>
      <c r="C36" s="375">
        <f>+ENERO!C36</f>
        <v>0</v>
      </c>
      <c r="D36" s="376">
        <f>SEPTIEMBRE!D36+OCTUBRE!P36</f>
        <v>0</v>
      </c>
      <c r="E36" s="376">
        <f>SEPTIEMBRE!E36+OCTUBRE!Q36</f>
        <v>0</v>
      </c>
      <c r="F36" s="376">
        <f t="shared" ref="F36:F41" si="35">SUM(C36:E36)</f>
        <v>0</v>
      </c>
      <c r="G36" s="376">
        <f>SEPTIEMBRE!I36</f>
        <v>0</v>
      </c>
      <c r="H36" s="377">
        <v>0</v>
      </c>
      <c r="I36" s="376">
        <f t="shared" ref="I36:I41" si="36">SUM(G36:H36)</f>
        <v>0</v>
      </c>
      <c r="J36" s="376">
        <f>SEPTIEMBRE!L36</f>
        <v>0</v>
      </c>
      <c r="K36" s="377">
        <v>0</v>
      </c>
      <c r="L36" s="376">
        <f t="shared" ref="L36:L41" si="37">SUM(J36:K36)</f>
        <v>0</v>
      </c>
      <c r="M36" s="376">
        <f t="shared" ref="M36:M41" si="38">F36-I36</f>
        <v>0</v>
      </c>
      <c r="N36" s="146">
        <f t="shared" ref="N36:N41" si="39">F36-L36</f>
        <v>0</v>
      </c>
      <c r="O36" s="9"/>
      <c r="P36" s="375">
        <v>0</v>
      </c>
      <c r="Q36" s="378">
        <v>0</v>
      </c>
      <c r="R36" s="9"/>
      <c r="S36" s="719" t="str">
        <f>+IF(SEPTIEMBRE!S36=0,"",SEPTIEMBRE!S36)</f>
        <v>1010200-1</v>
      </c>
      <c r="T36" s="693" t="str">
        <f>+IF(SEPTIEMBRE!T36=0,"",SEPTIEMBRE!T36)</f>
        <v>Remuneración y Honorarios por Servicios Técnicos y Profesionales</v>
      </c>
      <c r="U36" s="27">
        <f>+ENERO!U36</f>
        <v>213224393</v>
      </c>
      <c r="V36" s="15">
        <f>SEPTIEMBRE!V36+OCTUBRE!AL36</f>
        <v>0</v>
      </c>
      <c r="W36" s="15">
        <f>SEPTIEMBRE!W36+OCTUBRE!AM36</f>
        <v>0</v>
      </c>
      <c r="X36" s="18">
        <f t="shared" ref="X36:X41" si="40">SUM(U36:W36)</f>
        <v>213224393</v>
      </c>
      <c r="Y36" s="19">
        <f>SEPTIEMBRE!AA36</f>
        <v>200870500</v>
      </c>
      <c r="Z36" s="377">
        <v>0</v>
      </c>
      <c r="AA36" s="18">
        <f t="shared" ref="AA36:AA41" si="41">SUM(Y36:Z36)</f>
        <v>200870500</v>
      </c>
      <c r="AB36" s="19">
        <f>SEPTIEMBRE!AD36</f>
        <v>145544890</v>
      </c>
      <c r="AC36" s="377">
        <v>0</v>
      </c>
      <c r="AD36" s="18">
        <f t="shared" ref="AD36:AD41" si="42">SUM(AB36:AC36)</f>
        <v>145544890</v>
      </c>
      <c r="AE36" s="19">
        <f>SEPTIEMBRE!AG36</f>
        <v>111993936</v>
      </c>
      <c r="AF36" s="377">
        <v>0</v>
      </c>
      <c r="AG36" s="18">
        <f t="shared" ref="AG36:AG41" si="43">SUM(AE36:AF36)</f>
        <v>111993936</v>
      </c>
      <c r="AH36" s="19">
        <f t="shared" ref="AH36:AH41" si="44">X36-AA36</f>
        <v>12353893</v>
      </c>
      <c r="AI36" s="15">
        <f t="shared" ref="AI36:AI41" si="45">X36-AD36</f>
        <v>67679503</v>
      </c>
      <c r="AJ36" s="16">
        <f t="shared" ref="AJ36:AJ41" si="46">X36-AG36</f>
        <v>101230457</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+IF(SEPTIEMBRE!A37=0,"",SEPTIEMBRE!A37)</f>
        <v>1130103-3-2</v>
      </c>
      <c r="B37" s="654" t="str">
        <f>+IF(SEPTIEMBRE!B37=0,"",SEPTIEMBRE!B37)</f>
        <v>Vigencia Anterior</v>
      </c>
      <c r="C37" s="375">
        <f>+ENERO!C37</f>
        <v>0</v>
      </c>
      <c r="D37" s="376">
        <f>SEPTIEMBRE!D37+OCTUBRE!P37</f>
        <v>0</v>
      </c>
      <c r="E37" s="376">
        <f>SEPTIEMBRE!E37+OCTUBRE!Q37</f>
        <v>0</v>
      </c>
      <c r="F37" s="376">
        <f t="shared" si="35"/>
        <v>0</v>
      </c>
      <c r="G37" s="376">
        <f>SEPTIEMBRE!I37</f>
        <v>0</v>
      </c>
      <c r="H37" s="377">
        <v>0</v>
      </c>
      <c r="I37" s="376">
        <f t="shared" si="36"/>
        <v>0</v>
      </c>
      <c r="J37" s="376">
        <f>SEPTIEMBRE!L37</f>
        <v>0</v>
      </c>
      <c r="K37" s="377">
        <v>0</v>
      </c>
      <c r="L37" s="376">
        <f t="shared" si="37"/>
        <v>0</v>
      </c>
      <c r="M37" s="376">
        <f t="shared" si="38"/>
        <v>0</v>
      </c>
      <c r="N37" s="146">
        <f t="shared" si="39"/>
        <v>0</v>
      </c>
      <c r="P37" s="375">
        <v>0</v>
      </c>
      <c r="Q37" s="378">
        <v>0</v>
      </c>
      <c r="R37" s="9"/>
      <c r="S37" s="719" t="str">
        <f>+IF(SEPTIEMBRE!S37=0,"",SEPTIEMBRE!S37)</f>
        <v>1010200-2</v>
      </c>
      <c r="T37" s="693" t="str">
        <f>+IF(SEPTIEMBRE!T37=0,"",SEPTIEMBRE!T37)</f>
        <v>Personal Supernumerario</v>
      </c>
      <c r="U37" s="27">
        <f>+ENERO!U37</f>
        <v>0</v>
      </c>
      <c r="V37" s="15">
        <f>SEPTIEMBRE!V37+OCTUBRE!AL37</f>
        <v>0</v>
      </c>
      <c r="W37" s="15">
        <f>SEPTIEMBRE!W37+OCTUBRE!AM37</f>
        <v>0</v>
      </c>
      <c r="X37" s="18">
        <f t="shared" si="40"/>
        <v>0</v>
      </c>
      <c r="Y37" s="19">
        <f>SEPTIEMBRE!AA37</f>
        <v>0</v>
      </c>
      <c r="Z37" s="377">
        <v>0</v>
      </c>
      <c r="AA37" s="18">
        <f t="shared" si="41"/>
        <v>0</v>
      </c>
      <c r="AB37" s="19">
        <f>SEPTIEMBRE!AD37</f>
        <v>0</v>
      </c>
      <c r="AC37" s="377">
        <v>0</v>
      </c>
      <c r="AD37" s="18">
        <f t="shared" si="42"/>
        <v>0</v>
      </c>
      <c r="AE37" s="19">
        <f>SEPTIEMBRE!AG37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+IF(SEPTIEMBRE!A38=0,"",SEPTIEMBRE!A38)</f>
        <v>1130103-4</v>
      </c>
      <c r="B38" s="656" t="str">
        <f>+IF(SEPTIEMBRE!B38=0,"",SEPTIEMBRE!B38)</f>
        <v xml:space="preserve"> Aportes Patronales  1o. Nivel</v>
      </c>
      <c r="C38" s="375">
        <f>+ENERO!C38</f>
        <v>326631000</v>
      </c>
      <c r="D38" s="376">
        <f>SEPTIEMBRE!D38+OCTUBRE!P38</f>
        <v>0</v>
      </c>
      <c r="E38" s="376">
        <f>SEPTIEMBRE!E38+OCTUBRE!Q38</f>
        <v>0</v>
      </c>
      <c r="F38" s="376">
        <f t="shared" si="35"/>
        <v>326631000</v>
      </c>
      <c r="G38" s="376">
        <f>SEPTIEMBRE!I38</f>
        <v>235750638</v>
      </c>
      <c r="H38" s="377">
        <v>0</v>
      </c>
      <c r="I38" s="376">
        <f t="shared" si="36"/>
        <v>235750638</v>
      </c>
      <c r="J38" s="376">
        <f>SEPTIEMBRE!L38</f>
        <v>232031822</v>
      </c>
      <c r="K38" s="377">
        <v>0</v>
      </c>
      <c r="L38" s="376">
        <f t="shared" si="37"/>
        <v>232031822</v>
      </c>
      <c r="M38" s="376">
        <f t="shared" si="38"/>
        <v>90880362</v>
      </c>
      <c r="N38" s="146">
        <f t="shared" si="39"/>
        <v>94599178</v>
      </c>
      <c r="O38" s="533"/>
      <c r="P38" s="375">
        <v>0</v>
      </c>
      <c r="Q38" s="378">
        <v>0</v>
      </c>
      <c r="R38" s="9"/>
      <c r="S38" s="719" t="str">
        <f>+IF(SEPTIEMBRE!S38=0,"",SEPTIEMBRE!S38)</f>
        <v>1010200-3</v>
      </c>
      <c r="T38" s="693" t="str">
        <f>+IF(SEPTIEMBRE!T38=0,"",SEPTIEMBRE!T38)</f>
        <v>Honorarios de la Junta Directiva</v>
      </c>
      <c r="U38" s="27">
        <f>+ENERO!U38</f>
        <v>1848000</v>
      </c>
      <c r="V38" s="15">
        <f>SEPTIEMBRE!V38+OCTUBRE!AL38</f>
        <v>0</v>
      </c>
      <c r="W38" s="15">
        <f>SEPTIEMBRE!W38+OCTUBRE!AM38</f>
        <v>0</v>
      </c>
      <c r="X38" s="18">
        <f t="shared" si="40"/>
        <v>1848000</v>
      </c>
      <c r="Y38" s="19">
        <f>SEPTIEMBRE!AA38</f>
        <v>0</v>
      </c>
      <c r="Z38" s="377">
        <v>0</v>
      </c>
      <c r="AA38" s="18">
        <f t="shared" si="41"/>
        <v>0</v>
      </c>
      <c r="AB38" s="19">
        <f>SEPTIEMBRE!AD38</f>
        <v>0</v>
      </c>
      <c r="AC38" s="377">
        <v>0</v>
      </c>
      <c r="AD38" s="18">
        <f t="shared" si="42"/>
        <v>0</v>
      </c>
      <c r="AE38" s="19">
        <f>SEPTIEMBRE!AG38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+IF(SEPTIEMBRE!A39=0,"",SEPTIEMBRE!A39)</f>
        <v>1130103-5</v>
      </c>
      <c r="B39" s="656" t="str">
        <f>+IF(SEPTIEMBRE!B39=0,"",SEPTIEMBRE!B39)</f>
        <v xml:space="preserve"> Aportes Patronales  2o. Nivel</v>
      </c>
      <c r="C39" s="375">
        <f>+ENERO!C39</f>
        <v>0</v>
      </c>
      <c r="D39" s="376">
        <f>SEPTIEMBRE!D39+OCTUBRE!P39</f>
        <v>0</v>
      </c>
      <c r="E39" s="376">
        <f>SEPTIEMBRE!E39+OCTUBRE!Q39</f>
        <v>0</v>
      </c>
      <c r="F39" s="376">
        <f t="shared" si="35"/>
        <v>0</v>
      </c>
      <c r="G39" s="376">
        <f>SEPTIEMBRE!I39</f>
        <v>0</v>
      </c>
      <c r="H39" s="377">
        <v>0</v>
      </c>
      <c r="I39" s="376">
        <f t="shared" si="36"/>
        <v>0</v>
      </c>
      <c r="J39" s="376">
        <f>SEPTIEMBRE!L39</f>
        <v>0</v>
      </c>
      <c r="K39" s="377">
        <v>0</v>
      </c>
      <c r="L39" s="376">
        <f t="shared" si="37"/>
        <v>0</v>
      </c>
      <c r="M39" s="376">
        <f t="shared" si="38"/>
        <v>0</v>
      </c>
      <c r="N39" s="146">
        <f t="shared" si="39"/>
        <v>0</v>
      </c>
      <c r="O39" s="533"/>
      <c r="P39" s="375">
        <v>0</v>
      </c>
      <c r="Q39" s="378">
        <v>0</v>
      </c>
      <c r="R39" s="9"/>
      <c r="S39" s="719" t="str">
        <f>+IF(SEPTIEMBRE!S39=0,"",SEPTIEMBRE!S39)</f>
        <v>1010200-4</v>
      </c>
      <c r="T39" s="693" t="str">
        <f>+IF(SEPTIEMBRE!T39=0,"",SEPTIEMBRE!T39)</f>
        <v>Otros Honorarios (Servicios de Cooperativa)</v>
      </c>
      <c r="U39" s="27">
        <f>+ENERO!U39</f>
        <v>0</v>
      </c>
      <c r="V39" s="15">
        <f>SEPTIEMBRE!V39+OCTUBRE!AL39</f>
        <v>0</v>
      </c>
      <c r="W39" s="15">
        <f>SEPTIEMBRE!W39+OCTUBRE!AM39</f>
        <v>0</v>
      </c>
      <c r="X39" s="18">
        <f t="shared" si="40"/>
        <v>0</v>
      </c>
      <c r="Y39" s="19">
        <f>SEPTIEMBRE!AA39</f>
        <v>0</v>
      </c>
      <c r="Z39" s="377">
        <v>0</v>
      </c>
      <c r="AA39" s="18">
        <f t="shared" si="41"/>
        <v>0</v>
      </c>
      <c r="AB39" s="19">
        <f>SEPTIEMBRE!AD39</f>
        <v>0</v>
      </c>
      <c r="AC39" s="377">
        <v>0</v>
      </c>
      <c r="AD39" s="18">
        <f t="shared" si="42"/>
        <v>0</v>
      </c>
      <c r="AE39" s="19">
        <f>SEPTIEMBRE!AG39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+IF(SEPTIEMBRE!A40=0,"",SEPTIEMBRE!A40)</f>
        <v>1130103-6</v>
      </c>
      <c r="B40" s="656" t="str">
        <f>+IF(SEPTIEMBRE!B40=0,"",SEPTIEMBRE!B40)</f>
        <v xml:space="preserve"> Aportes Patronales  3er. Nivel</v>
      </c>
      <c r="C40" s="375">
        <f>+ENERO!C40</f>
        <v>0</v>
      </c>
      <c r="D40" s="376">
        <f>SEPTIEMBRE!D40+OCTUBRE!P40</f>
        <v>0</v>
      </c>
      <c r="E40" s="376">
        <f>SEPTIEMBRE!E40+OCTUBRE!Q40</f>
        <v>0</v>
      </c>
      <c r="F40" s="376">
        <f t="shared" si="35"/>
        <v>0</v>
      </c>
      <c r="G40" s="376">
        <f>SEPTIEMBRE!I40</f>
        <v>0</v>
      </c>
      <c r="H40" s="377">
        <v>0</v>
      </c>
      <c r="I40" s="376">
        <f t="shared" si="36"/>
        <v>0</v>
      </c>
      <c r="J40" s="376">
        <f>SEPTIEMBRE!L40</f>
        <v>0</v>
      </c>
      <c r="K40" s="377">
        <v>0</v>
      </c>
      <c r="L40" s="376">
        <f t="shared" si="37"/>
        <v>0</v>
      </c>
      <c r="M40" s="376">
        <f t="shared" si="38"/>
        <v>0</v>
      </c>
      <c r="N40" s="146">
        <f t="shared" si="39"/>
        <v>0</v>
      </c>
      <c r="O40" s="533"/>
      <c r="P40" s="375">
        <v>0</v>
      </c>
      <c r="Q40" s="378">
        <v>0</v>
      </c>
      <c r="R40" s="9"/>
      <c r="S40" s="719" t="str">
        <f>+IF(SEPTIEMBRE!S40=0,"",SEPTIEMBRE!S40)</f>
        <v>1010200-6</v>
      </c>
      <c r="T40" s="693" t="str">
        <f>+IF(SEPTIEMBRE!T40=0,"",SEPTIEMBRE!T40)</f>
        <v>Certificación, Habilitación y Acreditación</v>
      </c>
      <c r="U40" s="27">
        <f>+ENERO!U40</f>
        <v>0</v>
      </c>
      <c r="V40" s="15">
        <f>SEPTIEMBRE!V40+OCTUBRE!AL40</f>
        <v>0</v>
      </c>
      <c r="W40" s="15">
        <f>SEPTIEMBRE!W40+OCTUBRE!AM40</f>
        <v>0</v>
      </c>
      <c r="X40" s="18">
        <f t="shared" si="40"/>
        <v>0</v>
      </c>
      <c r="Y40" s="19">
        <f>SEPTIEMBRE!AA40</f>
        <v>0</v>
      </c>
      <c r="Z40" s="377">
        <v>0</v>
      </c>
      <c r="AA40" s="18">
        <f t="shared" si="41"/>
        <v>0</v>
      </c>
      <c r="AB40" s="19">
        <f>SEPTIEMBRE!AD40</f>
        <v>0</v>
      </c>
      <c r="AC40" s="377">
        <v>0</v>
      </c>
      <c r="AD40" s="18">
        <f t="shared" si="42"/>
        <v>0</v>
      </c>
      <c r="AE40" s="19">
        <f>SEPTIEMBRE!AG40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+IF(SEPTIEMBRE!A41=0,"",SEPTIEMBRE!A41)</f>
        <v>1130104</v>
      </c>
      <c r="B41" s="653" t="str">
        <f>+IF(SEPTIEMBRE!B41=0,"",SEPTIEMBRE!B41)</f>
        <v>SUBSIDIO A LA OFERTA- ACTIVIDADES NO POS-S</v>
      </c>
      <c r="C41" s="375">
        <f>+ENERO!C41</f>
        <v>0</v>
      </c>
      <c r="D41" s="124">
        <f>SEPTIEMBRE!D41+OCTUBRE!P41</f>
        <v>0</v>
      </c>
      <c r="E41" s="124">
        <f>SEPTIEMBRE!E41+OCTUBRE!Q41</f>
        <v>0</v>
      </c>
      <c r="F41" s="124">
        <f t="shared" si="35"/>
        <v>0</v>
      </c>
      <c r="G41" s="124">
        <f>SEPTIEMBRE!I41</f>
        <v>0</v>
      </c>
      <c r="H41" s="377">
        <v>0</v>
      </c>
      <c r="I41" s="124">
        <f t="shared" si="36"/>
        <v>0</v>
      </c>
      <c r="J41" s="124">
        <f>SEPTIEMBRE!L41</f>
        <v>0</v>
      </c>
      <c r="K41" s="377">
        <v>0</v>
      </c>
      <c r="L41" s="124">
        <f t="shared" si="37"/>
        <v>0</v>
      </c>
      <c r="M41" s="124">
        <f t="shared" si="38"/>
        <v>0</v>
      </c>
      <c r="N41" s="133">
        <f t="shared" si="39"/>
        <v>0</v>
      </c>
      <c r="O41" s="385"/>
      <c r="P41" s="377">
        <v>0</v>
      </c>
      <c r="Q41" s="378">
        <v>0</v>
      </c>
      <c r="R41" s="9"/>
      <c r="S41" s="719">
        <f>+IF(SEPTIEMBRE!S41=0,"",SEPTIEMBRE!S41)</f>
        <v>1010299</v>
      </c>
      <c r="T41" s="693" t="str">
        <f>+IF(SEPTIEMBRE!T41=0,"",SEPTIEMBRE!T41)</f>
        <v>Vigencias Anteriores</v>
      </c>
      <c r="U41" s="27">
        <f>+ENERO!U41</f>
        <v>0</v>
      </c>
      <c r="V41" s="15">
        <f>SEPTIEMBRE!V41+OCTUBRE!AL41</f>
        <v>0</v>
      </c>
      <c r="W41" s="15">
        <f>SEPTIEMBRE!W41+OCTUBRE!AM41</f>
        <v>27070478</v>
      </c>
      <c r="X41" s="18">
        <f t="shared" si="40"/>
        <v>27070478</v>
      </c>
      <c r="Y41" s="19">
        <f>SEPTIEMBRE!AA41</f>
        <v>27070478</v>
      </c>
      <c r="Z41" s="377">
        <v>0</v>
      </c>
      <c r="AA41" s="18">
        <f t="shared" si="41"/>
        <v>27070478</v>
      </c>
      <c r="AB41" s="19">
        <f>SEPTIEMBRE!AD41</f>
        <v>27070478</v>
      </c>
      <c r="AC41" s="377">
        <v>0</v>
      </c>
      <c r="AD41" s="18">
        <f t="shared" si="42"/>
        <v>27070478</v>
      </c>
      <c r="AE41" s="19">
        <f>SEPTIEMBRE!AG41</f>
        <v>20120624</v>
      </c>
      <c r="AF41" s="377">
        <v>0</v>
      </c>
      <c r="AG41" s="18">
        <f t="shared" si="43"/>
        <v>20120624</v>
      </c>
      <c r="AH41" s="19">
        <f t="shared" si="44"/>
        <v>0</v>
      </c>
      <c r="AI41" s="15">
        <f t="shared" si="45"/>
        <v>0</v>
      </c>
      <c r="AJ41" s="16">
        <f t="shared" si="46"/>
        <v>6949854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+IF(SEPTIEMBRE!A42=0,"",SEPTIEMBRE!A42)</f>
        <v>1130106</v>
      </c>
      <c r="B42" s="653" t="str">
        <f>+IF(SEPTIEMBRE!B42=0,"",SEPTIEMBRE!B42)</f>
        <v>SALUD PUBLICA - PLAN DE INTERVENCIONES COLECTIVAS</v>
      </c>
      <c r="C42" s="43">
        <f t="shared" ref="C42:N42" si="47">SUM(C43:C44)</f>
        <v>94000000</v>
      </c>
      <c r="D42" s="44">
        <f t="shared" si="47"/>
        <v>0</v>
      </c>
      <c r="E42" s="44">
        <f t="shared" si="47"/>
        <v>17280673</v>
      </c>
      <c r="F42" s="44">
        <f t="shared" si="47"/>
        <v>111280673</v>
      </c>
      <c r="G42" s="44">
        <f t="shared" si="47"/>
        <v>67464121</v>
      </c>
      <c r="H42" s="44">
        <f t="shared" si="47"/>
        <v>0</v>
      </c>
      <c r="I42" s="44">
        <f t="shared" si="47"/>
        <v>67464121</v>
      </c>
      <c r="J42" s="44">
        <f t="shared" si="47"/>
        <v>65005392</v>
      </c>
      <c r="K42" s="44">
        <f t="shared" si="47"/>
        <v>0</v>
      </c>
      <c r="L42" s="44">
        <f t="shared" si="47"/>
        <v>65005392</v>
      </c>
      <c r="M42" s="44">
        <f t="shared" si="47"/>
        <v>43816552</v>
      </c>
      <c r="N42" s="45">
        <f t="shared" si="47"/>
        <v>46275281</v>
      </c>
      <c r="P42" s="43">
        <f>SUM(P43:P44)</f>
        <v>0</v>
      </c>
      <c r="Q42" s="45">
        <f>SUM(Q43:Q44)</f>
        <v>0</v>
      </c>
      <c r="R42" s="9"/>
      <c r="S42" s="369" t="str">
        <f>+IF(SEPTIEMBRE!S42=0,"",SEPTIEMBRE!S42)</f>
        <v/>
      </c>
      <c r="T42" s="708" t="str">
        <f>+IF(SEPTIEMBRE!T42=0,"",SEPTIEMBRE!T42)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+IF(SEPTIEMBRE!A43=0,"",SEPTIEMBRE!A43)</f>
        <v>1130106-1</v>
      </c>
      <c r="B43" s="654" t="str">
        <f>+CONCATENATE("Vigencia ",INSTRUCCIONES!$F$3)</f>
        <v>Vigencia 2015</v>
      </c>
      <c r="C43" s="375">
        <f>+ENERO!C43</f>
        <v>94000000</v>
      </c>
      <c r="D43" s="376">
        <f>SEPTIEMBRE!D43+OCTUBRE!P43</f>
        <v>0</v>
      </c>
      <c r="E43" s="376">
        <f>SEPTIEMBRE!E43+OCTUBRE!Q43</f>
        <v>17280673</v>
      </c>
      <c r="F43" s="376">
        <f>SUM(C43:E43)</f>
        <v>111280673</v>
      </c>
      <c r="G43" s="376">
        <f>SEPTIEMBRE!I43</f>
        <v>67464121</v>
      </c>
      <c r="H43" s="377">
        <v>0</v>
      </c>
      <c r="I43" s="376">
        <f>SUM(G43:H43)</f>
        <v>67464121</v>
      </c>
      <c r="J43" s="376">
        <f>SEPTIEMBRE!L43</f>
        <v>65005392</v>
      </c>
      <c r="K43" s="377">
        <v>0</v>
      </c>
      <c r="L43" s="376">
        <f>SUM(J43:K43)</f>
        <v>65005392</v>
      </c>
      <c r="M43" s="376">
        <f>F43-I43</f>
        <v>43816552</v>
      </c>
      <c r="N43" s="146">
        <f>F43-L43</f>
        <v>46275281</v>
      </c>
      <c r="O43" s="385"/>
      <c r="P43" s="375">
        <v>0</v>
      </c>
      <c r="Q43" s="378">
        <v>0</v>
      </c>
      <c r="R43" s="9"/>
      <c r="S43" s="718">
        <f>+IF(SEPTIEMBRE!S43=0,"",SEPTIEMBRE!S43)</f>
        <v>1010300</v>
      </c>
      <c r="T43" s="692" t="str">
        <f>+IF(SEPTIEMBRE!T43=0,"",SEPTIEMBRE!T43)</f>
        <v>Contribuciones Inherentes nómina al Sector Privado</v>
      </c>
      <c r="U43" s="135">
        <f t="shared" ref="U43:AJ43" si="48">U44+U49+U55</f>
        <v>111328187</v>
      </c>
      <c r="V43" s="124">
        <f t="shared" si="48"/>
        <v>0</v>
      </c>
      <c r="W43" s="124">
        <f t="shared" si="48"/>
        <v>43373015</v>
      </c>
      <c r="X43" s="132">
        <f t="shared" si="48"/>
        <v>154701202</v>
      </c>
      <c r="Y43" s="131">
        <f t="shared" si="48"/>
        <v>102418545</v>
      </c>
      <c r="Z43" s="124">
        <f t="shared" si="48"/>
        <v>0</v>
      </c>
      <c r="AA43" s="132">
        <f t="shared" si="48"/>
        <v>102418545</v>
      </c>
      <c r="AB43" s="131">
        <f t="shared" si="48"/>
        <v>102418545</v>
      </c>
      <c r="AC43" s="124">
        <f t="shared" si="48"/>
        <v>0</v>
      </c>
      <c r="AD43" s="132">
        <f t="shared" si="48"/>
        <v>102418545</v>
      </c>
      <c r="AE43" s="131">
        <f t="shared" si="48"/>
        <v>86453036</v>
      </c>
      <c r="AF43" s="124">
        <f t="shared" si="48"/>
        <v>0</v>
      </c>
      <c r="AG43" s="132">
        <f t="shared" si="48"/>
        <v>86453036</v>
      </c>
      <c r="AH43" s="131">
        <f t="shared" si="48"/>
        <v>52282657</v>
      </c>
      <c r="AI43" s="124">
        <f t="shared" si="48"/>
        <v>52282657</v>
      </c>
      <c r="AJ43" s="133">
        <f t="shared" si="48"/>
        <v>68248166</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+IF(SEPTIEMBRE!A44=0,"",SEPTIEMBRE!A44)</f>
        <v>1130106-2</v>
      </c>
      <c r="B44" s="654" t="str">
        <f>+IF(SEPTIEMBRE!B44=0,"",SEPTIEMBRE!B44)</f>
        <v>Vigencia Anterior</v>
      </c>
      <c r="C44" s="375">
        <f>+ENERO!C44</f>
        <v>0</v>
      </c>
      <c r="D44" s="376">
        <f>SEPTIEMBRE!D44+OCTUBRE!P44</f>
        <v>0</v>
      </c>
      <c r="E44" s="376">
        <f>SEPTIEMBRE!E44+OCTUBRE!Q44</f>
        <v>0</v>
      </c>
      <c r="F44" s="376">
        <f>SUM(C44:E44)</f>
        <v>0</v>
      </c>
      <c r="G44" s="376">
        <f>SEPTIEMBRE!I44</f>
        <v>0</v>
      </c>
      <c r="H44" s="377">
        <v>0</v>
      </c>
      <c r="I44" s="376">
        <f>SUM(G44:H44)</f>
        <v>0</v>
      </c>
      <c r="J44" s="376">
        <f>SEPTIEMBRE!L44</f>
        <v>0</v>
      </c>
      <c r="K44" s="377">
        <v>0</v>
      </c>
      <c r="L44" s="376">
        <f>SUM(J44:K44)</f>
        <v>0</v>
      </c>
      <c r="M44" s="376">
        <f>F44-I44</f>
        <v>0</v>
      </c>
      <c r="N44" s="146">
        <f>F44-L44</f>
        <v>0</v>
      </c>
      <c r="O44" s="385"/>
      <c r="P44" s="375">
        <v>0</v>
      </c>
      <c r="Q44" s="378">
        <v>0</v>
      </c>
      <c r="R44" s="9"/>
      <c r="S44" s="719">
        <f>+IF(SEPTIEMBRE!S44=0,"",SEPTIEMBRE!S44)</f>
        <v>1010301</v>
      </c>
      <c r="T44" s="693" t="str">
        <f>+IF(SEPTIEMBRE!T44=0,"",SEPTIEMBRE!T44)</f>
        <v>Contribuciones - Sin Situación de Fondos</v>
      </c>
      <c r="U44" s="27">
        <f t="shared" ref="U44:AJ44" si="49">SUM(U45:U48)</f>
        <v>96536264</v>
      </c>
      <c r="V44" s="15">
        <f t="shared" si="49"/>
        <v>0</v>
      </c>
      <c r="W44" s="15">
        <f t="shared" si="49"/>
        <v>0</v>
      </c>
      <c r="X44" s="18">
        <f t="shared" si="49"/>
        <v>96536264</v>
      </c>
      <c r="Y44" s="19">
        <f t="shared" si="49"/>
        <v>50222830</v>
      </c>
      <c r="Z44" s="145">
        <f t="shared" si="49"/>
        <v>0</v>
      </c>
      <c r="AA44" s="18">
        <f t="shared" si="49"/>
        <v>50222830</v>
      </c>
      <c r="AB44" s="19">
        <f t="shared" si="49"/>
        <v>50222830</v>
      </c>
      <c r="AC44" s="145">
        <f t="shared" si="49"/>
        <v>0</v>
      </c>
      <c r="AD44" s="18">
        <f t="shared" si="49"/>
        <v>50222830</v>
      </c>
      <c r="AE44" s="19">
        <f t="shared" si="49"/>
        <v>48937576</v>
      </c>
      <c r="AF44" s="145">
        <f t="shared" si="49"/>
        <v>0</v>
      </c>
      <c r="AG44" s="18">
        <f t="shared" si="49"/>
        <v>48937576</v>
      </c>
      <c r="AH44" s="19">
        <f t="shared" si="49"/>
        <v>46313434</v>
      </c>
      <c r="AI44" s="15">
        <f t="shared" si="49"/>
        <v>46313434</v>
      </c>
      <c r="AJ44" s="16">
        <f t="shared" si="49"/>
        <v>47598688</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+IF(SEPTIEMBRE!A45=0,"",SEPTIEMBRE!A45)</f>
        <v>1130107</v>
      </c>
      <c r="B45" s="653" t="str">
        <f>+IF(SEPTIEMBRE!B45=0,"",SEPTIEMBRE!B45)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+IF(SEPTIEMBRE!S45=0,"",SEPTIEMBRE!S45)</f>
        <v>1010301-1</v>
      </c>
      <c r="T45" s="694" t="str">
        <f>+IF(SEPTIEMBRE!T45=0,"",SEPTIEMBRE!T45)</f>
        <v>Aportes a E.P.S.- Sin sit. Fondos</v>
      </c>
      <c r="U45" s="27">
        <f>+ENERO!U45</f>
        <v>26843256</v>
      </c>
      <c r="V45" s="15">
        <f>SEPTIEMBRE!V45+OCTUBRE!AL45</f>
        <v>0</v>
      </c>
      <c r="W45" s="15">
        <f>SEPTIEMBRE!W45+OCTUBRE!AM45</f>
        <v>0</v>
      </c>
      <c r="X45" s="18">
        <f>SUM(U45:W45)</f>
        <v>26843256</v>
      </c>
      <c r="Y45" s="19">
        <f>SEPTIEMBRE!AA45</f>
        <v>20327463</v>
      </c>
      <c r="Z45" s="377">
        <v>0</v>
      </c>
      <c r="AA45" s="18">
        <f>SUM(Y45:Z45)</f>
        <v>20327463</v>
      </c>
      <c r="AB45" s="19">
        <f>SEPTIEMBRE!AD45</f>
        <v>20327463</v>
      </c>
      <c r="AC45" s="377">
        <v>0</v>
      </c>
      <c r="AD45" s="18">
        <f>SUM(AB45:AC45)</f>
        <v>20327463</v>
      </c>
      <c r="AE45" s="19">
        <f>SEPTIEMBRE!AG45</f>
        <v>20327463</v>
      </c>
      <c r="AF45" s="377">
        <v>0</v>
      </c>
      <c r="AG45" s="18">
        <f>SUM(AE45:AF45)</f>
        <v>20327463</v>
      </c>
      <c r="AH45" s="19">
        <f>X45-AA45</f>
        <v>6515793</v>
      </c>
      <c r="AI45" s="15">
        <f>X45-AD45</f>
        <v>6515793</v>
      </c>
      <c r="AJ45" s="16">
        <f>X45-AG45</f>
        <v>6515793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+IF(SEPTIEMBRE!A46=0,"",SEPTIEMBRE!A46)</f>
        <v>1130107-1</v>
      </c>
      <c r="B46" s="654" t="str">
        <f>+CONCATENATE("Vigencia ",INSTRUCCIONES!$F$3)</f>
        <v>Vigencia 2015</v>
      </c>
      <c r="C46" s="375">
        <f>+ENERO!C46</f>
        <v>0</v>
      </c>
      <c r="D46" s="376">
        <f>SEPTIEMBRE!D46+OCTUBRE!P46</f>
        <v>0</v>
      </c>
      <c r="E46" s="376">
        <f>SEPTIEMBRE!E46+OCTUBRE!Q46</f>
        <v>0</v>
      </c>
      <c r="F46" s="376">
        <f>SUM(C46:E46)</f>
        <v>0</v>
      </c>
      <c r="G46" s="376">
        <f>SEPTIEMBRE!I46</f>
        <v>0</v>
      </c>
      <c r="H46" s="377">
        <v>0</v>
      </c>
      <c r="I46" s="376">
        <f>SUM(G46:H46)</f>
        <v>0</v>
      </c>
      <c r="J46" s="376">
        <f>SEPTIEMBRE!L46</f>
        <v>0</v>
      </c>
      <c r="K46" s="377">
        <v>0</v>
      </c>
      <c r="L46" s="376">
        <f>SUM(J46:K46)</f>
        <v>0</v>
      </c>
      <c r="M46" s="376">
        <f>F46-I46</f>
        <v>0</v>
      </c>
      <c r="N46" s="146">
        <f>F46-L46</f>
        <v>0</v>
      </c>
      <c r="O46" s="385"/>
      <c r="P46" s="375">
        <v>0</v>
      </c>
      <c r="Q46" s="378">
        <v>0</v>
      </c>
      <c r="R46" s="9"/>
      <c r="S46" s="720" t="str">
        <f>+IF(SEPTIEMBRE!S46=0,"",SEPTIEMBRE!S46)</f>
        <v>1010301-2</v>
      </c>
      <c r="T46" s="694" t="str">
        <f>+IF(SEPTIEMBRE!T46=0,"",SEPTIEMBRE!T46)</f>
        <v>Aportes Fondos Pensionales - Sin Sit. Fondos</v>
      </c>
      <c r="U46" s="27">
        <f>+ENERO!U46</f>
        <v>37896396</v>
      </c>
      <c r="V46" s="15">
        <f>SEPTIEMBRE!V46+OCTUBRE!AL46</f>
        <v>0</v>
      </c>
      <c r="W46" s="15">
        <f>SEPTIEMBRE!W46+OCTUBRE!AM46</f>
        <v>0</v>
      </c>
      <c r="X46" s="18">
        <f>SUM(U46:W46)</f>
        <v>37896396</v>
      </c>
      <c r="Y46" s="19">
        <f>SEPTIEMBRE!AA46</f>
        <v>28697600</v>
      </c>
      <c r="Z46" s="377">
        <v>0</v>
      </c>
      <c r="AA46" s="18">
        <f>SUM(Y46:Z46)</f>
        <v>28697600</v>
      </c>
      <c r="AB46" s="19">
        <f>SEPTIEMBRE!AD46</f>
        <v>28697600</v>
      </c>
      <c r="AC46" s="377">
        <v>0</v>
      </c>
      <c r="AD46" s="18">
        <f>SUM(AB46:AC46)</f>
        <v>28697600</v>
      </c>
      <c r="AE46" s="19">
        <f>SEPTIEMBRE!AG46</f>
        <v>27412346</v>
      </c>
      <c r="AF46" s="377">
        <v>0</v>
      </c>
      <c r="AG46" s="18">
        <f>SUM(AE46:AF46)</f>
        <v>27412346</v>
      </c>
      <c r="AH46" s="19">
        <f>X46-AA46</f>
        <v>9198796</v>
      </c>
      <c r="AI46" s="15">
        <f>X46-AD46</f>
        <v>9198796</v>
      </c>
      <c r="AJ46" s="16">
        <f>X46-AG46</f>
        <v>10484050</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+IF(SEPTIEMBRE!A47=0,"",SEPTIEMBRE!A47)</f>
        <v>1130107-2</v>
      </c>
      <c r="B47" s="654" t="str">
        <f>+IF(SEPTIEMBRE!B47=0,"",SEPTIEMBRE!B47)</f>
        <v>Vigencia Anterior</v>
      </c>
      <c r="C47" s="375">
        <f>+ENERO!C47</f>
        <v>0</v>
      </c>
      <c r="D47" s="376">
        <f>SEPTIEMBRE!D47+OCTUBRE!P47</f>
        <v>0</v>
      </c>
      <c r="E47" s="376">
        <f>SEPTIEMBRE!E47+OCTUBRE!Q47</f>
        <v>0</v>
      </c>
      <c r="F47" s="376">
        <f>SUM(C47:E47)</f>
        <v>0</v>
      </c>
      <c r="G47" s="376">
        <f>SEPTIEMBRE!I47</f>
        <v>0</v>
      </c>
      <c r="H47" s="377">
        <v>0</v>
      </c>
      <c r="I47" s="376">
        <f>SUM(G47:H47)</f>
        <v>0</v>
      </c>
      <c r="J47" s="376">
        <f>SEPTIEMBRE!L47</f>
        <v>0</v>
      </c>
      <c r="K47" s="377">
        <v>0</v>
      </c>
      <c r="L47" s="376">
        <f>SUM(J47:K47)</f>
        <v>0</v>
      </c>
      <c r="M47" s="376">
        <f>F47-I47</f>
        <v>0</v>
      </c>
      <c r="N47" s="146">
        <f>F47-L47</f>
        <v>0</v>
      </c>
      <c r="O47" s="385"/>
      <c r="P47" s="375">
        <v>0</v>
      </c>
      <c r="Q47" s="378">
        <v>0</v>
      </c>
      <c r="R47" s="9"/>
      <c r="S47" s="720" t="str">
        <f>+IF(SEPTIEMBRE!S47=0,"",SEPTIEMBRE!S47)</f>
        <v>1010301-3</v>
      </c>
      <c r="T47" s="694" t="str">
        <f>+IF(SEPTIEMBRE!T47=0,"",SEPTIEMBRE!T47)</f>
        <v xml:space="preserve">Aportes a Fondos de Cesantia - Sin Sit. de Fondos </v>
      </c>
      <c r="U47" s="27">
        <f>+ENERO!U47</f>
        <v>30148119</v>
      </c>
      <c r="V47" s="15">
        <f>SEPTIEMBRE!V47+OCTUBRE!AL47</f>
        <v>0</v>
      </c>
      <c r="W47" s="15">
        <f>SEPTIEMBRE!W47+OCTUBRE!AM47</f>
        <v>0</v>
      </c>
      <c r="X47" s="18">
        <f>SUM(U47:W47)</f>
        <v>30148119</v>
      </c>
      <c r="Y47" s="19">
        <f>SEPTIEMBRE!AA47</f>
        <v>0</v>
      </c>
      <c r="Z47" s="377">
        <v>0</v>
      </c>
      <c r="AA47" s="18">
        <f>SUM(Y47:Z47)</f>
        <v>0</v>
      </c>
      <c r="AB47" s="19">
        <f>SEPTIEMBRE!AD47</f>
        <v>0</v>
      </c>
      <c r="AC47" s="377">
        <v>0</v>
      </c>
      <c r="AD47" s="18">
        <f>SUM(AB47:AC47)</f>
        <v>0</v>
      </c>
      <c r="AE47" s="19">
        <f>SEPTIEMBRE!AG47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+IF(SEPTIEMBRE!A48=0,"",SEPTIEMBRE!A48)</f>
        <v>1130108</v>
      </c>
      <c r="B48" s="653" t="str">
        <f>+IF(SEPTIEMBRE!B48=0,"",SEPTIEMBRE!B48)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+IF(SEPTIEMBRE!S48=0,"",SEPTIEMBRE!S48)</f>
        <v>1010301-4</v>
      </c>
      <c r="T48" s="694" t="str">
        <f>+IF(SEPTIEMBRE!T48=0,"",SEPTIEMBRE!T48)</f>
        <v xml:space="preserve">Aporte a ARL. - Sin Sit. de Fondos </v>
      </c>
      <c r="U48" s="27">
        <f>+ENERO!U48</f>
        <v>1648493</v>
      </c>
      <c r="V48" s="15">
        <f>SEPTIEMBRE!V48+OCTUBRE!AL48</f>
        <v>0</v>
      </c>
      <c r="W48" s="15">
        <f>SEPTIEMBRE!W48+OCTUBRE!AM48</f>
        <v>0</v>
      </c>
      <c r="X48" s="18">
        <f>SUM(U48:W48)</f>
        <v>1648493</v>
      </c>
      <c r="Y48" s="19">
        <f>SEPTIEMBRE!AA48</f>
        <v>1197767</v>
      </c>
      <c r="Z48" s="377">
        <v>0</v>
      </c>
      <c r="AA48" s="18">
        <f>SUM(Y48:Z48)</f>
        <v>1197767</v>
      </c>
      <c r="AB48" s="19">
        <f>SEPTIEMBRE!AD48</f>
        <v>1197767</v>
      </c>
      <c r="AC48" s="377">
        <v>0</v>
      </c>
      <c r="AD48" s="18">
        <f>SUM(AB48:AC48)</f>
        <v>1197767</v>
      </c>
      <c r="AE48" s="19">
        <f>SEPTIEMBRE!AG48</f>
        <v>1197767</v>
      </c>
      <c r="AF48" s="377">
        <v>0</v>
      </c>
      <c r="AG48" s="18">
        <f>SUM(AE48:AF48)</f>
        <v>1197767</v>
      </c>
      <c r="AH48" s="19">
        <f>X48-AA48</f>
        <v>450726</v>
      </c>
      <c r="AI48" s="15">
        <f>X48-AD48</f>
        <v>450726</v>
      </c>
      <c r="AJ48" s="16">
        <f>X48-AG48</f>
        <v>450726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+IF(SEPTIEMBRE!A49=0,"",SEPTIEMBRE!A49)</f>
        <v>1130108-1</v>
      </c>
      <c r="B49" s="654" t="str">
        <f>+CONCATENATE("Vigencia ",INSTRUCCIONES!$F$3)</f>
        <v>Vigencia 2015</v>
      </c>
      <c r="C49" s="375">
        <f>+ENERO!C49</f>
        <v>0</v>
      </c>
      <c r="D49" s="376">
        <f>SEPTIEMBRE!D49+OCTUBRE!P49</f>
        <v>0</v>
      </c>
      <c r="E49" s="376">
        <f>SEPTIEMBRE!E49+OCTUBRE!Q49</f>
        <v>0</v>
      </c>
      <c r="F49" s="376">
        <f>SUM(C49:E49)</f>
        <v>0</v>
      </c>
      <c r="G49" s="376">
        <f>SEPTIEMBRE!I49</f>
        <v>0</v>
      </c>
      <c r="H49" s="377">
        <v>0</v>
      </c>
      <c r="I49" s="376">
        <f>SUM(G49:H49)</f>
        <v>0</v>
      </c>
      <c r="J49" s="376">
        <f>SEPTIEMBRE!L49</f>
        <v>0</v>
      </c>
      <c r="K49" s="377">
        <v>0</v>
      </c>
      <c r="L49" s="376">
        <f>SUM(J49:K49)</f>
        <v>0</v>
      </c>
      <c r="M49" s="376">
        <f>F49-I49</f>
        <v>0</v>
      </c>
      <c r="N49" s="146">
        <f>F49-L49</f>
        <v>0</v>
      </c>
      <c r="O49" s="385"/>
      <c r="P49" s="375">
        <v>0</v>
      </c>
      <c r="Q49" s="378">
        <v>0</v>
      </c>
      <c r="R49" s="9"/>
      <c r="S49" s="719">
        <f>+IF(SEPTIEMBRE!S49=0,"",SEPTIEMBRE!S49)</f>
        <v>1010302</v>
      </c>
      <c r="T49" s="693" t="str">
        <f>+IF(SEPTIEMBRE!T49=0,"",SEPTIEMBRE!T49)</f>
        <v>Contribuciones - Otros</v>
      </c>
      <c r="U49" s="27">
        <f t="shared" ref="U49:AJ49" si="52">SUM(U50:U54)</f>
        <v>14791923</v>
      </c>
      <c r="V49" s="15">
        <f t="shared" si="52"/>
        <v>0</v>
      </c>
      <c r="W49" s="15">
        <f t="shared" si="52"/>
        <v>13408841</v>
      </c>
      <c r="X49" s="18">
        <f t="shared" si="52"/>
        <v>28200764</v>
      </c>
      <c r="Y49" s="19">
        <f t="shared" si="52"/>
        <v>22231541</v>
      </c>
      <c r="Z49" s="145">
        <f t="shared" si="52"/>
        <v>0</v>
      </c>
      <c r="AA49" s="18">
        <f t="shared" si="52"/>
        <v>22231541</v>
      </c>
      <c r="AB49" s="19">
        <f t="shared" si="52"/>
        <v>22231541</v>
      </c>
      <c r="AC49" s="145">
        <f t="shared" si="52"/>
        <v>0</v>
      </c>
      <c r="AD49" s="18">
        <f t="shared" si="52"/>
        <v>22231541</v>
      </c>
      <c r="AE49" s="19">
        <f t="shared" si="52"/>
        <v>7744400</v>
      </c>
      <c r="AF49" s="145">
        <f t="shared" si="52"/>
        <v>0</v>
      </c>
      <c r="AG49" s="18">
        <f t="shared" si="52"/>
        <v>7744400</v>
      </c>
      <c r="AH49" s="19">
        <f t="shared" si="52"/>
        <v>5969223</v>
      </c>
      <c r="AI49" s="15">
        <f t="shared" si="52"/>
        <v>5969223</v>
      </c>
      <c r="AJ49" s="16">
        <f t="shared" si="52"/>
        <v>20456364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+IF(SEPTIEMBRE!A50=0,"",SEPTIEMBRE!A50)</f>
        <v>1130108-2</v>
      </c>
      <c r="B50" s="654" t="str">
        <f>+IF(SEPTIEMBRE!B50=0,"",SEPTIEMBRE!B50)</f>
        <v>Vigencia Anterior</v>
      </c>
      <c r="C50" s="375">
        <f>+ENERO!C50</f>
        <v>0</v>
      </c>
      <c r="D50" s="376">
        <f>SEPTIEMBRE!D50+OCTUBRE!P50</f>
        <v>0</v>
      </c>
      <c r="E50" s="376">
        <f>SEPTIEMBRE!E50+OCTUBRE!Q50</f>
        <v>0</v>
      </c>
      <c r="F50" s="376">
        <f>SUM(C50:E50)</f>
        <v>0</v>
      </c>
      <c r="G50" s="376">
        <f>SEPTIEMBRE!I50</f>
        <v>0</v>
      </c>
      <c r="H50" s="377">
        <v>0</v>
      </c>
      <c r="I50" s="376">
        <f>SUM(G50:H50)</f>
        <v>0</v>
      </c>
      <c r="J50" s="376">
        <f>SEPTIEMBRE!L50</f>
        <v>0</v>
      </c>
      <c r="K50" s="377">
        <v>0</v>
      </c>
      <c r="L50" s="376">
        <f>SUM(J50:K50)</f>
        <v>0</v>
      </c>
      <c r="M50" s="376">
        <f>F50-I50</f>
        <v>0</v>
      </c>
      <c r="N50" s="146">
        <f>F50-L50</f>
        <v>0</v>
      </c>
      <c r="O50" s="385"/>
      <c r="P50" s="375">
        <v>0</v>
      </c>
      <c r="Q50" s="378">
        <v>0</v>
      </c>
      <c r="R50" s="9"/>
      <c r="S50" s="720" t="str">
        <f>+IF(SEPTIEMBRE!S50=0,"",SEPTIEMBRE!S50)</f>
        <v>1010302-1</v>
      </c>
      <c r="T50" s="694" t="str">
        <f>+IF(SEPTIEMBRE!T50=0,"",SEPTIEMBRE!T50)</f>
        <v>Aportes a E.P.S.- Con sit. Fondos</v>
      </c>
      <c r="U50" s="27">
        <f>+ENERO!U50</f>
        <v>0</v>
      </c>
      <c r="V50" s="15">
        <f>SEPTIEMBRE!V50+OCTUBRE!AL50</f>
        <v>0</v>
      </c>
      <c r="W50" s="15">
        <f>SEPTIEMBRE!W50+OCTUBRE!AM50</f>
        <v>13408841</v>
      </c>
      <c r="X50" s="18">
        <f t="shared" ref="X50:X55" si="53">SUM(U50:W50)</f>
        <v>13408841</v>
      </c>
      <c r="Y50" s="19">
        <f>SEPTIEMBRE!AA50</f>
        <v>13408841</v>
      </c>
      <c r="Z50" s="377">
        <v>0</v>
      </c>
      <c r="AA50" s="18">
        <f t="shared" ref="AA50:AA55" si="54">SUM(Y50:Z50)</f>
        <v>13408841</v>
      </c>
      <c r="AB50" s="19">
        <f>SEPTIEMBRE!AD50</f>
        <v>13408841</v>
      </c>
      <c r="AC50" s="377">
        <v>0</v>
      </c>
      <c r="AD50" s="18">
        <f t="shared" ref="AD50:AD55" si="55">SUM(AB50:AC50)</f>
        <v>13408841</v>
      </c>
      <c r="AE50" s="19">
        <f>SEPTIEMBRE!AG50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+IF(SEPTIEMBRE!A51=0,"",SEPTIEMBRE!A51)</f>
        <v>1130109</v>
      </c>
      <c r="B51" s="653" t="str">
        <f>+IF(SEPTIEMBRE!B51=0,"",SEPTIEMBRE!B51)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+IF(SEPTIEMBRE!S51=0,"",SEPTIEMBRE!S51)</f>
        <v>1010302-2</v>
      </c>
      <c r="T51" s="694" t="str">
        <f>+IF(SEPTIEMBRE!T51=0,"",SEPTIEMBRE!T51)</f>
        <v>Aportes Fondos Pensionales - Con Sit. Fondos</v>
      </c>
      <c r="U51" s="27">
        <f>+ENERO!U51</f>
        <v>0</v>
      </c>
      <c r="V51" s="15">
        <f>SEPTIEMBRE!V51+OCTUBRE!AL51</f>
        <v>0</v>
      </c>
      <c r="W51" s="15">
        <f>SEPTIEMBRE!W51+OCTUBRE!AM51</f>
        <v>0</v>
      </c>
      <c r="X51" s="18">
        <f t="shared" si="53"/>
        <v>0</v>
      </c>
      <c r="Y51" s="19">
        <f>SEPTIEMBRE!AA51</f>
        <v>0</v>
      </c>
      <c r="Z51" s="377">
        <v>0</v>
      </c>
      <c r="AA51" s="18">
        <f t="shared" si="54"/>
        <v>0</v>
      </c>
      <c r="AB51" s="19">
        <f>SEPTIEMBRE!AD51</f>
        <v>0</v>
      </c>
      <c r="AC51" s="377">
        <v>0</v>
      </c>
      <c r="AD51" s="18">
        <f t="shared" si="55"/>
        <v>0</v>
      </c>
      <c r="AE51" s="19">
        <f>SEPTIEMBRE!AG51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+IF(SEPTIEMBRE!A52=0,"",SEPTIEMBRE!A52)</f>
        <v>1130109-1</v>
      </c>
      <c r="B52" s="654" t="str">
        <f>+CONCATENATE("Vigencia ",INSTRUCCIONES!$F$3)</f>
        <v>Vigencia 2015</v>
      </c>
      <c r="C52" s="375">
        <f>+ENERO!C52</f>
        <v>0</v>
      </c>
      <c r="D52" s="376">
        <f>SEPTIEMBRE!D52+OCTUBRE!P52</f>
        <v>0</v>
      </c>
      <c r="E52" s="376">
        <f>SEPTIEMBRE!E52+OCTUBRE!Q52</f>
        <v>0</v>
      </c>
      <c r="F52" s="376">
        <f>SUM(C52:E52)</f>
        <v>0</v>
      </c>
      <c r="G52" s="376">
        <f>SEPTIEMBRE!I52</f>
        <v>0</v>
      </c>
      <c r="H52" s="377">
        <v>0</v>
      </c>
      <c r="I52" s="376">
        <f>SUM(G52:H52)</f>
        <v>0</v>
      </c>
      <c r="J52" s="376">
        <f>SEPTIEMBRE!L52</f>
        <v>0</v>
      </c>
      <c r="K52" s="377">
        <v>0</v>
      </c>
      <c r="L52" s="376">
        <f>SUM(J52:K52)</f>
        <v>0</v>
      </c>
      <c r="M52" s="376">
        <f>F52-I52</f>
        <v>0</v>
      </c>
      <c r="N52" s="146">
        <f>F52-L52</f>
        <v>0</v>
      </c>
      <c r="O52" s="385"/>
      <c r="P52" s="375">
        <v>0</v>
      </c>
      <c r="Q52" s="378">
        <v>0</v>
      </c>
      <c r="R52" s="9"/>
      <c r="S52" s="720" t="str">
        <f>+IF(SEPTIEMBRE!S52=0,"",SEPTIEMBRE!S52)</f>
        <v>1010302-3</v>
      </c>
      <c r="T52" s="694" t="str">
        <f>+IF(SEPTIEMBRE!T52=0,"",SEPTIEMBRE!T52)</f>
        <v xml:space="preserve">Aportes a Fondos de Cesantia - Con Sit. de Fondos </v>
      </c>
      <c r="U52" s="27">
        <f>+ENERO!U52</f>
        <v>0</v>
      </c>
      <c r="V52" s="15">
        <f>SEPTIEMBRE!V52+OCTUBRE!AL52</f>
        <v>0</v>
      </c>
      <c r="W52" s="15">
        <f>SEPTIEMBRE!W52+OCTUBRE!AM52</f>
        <v>0</v>
      </c>
      <c r="X52" s="18">
        <f t="shared" si="53"/>
        <v>0</v>
      </c>
      <c r="Y52" s="19">
        <f>SEPTIEMBRE!AA52</f>
        <v>0</v>
      </c>
      <c r="Z52" s="377">
        <v>0</v>
      </c>
      <c r="AA52" s="18">
        <f t="shared" si="54"/>
        <v>0</v>
      </c>
      <c r="AB52" s="19">
        <f>SEPTIEMBRE!AD52</f>
        <v>0</v>
      </c>
      <c r="AC52" s="377">
        <v>0</v>
      </c>
      <c r="AD52" s="18">
        <f t="shared" si="55"/>
        <v>0</v>
      </c>
      <c r="AE52" s="19">
        <f>SEPTIEMBRE!AG52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+IF(SEPTIEMBRE!A53=0,"",SEPTIEMBRE!A53)</f>
        <v>1130109-2</v>
      </c>
      <c r="B53" s="654" t="str">
        <f>+IF(SEPTIEMBRE!B53=0,"",SEPTIEMBRE!B53)</f>
        <v>Vigencia Anterior</v>
      </c>
      <c r="C53" s="375">
        <f>+ENERO!C53</f>
        <v>0</v>
      </c>
      <c r="D53" s="376">
        <f>SEPTIEMBRE!D53+OCTUBRE!P53</f>
        <v>0</v>
      </c>
      <c r="E53" s="376">
        <f>SEPTIEMBRE!E53+OCTUBRE!Q53</f>
        <v>0</v>
      </c>
      <c r="F53" s="376">
        <f>SUM(C53:E53)</f>
        <v>0</v>
      </c>
      <c r="G53" s="376">
        <f>SEPTIEMBRE!I53</f>
        <v>0</v>
      </c>
      <c r="H53" s="377">
        <v>0</v>
      </c>
      <c r="I53" s="376">
        <f>SUM(G53:H53)</f>
        <v>0</v>
      </c>
      <c r="J53" s="376">
        <f>SEPTIEMBRE!L53</f>
        <v>0</v>
      </c>
      <c r="K53" s="377">
        <v>0</v>
      </c>
      <c r="L53" s="376">
        <f>SUM(J53:K53)</f>
        <v>0</v>
      </c>
      <c r="M53" s="376">
        <f>F53-I53</f>
        <v>0</v>
      </c>
      <c r="N53" s="146">
        <f>F53-L53</f>
        <v>0</v>
      </c>
      <c r="O53" s="385"/>
      <c r="P53" s="375">
        <v>0</v>
      </c>
      <c r="Q53" s="378">
        <v>0</v>
      </c>
      <c r="R53" s="9"/>
      <c r="S53" s="720" t="str">
        <f>+IF(SEPTIEMBRE!S53=0,"",SEPTIEMBRE!S53)</f>
        <v>1010302-4</v>
      </c>
      <c r="T53" s="694" t="str">
        <f>+IF(SEPTIEMBRE!T53=0,"",SEPTIEMBRE!T53)</f>
        <v>Aporte a ARL. - Con Sit. de Fondos</v>
      </c>
      <c r="U53" s="27">
        <f>+ENERO!U53</f>
        <v>0</v>
      </c>
      <c r="V53" s="15">
        <f>SEPTIEMBRE!V53+OCTUBRE!AL53</f>
        <v>0</v>
      </c>
      <c r="W53" s="15">
        <f>SEPTIEMBRE!W53+OCTUBRE!AM53</f>
        <v>0</v>
      </c>
      <c r="X53" s="18">
        <f t="shared" si="53"/>
        <v>0</v>
      </c>
      <c r="Y53" s="19">
        <f>SEPTIEMBRE!AA53</f>
        <v>0</v>
      </c>
      <c r="Z53" s="377">
        <v>0</v>
      </c>
      <c r="AA53" s="18">
        <f t="shared" si="54"/>
        <v>0</v>
      </c>
      <c r="AB53" s="19">
        <f>SEPTIEMBRE!AD53</f>
        <v>0</v>
      </c>
      <c r="AC53" s="377">
        <v>0</v>
      </c>
      <c r="AD53" s="18">
        <f t="shared" si="55"/>
        <v>0</v>
      </c>
      <c r="AE53" s="19">
        <f>SEPTIEMBRE!AG53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+IF(SEPTIEMBRE!A54=0,"",SEPTIEMBRE!A54)</f>
        <v>1130110</v>
      </c>
      <c r="B54" s="653" t="str">
        <f>+IF(SEPTIEMBRE!B54=0,"",SEPTIEMBRE!B54)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+IF(SEPTIEMBRE!S54=0,"",SEPTIEMBRE!S54)</f>
        <v>1010302-5</v>
      </c>
      <c r="T54" s="694" t="str">
        <f>+IF(SEPTIEMBRE!T54=0,"",SEPTIEMBRE!T54)</f>
        <v>Aporte a Caja Compensación Familiar</v>
      </c>
      <c r="U54" s="27">
        <f>+ENERO!U54</f>
        <v>14791923</v>
      </c>
      <c r="V54" s="15">
        <f>SEPTIEMBRE!V54+OCTUBRE!AL54</f>
        <v>0</v>
      </c>
      <c r="W54" s="15">
        <f>SEPTIEMBRE!W54+OCTUBRE!AM54</f>
        <v>0</v>
      </c>
      <c r="X54" s="18">
        <f t="shared" si="53"/>
        <v>14791923</v>
      </c>
      <c r="Y54" s="19">
        <f>SEPTIEMBRE!AA54</f>
        <v>8822700</v>
      </c>
      <c r="Z54" s="377">
        <v>0</v>
      </c>
      <c r="AA54" s="18">
        <f t="shared" si="54"/>
        <v>8822700</v>
      </c>
      <c r="AB54" s="19">
        <f>SEPTIEMBRE!AD54</f>
        <v>8822700</v>
      </c>
      <c r="AC54" s="377">
        <v>0</v>
      </c>
      <c r="AD54" s="18">
        <f t="shared" si="55"/>
        <v>8822700</v>
      </c>
      <c r="AE54" s="19">
        <f>SEPTIEMBRE!AG54</f>
        <v>7744400</v>
      </c>
      <c r="AF54" s="377">
        <v>0</v>
      </c>
      <c r="AG54" s="18">
        <f t="shared" si="56"/>
        <v>7744400</v>
      </c>
      <c r="AH54" s="19">
        <f t="shared" si="57"/>
        <v>5969223</v>
      </c>
      <c r="AI54" s="15">
        <f t="shared" si="58"/>
        <v>5969223</v>
      </c>
      <c r="AJ54" s="16">
        <f t="shared" si="59"/>
        <v>7047523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+IF(SEPTIEMBRE!A55=0,"",SEPTIEMBRE!A55)</f>
        <v>1130110-1</v>
      </c>
      <c r="B55" s="654" t="str">
        <f>+CONCATENATE("Vigencia ",INSTRUCCIONES!$F$3)</f>
        <v>Vigencia 2015</v>
      </c>
      <c r="C55" s="375">
        <f>+ENERO!C55</f>
        <v>0</v>
      </c>
      <c r="D55" s="376">
        <f>SEPTIEMBRE!D55+OCTUBRE!P55</f>
        <v>0</v>
      </c>
      <c r="E55" s="376">
        <f>SEPTIEMBRE!E55+OCTUBRE!Q55</f>
        <v>0</v>
      </c>
      <c r="F55" s="376">
        <f>SUM(C55:E55)</f>
        <v>0</v>
      </c>
      <c r="G55" s="376">
        <f>SEPTIEMBRE!I55</f>
        <v>0</v>
      </c>
      <c r="H55" s="377">
        <v>0</v>
      </c>
      <c r="I55" s="376">
        <f>SUM(G55:H55)</f>
        <v>0</v>
      </c>
      <c r="J55" s="376">
        <f>SEPTIEMBRE!L55</f>
        <v>0</v>
      </c>
      <c r="K55" s="377">
        <v>0</v>
      </c>
      <c r="L55" s="376">
        <f>SUM(J55:K55)</f>
        <v>0</v>
      </c>
      <c r="M55" s="376">
        <f>F55-I55</f>
        <v>0</v>
      </c>
      <c r="N55" s="146">
        <f>F55-L55</f>
        <v>0</v>
      </c>
      <c r="O55" s="385"/>
      <c r="P55" s="375">
        <v>0</v>
      </c>
      <c r="Q55" s="378">
        <v>0</v>
      </c>
      <c r="R55" s="9"/>
      <c r="S55" s="719">
        <f>+IF(SEPTIEMBRE!S55=0,"",SEPTIEMBRE!S55)</f>
        <v>1010399</v>
      </c>
      <c r="T55" s="693" t="str">
        <f>+IF(SEPTIEMBRE!T55=0,"",SEPTIEMBRE!T55)</f>
        <v>Vigencias Anteriores</v>
      </c>
      <c r="U55" s="27">
        <f>+ENERO!U55</f>
        <v>0</v>
      </c>
      <c r="V55" s="15">
        <f>SEPTIEMBRE!V55+OCTUBRE!AL55</f>
        <v>0</v>
      </c>
      <c r="W55" s="15">
        <f>SEPTIEMBRE!W55+OCTUBRE!AM55</f>
        <v>29964174</v>
      </c>
      <c r="X55" s="18">
        <f t="shared" si="53"/>
        <v>29964174</v>
      </c>
      <c r="Y55" s="19">
        <f>SEPTIEMBRE!AA55</f>
        <v>29964174</v>
      </c>
      <c r="Z55" s="377">
        <v>0</v>
      </c>
      <c r="AA55" s="18">
        <f t="shared" si="54"/>
        <v>29964174</v>
      </c>
      <c r="AB55" s="19">
        <f>SEPTIEMBRE!AD55</f>
        <v>29964174</v>
      </c>
      <c r="AC55" s="377">
        <v>0</v>
      </c>
      <c r="AD55" s="18">
        <f t="shared" si="55"/>
        <v>29964174</v>
      </c>
      <c r="AE55" s="19">
        <f>SEPTIEMBRE!AG55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+IF(SEPTIEMBRE!A56=0,"",SEPTIEMBRE!A56)</f>
        <v>1130110-2</v>
      </c>
      <c r="B56" s="654" t="str">
        <f>+IF(SEPTIEMBRE!B56=0,"",SEPTIEMBRE!B56)</f>
        <v>Vigencia Anterior</v>
      </c>
      <c r="C56" s="375">
        <f>+ENERO!C56</f>
        <v>0</v>
      </c>
      <c r="D56" s="376">
        <f>SEPTIEMBRE!D56+OCTUBRE!P56</f>
        <v>0</v>
      </c>
      <c r="E56" s="376">
        <f>SEPTIEMBRE!E56+OCTUBRE!Q56</f>
        <v>0</v>
      </c>
      <c r="F56" s="376">
        <f>SUM(C56:E56)</f>
        <v>0</v>
      </c>
      <c r="G56" s="376">
        <f>SEPTIEMBRE!I56</f>
        <v>0</v>
      </c>
      <c r="H56" s="377">
        <v>0</v>
      </c>
      <c r="I56" s="376">
        <f>SUM(G56:H56)</f>
        <v>0</v>
      </c>
      <c r="J56" s="376">
        <f>SEPTIEMBRE!L56</f>
        <v>0</v>
      </c>
      <c r="K56" s="377">
        <v>0</v>
      </c>
      <c r="L56" s="376">
        <f>SUM(J56:K56)</f>
        <v>0</v>
      </c>
      <c r="M56" s="376">
        <f>F56-I56</f>
        <v>0</v>
      </c>
      <c r="N56" s="146">
        <f>F56-L56</f>
        <v>0</v>
      </c>
      <c r="O56" s="385"/>
      <c r="P56" s="375">
        <v>0</v>
      </c>
      <c r="Q56" s="378">
        <v>0</v>
      </c>
      <c r="R56" s="9"/>
      <c r="S56" s="369" t="str">
        <f>+IF(SEPTIEMBRE!S56=0,"",SEPTIEMBRE!S56)</f>
        <v/>
      </c>
      <c r="T56" s="708" t="str">
        <f>+IF(SEPTIEMBRE!T56=0,"",SEPTIEMBRE!T56)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+IF(SEPTIEMBRE!A57=0,"",SEPTIEMBRE!A57)</f>
        <v>1130111</v>
      </c>
      <c r="B57" s="653" t="str">
        <f>+IF(SEPTIEMBRE!B57=0,"",SEPTIEMBRE!B57)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+IF(SEPTIEMBRE!S57=0,"",SEPTIEMBRE!S57)</f>
        <v>1010400</v>
      </c>
      <c r="T57" s="692" t="str">
        <f>+IF(SEPTIEMBRE!T57=0,"",SEPTIEMBRE!T57)</f>
        <v>Contribuciones Inherentes nómina del Sector Publico</v>
      </c>
      <c r="U57" s="135">
        <f t="shared" ref="U57:AJ57" si="63">U58+U61</f>
        <v>18489903</v>
      </c>
      <c r="V57" s="124">
        <f t="shared" si="63"/>
        <v>0</v>
      </c>
      <c r="W57" s="124">
        <f t="shared" si="63"/>
        <v>1280600</v>
      </c>
      <c r="X57" s="132">
        <f t="shared" si="63"/>
        <v>19770503</v>
      </c>
      <c r="Y57" s="131">
        <f t="shared" si="63"/>
        <v>13480900</v>
      </c>
      <c r="Z57" s="124">
        <f t="shared" si="63"/>
        <v>0</v>
      </c>
      <c r="AA57" s="132">
        <f t="shared" si="63"/>
        <v>13480900</v>
      </c>
      <c r="AB57" s="131">
        <f t="shared" si="63"/>
        <v>13480900</v>
      </c>
      <c r="AC57" s="124">
        <f t="shared" si="63"/>
        <v>0</v>
      </c>
      <c r="AD57" s="132">
        <f t="shared" si="63"/>
        <v>13480900</v>
      </c>
      <c r="AE57" s="131">
        <f t="shared" si="63"/>
        <v>12132600</v>
      </c>
      <c r="AF57" s="124">
        <f t="shared" si="63"/>
        <v>0</v>
      </c>
      <c r="AG57" s="132">
        <f t="shared" si="63"/>
        <v>12132600</v>
      </c>
      <c r="AH57" s="131">
        <f t="shared" si="63"/>
        <v>6289603</v>
      </c>
      <c r="AI57" s="124">
        <f t="shared" si="63"/>
        <v>6289603</v>
      </c>
      <c r="AJ57" s="133">
        <f t="shared" si="63"/>
        <v>7637903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+IF(SEPTIEMBRE!A58=0,"",SEPTIEMBRE!A58)</f>
        <v>1130111-1</v>
      </c>
      <c r="B58" s="654" t="str">
        <f>+CONCATENATE("Vigencia ",INSTRUCCIONES!$F$3)</f>
        <v>Vigencia 2015</v>
      </c>
      <c r="C58" s="375">
        <f>+ENERO!C58</f>
        <v>0</v>
      </c>
      <c r="D58" s="376">
        <f>SEPTIEMBRE!D58+OCTUBRE!P58</f>
        <v>0</v>
      </c>
      <c r="E58" s="376">
        <f>SEPTIEMBRE!E58+OCTUBRE!Q58</f>
        <v>0</v>
      </c>
      <c r="F58" s="376">
        <f>SUM(C58:E58)</f>
        <v>0</v>
      </c>
      <c r="G58" s="376">
        <f>SEPTIEMBRE!I58</f>
        <v>0</v>
      </c>
      <c r="H58" s="377">
        <v>0</v>
      </c>
      <c r="I58" s="376">
        <f>SUM(G58:H58)</f>
        <v>0</v>
      </c>
      <c r="J58" s="376">
        <f>SEPTIEMBRE!L58</f>
        <v>0</v>
      </c>
      <c r="K58" s="377">
        <v>0</v>
      </c>
      <c r="L58" s="376">
        <f>SUM(J58:K58)</f>
        <v>0</v>
      </c>
      <c r="M58" s="376">
        <f>F58-I58</f>
        <v>0</v>
      </c>
      <c r="N58" s="146">
        <f>F58-L58</f>
        <v>0</v>
      </c>
      <c r="O58" s="385"/>
      <c r="P58" s="375">
        <v>0</v>
      </c>
      <c r="Q58" s="378">
        <v>0</v>
      </c>
      <c r="R58" s="9"/>
      <c r="S58" s="719">
        <f>+IF(SEPTIEMBRE!S58=0,"",SEPTIEMBRE!S58)</f>
        <v>1010402</v>
      </c>
      <c r="T58" s="693" t="str">
        <f>+IF(SEPTIEMBRE!T58=0,"",SEPTIEMBRE!T58)</f>
        <v>Contribuciones - Otros</v>
      </c>
      <c r="U58" s="27">
        <f t="shared" ref="U58:AJ58" si="64">SUM(U59:U60)</f>
        <v>18489903</v>
      </c>
      <c r="V58" s="15">
        <f t="shared" si="64"/>
        <v>0</v>
      </c>
      <c r="W58" s="15">
        <f t="shared" si="64"/>
        <v>0</v>
      </c>
      <c r="X58" s="18">
        <f t="shared" si="64"/>
        <v>18489903</v>
      </c>
      <c r="Y58" s="19">
        <f t="shared" si="64"/>
        <v>12200300</v>
      </c>
      <c r="Z58" s="145">
        <f t="shared" si="64"/>
        <v>0</v>
      </c>
      <c r="AA58" s="18">
        <f t="shared" si="64"/>
        <v>12200300</v>
      </c>
      <c r="AB58" s="19">
        <f t="shared" si="64"/>
        <v>12200300</v>
      </c>
      <c r="AC58" s="145">
        <f t="shared" si="64"/>
        <v>0</v>
      </c>
      <c r="AD58" s="18">
        <f t="shared" si="64"/>
        <v>12200300</v>
      </c>
      <c r="AE58" s="19">
        <f t="shared" si="64"/>
        <v>10852000</v>
      </c>
      <c r="AF58" s="145">
        <f t="shared" si="64"/>
        <v>0</v>
      </c>
      <c r="AG58" s="18">
        <f t="shared" si="64"/>
        <v>10852000</v>
      </c>
      <c r="AH58" s="19">
        <f t="shared" si="64"/>
        <v>6289603</v>
      </c>
      <c r="AI58" s="15">
        <f t="shared" si="64"/>
        <v>6289603</v>
      </c>
      <c r="AJ58" s="16">
        <f t="shared" si="64"/>
        <v>7637903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+IF(SEPTIEMBRE!A59=0,"",SEPTIEMBRE!A59)</f>
        <v>1130111-2</v>
      </c>
      <c r="B59" s="654" t="str">
        <f>+IF(SEPTIEMBRE!B59=0,"",SEPTIEMBRE!B59)</f>
        <v>Vigencia Anterior</v>
      </c>
      <c r="C59" s="375">
        <f>+ENERO!C59</f>
        <v>0</v>
      </c>
      <c r="D59" s="376">
        <f>SEPTIEMBRE!D59+OCTUBRE!P59</f>
        <v>0</v>
      </c>
      <c r="E59" s="376">
        <f>SEPTIEMBRE!E59+OCTUBRE!Q59</f>
        <v>0</v>
      </c>
      <c r="F59" s="376">
        <f>SUM(C59:E59)</f>
        <v>0</v>
      </c>
      <c r="G59" s="376">
        <f>SEPTIEMBRE!I59</f>
        <v>0</v>
      </c>
      <c r="H59" s="377">
        <v>0</v>
      </c>
      <c r="I59" s="376">
        <f>SUM(G59:H59)</f>
        <v>0</v>
      </c>
      <c r="J59" s="376">
        <f>SEPTIEMBRE!L59</f>
        <v>0</v>
      </c>
      <c r="K59" s="377">
        <v>0</v>
      </c>
      <c r="L59" s="376">
        <f>SUM(J59:K59)</f>
        <v>0</v>
      </c>
      <c r="M59" s="376">
        <f>F59-I59</f>
        <v>0</v>
      </c>
      <c r="N59" s="146">
        <f>F59-L59</f>
        <v>0</v>
      </c>
      <c r="O59" s="385"/>
      <c r="P59" s="375">
        <v>0</v>
      </c>
      <c r="Q59" s="378">
        <v>0</v>
      </c>
      <c r="R59" s="9"/>
      <c r="S59" s="720" t="str">
        <f>+IF(SEPTIEMBRE!S59=0,"",SEPTIEMBRE!S59)</f>
        <v>1010402-1</v>
      </c>
      <c r="T59" s="694" t="str">
        <f>+IF(SEPTIEMBRE!T59=0,"",SEPTIEMBRE!T59)</f>
        <v>S.E.N.A.</v>
      </c>
      <c r="U59" s="27">
        <f>+ENERO!U59</f>
        <v>7395961</v>
      </c>
      <c r="V59" s="15">
        <f>SEPTIEMBRE!V59+OCTUBRE!AL59</f>
        <v>0</v>
      </c>
      <c r="W59" s="15">
        <f>SEPTIEMBRE!W59+OCTUBRE!AM59</f>
        <v>0</v>
      </c>
      <c r="X59" s="18">
        <f>SUM(U59:W59)</f>
        <v>7395961</v>
      </c>
      <c r="Y59" s="19">
        <f>SEPTIEMBRE!AA59</f>
        <v>4923900</v>
      </c>
      <c r="Z59" s="377">
        <v>0</v>
      </c>
      <c r="AA59" s="18">
        <f>SUM(Y59:Z59)</f>
        <v>4923900</v>
      </c>
      <c r="AB59" s="19">
        <f>SEPTIEMBRE!AD59</f>
        <v>4923900</v>
      </c>
      <c r="AC59" s="377">
        <v>0</v>
      </c>
      <c r="AD59" s="18">
        <f>SUM(AB59:AC59)</f>
        <v>4923900</v>
      </c>
      <c r="AE59" s="19">
        <f>SEPTIEMBRE!AG59</f>
        <v>4384400</v>
      </c>
      <c r="AF59" s="377">
        <v>0</v>
      </c>
      <c r="AG59" s="18">
        <f>SUM(AE59:AF59)</f>
        <v>4384400</v>
      </c>
      <c r="AH59" s="19">
        <f>X59-AA59</f>
        <v>2472061</v>
      </c>
      <c r="AI59" s="15">
        <f>X59-AD59</f>
        <v>2472061</v>
      </c>
      <c r="AJ59" s="16">
        <f>X59-AG59</f>
        <v>3011561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+IF(SEPTIEMBRE!A60=0,"",SEPTIEMBRE!A60)</f>
        <v>1130112</v>
      </c>
      <c r="B60" s="653" t="str">
        <f>+IF(SEPTIEMBRE!B60=0,"",SEPTIEMBRE!B60)</f>
        <v>IPS PUBLICAS</v>
      </c>
      <c r="C60" s="43">
        <f t="shared" ref="C60:N60" si="65">SUM(C61:C62)</f>
        <v>3473660</v>
      </c>
      <c r="D60" s="44">
        <f t="shared" si="65"/>
        <v>0</v>
      </c>
      <c r="E60" s="44">
        <f t="shared" si="65"/>
        <v>0</v>
      </c>
      <c r="F60" s="44">
        <f t="shared" si="65"/>
        <v>3473660</v>
      </c>
      <c r="G60" s="44">
        <f t="shared" si="65"/>
        <v>4629460</v>
      </c>
      <c r="H60" s="44">
        <f t="shared" si="65"/>
        <v>0</v>
      </c>
      <c r="I60" s="44">
        <f t="shared" si="65"/>
        <v>4629460</v>
      </c>
      <c r="J60" s="44">
        <f t="shared" si="65"/>
        <v>1870182</v>
      </c>
      <c r="K60" s="44">
        <f t="shared" si="65"/>
        <v>0</v>
      </c>
      <c r="L60" s="44">
        <f t="shared" si="65"/>
        <v>1870182</v>
      </c>
      <c r="M60" s="44">
        <f t="shared" si="65"/>
        <v>-1155800</v>
      </c>
      <c r="N60" s="45">
        <f t="shared" si="65"/>
        <v>1603478</v>
      </c>
      <c r="P60" s="43">
        <f>SUM(P61:P62)</f>
        <v>0</v>
      </c>
      <c r="Q60" s="45">
        <f>SUM(Q61:Q62)</f>
        <v>0</v>
      </c>
      <c r="R60" s="9"/>
      <c r="S60" s="720" t="str">
        <f>+IF(SEPTIEMBRE!S60=0,"",SEPTIEMBRE!S60)</f>
        <v>1010402-2</v>
      </c>
      <c r="T60" s="694" t="str">
        <f>+IF(SEPTIEMBRE!T60=0,"",SEPTIEMBRE!T60)</f>
        <v>I.C.B.F.</v>
      </c>
      <c r="U60" s="27">
        <f>+ENERO!U60</f>
        <v>11093942</v>
      </c>
      <c r="V60" s="15">
        <f>SEPTIEMBRE!V60+OCTUBRE!AL60</f>
        <v>0</v>
      </c>
      <c r="W60" s="15">
        <f>SEPTIEMBRE!W60+OCTUBRE!AM60</f>
        <v>0</v>
      </c>
      <c r="X60" s="18">
        <f>SUM(U60:W60)</f>
        <v>11093942</v>
      </c>
      <c r="Y60" s="19">
        <f>SEPTIEMBRE!AA60</f>
        <v>7276400</v>
      </c>
      <c r="Z60" s="377">
        <v>0</v>
      </c>
      <c r="AA60" s="18">
        <f>SUM(Y60:Z60)</f>
        <v>7276400</v>
      </c>
      <c r="AB60" s="19">
        <f>SEPTIEMBRE!AD60</f>
        <v>7276400</v>
      </c>
      <c r="AC60" s="377">
        <v>0</v>
      </c>
      <c r="AD60" s="18">
        <f>SUM(AB60:AC60)</f>
        <v>7276400</v>
      </c>
      <c r="AE60" s="19">
        <f>SEPTIEMBRE!AG60</f>
        <v>6467600</v>
      </c>
      <c r="AF60" s="377">
        <v>0</v>
      </c>
      <c r="AG60" s="18">
        <f>SUM(AE60:AF60)</f>
        <v>6467600</v>
      </c>
      <c r="AH60" s="19">
        <f>X60-AA60</f>
        <v>3817542</v>
      </c>
      <c r="AI60" s="15">
        <f>X60-AD60</f>
        <v>3817542</v>
      </c>
      <c r="AJ60" s="16">
        <f>X60-AG60</f>
        <v>4626342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+IF(SEPTIEMBRE!A61=0,"",SEPTIEMBRE!A61)</f>
        <v>1130112-1</v>
      </c>
      <c r="B61" s="654" t="str">
        <f>+CONCATENATE("Vigencia ",INSTRUCCIONES!$F$3)</f>
        <v>Vigencia 2015</v>
      </c>
      <c r="C61" s="375">
        <f>+ENERO!C61</f>
        <v>3473660</v>
      </c>
      <c r="D61" s="376">
        <f>SEPTIEMBRE!D61+OCTUBRE!P61</f>
        <v>0</v>
      </c>
      <c r="E61" s="376">
        <f>SEPTIEMBRE!E61+OCTUBRE!Q61</f>
        <v>0</v>
      </c>
      <c r="F61" s="376">
        <f>SUM(C61:E61)</f>
        <v>3473660</v>
      </c>
      <c r="G61" s="376">
        <f>SEPTIEMBRE!I61</f>
        <v>4252920</v>
      </c>
      <c r="H61" s="377">
        <v>0</v>
      </c>
      <c r="I61" s="376">
        <f>SUM(G61:H61)</f>
        <v>4252920</v>
      </c>
      <c r="J61" s="376">
        <f>SEPTIEMBRE!L61</f>
        <v>1493642</v>
      </c>
      <c r="K61" s="377">
        <v>0</v>
      </c>
      <c r="L61" s="376">
        <f>SUM(J61:K61)</f>
        <v>1493642</v>
      </c>
      <c r="M61" s="376">
        <f>F61-I61</f>
        <v>-779260</v>
      </c>
      <c r="N61" s="146">
        <f>F61-L61</f>
        <v>1980018</v>
      </c>
      <c r="O61" s="385"/>
      <c r="P61" s="375">
        <v>0</v>
      </c>
      <c r="Q61" s="378">
        <v>0</v>
      </c>
      <c r="R61" s="9"/>
      <c r="S61" s="719">
        <f>+IF(SEPTIEMBRE!S61=0,"",SEPTIEMBRE!S61)</f>
        <v>1010499</v>
      </c>
      <c r="T61" s="693" t="str">
        <f>+IF(SEPTIEMBRE!T61=0,"",SEPTIEMBRE!T61)</f>
        <v>Vigencias Anteriores</v>
      </c>
      <c r="U61" s="27">
        <f>+ENERO!U61</f>
        <v>0</v>
      </c>
      <c r="V61" s="15">
        <f>SEPTIEMBRE!V61+OCTUBRE!AL61</f>
        <v>0</v>
      </c>
      <c r="W61" s="15">
        <f>SEPTIEMBRE!W61+OCTUBRE!AM61</f>
        <v>1280600</v>
      </c>
      <c r="X61" s="18">
        <f>SUM(U61:W61)</f>
        <v>1280600</v>
      </c>
      <c r="Y61" s="19">
        <f>SEPTIEMBRE!AA61</f>
        <v>1280600</v>
      </c>
      <c r="Z61" s="377">
        <v>0</v>
      </c>
      <c r="AA61" s="18">
        <f>SUM(Y61:Z61)</f>
        <v>1280600</v>
      </c>
      <c r="AB61" s="19">
        <f>SEPTIEMBRE!AD61</f>
        <v>1280600</v>
      </c>
      <c r="AC61" s="377">
        <v>0</v>
      </c>
      <c r="AD61" s="18">
        <f>SUM(AB61:AC61)</f>
        <v>1280600</v>
      </c>
      <c r="AE61" s="19">
        <f>SEPTIEMBRE!AG61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+IF(SEPTIEMBRE!A62=0,"",SEPTIEMBRE!A62)</f>
        <v>1130112-2</v>
      </c>
      <c r="B62" s="654" t="str">
        <f>+IF(SEPTIEMBRE!B62=0,"",SEPTIEMBRE!B62)</f>
        <v>Vigencia Anterior</v>
      </c>
      <c r="C62" s="375">
        <f>+ENERO!C62</f>
        <v>0</v>
      </c>
      <c r="D62" s="376">
        <f>SEPTIEMBRE!D62+OCTUBRE!P62</f>
        <v>0</v>
      </c>
      <c r="E62" s="376">
        <f>SEPTIEMBRE!E62+OCTUBRE!Q62</f>
        <v>0</v>
      </c>
      <c r="F62" s="376">
        <f>SUM(C62:E62)</f>
        <v>0</v>
      </c>
      <c r="G62" s="376">
        <f>SEPTIEMBRE!I62</f>
        <v>376540</v>
      </c>
      <c r="H62" s="377">
        <v>0</v>
      </c>
      <c r="I62" s="376">
        <f>SUM(G62:H62)</f>
        <v>376540</v>
      </c>
      <c r="J62" s="376">
        <f>SEPTIEMBRE!L62</f>
        <v>376540</v>
      </c>
      <c r="K62" s="377">
        <v>0</v>
      </c>
      <c r="L62" s="376">
        <f>SUM(J62:K62)</f>
        <v>376540</v>
      </c>
      <c r="M62" s="376">
        <f>F62-I62</f>
        <v>-376540</v>
      </c>
      <c r="N62" s="146">
        <f>F62-L62</f>
        <v>-376540</v>
      </c>
      <c r="O62" s="385"/>
      <c r="P62" s="375">
        <v>0</v>
      </c>
      <c r="Q62" s="378">
        <v>0</v>
      </c>
      <c r="R62" s="9"/>
      <c r="S62" s="369" t="str">
        <f>+IF(SEPTIEMBRE!S62=0,"",SEPTIEMBRE!S62)</f>
        <v/>
      </c>
      <c r="T62" s="708" t="str">
        <f>+IF(SEPTIEMBRE!T62=0,"",SEPTIEMBRE!T62)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+IF(SEPTIEMBRE!A63=0,"",SEPTIEMBRE!A63)</f>
        <v>1130113</v>
      </c>
      <c r="B63" s="653" t="str">
        <f>+IF(SEPTIEMBRE!B63=0,"",SEPTIEMBRE!B63)</f>
        <v>COMPAÑIAS DE SEGUROS  - ACCIDENTES DE TRANSITO (SOAT)</v>
      </c>
      <c r="C63" s="43">
        <f t="shared" ref="C63:N63" si="66">SUM(C64:C65)</f>
        <v>22951026</v>
      </c>
      <c r="D63" s="44">
        <f t="shared" si="66"/>
        <v>0</v>
      </c>
      <c r="E63" s="44">
        <f t="shared" si="66"/>
        <v>2940835</v>
      </c>
      <c r="F63" s="44">
        <f t="shared" si="66"/>
        <v>25891861</v>
      </c>
      <c r="G63" s="44">
        <f t="shared" si="66"/>
        <v>25429005</v>
      </c>
      <c r="H63" s="44">
        <f t="shared" si="66"/>
        <v>0</v>
      </c>
      <c r="I63" s="44">
        <f t="shared" si="66"/>
        <v>25429005</v>
      </c>
      <c r="J63" s="44">
        <f t="shared" si="66"/>
        <v>15070963</v>
      </c>
      <c r="K63" s="44">
        <f t="shared" si="66"/>
        <v>0</v>
      </c>
      <c r="L63" s="44">
        <f t="shared" si="66"/>
        <v>15070963</v>
      </c>
      <c r="M63" s="44">
        <f t="shared" si="66"/>
        <v>462856</v>
      </c>
      <c r="N63" s="45">
        <f t="shared" si="66"/>
        <v>10820898</v>
      </c>
      <c r="P63" s="43">
        <f>SUM(P64:P65)</f>
        <v>0</v>
      </c>
      <c r="Q63" s="45">
        <f>SUM(Q64:Q65)</f>
        <v>0</v>
      </c>
      <c r="R63" s="9"/>
      <c r="S63" s="717">
        <f>+IF(SEPTIEMBRE!S63=0,"",SEPTIEMBRE!S63)</f>
        <v>1020010</v>
      </c>
      <c r="T63" s="691" t="str">
        <f>+IF(SEPTIEMBRE!T63=0,"",SEPTIEMBRE!T63)</f>
        <v>Gastos de Operación</v>
      </c>
      <c r="U63" s="135">
        <f t="shared" ref="U63:AJ63" si="67">U65+U83+U90+U104</f>
        <v>1276921669</v>
      </c>
      <c r="V63" s="124">
        <f t="shared" si="67"/>
        <v>87300000</v>
      </c>
      <c r="W63" s="124">
        <f t="shared" si="67"/>
        <v>78294418</v>
      </c>
      <c r="X63" s="132">
        <f t="shared" si="67"/>
        <v>1442516087</v>
      </c>
      <c r="Y63" s="131">
        <f t="shared" si="67"/>
        <v>1066392468</v>
      </c>
      <c r="Z63" s="124">
        <f t="shared" si="67"/>
        <v>0</v>
      </c>
      <c r="AA63" s="132">
        <f t="shared" si="67"/>
        <v>1066392468</v>
      </c>
      <c r="AB63" s="131">
        <f t="shared" si="67"/>
        <v>1025792468</v>
      </c>
      <c r="AC63" s="124">
        <f t="shared" si="67"/>
        <v>0</v>
      </c>
      <c r="AD63" s="132">
        <f t="shared" si="67"/>
        <v>1025792468</v>
      </c>
      <c r="AE63" s="131">
        <f t="shared" si="67"/>
        <v>917649774</v>
      </c>
      <c r="AF63" s="124">
        <f t="shared" si="67"/>
        <v>0</v>
      </c>
      <c r="AG63" s="132">
        <f t="shared" si="67"/>
        <v>917649774</v>
      </c>
      <c r="AH63" s="131">
        <f t="shared" si="67"/>
        <v>376123619</v>
      </c>
      <c r="AI63" s="124">
        <f t="shared" si="67"/>
        <v>416723619</v>
      </c>
      <c r="AJ63" s="133">
        <f t="shared" si="67"/>
        <v>524866313</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+IF(SEPTIEMBRE!A64=0,"",SEPTIEMBRE!A64)</f>
        <v>1130113-1</v>
      </c>
      <c r="B64" s="654" t="str">
        <f>+CONCATENATE("Vigencia ",INSTRUCCIONES!$F$3)</f>
        <v>Vigencia 2015</v>
      </c>
      <c r="C64" s="375">
        <f>+ENERO!C64</f>
        <v>22951026</v>
      </c>
      <c r="D64" s="376">
        <f>SEPTIEMBRE!D64+OCTUBRE!P64</f>
        <v>0</v>
      </c>
      <c r="E64" s="376">
        <f>SEPTIEMBRE!E64+OCTUBRE!Q64</f>
        <v>0</v>
      </c>
      <c r="F64" s="376">
        <f>SUM(C64:E64)</f>
        <v>22951026</v>
      </c>
      <c r="G64" s="376">
        <f>SEPTIEMBRE!I64</f>
        <v>22121153</v>
      </c>
      <c r="H64" s="377">
        <v>0</v>
      </c>
      <c r="I64" s="376">
        <f>SUM(G64:H64)</f>
        <v>22121153</v>
      </c>
      <c r="J64" s="376">
        <f>SEPTIEMBRE!L64</f>
        <v>11763111</v>
      </c>
      <c r="K64" s="377">
        <v>0</v>
      </c>
      <c r="L64" s="376">
        <f>SUM(J64:K64)</f>
        <v>11763111</v>
      </c>
      <c r="M64" s="376">
        <f>F64-I64</f>
        <v>829873</v>
      </c>
      <c r="N64" s="146">
        <f>F64-L64</f>
        <v>11187915</v>
      </c>
      <c r="O64" s="385"/>
      <c r="P64" s="375">
        <v>0</v>
      </c>
      <c r="Q64" s="378">
        <v>0</v>
      </c>
      <c r="R64" s="9"/>
      <c r="S64" s="369" t="str">
        <f>+IF(SEPTIEMBRE!S64=0,"",SEPTIEMBRE!S64)</f>
        <v/>
      </c>
      <c r="T64" s="708" t="str">
        <f>+IF(SEPTIEMBRE!T64=0,"",SEPTIEMBRE!T64)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+IF(SEPTIEMBRE!A65=0,"",SEPTIEMBRE!A65)</f>
        <v>1130113-2</v>
      </c>
      <c r="B65" s="654" t="str">
        <f>+IF(SEPTIEMBRE!B65=0,"",SEPTIEMBRE!B65)</f>
        <v>Vigencia Anterior</v>
      </c>
      <c r="C65" s="375">
        <f>+ENERO!C65</f>
        <v>0</v>
      </c>
      <c r="D65" s="376">
        <f>SEPTIEMBRE!D65+OCTUBRE!P65</f>
        <v>0</v>
      </c>
      <c r="E65" s="376">
        <f>SEPTIEMBRE!E65+OCTUBRE!Q65</f>
        <v>2940835</v>
      </c>
      <c r="F65" s="376">
        <f>SUM(C65:E65)</f>
        <v>2940835</v>
      </c>
      <c r="G65" s="376">
        <f>SEPTIEMBRE!I65</f>
        <v>3307852</v>
      </c>
      <c r="H65" s="377">
        <v>0</v>
      </c>
      <c r="I65" s="376">
        <f>SUM(G65:H65)</f>
        <v>3307852</v>
      </c>
      <c r="J65" s="376">
        <f>SEPTIEMBRE!L65</f>
        <v>3307852</v>
      </c>
      <c r="K65" s="377">
        <v>0</v>
      </c>
      <c r="L65" s="376">
        <f>SUM(J65:K65)</f>
        <v>3307852</v>
      </c>
      <c r="M65" s="376">
        <f>F65-I65</f>
        <v>-367017</v>
      </c>
      <c r="N65" s="146">
        <f>F65-L65</f>
        <v>-367017</v>
      </c>
      <c r="O65" s="385"/>
      <c r="P65" s="375">
        <v>0</v>
      </c>
      <c r="Q65" s="378">
        <v>0</v>
      </c>
      <c r="R65" s="9"/>
      <c r="S65" s="718">
        <f>+IF(SEPTIEMBRE!S65=0,"",SEPTIEMBRE!S65)</f>
        <v>1020100</v>
      </c>
      <c r="T65" s="692" t="str">
        <f>+IF(SEPTIEMBRE!T65=0,"",SEPTIEMBRE!T65)</f>
        <v>Servicios Personales Asociados a Nómina</v>
      </c>
      <c r="U65" s="135">
        <f t="shared" ref="U65:AJ65" si="68">SUM(U66:U69)+U81</f>
        <v>815343813</v>
      </c>
      <c r="V65" s="124">
        <f t="shared" si="68"/>
        <v>63300000</v>
      </c>
      <c r="W65" s="124">
        <f t="shared" si="68"/>
        <v>13655677</v>
      </c>
      <c r="X65" s="132">
        <f t="shared" si="68"/>
        <v>892299490</v>
      </c>
      <c r="Y65" s="131">
        <f t="shared" si="68"/>
        <v>629540833</v>
      </c>
      <c r="Z65" s="124">
        <f t="shared" si="68"/>
        <v>0</v>
      </c>
      <c r="AA65" s="132">
        <f t="shared" si="68"/>
        <v>629540833</v>
      </c>
      <c r="AB65" s="131">
        <f t="shared" si="68"/>
        <v>629540833</v>
      </c>
      <c r="AC65" s="124">
        <f t="shared" si="68"/>
        <v>0</v>
      </c>
      <c r="AD65" s="132">
        <f t="shared" si="68"/>
        <v>629540833</v>
      </c>
      <c r="AE65" s="131">
        <f t="shared" si="68"/>
        <v>573305329</v>
      </c>
      <c r="AF65" s="124">
        <f t="shared" si="68"/>
        <v>0</v>
      </c>
      <c r="AG65" s="132">
        <f t="shared" si="68"/>
        <v>573305329</v>
      </c>
      <c r="AH65" s="131">
        <f t="shared" si="68"/>
        <v>262758657</v>
      </c>
      <c r="AI65" s="124">
        <f t="shared" si="68"/>
        <v>262758657</v>
      </c>
      <c r="AJ65" s="133">
        <f t="shared" si="68"/>
        <v>318994161</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+IF(SEPTIEMBRE!A66=0,"",SEPTIEMBRE!A66)</f>
        <v>1130114</v>
      </c>
      <c r="B66" s="653" t="str">
        <f>+IF(SEPTIEMBRE!B66=0,"",SEPTIEMBRE!B66)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+IF(SEPTIEMBRE!S66=0,"",SEPTIEMBRE!S66)</f>
        <v>1020101</v>
      </c>
      <c r="T66" s="693" t="str">
        <f>+IF(SEPTIEMBRE!T66=0,"",SEPTIEMBRE!T66)</f>
        <v>Sueldos del Personal de nómina</v>
      </c>
      <c r="U66" s="27">
        <f>+ENERO!U66</f>
        <v>641065344</v>
      </c>
      <c r="V66" s="15">
        <f>SEPTIEMBRE!V66+OCTUBRE!AL66</f>
        <v>-2300000</v>
      </c>
      <c r="W66" s="15">
        <f>SEPTIEMBRE!W66+OCTUBRE!AM66</f>
        <v>0</v>
      </c>
      <c r="X66" s="18">
        <f>SUM(U66:W66)</f>
        <v>638765344</v>
      </c>
      <c r="Y66" s="19">
        <f>SEPTIEMBRE!AA66</f>
        <v>475745151</v>
      </c>
      <c r="Z66" s="377">
        <v>0</v>
      </c>
      <c r="AA66" s="18">
        <f>SUM(Y66:Z66)</f>
        <v>475745151</v>
      </c>
      <c r="AB66" s="19">
        <f>SEPTIEMBRE!AD66</f>
        <v>475745151</v>
      </c>
      <c r="AC66" s="377">
        <v>0</v>
      </c>
      <c r="AD66" s="18">
        <f>SUM(AB66:AC66)</f>
        <v>475745151</v>
      </c>
      <c r="AE66" s="19">
        <f>SEPTIEMBRE!AG66</f>
        <v>445741736</v>
      </c>
      <c r="AF66" s="377">
        <v>0</v>
      </c>
      <c r="AG66" s="18">
        <f>SUM(AE66:AF66)</f>
        <v>445741736</v>
      </c>
      <c r="AH66" s="19">
        <f>X66-AA66</f>
        <v>163020193</v>
      </c>
      <c r="AI66" s="15">
        <f>X66-AD66</f>
        <v>163020193</v>
      </c>
      <c r="AJ66" s="16">
        <f>X66-AG66</f>
        <v>193023608</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+IF(SEPTIEMBRE!A67=0,"",SEPTIEMBRE!A67)</f>
        <v>1130114-1</v>
      </c>
      <c r="B67" s="654" t="str">
        <f>+CONCATENATE("Vigencia ",INSTRUCCIONES!$F$3)</f>
        <v>Vigencia 2015</v>
      </c>
      <c r="C67" s="375">
        <f>+ENERO!C67</f>
        <v>338898</v>
      </c>
      <c r="D67" s="376">
        <f>SEPTIEMBRE!D67+OCTUBRE!P67</f>
        <v>0</v>
      </c>
      <c r="E67" s="376">
        <f>SEPTIEMBRE!E67+OCTUBRE!Q67</f>
        <v>0</v>
      </c>
      <c r="F67" s="376">
        <f>SUM(C67:E67)</f>
        <v>338898</v>
      </c>
      <c r="G67" s="376">
        <f>SEPTIEMBRE!I67</f>
        <v>0</v>
      </c>
      <c r="H67" s="377">
        <v>0</v>
      </c>
      <c r="I67" s="376">
        <f>SUM(G67:H67)</f>
        <v>0</v>
      </c>
      <c r="J67" s="376">
        <f>SEPTIEMBRE!L67</f>
        <v>0</v>
      </c>
      <c r="K67" s="377">
        <v>0</v>
      </c>
      <c r="L67" s="376">
        <f>SUM(J67:K67)</f>
        <v>0</v>
      </c>
      <c r="M67" s="376">
        <f>F67-I67</f>
        <v>338898</v>
      </c>
      <c r="N67" s="146">
        <f>F67-L67</f>
        <v>338898</v>
      </c>
      <c r="O67" s="385"/>
      <c r="P67" s="375">
        <v>0</v>
      </c>
      <c r="Q67" s="378">
        <v>0</v>
      </c>
      <c r="R67" s="9"/>
      <c r="S67" s="719">
        <f>+IF(SEPTIEMBRE!S67=0,"",SEPTIEMBRE!S67)</f>
        <v>1020102</v>
      </c>
      <c r="T67" s="693" t="str">
        <f>+IF(SEPTIEMBRE!T67=0,"",SEPTIEMBRE!T67)</f>
        <v>Horas Extras,Dominic.,Festivos y Rec. Nocturnos</v>
      </c>
      <c r="U67" s="27">
        <f>+ENERO!U67</f>
        <v>57949728</v>
      </c>
      <c r="V67" s="15">
        <f>SEPTIEMBRE!V67+OCTUBRE!AL67</f>
        <v>65600000</v>
      </c>
      <c r="W67" s="15">
        <f>SEPTIEMBRE!W67+OCTUBRE!AM67</f>
        <v>0</v>
      </c>
      <c r="X67" s="18">
        <f>SUM(U67:W67)</f>
        <v>123549728</v>
      </c>
      <c r="Y67" s="19">
        <f>SEPTIEMBRE!AA67</f>
        <v>105802013</v>
      </c>
      <c r="Z67" s="377">
        <v>0</v>
      </c>
      <c r="AA67" s="18">
        <f>SUM(Y67:Z67)</f>
        <v>105802013</v>
      </c>
      <c r="AB67" s="19">
        <f>SEPTIEMBRE!AD67</f>
        <v>105802013</v>
      </c>
      <c r="AC67" s="377">
        <v>0</v>
      </c>
      <c r="AD67" s="18">
        <f>SUM(AB67:AC67)</f>
        <v>105802013</v>
      </c>
      <c r="AE67" s="19">
        <f>SEPTIEMBRE!AG67</f>
        <v>100265887</v>
      </c>
      <c r="AF67" s="377">
        <v>0</v>
      </c>
      <c r="AG67" s="18">
        <f>SUM(AE67:AF67)</f>
        <v>100265887</v>
      </c>
      <c r="AH67" s="19">
        <f>X67-AA67</f>
        <v>17747715</v>
      </c>
      <c r="AI67" s="15">
        <f>X67-AD67</f>
        <v>17747715</v>
      </c>
      <c r="AJ67" s="16">
        <f>X67-AG67</f>
        <v>23283841</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+IF(SEPTIEMBRE!A68=0,"",SEPTIEMBRE!A68)</f>
        <v>1130114-2</v>
      </c>
      <c r="B68" s="654" t="str">
        <f>+IF(SEPTIEMBRE!B68=0,"",SEPTIEMBRE!B68)</f>
        <v>Vigencia Anterior</v>
      </c>
      <c r="C68" s="375">
        <f>+ENERO!C68</f>
        <v>0</v>
      </c>
      <c r="D68" s="376">
        <f>SEPTIEMBRE!D68+OCTUBRE!P68</f>
        <v>0</v>
      </c>
      <c r="E68" s="376">
        <f>SEPTIEMBRE!E68+OCTUBRE!Q68</f>
        <v>0</v>
      </c>
      <c r="F68" s="376">
        <f>SUM(C68:E68)</f>
        <v>0</v>
      </c>
      <c r="G68" s="376">
        <f>SEPTIEMBRE!I68</f>
        <v>78500</v>
      </c>
      <c r="H68" s="377">
        <v>0</v>
      </c>
      <c r="I68" s="376">
        <f>SUM(G68:H68)</f>
        <v>78500</v>
      </c>
      <c r="J68" s="376">
        <f>SEPTIEMBRE!L68</f>
        <v>78500</v>
      </c>
      <c r="K68" s="377">
        <v>0</v>
      </c>
      <c r="L68" s="376">
        <f>SUM(J68:K68)</f>
        <v>78500</v>
      </c>
      <c r="M68" s="376">
        <f>F68-I68</f>
        <v>-78500</v>
      </c>
      <c r="N68" s="146">
        <f>F68-L68</f>
        <v>-78500</v>
      </c>
      <c r="O68" s="385"/>
      <c r="P68" s="375">
        <v>0</v>
      </c>
      <c r="Q68" s="378">
        <v>0</v>
      </c>
      <c r="R68" s="9"/>
      <c r="S68" s="719">
        <f>+IF(SEPTIEMBRE!S68=0,"",SEPTIEMBRE!S68)</f>
        <v>1020103</v>
      </c>
      <c r="T68" s="693" t="str">
        <f>+IF(SEPTIEMBRE!T68=0,"",SEPTIEMBRE!T68)</f>
        <v>Prima Técnica</v>
      </c>
      <c r="U68" s="27">
        <f>+ENERO!U68</f>
        <v>0</v>
      </c>
      <c r="V68" s="15">
        <f>SEPTIEMBRE!V68+OCTUBRE!AL68</f>
        <v>0</v>
      </c>
      <c r="W68" s="15">
        <f>SEPTIEMBRE!W68+OCTUBRE!AM68</f>
        <v>0</v>
      </c>
      <c r="X68" s="18">
        <f>SUM(U68:W68)</f>
        <v>0</v>
      </c>
      <c r="Y68" s="19">
        <f>SEPTIEMBRE!AA68</f>
        <v>0</v>
      </c>
      <c r="Z68" s="377">
        <v>0</v>
      </c>
      <c r="AA68" s="18">
        <f>SUM(Y68:Z68)</f>
        <v>0</v>
      </c>
      <c r="AB68" s="19">
        <f>SEPTIEMBRE!AD68</f>
        <v>0</v>
      </c>
      <c r="AC68" s="377">
        <v>0</v>
      </c>
      <c r="AD68" s="18">
        <f>SUM(AB68:AC68)</f>
        <v>0</v>
      </c>
      <c r="AE68" s="19">
        <f>SEPTIEMBRE!AG68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+IF(SEPTIEMBRE!A69=0,"",SEPTIEMBRE!A69)</f>
        <v>1130115</v>
      </c>
      <c r="B69" s="653" t="str">
        <f>+IF(SEPTIEMBRE!B69=0,"",SEPTIEMBRE!B69)</f>
        <v>ENTIDADES DE REGIMEN ESPECIAL (Magisterio, Fuerza Pca.)</v>
      </c>
      <c r="C69" s="43">
        <f t="shared" ref="C69:N69" si="70">SUM(C70:C71)</f>
        <v>53468516</v>
      </c>
      <c r="D69" s="44">
        <f t="shared" si="70"/>
        <v>0</v>
      </c>
      <c r="E69" s="44">
        <f t="shared" si="70"/>
        <v>27541841</v>
      </c>
      <c r="F69" s="44">
        <f t="shared" si="70"/>
        <v>81010357</v>
      </c>
      <c r="G69" s="44">
        <f t="shared" si="70"/>
        <v>66778556</v>
      </c>
      <c r="H69" s="44">
        <f t="shared" si="70"/>
        <v>0</v>
      </c>
      <c r="I69" s="44">
        <f t="shared" si="70"/>
        <v>66778556</v>
      </c>
      <c r="J69" s="44">
        <f t="shared" si="70"/>
        <v>37904074</v>
      </c>
      <c r="K69" s="44">
        <f t="shared" si="70"/>
        <v>0</v>
      </c>
      <c r="L69" s="44">
        <f t="shared" si="70"/>
        <v>37904074</v>
      </c>
      <c r="M69" s="44">
        <f t="shared" si="70"/>
        <v>14231801</v>
      </c>
      <c r="N69" s="45">
        <f t="shared" si="70"/>
        <v>43106283</v>
      </c>
      <c r="P69" s="43">
        <f>SUM(P70:P71)</f>
        <v>0</v>
      </c>
      <c r="Q69" s="45">
        <f>SUM(Q70:Q71)</f>
        <v>0</v>
      </c>
      <c r="R69" s="9"/>
      <c r="S69" s="719">
        <f>+IF(SEPTIEMBRE!S69=0,"",SEPTIEMBRE!S69)</f>
        <v>1020104</v>
      </c>
      <c r="T69" s="693" t="str">
        <f>+IF(SEPTIEMBRE!T69=0,"",SEPTIEMBRE!T69)</f>
        <v>Otros</v>
      </c>
      <c r="U69" s="27">
        <f t="shared" ref="U69:AJ69" si="71">SUM(U70:U80)</f>
        <v>116328741</v>
      </c>
      <c r="V69" s="15">
        <f t="shared" si="71"/>
        <v>0</v>
      </c>
      <c r="W69" s="15">
        <f t="shared" si="71"/>
        <v>0</v>
      </c>
      <c r="X69" s="18">
        <f t="shared" si="71"/>
        <v>116328741</v>
      </c>
      <c r="Y69" s="19">
        <f t="shared" si="71"/>
        <v>34337992</v>
      </c>
      <c r="Z69" s="145">
        <f t="shared" si="71"/>
        <v>0</v>
      </c>
      <c r="AA69" s="18">
        <f t="shared" si="71"/>
        <v>34337992</v>
      </c>
      <c r="AB69" s="19">
        <f t="shared" si="71"/>
        <v>34337992</v>
      </c>
      <c r="AC69" s="145">
        <f t="shared" si="71"/>
        <v>0</v>
      </c>
      <c r="AD69" s="18">
        <f t="shared" si="71"/>
        <v>34337992</v>
      </c>
      <c r="AE69" s="19">
        <f t="shared" si="71"/>
        <v>20167208</v>
      </c>
      <c r="AF69" s="145">
        <f t="shared" si="71"/>
        <v>0</v>
      </c>
      <c r="AG69" s="18">
        <f t="shared" si="71"/>
        <v>20167208</v>
      </c>
      <c r="AH69" s="19">
        <f t="shared" si="71"/>
        <v>81990749</v>
      </c>
      <c r="AI69" s="15">
        <f t="shared" si="71"/>
        <v>81990749</v>
      </c>
      <c r="AJ69" s="16">
        <f t="shared" si="71"/>
        <v>96161533</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+IF(SEPTIEMBRE!A70=0,"",SEPTIEMBRE!A70)</f>
        <v>1130115-1</v>
      </c>
      <c r="B70" s="654" t="str">
        <f>+CONCATENATE("Vigencia ",INSTRUCCIONES!$F$3)</f>
        <v>Vigencia 2015</v>
      </c>
      <c r="C70" s="375">
        <f>+ENERO!C70</f>
        <v>53468516</v>
      </c>
      <c r="D70" s="376">
        <f>SEPTIEMBRE!D70+OCTUBRE!P70</f>
        <v>0</v>
      </c>
      <c r="E70" s="376">
        <f>SEPTIEMBRE!E70+OCTUBRE!Q70</f>
        <v>0</v>
      </c>
      <c r="F70" s="376">
        <f>SUM(C70:E70)</f>
        <v>53468516</v>
      </c>
      <c r="G70" s="376">
        <f>SEPTIEMBRE!I70</f>
        <v>42397459</v>
      </c>
      <c r="H70" s="377">
        <v>0</v>
      </c>
      <c r="I70" s="376">
        <f>SUM(G70:H70)</f>
        <v>42397459</v>
      </c>
      <c r="J70" s="376">
        <f>SEPTIEMBRE!L70</f>
        <v>13522977</v>
      </c>
      <c r="K70" s="377">
        <v>0</v>
      </c>
      <c r="L70" s="376">
        <f>SUM(J70:K70)</f>
        <v>13522977</v>
      </c>
      <c r="M70" s="376">
        <f>F70-I70</f>
        <v>11071057</v>
      </c>
      <c r="N70" s="146">
        <f>F70-L70</f>
        <v>39945539</v>
      </c>
      <c r="O70" s="385"/>
      <c r="P70" s="375">
        <v>0</v>
      </c>
      <c r="Q70" s="378">
        <v>0</v>
      </c>
      <c r="R70" s="9"/>
      <c r="S70" s="720" t="str">
        <f>+IF(SEPTIEMBRE!S70=0,"",SEPTIEMBRE!S70)</f>
        <v>1020104-1</v>
      </c>
      <c r="T70" s="694" t="str">
        <f>+IF(SEPTIEMBRE!T70=0,"",SEPTIEMBRE!T70)</f>
        <v xml:space="preserve">Prima de Navidad </v>
      </c>
      <c r="U70" s="27">
        <f>+ENERO!U70</f>
        <v>57873955</v>
      </c>
      <c r="V70" s="15">
        <f>SEPTIEMBRE!V70+OCTUBRE!AL70</f>
        <v>0</v>
      </c>
      <c r="W70" s="15">
        <f>SEPTIEMBRE!W70+OCTUBRE!AM70</f>
        <v>0</v>
      </c>
      <c r="X70" s="18">
        <f t="shared" ref="X70:X81" si="72">SUM(U70:W70)</f>
        <v>57873955</v>
      </c>
      <c r="Y70" s="19">
        <f>SEPTIEMBRE!AA70</f>
        <v>11237469</v>
      </c>
      <c r="Z70" s="377">
        <v>0</v>
      </c>
      <c r="AA70" s="18">
        <f t="shared" ref="AA70:AA81" si="73">SUM(Y70:Z70)</f>
        <v>11237469</v>
      </c>
      <c r="AB70" s="19">
        <f>SEPTIEMBRE!AD70</f>
        <v>11237469</v>
      </c>
      <c r="AC70" s="377">
        <v>0</v>
      </c>
      <c r="AD70" s="18">
        <f t="shared" ref="AD70:AD81" si="74">SUM(AB70:AC70)</f>
        <v>11237469</v>
      </c>
      <c r="AE70" s="19">
        <f>SEPTIEMBRE!AG70</f>
        <v>4223171</v>
      </c>
      <c r="AF70" s="377">
        <v>0</v>
      </c>
      <c r="AG70" s="18">
        <f t="shared" ref="AG70:AG81" si="75">SUM(AE70:AF70)</f>
        <v>4223171</v>
      </c>
      <c r="AH70" s="19">
        <f t="shared" ref="AH70:AH81" si="76">X70-AA70</f>
        <v>46636486</v>
      </c>
      <c r="AI70" s="15">
        <f t="shared" ref="AI70:AI81" si="77">X70-AD70</f>
        <v>46636486</v>
      </c>
      <c r="AJ70" s="16">
        <f t="shared" ref="AJ70:AJ81" si="78">X70-AG70</f>
        <v>53650784</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+IF(SEPTIEMBRE!A71=0,"",SEPTIEMBRE!A71)</f>
        <v>1130115-2</v>
      </c>
      <c r="B71" s="654" t="str">
        <f>+IF(SEPTIEMBRE!B71=0,"",SEPTIEMBRE!B71)</f>
        <v>Vigencia Anterior</v>
      </c>
      <c r="C71" s="375">
        <f>+ENERO!C71</f>
        <v>0</v>
      </c>
      <c r="D71" s="376">
        <f>SEPTIEMBRE!D71+OCTUBRE!P71</f>
        <v>0</v>
      </c>
      <c r="E71" s="376">
        <f>SEPTIEMBRE!E71+OCTUBRE!Q71</f>
        <v>27541841</v>
      </c>
      <c r="F71" s="376">
        <f>SUM(C71:E71)</f>
        <v>27541841</v>
      </c>
      <c r="G71" s="376">
        <f>SEPTIEMBRE!I71</f>
        <v>24381097</v>
      </c>
      <c r="H71" s="377">
        <v>0</v>
      </c>
      <c r="I71" s="376">
        <f>SUM(G71:H71)</f>
        <v>24381097</v>
      </c>
      <c r="J71" s="376">
        <f>SEPTIEMBRE!L71</f>
        <v>24381097</v>
      </c>
      <c r="K71" s="377">
        <v>0</v>
      </c>
      <c r="L71" s="376">
        <f>SUM(J71:K71)</f>
        <v>24381097</v>
      </c>
      <c r="M71" s="376">
        <f>F71-I71</f>
        <v>3160744</v>
      </c>
      <c r="N71" s="146">
        <f>F71-L71</f>
        <v>3160744</v>
      </c>
      <c r="O71" s="385"/>
      <c r="P71" s="375">
        <v>0</v>
      </c>
      <c r="Q71" s="378">
        <v>0</v>
      </c>
      <c r="R71" s="9"/>
      <c r="S71" s="720" t="str">
        <f>+IF(SEPTIEMBRE!S71=0,"",SEPTIEMBRE!S71)</f>
        <v>1020104-2</v>
      </c>
      <c r="T71" s="694" t="str">
        <f>+IF(SEPTIEMBRE!T71=0,"",SEPTIEMBRE!T71)</f>
        <v>Prima Vida Cara</v>
      </c>
      <c r="U71" s="27">
        <f>+ENERO!U71</f>
        <v>0</v>
      </c>
      <c r="V71" s="15">
        <f>SEPTIEMBRE!V71+OCTUBRE!AL71</f>
        <v>0</v>
      </c>
      <c r="W71" s="15">
        <f>SEPTIEMBRE!W71+OCTUBRE!AM71</f>
        <v>0</v>
      </c>
      <c r="X71" s="18">
        <f t="shared" si="72"/>
        <v>0</v>
      </c>
      <c r="Y71" s="19">
        <f>SEPTIEMBRE!AA71</f>
        <v>0</v>
      </c>
      <c r="Z71" s="377">
        <v>0</v>
      </c>
      <c r="AA71" s="18">
        <f t="shared" si="73"/>
        <v>0</v>
      </c>
      <c r="AB71" s="19">
        <f>SEPTIEMBRE!AD71</f>
        <v>0</v>
      </c>
      <c r="AC71" s="377">
        <v>0</v>
      </c>
      <c r="AD71" s="18">
        <f t="shared" si="74"/>
        <v>0</v>
      </c>
      <c r="AE71" s="19">
        <f>SEPTIEMBRE!AG71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+IF(SEPTIEMBRE!A72=0,"",SEPTIEMBRE!A72)</f>
        <v>1130116</v>
      </c>
      <c r="B72" s="653" t="str">
        <f>+IF(SEPTIEMBRE!B72=0,"",SEPTIEMBRE!B72)</f>
        <v>ADMINISTRADORAS DE RIESGOS PROFESIONALES</v>
      </c>
      <c r="C72" s="43">
        <f t="shared" ref="C72:N72" si="79">SUM(C73:C74)</f>
        <v>47982534</v>
      </c>
      <c r="D72" s="44">
        <f t="shared" si="79"/>
        <v>0</v>
      </c>
      <c r="E72" s="44">
        <f t="shared" si="79"/>
        <v>7739704</v>
      </c>
      <c r="F72" s="44">
        <f t="shared" si="79"/>
        <v>55722238</v>
      </c>
      <c r="G72" s="44">
        <f t="shared" si="79"/>
        <v>39367403</v>
      </c>
      <c r="H72" s="44">
        <f t="shared" si="79"/>
        <v>0</v>
      </c>
      <c r="I72" s="44">
        <f t="shared" si="79"/>
        <v>39367403</v>
      </c>
      <c r="J72" s="44">
        <f t="shared" si="79"/>
        <v>31763035</v>
      </c>
      <c r="K72" s="44">
        <f t="shared" si="79"/>
        <v>0</v>
      </c>
      <c r="L72" s="44">
        <f t="shared" si="79"/>
        <v>31763035</v>
      </c>
      <c r="M72" s="44">
        <f t="shared" si="79"/>
        <v>16354835</v>
      </c>
      <c r="N72" s="45">
        <f t="shared" si="79"/>
        <v>23959203</v>
      </c>
      <c r="P72" s="43">
        <f>SUM(P73:P74)</f>
        <v>0</v>
      </c>
      <c r="Q72" s="45">
        <f>SUM(Q73:Q74)</f>
        <v>0</v>
      </c>
      <c r="R72" s="9"/>
      <c r="S72" s="720" t="str">
        <f>+IF(SEPTIEMBRE!S72=0,"",SEPTIEMBRE!S72)</f>
        <v>1020104-3</v>
      </c>
      <c r="T72" s="694" t="str">
        <f>+IF(SEPTIEMBRE!T72=0,"",SEPTIEMBRE!T72)</f>
        <v>Prima de Vacaciones</v>
      </c>
      <c r="U72" s="27">
        <f>+ENERO!U72</f>
        <v>26711056</v>
      </c>
      <c r="V72" s="15">
        <f>SEPTIEMBRE!V72+OCTUBRE!AL72</f>
        <v>0</v>
      </c>
      <c r="W72" s="15">
        <f>SEPTIEMBRE!W72+OCTUBRE!AM72</f>
        <v>0</v>
      </c>
      <c r="X72" s="18">
        <f t="shared" si="72"/>
        <v>26711056</v>
      </c>
      <c r="Y72" s="19">
        <f>SEPTIEMBRE!AA72</f>
        <v>20223199</v>
      </c>
      <c r="Z72" s="377">
        <v>0</v>
      </c>
      <c r="AA72" s="18">
        <f t="shared" si="73"/>
        <v>20223199</v>
      </c>
      <c r="AB72" s="19">
        <f>SEPTIEMBRE!AD72</f>
        <v>20223199</v>
      </c>
      <c r="AC72" s="377">
        <v>0</v>
      </c>
      <c r="AD72" s="18">
        <f t="shared" si="74"/>
        <v>20223199</v>
      </c>
      <c r="AE72" s="19">
        <f>SEPTIEMBRE!AG72</f>
        <v>13913841</v>
      </c>
      <c r="AF72" s="377">
        <v>0</v>
      </c>
      <c r="AG72" s="18">
        <f t="shared" si="75"/>
        <v>13913841</v>
      </c>
      <c r="AH72" s="19">
        <f t="shared" si="76"/>
        <v>6487857</v>
      </c>
      <c r="AI72" s="15">
        <f t="shared" si="77"/>
        <v>6487857</v>
      </c>
      <c r="AJ72" s="16">
        <f t="shared" si="78"/>
        <v>12797215</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+IF(SEPTIEMBRE!A73=0,"",SEPTIEMBRE!A73)</f>
        <v>1130116-1</v>
      </c>
      <c r="B73" s="654" t="str">
        <f>+CONCATENATE("Vigencia ",INSTRUCCIONES!$F$3)</f>
        <v>Vigencia 2015</v>
      </c>
      <c r="C73" s="375">
        <f>+ENERO!C73</f>
        <v>47982534</v>
      </c>
      <c r="D73" s="376">
        <f>SEPTIEMBRE!D73+OCTUBRE!P73</f>
        <v>0</v>
      </c>
      <c r="E73" s="376">
        <f>SEPTIEMBRE!E73+OCTUBRE!Q73</f>
        <v>0</v>
      </c>
      <c r="F73" s="376">
        <f>SUM(C73:E73)</f>
        <v>47982534</v>
      </c>
      <c r="G73" s="376">
        <f>SEPTIEMBRE!I73</f>
        <v>32095383</v>
      </c>
      <c r="H73" s="377">
        <v>0</v>
      </c>
      <c r="I73" s="376">
        <f>SUM(G73:H73)</f>
        <v>32095383</v>
      </c>
      <c r="J73" s="376">
        <f>SEPTIEMBRE!L73</f>
        <v>24491015</v>
      </c>
      <c r="K73" s="377">
        <v>0</v>
      </c>
      <c r="L73" s="376">
        <f>SUM(J73:K73)</f>
        <v>24491015</v>
      </c>
      <c r="M73" s="376">
        <f>F73-I73</f>
        <v>15887151</v>
      </c>
      <c r="N73" s="146">
        <f>F73-L73</f>
        <v>23491519</v>
      </c>
      <c r="O73" s="385"/>
      <c r="P73" s="375">
        <v>0</v>
      </c>
      <c r="Q73" s="378">
        <v>0</v>
      </c>
      <c r="R73" s="9"/>
      <c r="S73" s="720" t="str">
        <f>+IF(SEPTIEMBRE!S73=0,"",SEPTIEMBRE!S73)</f>
        <v>1020104-4</v>
      </c>
      <c r="T73" s="694" t="str">
        <f>+IF(SEPTIEMBRE!T73=0,"",SEPTIEMBRE!T73)</f>
        <v>Prima Clima</v>
      </c>
      <c r="U73" s="27">
        <f>+ENERO!U73</f>
        <v>0</v>
      </c>
      <c r="V73" s="15">
        <f>SEPTIEMBRE!V73+OCTUBRE!AL73</f>
        <v>0</v>
      </c>
      <c r="W73" s="15">
        <f>SEPTIEMBRE!W73+OCTUBRE!AM73</f>
        <v>0</v>
      </c>
      <c r="X73" s="18">
        <f t="shared" si="72"/>
        <v>0</v>
      </c>
      <c r="Y73" s="19">
        <f>SEPTIEMBRE!AA73</f>
        <v>0</v>
      </c>
      <c r="Z73" s="377">
        <v>0</v>
      </c>
      <c r="AA73" s="18">
        <f t="shared" si="73"/>
        <v>0</v>
      </c>
      <c r="AB73" s="19">
        <f>SEPTIEMBRE!AD73</f>
        <v>0</v>
      </c>
      <c r="AC73" s="377">
        <v>0</v>
      </c>
      <c r="AD73" s="18">
        <f t="shared" si="74"/>
        <v>0</v>
      </c>
      <c r="AE73" s="19">
        <f>SEPTIEMBRE!AG73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+IF(SEPTIEMBRE!A74=0,"",SEPTIEMBRE!A74)</f>
        <v>1130116-2</v>
      </c>
      <c r="B74" s="654" t="str">
        <f>+IF(SEPTIEMBRE!B74=0,"",SEPTIEMBRE!B74)</f>
        <v>Vigencia Anterior</v>
      </c>
      <c r="C74" s="375">
        <f>+ENERO!C74</f>
        <v>0</v>
      </c>
      <c r="D74" s="376">
        <f>SEPTIEMBRE!D74+OCTUBRE!P74</f>
        <v>0</v>
      </c>
      <c r="E74" s="376">
        <f>SEPTIEMBRE!E74+OCTUBRE!Q74</f>
        <v>7739704</v>
      </c>
      <c r="F74" s="376">
        <f>SUM(C74:E74)</f>
        <v>7739704</v>
      </c>
      <c r="G74" s="376">
        <f>SEPTIEMBRE!I74</f>
        <v>7272020</v>
      </c>
      <c r="H74" s="377">
        <v>0</v>
      </c>
      <c r="I74" s="376">
        <f>SUM(G74:H74)</f>
        <v>7272020</v>
      </c>
      <c r="J74" s="376">
        <f>SEPTIEMBRE!L74</f>
        <v>7272020</v>
      </c>
      <c r="K74" s="377">
        <v>0</v>
      </c>
      <c r="L74" s="376">
        <f>SUM(J74:K74)</f>
        <v>7272020</v>
      </c>
      <c r="M74" s="376">
        <f>F74-I74</f>
        <v>467684</v>
      </c>
      <c r="N74" s="146">
        <f>F74-L74</f>
        <v>467684</v>
      </c>
      <c r="O74" s="385"/>
      <c r="P74" s="375">
        <v>0</v>
      </c>
      <c r="Q74" s="378">
        <v>0</v>
      </c>
      <c r="R74" s="9"/>
      <c r="S74" s="720" t="str">
        <f>+IF(SEPTIEMBRE!S74=0,"",SEPTIEMBRE!S74)</f>
        <v>1020104-5</v>
      </c>
      <c r="T74" s="694" t="str">
        <f>+IF(SEPTIEMBRE!T74=0,"",SEPTIEMBRE!T74)</f>
        <v>Prima de Servicios</v>
      </c>
      <c r="U74" s="27">
        <f>+ENERO!U74</f>
        <v>26711056</v>
      </c>
      <c r="V74" s="15">
        <f>SEPTIEMBRE!V74+OCTUBRE!AL74</f>
        <v>0</v>
      </c>
      <c r="W74" s="15">
        <f>SEPTIEMBRE!W74+OCTUBRE!AM74</f>
        <v>0</v>
      </c>
      <c r="X74" s="18">
        <f t="shared" si="72"/>
        <v>26711056</v>
      </c>
      <c r="Y74" s="19">
        <f>SEPTIEMBRE!AA74</f>
        <v>0</v>
      </c>
      <c r="Z74" s="377">
        <v>0</v>
      </c>
      <c r="AA74" s="18">
        <f t="shared" si="73"/>
        <v>0</v>
      </c>
      <c r="AB74" s="19">
        <f>SEPTIEMBRE!AD74</f>
        <v>0</v>
      </c>
      <c r="AC74" s="377">
        <v>0</v>
      </c>
      <c r="AD74" s="18">
        <f t="shared" si="74"/>
        <v>0</v>
      </c>
      <c r="AE74" s="19">
        <f>SEPTIEMBRE!AG74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+IF(SEPTIEMBRE!A75=0,"",SEPTIEMBRE!A75)</f>
        <v>1130117</v>
      </c>
      <c r="B75" s="653" t="str">
        <f>+IF(SEPTIEMBRE!B75=0,"",SEPTIEMBRE!B75)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+IF(SEPTIEMBRE!S75=0,"",SEPTIEMBRE!S75)</f>
        <v>1020104-8</v>
      </c>
      <c r="T75" s="694" t="str">
        <f>+IF(SEPTIEMBRE!T75=0,"",SEPTIEMBRE!T75)</f>
        <v>Bonific. por Servicios Prestados (Convencional)</v>
      </c>
      <c r="U75" s="27">
        <f>+ENERO!U75</f>
        <v>0</v>
      </c>
      <c r="V75" s="15">
        <f>SEPTIEMBRE!V75+OCTUBRE!AL75</f>
        <v>0</v>
      </c>
      <c r="W75" s="15">
        <f>SEPTIEMBRE!W75+OCTUBRE!AM75</f>
        <v>0</v>
      </c>
      <c r="X75" s="18">
        <f t="shared" si="72"/>
        <v>0</v>
      </c>
      <c r="Y75" s="19">
        <f>SEPTIEMBRE!AA75</f>
        <v>0</v>
      </c>
      <c r="Z75" s="377">
        <v>0</v>
      </c>
      <c r="AA75" s="18">
        <f t="shared" si="73"/>
        <v>0</v>
      </c>
      <c r="AB75" s="19">
        <f>SEPTIEMBRE!AD75</f>
        <v>0</v>
      </c>
      <c r="AC75" s="377">
        <v>0</v>
      </c>
      <c r="AD75" s="18">
        <f t="shared" si="74"/>
        <v>0</v>
      </c>
      <c r="AE75" s="19">
        <f>SEPTIEMBRE!AG75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+IF(SEPTIEMBRE!A76=0,"",SEPTIEMBRE!A76)</f>
        <v>1130117-1</v>
      </c>
      <c r="B76" s="654" t="str">
        <f>+CONCATENATE("Vigencia ",INSTRUCCIONES!$F$3)</f>
        <v>Vigencia 2015</v>
      </c>
      <c r="C76" s="375">
        <f>+ENERO!C76</f>
        <v>0</v>
      </c>
      <c r="D76" s="376">
        <f>SEPTIEMBRE!D76+OCTUBRE!P76</f>
        <v>0</v>
      </c>
      <c r="E76" s="376">
        <f>SEPTIEMBRE!E76+OCTUBRE!Q76</f>
        <v>0</v>
      </c>
      <c r="F76" s="376">
        <f t="shared" ref="F76:F83" si="81">SUM(C76:E76)</f>
        <v>0</v>
      </c>
      <c r="G76" s="376">
        <f>SEPTIEMBRE!I76</f>
        <v>0</v>
      </c>
      <c r="H76" s="377">
        <v>0</v>
      </c>
      <c r="I76" s="376">
        <f t="shared" ref="I76:I83" si="82">SUM(G76:H76)</f>
        <v>0</v>
      </c>
      <c r="J76" s="376">
        <f>SEPTIEMBRE!L76</f>
        <v>0</v>
      </c>
      <c r="K76" s="377">
        <v>0</v>
      </c>
      <c r="L76" s="376">
        <f t="shared" ref="L76:L83" si="83">SUM(J76:K76)</f>
        <v>0</v>
      </c>
      <c r="M76" s="376">
        <f t="shared" ref="M76:M83" si="84">F76-I76</f>
        <v>0</v>
      </c>
      <c r="N76" s="146">
        <f t="shared" ref="N76:N83" si="85">F76-L76</f>
        <v>0</v>
      </c>
      <c r="O76" s="385"/>
      <c r="P76" s="375">
        <v>0</v>
      </c>
      <c r="Q76" s="378">
        <v>0</v>
      </c>
      <c r="R76" s="9"/>
      <c r="S76" s="720" t="str">
        <f>+IF(SEPTIEMBRE!S76=0,"",SEPTIEMBRE!S76)</f>
        <v>1020104-9</v>
      </c>
      <c r="T76" s="694" t="str">
        <f>+IF(SEPTIEMBRE!T76=0,"",SEPTIEMBRE!T76)</f>
        <v>Auxilio de Transporte</v>
      </c>
      <c r="U76" s="27">
        <f>+ENERO!U76</f>
        <v>1471200</v>
      </c>
      <c r="V76" s="15">
        <f>SEPTIEMBRE!V76+OCTUBRE!AL76</f>
        <v>0</v>
      </c>
      <c r="W76" s="15">
        <f>SEPTIEMBRE!W76+OCTUBRE!AM76</f>
        <v>0</v>
      </c>
      <c r="X76" s="18">
        <f t="shared" si="72"/>
        <v>1471200</v>
      </c>
      <c r="Y76" s="19">
        <f>SEPTIEMBRE!AA76</f>
        <v>146000</v>
      </c>
      <c r="Z76" s="377">
        <v>0</v>
      </c>
      <c r="AA76" s="18">
        <f t="shared" si="73"/>
        <v>146000</v>
      </c>
      <c r="AB76" s="19">
        <f>SEPTIEMBRE!AD76</f>
        <v>146000</v>
      </c>
      <c r="AC76" s="377">
        <v>0</v>
      </c>
      <c r="AD76" s="18">
        <f t="shared" si="74"/>
        <v>146000</v>
      </c>
      <c r="AE76" s="19">
        <f>SEPTIEMBRE!AG76</f>
        <v>140121</v>
      </c>
      <c r="AF76" s="377">
        <v>0</v>
      </c>
      <c r="AG76" s="18">
        <f t="shared" si="75"/>
        <v>140121</v>
      </c>
      <c r="AH76" s="19">
        <f t="shared" si="76"/>
        <v>1325200</v>
      </c>
      <c r="AI76" s="15">
        <f t="shared" si="77"/>
        <v>1325200</v>
      </c>
      <c r="AJ76" s="16">
        <f t="shared" si="78"/>
        <v>1331079</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+IF(SEPTIEMBRE!A77=0,"",SEPTIEMBRE!A77)</f>
        <v>1130117-2</v>
      </c>
      <c r="B77" s="654" t="str">
        <f>+IF(SEPTIEMBRE!B77=0,"",SEPTIEMBRE!B77)</f>
        <v>Vigencia Anterior</v>
      </c>
      <c r="C77" s="375">
        <f>+ENERO!C77</f>
        <v>0</v>
      </c>
      <c r="D77" s="376">
        <f>SEPTIEMBRE!D77+OCTUBRE!P77</f>
        <v>0</v>
      </c>
      <c r="E77" s="376">
        <f>SEPTIEMBRE!E77+OCTUBRE!Q77</f>
        <v>0</v>
      </c>
      <c r="F77" s="376">
        <f t="shared" si="81"/>
        <v>0</v>
      </c>
      <c r="G77" s="376">
        <f>SEPTIEMBRE!I77</f>
        <v>0</v>
      </c>
      <c r="H77" s="377">
        <v>0</v>
      </c>
      <c r="I77" s="376">
        <f t="shared" si="82"/>
        <v>0</v>
      </c>
      <c r="J77" s="376">
        <f>SEPTIEMBRE!L77</f>
        <v>0</v>
      </c>
      <c r="K77" s="377">
        <v>0</v>
      </c>
      <c r="L77" s="376">
        <f t="shared" si="83"/>
        <v>0</v>
      </c>
      <c r="M77" s="376">
        <f t="shared" si="84"/>
        <v>0</v>
      </c>
      <c r="N77" s="146">
        <f t="shared" si="85"/>
        <v>0</v>
      </c>
      <c r="O77" s="385"/>
      <c r="P77" s="375">
        <v>0</v>
      </c>
      <c r="Q77" s="378">
        <v>0</v>
      </c>
      <c r="R77" s="9"/>
      <c r="S77" s="720" t="str">
        <f>+IF(SEPTIEMBRE!S77=0,"",SEPTIEMBRE!S77)</f>
        <v>1020104-10</v>
      </c>
      <c r="T77" s="694" t="str">
        <f>+IF(SEPTIEMBRE!T77=0,"",SEPTIEMBRE!T77)</f>
        <v>Subsidio de Alimentación</v>
      </c>
      <c r="U77" s="27">
        <f>+ENERO!U77</f>
        <v>0</v>
      </c>
      <c r="V77" s="15">
        <f>SEPTIEMBRE!V77+OCTUBRE!AL77</f>
        <v>0</v>
      </c>
      <c r="W77" s="15">
        <f>SEPTIEMBRE!W77+OCTUBRE!AM77</f>
        <v>0</v>
      </c>
      <c r="X77" s="18">
        <f t="shared" si="72"/>
        <v>0</v>
      </c>
      <c r="Y77" s="19">
        <f>SEPTIEMBRE!AA77</f>
        <v>0</v>
      </c>
      <c r="Z77" s="377">
        <v>0</v>
      </c>
      <c r="AA77" s="18">
        <f t="shared" si="73"/>
        <v>0</v>
      </c>
      <c r="AB77" s="19">
        <f>SEPTIEMBRE!AD77</f>
        <v>0</v>
      </c>
      <c r="AC77" s="377">
        <v>0</v>
      </c>
      <c r="AD77" s="18">
        <f t="shared" si="74"/>
        <v>0</v>
      </c>
      <c r="AE77" s="19">
        <f>SEPTIEMBRE!AG77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+IF(SEPTIEMBRE!A78=0,"",SEPTIEMBRE!A78)</f>
        <v>1130118</v>
      </c>
      <c r="B78" s="653" t="str">
        <f>+IF(SEPTIEMBRE!B78=0,"",SEPTIEMBRE!B78)</f>
        <v>PARTICULARES   (Venta de Contado)</v>
      </c>
      <c r="C78" s="43">
        <f>SUM(C79:C80)</f>
        <v>151788162</v>
      </c>
      <c r="D78" s="44">
        <f>SUM(D79:D80)</f>
        <v>0</v>
      </c>
      <c r="E78" s="44">
        <f>SUM(E79:E80)</f>
        <v>0</v>
      </c>
      <c r="F78" s="44">
        <f t="shared" si="81"/>
        <v>151788162</v>
      </c>
      <c r="G78" s="44">
        <f>SUM(G79:G80)</f>
        <v>100784494</v>
      </c>
      <c r="H78" s="44">
        <f>SUM(H79:H80)</f>
        <v>0</v>
      </c>
      <c r="I78" s="44">
        <f t="shared" si="82"/>
        <v>100784494</v>
      </c>
      <c r="J78" s="44">
        <f>SUM(J79:J80)</f>
        <v>100784494</v>
      </c>
      <c r="K78" s="44">
        <f>SUM(K79:K80)</f>
        <v>0</v>
      </c>
      <c r="L78" s="44">
        <f t="shared" si="83"/>
        <v>100784494</v>
      </c>
      <c r="M78" s="44">
        <f t="shared" si="84"/>
        <v>51003668</v>
      </c>
      <c r="N78" s="45">
        <f t="shared" si="85"/>
        <v>51003668</v>
      </c>
      <c r="O78" s="385"/>
      <c r="P78" s="43">
        <f>SUM(P79:P80)</f>
        <v>0</v>
      </c>
      <c r="Q78" s="45">
        <f>SUM(Q79:Q80)</f>
        <v>0</v>
      </c>
      <c r="R78" s="9"/>
      <c r="S78" s="720" t="str">
        <f>+IF(SEPTIEMBRE!S78=0,"",SEPTIEMBRE!S78)</f>
        <v>1020104-12</v>
      </c>
      <c r="T78" s="694" t="str">
        <f>+IF(SEPTIEMBRE!T78=0,"",SEPTIEMBRE!T78)</f>
        <v>Indemnizaciones por Vacaciones o Supresión de Cargos por Reestructuración</v>
      </c>
      <c r="U78" s="27">
        <f>+ENERO!U78</f>
        <v>0</v>
      </c>
      <c r="V78" s="15">
        <f>SEPTIEMBRE!V78+OCTUBRE!AL78</f>
        <v>0</v>
      </c>
      <c r="W78" s="15">
        <f>SEPTIEMBRE!W78+OCTUBRE!AM78</f>
        <v>0</v>
      </c>
      <c r="X78" s="18">
        <f t="shared" si="72"/>
        <v>0</v>
      </c>
      <c r="Y78" s="19">
        <f>SEPTIEMBRE!AA78</f>
        <v>0</v>
      </c>
      <c r="Z78" s="377">
        <v>0</v>
      </c>
      <c r="AA78" s="18">
        <f t="shared" si="73"/>
        <v>0</v>
      </c>
      <c r="AB78" s="19">
        <f>SEPTIEMBRE!AD78</f>
        <v>0</v>
      </c>
      <c r="AC78" s="377">
        <v>0</v>
      </c>
      <c r="AD78" s="18">
        <f t="shared" si="74"/>
        <v>0</v>
      </c>
      <c r="AE78" s="19">
        <f>SEPTIEMBRE!AG78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+IF(SEPTIEMBRE!A79=0,"",SEPTIEMBRE!A79)</f>
        <v>1130118-1</v>
      </c>
      <c r="B79" s="654" t="str">
        <f>+CONCATENATE("Vigencia ",INSTRUCCIONES!$F$3)</f>
        <v>Vigencia 2015</v>
      </c>
      <c r="C79" s="375">
        <f>+ENERO!C79</f>
        <v>151788162</v>
      </c>
      <c r="D79" s="376">
        <f>SEPTIEMBRE!D79+OCTUBRE!P79</f>
        <v>0</v>
      </c>
      <c r="E79" s="376">
        <f>SEPTIEMBRE!E79+OCTUBRE!Q79</f>
        <v>0</v>
      </c>
      <c r="F79" s="376">
        <f t="shared" si="81"/>
        <v>151788162</v>
      </c>
      <c r="G79" s="376">
        <f>SEPTIEMBRE!I79</f>
        <v>100784494</v>
      </c>
      <c r="H79" s="377">
        <v>0</v>
      </c>
      <c r="I79" s="376">
        <f t="shared" si="82"/>
        <v>100784494</v>
      </c>
      <c r="J79" s="376">
        <f>SEPTIEMBRE!L79</f>
        <v>100784494</v>
      </c>
      <c r="K79" s="377">
        <v>0</v>
      </c>
      <c r="L79" s="376">
        <f t="shared" si="83"/>
        <v>100784494</v>
      </c>
      <c r="M79" s="376">
        <f t="shared" si="84"/>
        <v>51003668</v>
      </c>
      <c r="N79" s="146">
        <f t="shared" si="85"/>
        <v>51003668</v>
      </c>
      <c r="P79" s="375">
        <v>0</v>
      </c>
      <c r="Q79" s="378">
        <v>0</v>
      </c>
      <c r="R79" s="9"/>
      <c r="S79" s="720" t="str">
        <f>+IF(SEPTIEMBRE!S79=0,"",SEPTIEMBRE!S79)</f>
        <v>1020104-13</v>
      </c>
      <c r="T79" s="694" t="str">
        <f>+IF(SEPTIEMBRE!T79=0,"",SEPTIEMBRE!T79)</f>
        <v>Bonificación Especial por Recreación</v>
      </c>
      <c r="U79" s="27">
        <f>+ENERO!U79</f>
        <v>3561474</v>
      </c>
      <c r="V79" s="15">
        <f>SEPTIEMBRE!V79+OCTUBRE!AL79</f>
        <v>0</v>
      </c>
      <c r="W79" s="15">
        <f>SEPTIEMBRE!W79+OCTUBRE!AM79</f>
        <v>0</v>
      </c>
      <c r="X79" s="18">
        <f t="shared" si="72"/>
        <v>3561474</v>
      </c>
      <c r="Y79" s="19">
        <f>SEPTIEMBRE!AA79</f>
        <v>2731324</v>
      </c>
      <c r="Z79" s="377">
        <v>0</v>
      </c>
      <c r="AA79" s="18">
        <f t="shared" si="73"/>
        <v>2731324</v>
      </c>
      <c r="AB79" s="19">
        <f>SEPTIEMBRE!AD79</f>
        <v>2731324</v>
      </c>
      <c r="AC79" s="377">
        <v>0</v>
      </c>
      <c r="AD79" s="18">
        <f t="shared" si="74"/>
        <v>2731324</v>
      </c>
      <c r="AE79" s="19">
        <f>SEPTIEMBRE!AG79</f>
        <v>1890075</v>
      </c>
      <c r="AF79" s="377">
        <v>0</v>
      </c>
      <c r="AG79" s="18">
        <f t="shared" si="75"/>
        <v>1890075</v>
      </c>
      <c r="AH79" s="19">
        <f t="shared" si="76"/>
        <v>830150</v>
      </c>
      <c r="AI79" s="15">
        <f t="shared" si="77"/>
        <v>830150</v>
      </c>
      <c r="AJ79" s="16">
        <f t="shared" si="78"/>
        <v>1671399</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+IF(SEPTIEMBRE!A80=0,"",SEPTIEMBRE!A80)</f>
        <v>1130118-2</v>
      </c>
      <c r="B80" s="654" t="str">
        <f>+IF(SEPTIEMBRE!B80=0,"",SEPTIEMBRE!B80)</f>
        <v>Vigencia Anterior</v>
      </c>
      <c r="C80" s="375">
        <f>+ENERO!C80</f>
        <v>0</v>
      </c>
      <c r="D80" s="376">
        <f>SEPTIEMBRE!D80+OCTUBRE!P80</f>
        <v>0</v>
      </c>
      <c r="E80" s="376">
        <f>SEPTIEMBRE!E80+OCTUBRE!Q80</f>
        <v>0</v>
      </c>
      <c r="F80" s="376">
        <f t="shared" si="81"/>
        <v>0</v>
      </c>
      <c r="G80" s="376">
        <f>SEPTIEMBRE!I80</f>
        <v>0</v>
      </c>
      <c r="H80" s="377">
        <v>0</v>
      </c>
      <c r="I80" s="376">
        <f t="shared" si="82"/>
        <v>0</v>
      </c>
      <c r="J80" s="376">
        <f>SEPTIEMBRE!L80</f>
        <v>0</v>
      </c>
      <c r="K80" s="377">
        <v>0</v>
      </c>
      <c r="L80" s="376">
        <f t="shared" si="83"/>
        <v>0</v>
      </c>
      <c r="M80" s="376">
        <f t="shared" si="84"/>
        <v>0</v>
      </c>
      <c r="N80" s="146">
        <f t="shared" si="85"/>
        <v>0</v>
      </c>
      <c r="O80" s="385"/>
      <c r="P80" s="375">
        <v>0</v>
      </c>
      <c r="Q80" s="378">
        <v>0</v>
      </c>
      <c r="S80" s="720" t="str">
        <f>+IF(SEPTIEMBRE!S80=0,"",SEPTIEMBRE!S80)</f>
        <v>1020104-14</v>
      </c>
      <c r="T80" s="694" t="str">
        <f>+IF(SEPTIEMBRE!T80=0,"",SEPTIEMBRE!T80)</f>
        <v/>
      </c>
      <c r="U80" s="27">
        <f>+ENERO!U80</f>
        <v>0</v>
      </c>
      <c r="V80" s="15">
        <f>SEPTIEMBRE!V80+OCTUBRE!AL80</f>
        <v>0</v>
      </c>
      <c r="W80" s="15">
        <f>SEPTIEMBRE!W80+OCTUBRE!AM80</f>
        <v>0</v>
      </c>
      <c r="X80" s="18">
        <f t="shared" si="72"/>
        <v>0</v>
      </c>
      <c r="Y80" s="19">
        <f>SEPTIEMBRE!AA80</f>
        <v>0</v>
      </c>
      <c r="Z80" s="377">
        <v>0</v>
      </c>
      <c r="AA80" s="18">
        <f t="shared" si="73"/>
        <v>0</v>
      </c>
      <c r="AB80" s="19">
        <f>SEPTIEMBRE!AD80</f>
        <v>0</v>
      </c>
      <c r="AC80" s="377">
        <v>0</v>
      </c>
      <c r="AD80" s="18">
        <f t="shared" si="74"/>
        <v>0</v>
      </c>
      <c r="AE80" s="19">
        <f>SEPTIEMBRE!AG80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+IF(SEPTIEMBRE!A81=0,"",SEPTIEMBRE!A81)</f>
        <v>1130119</v>
      </c>
      <c r="B81" s="657" t="str">
        <f>+IF(SEPTIEMBRE!B81=0,"",SEPTIEMBRE!B81)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+IF(SEPTIEMBRE!S81=0,"",SEPTIEMBRE!S81)</f>
        <v>1020199</v>
      </c>
      <c r="T81" s="693" t="str">
        <f>+IF(SEPTIEMBRE!T81=0,"",SEPTIEMBRE!T81)</f>
        <v>Vigencias Anteriores</v>
      </c>
      <c r="U81" s="27">
        <f>+ENERO!U81</f>
        <v>0</v>
      </c>
      <c r="V81" s="15">
        <f>SEPTIEMBRE!V81+OCTUBRE!AL81</f>
        <v>0</v>
      </c>
      <c r="W81" s="15">
        <f>SEPTIEMBRE!W81+OCTUBRE!AM81</f>
        <v>13655677</v>
      </c>
      <c r="X81" s="18">
        <f t="shared" si="72"/>
        <v>13655677</v>
      </c>
      <c r="Y81" s="19">
        <f>SEPTIEMBRE!AA81</f>
        <v>13655677</v>
      </c>
      <c r="Z81" s="377">
        <v>0</v>
      </c>
      <c r="AA81" s="18">
        <f t="shared" si="73"/>
        <v>13655677</v>
      </c>
      <c r="AB81" s="19">
        <f>SEPTIEMBRE!AD81</f>
        <v>13655677</v>
      </c>
      <c r="AC81" s="377">
        <v>0</v>
      </c>
      <c r="AD81" s="18">
        <f t="shared" si="74"/>
        <v>13655677</v>
      </c>
      <c r="AE81" s="19">
        <f>SEPTIEMBRE!AG81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+IF(SEPTIEMBRE!A82=0,"",SEPTIEMBRE!A82)</f>
        <v>1130119-1</v>
      </c>
      <c r="B82" s="654" t="str">
        <f>+CONCATENATE("Vigencia ",INSTRUCCIONES!$F$3)</f>
        <v>Vigencia 2015</v>
      </c>
      <c r="C82" s="375">
        <f>+ENERO!C82</f>
        <v>0</v>
      </c>
      <c r="D82" s="376">
        <f>SEPTIEMBRE!D82+OCTUBRE!P82</f>
        <v>0</v>
      </c>
      <c r="E82" s="376">
        <f>SEPTIEMBRE!E82+OCTUBRE!Q82</f>
        <v>0</v>
      </c>
      <c r="F82" s="376">
        <f t="shared" si="81"/>
        <v>0</v>
      </c>
      <c r="G82" s="376">
        <f>SEPTIEMBRE!I82</f>
        <v>0</v>
      </c>
      <c r="H82" s="377">
        <v>0</v>
      </c>
      <c r="I82" s="376">
        <f t="shared" si="82"/>
        <v>0</v>
      </c>
      <c r="J82" s="376">
        <f>SEPTIEMBRE!L82</f>
        <v>0</v>
      </c>
      <c r="K82" s="377">
        <v>0</v>
      </c>
      <c r="L82" s="376">
        <f t="shared" si="83"/>
        <v>0</v>
      </c>
      <c r="M82" s="376">
        <f t="shared" si="84"/>
        <v>0</v>
      </c>
      <c r="N82" s="146">
        <f t="shared" si="85"/>
        <v>0</v>
      </c>
      <c r="P82" s="375">
        <v>0</v>
      </c>
      <c r="Q82" s="378">
        <v>0</v>
      </c>
      <c r="R82" s="9"/>
      <c r="S82" s="369" t="str">
        <f>+IF(SEPTIEMBRE!S82=0,"",SEPTIEMBRE!S82)</f>
        <v/>
      </c>
      <c r="T82" s="708" t="str">
        <f>+IF(SEPTIEMBRE!T82=0,"",SEPTIEMBRE!T82)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+IF(SEPTIEMBRE!A83=0,"",SEPTIEMBRE!A83)</f>
        <v>1130119-2</v>
      </c>
      <c r="B83" s="658" t="str">
        <f>+IF(SEPTIEMBRE!B83=0,"",SEPTIEMBRE!B83)</f>
        <v>Vigencia Anterior</v>
      </c>
      <c r="C83" s="387">
        <f>+ENERO!C83</f>
        <v>0</v>
      </c>
      <c r="D83" s="388">
        <f>SEPTIEMBRE!D83+OCTUBRE!P83</f>
        <v>0</v>
      </c>
      <c r="E83" s="388">
        <f>SEPTIEMBRE!E83+OCTUBRE!Q83</f>
        <v>0</v>
      </c>
      <c r="F83" s="388">
        <f t="shared" si="81"/>
        <v>0</v>
      </c>
      <c r="G83" s="388">
        <f>SEPTIEMBRE!I83</f>
        <v>0</v>
      </c>
      <c r="H83" s="391">
        <v>0</v>
      </c>
      <c r="I83" s="388">
        <f t="shared" si="82"/>
        <v>0</v>
      </c>
      <c r="J83" s="388">
        <f>SEPTIEMBRE!L83</f>
        <v>0</v>
      </c>
      <c r="K83" s="391">
        <v>0</v>
      </c>
      <c r="L83" s="388">
        <f t="shared" si="83"/>
        <v>0</v>
      </c>
      <c r="M83" s="388">
        <f t="shared" si="84"/>
        <v>0</v>
      </c>
      <c r="N83" s="389">
        <f t="shared" si="85"/>
        <v>0</v>
      </c>
      <c r="P83" s="375">
        <v>0</v>
      </c>
      <c r="Q83" s="378">
        <v>0</v>
      </c>
      <c r="R83" s="9"/>
      <c r="S83" s="718">
        <f>+IF(SEPTIEMBRE!S83=0,"",SEPTIEMBRE!S83)</f>
        <v>1020200</v>
      </c>
      <c r="T83" s="692" t="str">
        <f>+IF(SEPTIEMBRE!T83=0,"",SEPTIEMBRE!T83)</f>
        <v>Servicios Personales Indirectos</v>
      </c>
      <c r="U83" s="135">
        <f t="shared" ref="U83:AJ83" si="87">SUM(U84:U88)</f>
        <v>151257124</v>
      </c>
      <c r="V83" s="124">
        <f t="shared" si="87"/>
        <v>24000000</v>
      </c>
      <c r="W83" s="124">
        <f t="shared" si="87"/>
        <v>6884000</v>
      </c>
      <c r="X83" s="132">
        <f t="shared" si="87"/>
        <v>182141124</v>
      </c>
      <c r="Y83" s="131">
        <f t="shared" si="87"/>
        <v>163262000</v>
      </c>
      <c r="Z83" s="124">
        <f t="shared" si="87"/>
        <v>0</v>
      </c>
      <c r="AA83" s="132">
        <f t="shared" si="87"/>
        <v>163262000</v>
      </c>
      <c r="AB83" s="131">
        <f t="shared" si="87"/>
        <v>122662000</v>
      </c>
      <c r="AC83" s="124">
        <f t="shared" si="87"/>
        <v>0</v>
      </c>
      <c r="AD83" s="132">
        <f t="shared" si="87"/>
        <v>122662000</v>
      </c>
      <c r="AE83" s="131">
        <f t="shared" si="87"/>
        <v>115924500</v>
      </c>
      <c r="AF83" s="124">
        <f t="shared" si="87"/>
        <v>0</v>
      </c>
      <c r="AG83" s="132">
        <f t="shared" si="87"/>
        <v>115924500</v>
      </c>
      <c r="AH83" s="131">
        <f t="shared" si="87"/>
        <v>18879124</v>
      </c>
      <c r="AI83" s="124">
        <f t="shared" si="87"/>
        <v>59479124</v>
      </c>
      <c r="AJ83" s="133">
        <f t="shared" si="87"/>
        <v>66216624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+IF(SEPTIEMBRE!A84=0,"",SEPTIEMBRE!A84)</f>
        <v/>
      </c>
      <c r="B84" s="659" t="str">
        <f>+IF(SEPTIEMBRE!B84=0,"",SEPTIEMBRE!B84)</f>
        <v/>
      </c>
      <c r="C84" s="297"/>
      <c r="D84" s="297"/>
      <c r="E84" s="297"/>
      <c r="F84" s="297"/>
      <c r="G84" s="297"/>
      <c r="H84" s="297"/>
      <c r="I84" s="297"/>
      <c r="J84" s="297"/>
      <c r="K84" s="297"/>
      <c r="L84" s="297"/>
      <c r="M84" s="297"/>
      <c r="N84" s="466"/>
      <c r="O84" s="464"/>
      <c r="P84" s="470"/>
      <c r="Q84" s="394"/>
      <c r="R84" s="9"/>
      <c r="S84" s="719" t="str">
        <f>+IF(SEPTIEMBRE!S84=0,"",SEPTIEMBRE!S84)</f>
        <v>1020200-1</v>
      </c>
      <c r="T84" s="693" t="str">
        <f>+IF(SEPTIEMBRE!T84=0,"",SEPTIEMBRE!T84)</f>
        <v>Remuneración y Honorarios por Servicios Técnicos y Profesionales</v>
      </c>
      <c r="U84" s="27">
        <f>+ENERO!U84</f>
        <v>151257124</v>
      </c>
      <c r="V84" s="15">
        <f>SEPTIEMBRE!V84+OCTUBRE!AL84</f>
        <v>24000000</v>
      </c>
      <c r="W84" s="15">
        <f>SEPTIEMBRE!W84+OCTUBRE!AM84</f>
        <v>0</v>
      </c>
      <c r="X84" s="18">
        <f>SUM(U84:W84)</f>
        <v>175257124</v>
      </c>
      <c r="Y84" s="19">
        <f>SEPTIEMBRE!AA84</f>
        <v>156378000</v>
      </c>
      <c r="Z84" s="377">
        <v>0</v>
      </c>
      <c r="AA84" s="18">
        <f>SUM(Y84:Z84)</f>
        <v>156378000</v>
      </c>
      <c r="AB84" s="19">
        <f>SEPTIEMBRE!AD84</f>
        <v>115778000</v>
      </c>
      <c r="AC84" s="377">
        <v>0</v>
      </c>
      <c r="AD84" s="18">
        <f>SUM(AB84:AC84)</f>
        <v>115778000</v>
      </c>
      <c r="AE84" s="19">
        <f>SEPTIEMBRE!AG84</f>
        <v>109040500</v>
      </c>
      <c r="AF84" s="377">
        <v>0</v>
      </c>
      <c r="AG84" s="18">
        <f>SUM(AE84:AF84)</f>
        <v>109040500</v>
      </c>
      <c r="AH84" s="19">
        <f>X84-AA84</f>
        <v>18879124</v>
      </c>
      <c r="AI84" s="15">
        <f>X84-AD84</f>
        <v>59479124</v>
      </c>
      <c r="AJ84" s="16">
        <f>X84-AG84</f>
        <v>66216624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+IF(SEPTIEMBRE!A85=0,"",SEPTIEMBRE!A85)</f>
        <v>11302</v>
      </c>
      <c r="B85" s="660" t="str">
        <f>+IF(SEPTIEMBRE!B85=0,"",SEPTIEMBRE!B85)</f>
        <v>Otras Ventas de Servicios de Salud</v>
      </c>
      <c r="C85" s="625">
        <f t="shared" ref="C85:N85" si="88">SUM(C86:C92)</f>
        <v>74000000</v>
      </c>
      <c r="D85" s="623">
        <f t="shared" si="88"/>
        <v>0</v>
      </c>
      <c r="E85" s="623">
        <f t="shared" si="88"/>
        <v>0</v>
      </c>
      <c r="F85" s="623">
        <f t="shared" si="88"/>
        <v>74000000</v>
      </c>
      <c r="G85" s="623">
        <f t="shared" si="88"/>
        <v>39258686</v>
      </c>
      <c r="H85" s="623">
        <f t="shared" si="88"/>
        <v>0</v>
      </c>
      <c r="I85" s="623">
        <f t="shared" si="88"/>
        <v>39258686</v>
      </c>
      <c r="J85" s="623">
        <f t="shared" si="88"/>
        <v>31929343</v>
      </c>
      <c r="K85" s="623">
        <f t="shared" si="88"/>
        <v>0</v>
      </c>
      <c r="L85" s="623">
        <f t="shared" si="88"/>
        <v>31929343</v>
      </c>
      <c r="M85" s="623">
        <f t="shared" si="88"/>
        <v>34741314</v>
      </c>
      <c r="N85" s="624">
        <f t="shared" si="88"/>
        <v>42070657</v>
      </c>
      <c r="P85" s="43">
        <f>SUM(P86:P92)</f>
        <v>0</v>
      </c>
      <c r="Q85" s="45">
        <f>SUM(Q86:Q92)</f>
        <v>0</v>
      </c>
      <c r="R85" s="9"/>
      <c r="S85" s="719" t="str">
        <f>+IF(SEPTIEMBRE!S85=0,"",SEPTIEMBRE!S85)</f>
        <v>1020200-2</v>
      </c>
      <c r="T85" s="693" t="str">
        <f>+IF(SEPTIEMBRE!T85=0,"",SEPTIEMBRE!T85)</f>
        <v>Personal Supernumerario</v>
      </c>
      <c r="U85" s="27">
        <f>+ENERO!U85</f>
        <v>0</v>
      </c>
      <c r="V85" s="15">
        <f>SEPTIEMBRE!V85+OCTUBRE!AL85</f>
        <v>0</v>
      </c>
      <c r="W85" s="15">
        <f>SEPTIEMBRE!W85+OCTUBRE!AM85</f>
        <v>0</v>
      </c>
      <c r="X85" s="18">
        <f>SUM(U85:W85)</f>
        <v>0</v>
      </c>
      <c r="Y85" s="19">
        <f>SEPTIEMBRE!AA85</f>
        <v>0</v>
      </c>
      <c r="Z85" s="377">
        <v>0</v>
      </c>
      <c r="AA85" s="18">
        <f>SUM(Y85:Z85)</f>
        <v>0</v>
      </c>
      <c r="AB85" s="19">
        <f>SEPTIEMBRE!AD85</f>
        <v>0</v>
      </c>
      <c r="AC85" s="377">
        <v>0</v>
      </c>
      <c r="AD85" s="18">
        <f>SUM(AB85:AC85)</f>
        <v>0</v>
      </c>
      <c r="AE85" s="19">
        <f>SEPTIEMBRE!AG85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+IF(SEPTIEMBRE!A86=0,"",SEPTIEMBRE!A86)</f>
        <v>1130201</v>
      </c>
      <c r="B86" s="634" t="str">
        <f>+IF(SEPTIEMBRE!B86=0,"",SEPTIEMBRE!B86)</f>
        <v/>
      </c>
      <c r="C86" s="401">
        <f>+ENERO!C86</f>
        <v>0</v>
      </c>
      <c r="D86" s="376">
        <f>SEPTIEMBRE!D86+OCTUBRE!P86</f>
        <v>0</v>
      </c>
      <c r="E86" s="376">
        <f>SEPTIEMBRE!E86+OCTUBRE!Q86</f>
        <v>0</v>
      </c>
      <c r="F86" s="376">
        <f t="shared" ref="F86:F92" si="89">SUM(C86:E86)</f>
        <v>0</v>
      </c>
      <c r="G86" s="376">
        <f>SEPTIEMBRE!I86</f>
        <v>0</v>
      </c>
      <c r="H86" s="377">
        <v>0</v>
      </c>
      <c r="I86" s="376">
        <f t="shared" ref="I86:I92" si="90">SUM(G86:H86)</f>
        <v>0</v>
      </c>
      <c r="J86" s="376">
        <f>SEPTIEMBRE!L86</f>
        <v>0</v>
      </c>
      <c r="K86" s="377">
        <v>0</v>
      </c>
      <c r="L86" s="376">
        <f t="shared" ref="L86:L92" si="91">SUM(J86:K86)</f>
        <v>0</v>
      </c>
      <c r="M86" s="376">
        <f t="shared" ref="M86:M92" si="92">F86-I86</f>
        <v>0</v>
      </c>
      <c r="N86" s="146">
        <f t="shared" ref="N86:N92" si="93">F86-L86</f>
        <v>0</v>
      </c>
      <c r="O86" s="385"/>
      <c r="P86" s="375">
        <v>0</v>
      </c>
      <c r="Q86" s="378">
        <v>0</v>
      </c>
      <c r="S86" s="719" t="str">
        <f>+IF(SEPTIEMBRE!S86=0,"",SEPTIEMBRE!S86)</f>
        <v>1020200-4</v>
      </c>
      <c r="T86" s="693" t="str">
        <f>+IF(SEPTIEMBRE!T86=0,"",SEPTIEMBRE!T86)</f>
        <v>Otros Honorarios (Servicios de Cooperativa)</v>
      </c>
      <c r="U86" s="27">
        <f>+ENERO!U86</f>
        <v>0</v>
      </c>
      <c r="V86" s="15">
        <f>SEPTIEMBRE!V86+OCTUBRE!AL86</f>
        <v>0</v>
      </c>
      <c r="W86" s="15">
        <f>SEPTIEMBRE!W86+OCTUBRE!AM86</f>
        <v>0</v>
      </c>
      <c r="X86" s="18">
        <f>SUM(U86:W86)</f>
        <v>0</v>
      </c>
      <c r="Y86" s="19">
        <f>SEPTIEMBRE!AA86</f>
        <v>0</v>
      </c>
      <c r="Z86" s="377">
        <v>0</v>
      </c>
      <c r="AA86" s="18">
        <f>SUM(Y86:Z86)</f>
        <v>0</v>
      </c>
      <c r="AB86" s="19">
        <f>SEPTIEMBRE!AD86</f>
        <v>0</v>
      </c>
      <c r="AC86" s="377">
        <v>0</v>
      </c>
      <c r="AD86" s="18">
        <f>SUM(AB86:AC86)</f>
        <v>0</v>
      </c>
      <c r="AE86" s="19">
        <f>SEPTIEMBRE!AG86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+IF(SEPTIEMBRE!A87=0,"",SEPTIEMBRE!A87)</f>
        <v>1130202</v>
      </c>
      <c r="B87" s="634" t="str">
        <f>+IF(SEPTIEMBRE!B87=0,"",SEPTIEMBRE!B87)</f>
        <v/>
      </c>
      <c r="C87" s="401">
        <f>+ENERO!C87</f>
        <v>0</v>
      </c>
      <c r="D87" s="376">
        <f>SEPTIEMBRE!D87+OCTUBRE!P87</f>
        <v>0</v>
      </c>
      <c r="E87" s="376">
        <f>SEPTIEMBRE!E87+OCTUBRE!Q87</f>
        <v>0</v>
      </c>
      <c r="F87" s="376">
        <f t="shared" si="89"/>
        <v>0</v>
      </c>
      <c r="G87" s="376">
        <f>SEPTIEMBRE!I87</f>
        <v>0</v>
      </c>
      <c r="H87" s="377">
        <v>0</v>
      </c>
      <c r="I87" s="376">
        <f t="shared" si="90"/>
        <v>0</v>
      </c>
      <c r="J87" s="376">
        <f>SEPTIEMBRE!L87</f>
        <v>0</v>
      </c>
      <c r="K87" s="377">
        <v>0</v>
      </c>
      <c r="L87" s="376">
        <f t="shared" si="91"/>
        <v>0</v>
      </c>
      <c r="M87" s="376">
        <f t="shared" si="92"/>
        <v>0</v>
      </c>
      <c r="N87" s="146">
        <f t="shared" si="93"/>
        <v>0</v>
      </c>
      <c r="P87" s="375">
        <v>0</v>
      </c>
      <c r="Q87" s="378">
        <v>0</v>
      </c>
      <c r="R87" s="9"/>
      <c r="S87" s="719" t="str">
        <f>+IF(SEPTIEMBRE!S87=0,"",SEPTIEMBRE!S87)</f>
        <v/>
      </c>
      <c r="T87" s="693" t="str">
        <f>+IF(SEPTIEMBRE!T87=0,"",SEPTIEMBRE!T87)</f>
        <v/>
      </c>
      <c r="U87" s="27">
        <f>+ENERO!U87</f>
        <v>0</v>
      </c>
      <c r="V87" s="15">
        <f>SEPTIEMBRE!V87+OCTUBRE!AL87</f>
        <v>0</v>
      </c>
      <c r="W87" s="15">
        <f>SEPTIEMBRE!W87+OCTUBRE!AM87</f>
        <v>0</v>
      </c>
      <c r="X87" s="18">
        <f>SUM(U87:W87)</f>
        <v>0</v>
      </c>
      <c r="Y87" s="19">
        <f>SEPTIEMBRE!AA87</f>
        <v>0</v>
      </c>
      <c r="Z87" s="377">
        <v>0</v>
      </c>
      <c r="AA87" s="18">
        <f>SUM(Y87:Z87)</f>
        <v>0</v>
      </c>
      <c r="AB87" s="19">
        <f>SEPTIEMBRE!AD87</f>
        <v>0</v>
      </c>
      <c r="AC87" s="377">
        <v>0</v>
      </c>
      <c r="AD87" s="18">
        <f>SUM(AB87:AC87)</f>
        <v>0</v>
      </c>
      <c r="AE87" s="19">
        <f>SEPTIEMBRE!AG87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+IF(SEPTIEMBRE!A88=0,"",SEPTIEMBRE!A88)</f>
        <v>1130203</v>
      </c>
      <c r="B88" s="635" t="str">
        <f>+IF(SEPTIEMBRE!B88=0,"",SEPTIEMBRE!B88)</f>
        <v>CONVENIOS CON LA NACION LIGADOS A LA VENTA DE SERVICIOS</v>
      </c>
      <c r="C88" s="401">
        <f>+ENERO!C88</f>
        <v>0</v>
      </c>
      <c r="D88" s="376">
        <f>SEPTIEMBRE!D88+OCTUBRE!P88</f>
        <v>0</v>
      </c>
      <c r="E88" s="376">
        <f>SEPTIEMBRE!E88+OCTUBRE!Q88</f>
        <v>0</v>
      </c>
      <c r="F88" s="376">
        <f t="shared" si="89"/>
        <v>0</v>
      </c>
      <c r="G88" s="376">
        <f>SEPTIEMBRE!I88</f>
        <v>0</v>
      </c>
      <c r="H88" s="377">
        <v>0</v>
      </c>
      <c r="I88" s="376">
        <f t="shared" si="90"/>
        <v>0</v>
      </c>
      <c r="J88" s="376">
        <f>SEPTIEMBRE!L88</f>
        <v>0</v>
      </c>
      <c r="K88" s="377">
        <v>0</v>
      </c>
      <c r="L88" s="376">
        <f t="shared" si="91"/>
        <v>0</v>
      </c>
      <c r="M88" s="376">
        <f t="shared" si="92"/>
        <v>0</v>
      </c>
      <c r="N88" s="146">
        <f t="shared" si="93"/>
        <v>0</v>
      </c>
      <c r="P88" s="375">
        <v>0</v>
      </c>
      <c r="Q88" s="378">
        <v>0</v>
      </c>
      <c r="R88" s="9"/>
      <c r="S88" s="719">
        <f>+IF(SEPTIEMBRE!S88=0,"",SEPTIEMBRE!S88)</f>
        <v>1020299</v>
      </c>
      <c r="T88" s="693" t="str">
        <f>+IF(SEPTIEMBRE!T88=0,"",SEPTIEMBRE!T88)</f>
        <v>Vigencias Anteriores</v>
      </c>
      <c r="U88" s="27">
        <f>+ENERO!U88</f>
        <v>0</v>
      </c>
      <c r="V88" s="15">
        <f>SEPTIEMBRE!V88+OCTUBRE!AL88</f>
        <v>0</v>
      </c>
      <c r="W88" s="15">
        <f>SEPTIEMBRE!W88+OCTUBRE!AM88</f>
        <v>6884000</v>
      </c>
      <c r="X88" s="18">
        <f>SUM(U88:W88)</f>
        <v>6884000</v>
      </c>
      <c r="Y88" s="19">
        <f>SEPTIEMBRE!AA88</f>
        <v>6884000</v>
      </c>
      <c r="Z88" s="377">
        <v>0</v>
      </c>
      <c r="AA88" s="18">
        <f>SUM(Y88:Z88)</f>
        <v>6884000</v>
      </c>
      <c r="AB88" s="19">
        <f>SEPTIEMBRE!AD88</f>
        <v>6884000</v>
      </c>
      <c r="AC88" s="377">
        <v>0</v>
      </c>
      <c r="AD88" s="18">
        <f>SUM(AB88:AC88)</f>
        <v>6884000</v>
      </c>
      <c r="AE88" s="19">
        <f>SEPTIEMBRE!AG88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+IF(SEPTIEMBRE!A89=0,"",SEPTIEMBRE!A89)</f>
        <v>1130204</v>
      </c>
      <c r="B89" s="635" t="str">
        <f>+IF(SEPTIEMBRE!B89=0,"",SEPTIEMBRE!B89)</f>
        <v>CONVENIOS CON EL DEPARTAMENTO LIGADOS A LA VENTA SERVICIOS</v>
      </c>
      <c r="C89" s="401">
        <f>+ENERO!C89</f>
        <v>50000000</v>
      </c>
      <c r="D89" s="376">
        <f>SEPTIEMBRE!D89+OCTUBRE!P89</f>
        <v>0</v>
      </c>
      <c r="E89" s="376">
        <f>SEPTIEMBRE!E89+OCTUBRE!Q89</f>
        <v>0</v>
      </c>
      <c r="F89" s="376">
        <f t="shared" si="89"/>
        <v>50000000</v>
      </c>
      <c r="G89" s="376">
        <f>SEPTIEMBRE!I89</f>
        <v>29658686</v>
      </c>
      <c r="H89" s="377">
        <v>0</v>
      </c>
      <c r="I89" s="376">
        <f t="shared" si="90"/>
        <v>29658686</v>
      </c>
      <c r="J89" s="376">
        <f>SEPTIEMBRE!L89</f>
        <v>22329343</v>
      </c>
      <c r="K89" s="377">
        <v>0</v>
      </c>
      <c r="L89" s="376">
        <f t="shared" si="91"/>
        <v>22329343</v>
      </c>
      <c r="M89" s="376">
        <f t="shared" si="92"/>
        <v>20341314</v>
      </c>
      <c r="N89" s="146">
        <f t="shared" si="93"/>
        <v>27670657</v>
      </c>
      <c r="P89" s="375">
        <v>0</v>
      </c>
      <c r="Q89" s="378">
        <v>0</v>
      </c>
      <c r="R89" s="9"/>
      <c r="S89" s="369" t="str">
        <f>+IF(SEPTIEMBRE!S89=0,"",SEPTIEMBRE!S89)</f>
        <v/>
      </c>
      <c r="T89" s="708" t="str">
        <f>+IF(SEPTIEMBRE!T89=0,"",SEPTIEMBRE!T89)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+IF(SEPTIEMBRE!A90=0,"",SEPTIEMBRE!A90)</f>
        <v>1130205</v>
      </c>
      <c r="B90" s="635" t="str">
        <f>+IF(SEPTIEMBRE!B90=0,"",SEPTIEMBRE!B90)</f>
        <v>CONVENIOS CON EL MUNICIPIO LIGADOS A LA VENTA DE SERVICIOS</v>
      </c>
      <c r="C90" s="401">
        <f>+ENERO!C90</f>
        <v>24000000</v>
      </c>
      <c r="D90" s="376">
        <f>SEPTIEMBRE!D90+OCTUBRE!P90</f>
        <v>0</v>
      </c>
      <c r="E90" s="376">
        <f>SEPTIEMBRE!E90+OCTUBRE!Q90</f>
        <v>0</v>
      </c>
      <c r="F90" s="376">
        <f t="shared" si="89"/>
        <v>24000000</v>
      </c>
      <c r="G90" s="376">
        <f>SEPTIEMBRE!I90</f>
        <v>9600000</v>
      </c>
      <c r="H90" s="377">
        <v>0</v>
      </c>
      <c r="I90" s="376">
        <f t="shared" si="90"/>
        <v>9600000</v>
      </c>
      <c r="J90" s="376">
        <f>SEPTIEMBRE!L90</f>
        <v>9600000</v>
      </c>
      <c r="K90" s="377">
        <v>0</v>
      </c>
      <c r="L90" s="376">
        <f t="shared" si="91"/>
        <v>9600000</v>
      </c>
      <c r="M90" s="376">
        <f t="shared" si="92"/>
        <v>14400000</v>
      </c>
      <c r="N90" s="146">
        <f t="shared" si="93"/>
        <v>14400000</v>
      </c>
      <c r="O90" s="385"/>
      <c r="P90" s="375">
        <v>0</v>
      </c>
      <c r="Q90" s="378">
        <v>0</v>
      </c>
      <c r="R90" s="30"/>
      <c r="S90" s="718">
        <f>+IF(SEPTIEMBRE!S90=0,"",SEPTIEMBRE!S90)</f>
        <v>1020300</v>
      </c>
      <c r="T90" s="692" t="str">
        <f>+IF(SEPTIEMBRE!T90=0,"",SEPTIEMBRE!T90)</f>
        <v>Contribuciones Inherentes nómina al Sector Privado</v>
      </c>
      <c r="U90" s="135">
        <f t="shared" ref="U90:AJ90" si="94">U91+U96+U102</f>
        <v>269700847</v>
      </c>
      <c r="V90" s="124">
        <f t="shared" si="94"/>
        <v>0</v>
      </c>
      <c r="W90" s="124">
        <f t="shared" si="94"/>
        <v>54740941</v>
      </c>
      <c r="X90" s="132">
        <f t="shared" si="94"/>
        <v>324441788</v>
      </c>
      <c r="Y90" s="131">
        <f t="shared" si="94"/>
        <v>242285035</v>
      </c>
      <c r="Z90" s="124">
        <f t="shared" si="94"/>
        <v>0</v>
      </c>
      <c r="AA90" s="132">
        <f t="shared" si="94"/>
        <v>242285035</v>
      </c>
      <c r="AB90" s="131">
        <f t="shared" si="94"/>
        <v>242285035</v>
      </c>
      <c r="AC90" s="124">
        <f t="shared" si="94"/>
        <v>0</v>
      </c>
      <c r="AD90" s="132">
        <f t="shared" si="94"/>
        <v>242285035</v>
      </c>
      <c r="AE90" s="131">
        <f t="shared" si="94"/>
        <v>200069145</v>
      </c>
      <c r="AF90" s="124">
        <f t="shared" si="94"/>
        <v>0</v>
      </c>
      <c r="AG90" s="132">
        <f t="shared" si="94"/>
        <v>200069145</v>
      </c>
      <c r="AH90" s="131">
        <f t="shared" si="94"/>
        <v>82156753</v>
      </c>
      <c r="AI90" s="124">
        <f t="shared" si="94"/>
        <v>82156753</v>
      </c>
      <c r="AJ90" s="133">
        <f t="shared" si="94"/>
        <v>124372643</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+IF(SEPTIEMBRE!A91=0,"",SEPTIEMBRE!A91)</f>
        <v>1130206</v>
      </c>
      <c r="B91" s="635" t="str">
        <f>+IF(SEPTIEMBRE!B91=0,"",SEPTIEMBRE!B91)</f>
        <v>OTROS CONVENIOS LIGADOS A LA VENTA DE SERVICIOS</v>
      </c>
      <c r="C91" s="401">
        <f>+ENERO!C91</f>
        <v>0</v>
      </c>
      <c r="D91" s="376">
        <f>SEPTIEMBRE!D91+OCTUBRE!P91</f>
        <v>0</v>
      </c>
      <c r="E91" s="376">
        <f>SEPTIEMBRE!E91+OCTUBRE!Q91</f>
        <v>0</v>
      </c>
      <c r="F91" s="376">
        <f t="shared" si="89"/>
        <v>0</v>
      </c>
      <c r="G91" s="376">
        <f>SEPTIEMBRE!I91</f>
        <v>0</v>
      </c>
      <c r="H91" s="377">
        <v>0</v>
      </c>
      <c r="I91" s="376">
        <f t="shared" si="90"/>
        <v>0</v>
      </c>
      <c r="J91" s="376">
        <f>SEPTIEMBRE!L91</f>
        <v>0</v>
      </c>
      <c r="K91" s="377">
        <v>0</v>
      </c>
      <c r="L91" s="376">
        <f t="shared" si="91"/>
        <v>0</v>
      </c>
      <c r="M91" s="376">
        <f t="shared" si="92"/>
        <v>0</v>
      </c>
      <c r="N91" s="146">
        <f t="shared" si="93"/>
        <v>0</v>
      </c>
      <c r="O91" s="385"/>
      <c r="P91" s="375">
        <v>0</v>
      </c>
      <c r="Q91" s="378">
        <v>0</v>
      </c>
      <c r="R91" s="30"/>
      <c r="S91" s="719">
        <f>+IF(SEPTIEMBRE!S91=0,"",SEPTIEMBRE!S91)</f>
        <v>1020301</v>
      </c>
      <c r="T91" s="693" t="str">
        <f>+IF(SEPTIEMBRE!T91=0,"",SEPTIEMBRE!T91)</f>
        <v>Contribuciones - Sin Situación de Fondos</v>
      </c>
      <c r="U91" s="27">
        <f t="shared" ref="U91:AJ91" si="95">SUM(U92:U95)</f>
        <v>230094736</v>
      </c>
      <c r="V91" s="15">
        <f t="shared" si="95"/>
        <v>0</v>
      </c>
      <c r="W91" s="15">
        <f t="shared" si="95"/>
        <v>0</v>
      </c>
      <c r="X91" s="18">
        <f t="shared" si="95"/>
        <v>230094736</v>
      </c>
      <c r="Y91" s="19">
        <f t="shared" si="95"/>
        <v>164137494</v>
      </c>
      <c r="Z91" s="145">
        <f t="shared" si="95"/>
        <v>0</v>
      </c>
      <c r="AA91" s="18">
        <f t="shared" si="95"/>
        <v>164137494</v>
      </c>
      <c r="AB91" s="19">
        <f t="shared" si="95"/>
        <v>164137494</v>
      </c>
      <c r="AC91" s="145">
        <f t="shared" si="95"/>
        <v>0</v>
      </c>
      <c r="AD91" s="18">
        <f t="shared" si="95"/>
        <v>164137494</v>
      </c>
      <c r="AE91" s="19">
        <f t="shared" si="95"/>
        <v>126064609</v>
      </c>
      <c r="AF91" s="145">
        <f t="shared" si="95"/>
        <v>0</v>
      </c>
      <c r="AG91" s="18">
        <f t="shared" si="95"/>
        <v>126064609</v>
      </c>
      <c r="AH91" s="19">
        <f t="shared" si="95"/>
        <v>65957242</v>
      </c>
      <c r="AI91" s="15">
        <f t="shared" si="95"/>
        <v>65957242</v>
      </c>
      <c r="AJ91" s="16">
        <f t="shared" si="95"/>
        <v>104030127</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+IF(SEPTIEMBRE!A92=0,"",SEPTIEMBRE!A92)</f>
        <v>1130207</v>
      </c>
      <c r="B92" s="636" t="str">
        <f>+IF(SEPTIEMBRE!B92=0,"",SEPTIEMBRE!B92)</f>
        <v>Vigencia Anterior</v>
      </c>
      <c r="C92" s="491">
        <f>+ENERO!C92</f>
        <v>0</v>
      </c>
      <c r="D92" s="388">
        <f>SEPTIEMBRE!D92+OCTUBRE!P92</f>
        <v>0</v>
      </c>
      <c r="E92" s="388">
        <f>SEPTIEMBRE!E92+OCTUBRE!Q92</f>
        <v>0</v>
      </c>
      <c r="F92" s="388">
        <f t="shared" si="89"/>
        <v>0</v>
      </c>
      <c r="G92" s="388">
        <f>SEPTIEMBRE!I92</f>
        <v>0</v>
      </c>
      <c r="H92" s="391">
        <v>0</v>
      </c>
      <c r="I92" s="388">
        <f t="shared" si="90"/>
        <v>0</v>
      </c>
      <c r="J92" s="388">
        <f>SEPTIEMBRE!L92</f>
        <v>0</v>
      </c>
      <c r="K92" s="391">
        <v>0</v>
      </c>
      <c r="L92" s="388">
        <f t="shared" si="91"/>
        <v>0</v>
      </c>
      <c r="M92" s="388">
        <f t="shared" si="92"/>
        <v>0</v>
      </c>
      <c r="N92" s="389">
        <f t="shared" si="93"/>
        <v>0</v>
      </c>
      <c r="O92" s="385"/>
      <c r="P92" s="375">
        <v>0</v>
      </c>
      <c r="Q92" s="378">
        <v>0</v>
      </c>
      <c r="R92" s="30"/>
      <c r="S92" s="720" t="str">
        <f>+IF(SEPTIEMBRE!S92=0,"",SEPTIEMBRE!S92)</f>
        <v>1020301-1</v>
      </c>
      <c r="T92" s="694" t="str">
        <f>+IF(SEPTIEMBRE!T92=0,"",SEPTIEMBRE!T92)</f>
        <v>Aportes a E.P.S.- Sin sit. Fondos</v>
      </c>
      <c r="U92" s="27">
        <f>+ENERO!U92</f>
        <v>59416260</v>
      </c>
      <c r="V92" s="15">
        <f>SEPTIEMBRE!V92+OCTUBRE!AL92</f>
        <v>0</v>
      </c>
      <c r="W92" s="15">
        <f>SEPTIEMBRE!W92+OCTUBRE!AM92</f>
        <v>0</v>
      </c>
      <c r="X92" s="18">
        <f>SUM(U92:W92)</f>
        <v>59416260</v>
      </c>
      <c r="Y92" s="19">
        <f>SEPTIEMBRE!AA92</f>
        <v>47924897</v>
      </c>
      <c r="Z92" s="377">
        <v>0</v>
      </c>
      <c r="AA92" s="18">
        <f>SUM(Y92:Z92)</f>
        <v>47924897</v>
      </c>
      <c r="AB92" s="19">
        <f>SEPTIEMBRE!AD92</f>
        <v>47924897</v>
      </c>
      <c r="AC92" s="377">
        <v>0</v>
      </c>
      <c r="AD92" s="18">
        <f>SUM(AB92:AC92)</f>
        <v>47924897</v>
      </c>
      <c r="AE92" s="19">
        <f>SEPTIEMBRE!AG92</f>
        <v>47924897</v>
      </c>
      <c r="AF92" s="377">
        <v>0</v>
      </c>
      <c r="AG92" s="18">
        <f>SUM(AE92:AF92)</f>
        <v>47924897</v>
      </c>
      <c r="AH92" s="19">
        <f>X92-AA92</f>
        <v>11491363</v>
      </c>
      <c r="AI92" s="15">
        <f>X92-AD92</f>
        <v>11491363</v>
      </c>
      <c r="AJ92" s="16">
        <f>X92-AG92</f>
        <v>11491363</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+IF(SEPTIEMBRE!A93=0,"",SEPTIEMBRE!A93)</f>
        <v/>
      </c>
      <c r="B93" s="659" t="str">
        <f>+IF(SEPTIEMBRE!B93=0,"",SEPTIEMBRE!B93)</f>
        <v/>
      </c>
      <c r="C93" s="297"/>
      <c r="D93" s="297"/>
      <c r="E93" s="297"/>
      <c r="F93" s="297"/>
      <c r="G93" s="297"/>
      <c r="H93" s="297"/>
      <c r="I93" s="297"/>
      <c r="J93" s="297"/>
      <c r="K93" s="297"/>
      <c r="L93" s="297"/>
      <c r="M93" s="297"/>
      <c r="N93" s="466"/>
      <c r="P93" s="470"/>
      <c r="Q93" s="394"/>
      <c r="R93" s="30"/>
      <c r="S93" s="720" t="str">
        <f>+IF(SEPTIEMBRE!S93=0,"",SEPTIEMBRE!S93)</f>
        <v>1020301-2</v>
      </c>
      <c r="T93" s="694" t="str">
        <f>+IF(SEPTIEMBRE!T93=0,"",SEPTIEMBRE!T93)</f>
        <v>Aportes Fondos Pensionales - Sin Sit. Fondos</v>
      </c>
      <c r="U93" s="27">
        <f>+ENERO!U93</f>
        <v>81857136</v>
      </c>
      <c r="V93" s="15">
        <f>SEPTIEMBRE!V93+OCTUBRE!AL93</f>
        <v>0</v>
      </c>
      <c r="W93" s="15">
        <f>SEPTIEMBRE!W93+OCTUBRE!AM93</f>
        <v>0</v>
      </c>
      <c r="X93" s="18">
        <f>SUM(U93:W93)</f>
        <v>81857136</v>
      </c>
      <c r="Y93" s="19">
        <f>SEPTIEMBRE!AA93</f>
        <v>68463183</v>
      </c>
      <c r="Z93" s="377">
        <v>0</v>
      </c>
      <c r="AA93" s="18">
        <f>SUM(Y93:Z93)</f>
        <v>68463183</v>
      </c>
      <c r="AB93" s="19">
        <f>SEPTIEMBRE!AD93</f>
        <v>68463183</v>
      </c>
      <c r="AC93" s="377">
        <v>0</v>
      </c>
      <c r="AD93" s="18">
        <f>SUM(AB93:AC93)</f>
        <v>68463183</v>
      </c>
      <c r="AE93" s="19">
        <f>SEPTIEMBRE!AG93</f>
        <v>63364539</v>
      </c>
      <c r="AF93" s="377">
        <v>0</v>
      </c>
      <c r="AG93" s="18">
        <f>SUM(AE93:AF93)</f>
        <v>63364539</v>
      </c>
      <c r="AH93" s="19">
        <f>X93-AA93</f>
        <v>13393953</v>
      </c>
      <c r="AI93" s="15">
        <f>X93-AD93</f>
        <v>13393953</v>
      </c>
      <c r="AJ93" s="16">
        <f>X93-AG93</f>
        <v>18492597</v>
      </c>
      <c r="AK93" s="9"/>
      <c r="AL93" s="375">
        <v>0</v>
      </c>
      <c r="AM93" s="378">
        <v>0</v>
      </c>
      <c r="AN93" s="30"/>
      <c r="AO93" s="463"/>
      <c r="AP93" s="463"/>
      <c r="AQ93" s="463"/>
      <c r="AR93" s="463"/>
      <c r="AS93" s="463"/>
      <c r="AT93" s="463"/>
      <c r="AU93" s="463"/>
      <c r="AV93" s="463"/>
      <c r="AW93" s="463"/>
      <c r="AX93" s="463"/>
      <c r="AY93" s="463"/>
      <c r="AZ93" s="463"/>
      <c r="BL93" s="30"/>
    </row>
    <row r="94" spans="1:70" s="464" customFormat="1" ht="35.25" customHeight="1" x14ac:dyDescent="0.2">
      <c r="A94" s="753">
        <f>+IF(SEPTIEMBRE!A94=0,"",SEPTIEMBRE!A94)</f>
        <v>11303</v>
      </c>
      <c r="B94" s="626" t="str">
        <f>+IF(SEPTIEMBRE!B94=0,"",SEPTIEMBRE!B94)</f>
        <v>Aportes (No ligados a la venta de servicios de salud)</v>
      </c>
      <c r="C94" s="625">
        <f>SUM(C95:C102)</f>
        <v>0</v>
      </c>
      <c r="D94" s="623">
        <f t="shared" ref="D94:N94" si="96">SUM(D95:D102)</f>
        <v>0</v>
      </c>
      <c r="E94" s="623">
        <f t="shared" si="96"/>
        <v>74713971</v>
      </c>
      <c r="F94" s="623">
        <f t="shared" si="96"/>
        <v>74713971</v>
      </c>
      <c r="G94" s="623">
        <f t="shared" si="96"/>
        <v>137871796</v>
      </c>
      <c r="H94" s="623">
        <f t="shared" si="96"/>
        <v>0</v>
      </c>
      <c r="I94" s="623">
        <f t="shared" si="96"/>
        <v>137871796</v>
      </c>
      <c r="J94" s="623">
        <f t="shared" si="96"/>
        <v>137871796</v>
      </c>
      <c r="K94" s="623">
        <f t="shared" si="96"/>
        <v>0</v>
      </c>
      <c r="L94" s="623">
        <f t="shared" si="96"/>
        <v>137871796</v>
      </c>
      <c r="M94" s="623">
        <f t="shared" si="96"/>
        <v>-63157825</v>
      </c>
      <c r="N94" s="624">
        <f t="shared" si="96"/>
        <v>-63157825</v>
      </c>
      <c r="O94" s="385"/>
      <c r="P94" s="43">
        <f>SUM(P95:P102)</f>
        <v>0</v>
      </c>
      <c r="Q94" s="45">
        <f>SUM(Q95:Q102)</f>
        <v>0</v>
      </c>
      <c r="R94" s="30"/>
      <c r="S94" s="720" t="str">
        <f>+IF(SEPTIEMBRE!S94=0,"",SEPTIEMBRE!S94)</f>
        <v>1020301-3</v>
      </c>
      <c r="T94" s="694" t="str">
        <f>+IF(SEPTIEMBRE!T94=0,"",SEPTIEMBRE!T94)</f>
        <v xml:space="preserve">Aportes a Fondos de Cesantia - Sin Sit. de Fondos </v>
      </c>
      <c r="U94" s="27">
        <f>+ENERO!U94</f>
        <v>71793333</v>
      </c>
      <c r="V94" s="15">
        <f>SEPTIEMBRE!V94+OCTUBRE!AL94</f>
        <v>0</v>
      </c>
      <c r="W94" s="15">
        <f>SEPTIEMBRE!W94+OCTUBRE!AM94</f>
        <v>0</v>
      </c>
      <c r="X94" s="18">
        <f>SUM(U94:W94)</f>
        <v>71793333</v>
      </c>
      <c r="Y94" s="19">
        <f>SEPTIEMBRE!AA94</f>
        <v>34253599</v>
      </c>
      <c r="Z94" s="377">
        <v>0</v>
      </c>
      <c r="AA94" s="18">
        <f>SUM(Y94:Z94)</f>
        <v>34253599</v>
      </c>
      <c r="AB94" s="19">
        <f>SEPTIEMBRE!AD94</f>
        <v>34253599</v>
      </c>
      <c r="AC94" s="377">
        <v>0</v>
      </c>
      <c r="AD94" s="18">
        <f>SUM(AB94:AC94)</f>
        <v>34253599</v>
      </c>
      <c r="AE94" s="19">
        <f>SEPTIEMBRE!AG94</f>
        <v>1279358</v>
      </c>
      <c r="AF94" s="377">
        <v>0</v>
      </c>
      <c r="AG94" s="18">
        <f>SUM(AE94:AF94)</f>
        <v>1279358</v>
      </c>
      <c r="AH94" s="19">
        <f>X94-AA94</f>
        <v>37539734</v>
      </c>
      <c r="AI94" s="15">
        <f>X94-AD94</f>
        <v>37539734</v>
      </c>
      <c r="AJ94" s="16">
        <f>X94-AG94</f>
        <v>70513975</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+IF(SEPTIEMBRE!A95=0,"",SEPTIEMBRE!A95)</f>
        <v>11303-1</v>
      </c>
      <c r="B95" s="627" t="str">
        <f>+IF(SEPTIEMBRE!B95=0,"",SEPTIEMBRE!B95)</f>
        <v>NACION</v>
      </c>
      <c r="C95" s="401">
        <f>+ENERO!C95</f>
        <v>0</v>
      </c>
      <c r="D95" s="376">
        <f>SEPTIEMBRE!D95+OCTUBRE!P95</f>
        <v>0</v>
      </c>
      <c r="E95" s="376">
        <f>SEPTIEMBRE!E95+OCTUBRE!Q95</f>
        <v>0</v>
      </c>
      <c r="F95" s="376">
        <f t="shared" ref="F95:F102" si="97">SUM(C95:E95)</f>
        <v>0</v>
      </c>
      <c r="G95" s="376">
        <f>SEPTIEMBRE!I95</f>
        <v>0</v>
      </c>
      <c r="H95" s="377">
        <v>0</v>
      </c>
      <c r="I95" s="376">
        <f t="shared" ref="I95:I102" si="98">SUM(G95:H95)</f>
        <v>0</v>
      </c>
      <c r="J95" s="376">
        <f>SEPTIEMBRE!L95</f>
        <v>0</v>
      </c>
      <c r="K95" s="377">
        <v>0</v>
      </c>
      <c r="L95" s="376">
        <f t="shared" ref="L95:L102" si="99">SUM(J95:K95)</f>
        <v>0</v>
      </c>
      <c r="M95" s="376">
        <f t="shared" ref="M95:M102" si="100">F95-I95</f>
        <v>0</v>
      </c>
      <c r="N95" s="146">
        <f t="shared" ref="N95:N102" si="101">F95-L95</f>
        <v>0</v>
      </c>
      <c r="O95" s="385"/>
      <c r="P95" s="375">
        <v>0</v>
      </c>
      <c r="Q95" s="378">
        <v>0</v>
      </c>
      <c r="R95" s="30"/>
      <c r="S95" s="720" t="str">
        <f>+IF(SEPTIEMBRE!S95=0,"",SEPTIEMBRE!S95)</f>
        <v>1020301-4</v>
      </c>
      <c r="T95" s="694" t="str">
        <f>+IF(SEPTIEMBRE!T95=0,"",SEPTIEMBRE!T95)</f>
        <v>Aporte a ARL. - Sin Sit. de Fondos</v>
      </c>
      <c r="U95" s="27">
        <f>+ENERO!U95</f>
        <v>17028007</v>
      </c>
      <c r="V95" s="15">
        <f>SEPTIEMBRE!V95+OCTUBRE!AL95</f>
        <v>0</v>
      </c>
      <c r="W95" s="15">
        <f>SEPTIEMBRE!W95+OCTUBRE!AM95</f>
        <v>0</v>
      </c>
      <c r="X95" s="18">
        <f>SUM(U95:W95)</f>
        <v>17028007</v>
      </c>
      <c r="Y95" s="19">
        <f>SEPTIEMBRE!AA95</f>
        <v>13495815</v>
      </c>
      <c r="Z95" s="377">
        <v>0</v>
      </c>
      <c r="AA95" s="18">
        <f>SUM(Y95:Z95)</f>
        <v>13495815</v>
      </c>
      <c r="AB95" s="19">
        <f>SEPTIEMBRE!AD95</f>
        <v>13495815</v>
      </c>
      <c r="AC95" s="377">
        <v>0</v>
      </c>
      <c r="AD95" s="18">
        <f>SUM(AB95:AC95)</f>
        <v>13495815</v>
      </c>
      <c r="AE95" s="19">
        <f>SEPTIEMBRE!AG95</f>
        <v>13495815</v>
      </c>
      <c r="AF95" s="377">
        <v>0</v>
      </c>
      <c r="AG95" s="18">
        <f>SUM(AE95:AF95)</f>
        <v>13495815</v>
      </c>
      <c r="AH95" s="19">
        <f>X95-AA95</f>
        <v>3532192</v>
      </c>
      <c r="AI95" s="15">
        <f>X95-AD95</f>
        <v>3532192</v>
      </c>
      <c r="AJ95" s="16">
        <f>X95-AG95</f>
        <v>3532192</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+IF(SEPTIEMBRE!A96=0,"",SEPTIEMBRE!A96)</f>
        <v>11303-2</v>
      </c>
      <c r="B96" s="627" t="str">
        <f>+IF(SEPTIEMBRE!B96=0,"",SEPTIEMBRE!B96)</f>
        <v>DEPARTAMENTO</v>
      </c>
      <c r="C96" s="401">
        <f>+ENERO!C96</f>
        <v>0</v>
      </c>
      <c r="D96" s="376">
        <f>SEPTIEMBRE!D96+OCTUBRE!P96</f>
        <v>0</v>
      </c>
      <c r="E96" s="376">
        <f>SEPTIEMBRE!E96+OCTUBRE!Q96</f>
        <v>61305130</v>
      </c>
      <c r="F96" s="376">
        <f t="shared" si="97"/>
        <v>61305130</v>
      </c>
      <c r="G96" s="376">
        <f>SEPTIEMBRE!I96</f>
        <v>137871796</v>
      </c>
      <c r="H96" s="377">
        <v>0</v>
      </c>
      <c r="I96" s="376">
        <f t="shared" si="98"/>
        <v>137871796</v>
      </c>
      <c r="J96" s="376">
        <f>SEPTIEMBRE!L96</f>
        <v>137871796</v>
      </c>
      <c r="K96" s="377">
        <v>0</v>
      </c>
      <c r="L96" s="376">
        <f t="shared" si="99"/>
        <v>137871796</v>
      </c>
      <c r="M96" s="376">
        <f t="shared" si="100"/>
        <v>-76566666</v>
      </c>
      <c r="N96" s="146">
        <f t="shared" si="101"/>
        <v>-76566666</v>
      </c>
      <c r="O96" s="385"/>
      <c r="P96" s="375">
        <v>0</v>
      </c>
      <c r="Q96" s="378">
        <v>0</v>
      </c>
      <c r="S96" s="719">
        <f>+IF(SEPTIEMBRE!S96=0,"",SEPTIEMBRE!S96)</f>
        <v>1020302</v>
      </c>
      <c r="T96" s="693" t="str">
        <f>+IF(SEPTIEMBRE!T96=0,"",SEPTIEMBRE!T96)</f>
        <v>Contribuciones - Otros</v>
      </c>
      <c r="U96" s="27">
        <f t="shared" ref="U96:AJ96" si="102">SUM(U97:U101)</f>
        <v>39606111</v>
      </c>
      <c r="V96" s="15">
        <f t="shared" si="102"/>
        <v>0</v>
      </c>
      <c r="W96" s="15">
        <f t="shared" si="102"/>
        <v>0</v>
      </c>
      <c r="X96" s="18">
        <f t="shared" si="102"/>
        <v>39606111</v>
      </c>
      <c r="Y96" s="19">
        <f t="shared" si="102"/>
        <v>23406600</v>
      </c>
      <c r="Z96" s="145">
        <f t="shared" si="102"/>
        <v>0</v>
      </c>
      <c r="AA96" s="18">
        <f t="shared" si="102"/>
        <v>23406600</v>
      </c>
      <c r="AB96" s="19">
        <f t="shared" si="102"/>
        <v>23406600</v>
      </c>
      <c r="AC96" s="145">
        <f t="shared" si="102"/>
        <v>0</v>
      </c>
      <c r="AD96" s="18">
        <f t="shared" si="102"/>
        <v>23406600</v>
      </c>
      <c r="AE96" s="19">
        <f t="shared" si="102"/>
        <v>21043400</v>
      </c>
      <c r="AF96" s="145">
        <f t="shared" si="102"/>
        <v>0</v>
      </c>
      <c r="AG96" s="18">
        <f t="shared" si="102"/>
        <v>21043400</v>
      </c>
      <c r="AH96" s="19">
        <f t="shared" si="102"/>
        <v>16199511</v>
      </c>
      <c r="AI96" s="15">
        <f t="shared" si="102"/>
        <v>16199511</v>
      </c>
      <c r="AJ96" s="16">
        <f t="shared" si="102"/>
        <v>18562711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+IF(SEPTIEMBRE!A97=0,"",SEPTIEMBRE!A97)</f>
        <v>11303-3</v>
      </c>
      <c r="B97" s="627" t="str">
        <f>+IF(SEPTIEMBRE!B97=0,"",SEPTIEMBRE!B97)</f>
        <v>MUNICIPIO</v>
      </c>
      <c r="C97" s="401">
        <f>+ENERO!C97</f>
        <v>0</v>
      </c>
      <c r="D97" s="376">
        <f>SEPTIEMBRE!D97+OCTUBRE!P97</f>
        <v>0</v>
      </c>
      <c r="E97" s="376">
        <f>SEPTIEMBRE!E97+OCTUBRE!Q97</f>
        <v>0</v>
      </c>
      <c r="F97" s="376">
        <f t="shared" si="97"/>
        <v>0</v>
      </c>
      <c r="G97" s="376">
        <f>SEPTIEMBRE!I97</f>
        <v>0</v>
      </c>
      <c r="H97" s="377">
        <v>0</v>
      </c>
      <c r="I97" s="376">
        <f t="shared" si="98"/>
        <v>0</v>
      </c>
      <c r="J97" s="376">
        <f>SEPTIEMBRE!L97</f>
        <v>0</v>
      </c>
      <c r="K97" s="377">
        <v>0</v>
      </c>
      <c r="L97" s="376">
        <f t="shared" si="99"/>
        <v>0</v>
      </c>
      <c r="M97" s="376">
        <f t="shared" si="100"/>
        <v>0</v>
      </c>
      <c r="N97" s="146">
        <f t="shared" si="101"/>
        <v>0</v>
      </c>
      <c r="O97" s="385"/>
      <c r="P97" s="375">
        <v>0</v>
      </c>
      <c r="Q97" s="378">
        <v>0</v>
      </c>
      <c r="R97" s="30"/>
      <c r="S97" s="720" t="str">
        <f>+IF(SEPTIEMBRE!S97=0,"",SEPTIEMBRE!S97)</f>
        <v>1020302-1</v>
      </c>
      <c r="T97" s="694" t="str">
        <f>+IF(SEPTIEMBRE!T97=0,"",SEPTIEMBRE!T97)</f>
        <v>Aportes a E.P.S.- Con sit. Fondos</v>
      </c>
      <c r="U97" s="27">
        <f>+ENERO!U97</f>
        <v>1005165</v>
      </c>
      <c r="V97" s="15">
        <f>SEPTIEMBRE!V97+OCTUBRE!AL97</f>
        <v>0</v>
      </c>
      <c r="W97" s="15">
        <f>SEPTIEMBRE!W97+OCTUBRE!AM97</f>
        <v>0</v>
      </c>
      <c r="X97" s="18">
        <f t="shared" ref="X97:X102" si="103">SUM(U97:W97)</f>
        <v>1005165</v>
      </c>
      <c r="Y97" s="19">
        <f>SEPTIEMBRE!AA97</f>
        <v>773500</v>
      </c>
      <c r="Z97" s="377">
        <v>0</v>
      </c>
      <c r="AA97" s="18">
        <f t="shared" ref="AA97:AA102" si="104">SUM(Y97:Z97)</f>
        <v>773500</v>
      </c>
      <c r="AB97" s="19">
        <f>SEPTIEMBRE!AD97</f>
        <v>773500</v>
      </c>
      <c r="AC97" s="377">
        <v>0</v>
      </c>
      <c r="AD97" s="18">
        <f t="shared" ref="AD97:AD102" si="105">SUM(AB97:AC97)</f>
        <v>773500</v>
      </c>
      <c r="AE97" s="19">
        <f>SEPTIEMBRE!AG97</f>
        <v>773500</v>
      </c>
      <c r="AF97" s="377">
        <v>0</v>
      </c>
      <c r="AG97" s="18">
        <f t="shared" ref="AG97:AG102" si="106">SUM(AE97:AF97)</f>
        <v>773500</v>
      </c>
      <c r="AH97" s="19">
        <f t="shared" ref="AH97:AH102" si="107">X97-AA97</f>
        <v>231665</v>
      </c>
      <c r="AI97" s="15">
        <f t="shared" ref="AI97:AI102" si="108">X97-AD97</f>
        <v>231665</v>
      </c>
      <c r="AJ97" s="16">
        <f t="shared" ref="AJ97:AJ102" si="109">X97-AG97</f>
        <v>231665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+IF(SEPTIEMBRE!A98=0,"",SEPTIEMBRE!A98)</f>
        <v>11303-4</v>
      </c>
      <c r="B98" s="627" t="str">
        <f>+IF(SEPTIEMBRE!B98=0,"",SEPTIEMBRE!B98)</f>
        <v>CONVENIOS (EMPRESTITO)</v>
      </c>
      <c r="C98" s="401">
        <f>+ENERO!C98</f>
        <v>0</v>
      </c>
      <c r="D98" s="376">
        <f>SEPTIEMBRE!D98+OCTUBRE!P98</f>
        <v>0</v>
      </c>
      <c r="E98" s="376">
        <f>SEPTIEMBRE!E98+OCTUBRE!Q98</f>
        <v>0</v>
      </c>
      <c r="F98" s="376">
        <f t="shared" si="97"/>
        <v>0</v>
      </c>
      <c r="G98" s="376">
        <f>SEPTIEMBRE!I98</f>
        <v>0</v>
      </c>
      <c r="H98" s="377">
        <v>0</v>
      </c>
      <c r="I98" s="376">
        <f t="shared" si="98"/>
        <v>0</v>
      </c>
      <c r="J98" s="376">
        <f>SEPTIEMBRE!L98</f>
        <v>0</v>
      </c>
      <c r="K98" s="377">
        <v>0</v>
      </c>
      <c r="L98" s="376">
        <f t="shared" si="99"/>
        <v>0</v>
      </c>
      <c r="M98" s="376">
        <f t="shared" si="100"/>
        <v>0</v>
      </c>
      <c r="N98" s="146">
        <f t="shared" si="101"/>
        <v>0</v>
      </c>
      <c r="O98" s="385"/>
      <c r="P98" s="375">
        <v>0</v>
      </c>
      <c r="Q98" s="378">
        <v>0</v>
      </c>
      <c r="R98" s="30"/>
      <c r="S98" s="720" t="str">
        <f>+IF(SEPTIEMBRE!S98=0,"",SEPTIEMBRE!S98)</f>
        <v>1020302-2</v>
      </c>
      <c r="T98" s="694" t="str">
        <f>+IF(SEPTIEMBRE!T98=0,"",SEPTIEMBRE!T98)</f>
        <v>Aportes Fondos Pensionales - Con Sit. Fondos</v>
      </c>
      <c r="U98" s="27">
        <f>+ENERO!U98</f>
        <v>3635130</v>
      </c>
      <c r="V98" s="15">
        <f>SEPTIEMBRE!V98+OCTUBRE!AL98</f>
        <v>0</v>
      </c>
      <c r="W98" s="15">
        <f>SEPTIEMBRE!W98+OCTUBRE!AM98</f>
        <v>0</v>
      </c>
      <c r="X98" s="18">
        <f t="shared" si="103"/>
        <v>3635130</v>
      </c>
      <c r="Y98" s="19">
        <f>SEPTIEMBRE!AA98</f>
        <v>0</v>
      </c>
      <c r="Z98" s="377">
        <v>0</v>
      </c>
      <c r="AA98" s="18">
        <f t="shared" si="104"/>
        <v>0</v>
      </c>
      <c r="AB98" s="19">
        <f>SEPTIEMBRE!AD98</f>
        <v>0</v>
      </c>
      <c r="AC98" s="377">
        <v>0</v>
      </c>
      <c r="AD98" s="18">
        <f t="shared" si="105"/>
        <v>0</v>
      </c>
      <c r="AE98" s="19">
        <f>SEPTIEMBRE!AG98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+IF(SEPTIEMBRE!A99=0,"",SEPTIEMBRE!A99)</f>
        <v>11303-5</v>
      </c>
      <c r="B99" s="627" t="str">
        <f>+IF(SEPTIEMBRE!B99=0,"",SEPTIEMBRE!B99)</f>
        <v>APORTES PATRONALES - MUNICIPIO / DEPARTAMENTO</v>
      </c>
      <c r="C99" s="681">
        <f>+ENERO!C99</f>
        <v>0</v>
      </c>
      <c r="D99" s="376">
        <f>SEPTIEMBRE!D99+OCTUBRE!P99</f>
        <v>0</v>
      </c>
      <c r="E99" s="376">
        <f>SEPTIEMBRE!E99+OCTUBRE!Q99</f>
        <v>0</v>
      </c>
      <c r="F99" s="376">
        <f t="shared" si="97"/>
        <v>0</v>
      </c>
      <c r="G99" s="376">
        <f>SEPTIEMBRE!I99</f>
        <v>0</v>
      </c>
      <c r="H99" s="682">
        <v>0</v>
      </c>
      <c r="I99" s="376">
        <f t="shared" si="98"/>
        <v>0</v>
      </c>
      <c r="J99" s="376">
        <f>SEPTIEMBRE!L99</f>
        <v>0</v>
      </c>
      <c r="K99" s="682">
        <v>0</v>
      </c>
      <c r="L99" s="376">
        <f t="shared" si="99"/>
        <v>0</v>
      </c>
      <c r="M99" s="376">
        <f t="shared" si="100"/>
        <v>0</v>
      </c>
      <c r="N99" s="146">
        <f t="shared" si="101"/>
        <v>0</v>
      </c>
      <c r="O99" s="385"/>
      <c r="P99" s="683">
        <v>0</v>
      </c>
      <c r="Q99" s="684">
        <v>0</v>
      </c>
      <c r="R99" s="30"/>
      <c r="S99" s="720" t="str">
        <f>+IF(SEPTIEMBRE!S99=0,"",SEPTIEMBRE!S99)</f>
        <v>1020302-3</v>
      </c>
      <c r="T99" s="694" t="str">
        <f>+IF(SEPTIEMBRE!T99=0,"",SEPTIEMBRE!T99)</f>
        <v xml:space="preserve">Aportes a Fondos de Cesantia - Con Sit. de Fondos </v>
      </c>
      <c r="U99" s="27">
        <f>+ENERO!U99</f>
        <v>2469908</v>
      </c>
      <c r="V99" s="15">
        <f>SEPTIEMBRE!V99+OCTUBRE!AL99</f>
        <v>0</v>
      </c>
      <c r="W99" s="15">
        <f>SEPTIEMBRE!W99+OCTUBRE!AM99</f>
        <v>0</v>
      </c>
      <c r="X99" s="18">
        <f t="shared" si="103"/>
        <v>2469908</v>
      </c>
      <c r="Y99" s="19">
        <f>SEPTIEMBRE!AA99</f>
        <v>0</v>
      </c>
      <c r="Z99" s="377">
        <v>0</v>
      </c>
      <c r="AA99" s="18">
        <f t="shared" si="104"/>
        <v>0</v>
      </c>
      <c r="AB99" s="19">
        <f>SEPTIEMBRE!AD99</f>
        <v>0</v>
      </c>
      <c r="AC99" s="377">
        <v>0</v>
      </c>
      <c r="AD99" s="18">
        <f t="shared" si="105"/>
        <v>0</v>
      </c>
      <c r="AE99" s="19">
        <f>SEPTIEMBRE!AG99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+IF(SEPTIEMBRE!A100=0,"",SEPTIEMBRE!A100)</f>
        <v>11303-6</v>
      </c>
      <c r="B100" s="627" t="str">
        <f>+IF(SEPTIEMBRE!B100=0,"",SEPTIEMBRE!B100)</f>
        <v>RECURSOS PARA PROGRAMA DE SANEAMIENTO FINANCIERO</v>
      </c>
      <c r="C100" s="401">
        <f>+ENERO!C100</f>
        <v>0</v>
      </c>
      <c r="D100" s="376">
        <f>SEPTIEMBRE!D100+OCTUBRE!P100</f>
        <v>0</v>
      </c>
      <c r="E100" s="376">
        <f>SEPTIEMBRE!E100+OCTUBRE!Q100</f>
        <v>0</v>
      </c>
      <c r="F100" s="376">
        <f t="shared" si="97"/>
        <v>0</v>
      </c>
      <c r="G100" s="376">
        <f>SEPTIEMBRE!I100</f>
        <v>0</v>
      </c>
      <c r="H100" s="377">
        <v>0</v>
      </c>
      <c r="I100" s="376">
        <f t="shared" si="98"/>
        <v>0</v>
      </c>
      <c r="J100" s="376">
        <f>SEPTIEMBRE!L100</f>
        <v>0</v>
      </c>
      <c r="K100" s="377">
        <v>0</v>
      </c>
      <c r="L100" s="376">
        <f t="shared" si="99"/>
        <v>0</v>
      </c>
      <c r="M100" s="376">
        <f t="shared" si="100"/>
        <v>0</v>
      </c>
      <c r="N100" s="146">
        <f t="shared" si="101"/>
        <v>0</v>
      </c>
      <c r="P100" s="375">
        <v>0</v>
      </c>
      <c r="Q100" s="378">
        <v>0</v>
      </c>
      <c r="R100" s="9"/>
      <c r="S100" s="720" t="str">
        <f>+IF(SEPTIEMBRE!S100=0,"",SEPTIEMBRE!S100)</f>
        <v>1020302-4</v>
      </c>
      <c r="T100" s="694" t="str">
        <f>+IF(SEPTIEMBRE!T100=0,"",SEPTIEMBRE!T100)</f>
        <v>Aporte a ARL. - Con Sit. de Fondos</v>
      </c>
      <c r="U100" s="27">
        <f>+ENERO!U100</f>
        <v>0</v>
      </c>
      <c r="V100" s="15">
        <f>SEPTIEMBRE!V100+OCTUBRE!AL100</f>
        <v>0</v>
      </c>
      <c r="W100" s="15">
        <f>SEPTIEMBRE!W100+OCTUBRE!AM100</f>
        <v>0</v>
      </c>
      <c r="X100" s="18">
        <f t="shared" si="103"/>
        <v>0</v>
      </c>
      <c r="Y100" s="19">
        <f>SEPTIEMBRE!AA100</f>
        <v>0</v>
      </c>
      <c r="Z100" s="377">
        <v>0</v>
      </c>
      <c r="AA100" s="18">
        <f t="shared" si="104"/>
        <v>0</v>
      </c>
      <c r="AB100" s="19">
        <f>SEPTIEMBRE!AD100</f>
        <v>0</v>
      </c>
      <c r="AC100" s="377">
        <v>0</v>
      </c>
      <c r="AD100" s="18">
        <f t="shared" si="105"/>
        <v>0</v>
      </c>
      <c r="AE100" s="19">
        <f>SEPTIEMBRE!AG100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+IF(SEPTIEMBRE!A101=0,"",SEPTIEMBRE!A101)</f>
        <v>11303-7</v>
      </c>
      <c r="B101" s="627" t="str">
        <f>+IF(SEPTIEMBRE!B101=0,"",SEPTIEMBRE!B101)</f>
        <v xml:space="preserve">SANEAMIENTO APORTES PATRONALES </v>
      </c>
      <c r="C101" s="401">
        <f>+ENERO!C101</f>
        <v>0</v>
      </c>
      <c r="D101" s="376">
        <f>SEPTIEMBRE!D101+OCTUBRE!P101</f>
        <v>0</v>
      </c>
      <c r="E101" s="376">
        <f>SEPTIEMBRE!E101+OCTUBRE!Q101</f>
        <v>13408841</v>
      </c>
      <c r="F101" s="376">
        <f t="shared" si="97"/>
        <v>13408841</v>
      </c>
      <c r="G101" s="376">
        <f>SEPTIEMBRE!I101</f>
        <v>0</v>
      </c>
      <c r="H101" s="377">
        <v>0</v>
      </c>
      <c r="I101" s="376">
        <f t="shared" si="98"/>
        <v>0</v>
      </c>
      <c r="J101" s="376">
        <f>SEPTIEMBRE!L101</f>
        <v>0</v>
      </c>
      <c r="K101" s="377">
        <v>0</v>
      </c>
      <c r="L101" s="376">
        <f t="shared" si="99"/>
        <v>0</v>
      </c>
      <c r="M101" s="376">
        <f t="shared" si="100"/>
        <v>13408841</v>
      </c>
      <c r="N101" s="146">
        <f t="shared" si="101"/>
        <v>13408841</v>
      </c>
      <c r="P101" s="375">
        <v>0</v>
      </c>
      <c r="Q101" s="378">
        <v>0</v>
      </c>
      <c r="R101" s="9"/>
      <c r="S101" s="720" t="str">
        <f>+IF(SEPTIEMBRE!S101=0,"",SEPTIEMBRE!S101)</f>
        <v>1020302-5</v>
      </c>
      <c r="T101" s="694" t="str">
        <f>+IF(SEPTIEMBRE!T101=0,"",SEPTIEMBRE!T101)</f>
        <v>Aporte a Caja Compensación Familiar</v>
      </c>
      <c r="U101" s="27">
        <f>+ENERO!U101</f>
        <v>32495908</v>
      </c>
      <c r="V101" s="15">
        <f>SEPTIEMBRE!V101+OCTUBRE!AL101</f>
        <v>0</v>
      </c>
      <c r="W101" s="15">
        <f>SEPTIEMBRE!W101+OCTUBRE!AM101</f>
        <v>0</v>
      </c>
      <c r="X101" s="18">
        <f t="shared" si="103"/>
        <v>32495908</v>
      </c>
      <c r="Y101" s="19">
        <f>SEPTIEMBRE!AA101</f>
        <v>22633100</v>
      </c>
      <c r="Z101" s="377">
        <v>0</v>
      </c>
      <c r="AA101" s="18">
        <f t="shared" si="104"/>
        <v>22633100</v>
      </c>
      <c r="AB101" s="19">
        <f>SEPTIEMBRE!AD101</f>
        <v>22633100</v>
      </c>
      <c r="AC101" s="377">
        <v>0</v>
      </c>
      <c r="AD101" s="18">
        <f t="shared" si="105"/>
        <v>22633100</v>
      </c>
      <c r="AE101" s="19">
        <f>SEPTIEMBRE!AG101</f>
        <v>20269900</v>
      </c>
      <c r="AF101" s="377">
        <v>0</v>
      </c>
      <c r="AG101" s="18">
        <f t="shared" si="106"/>
        <v>20269900</v>
      </c>
      <c r="AH101" s="19">
        <f t="shared" si="107"/>
        <v>9862808</v>
      </c>
      <c r="AI101" s="15">
        <f t="shared" si="108"/>
        <v>9862808</v>
      </c>
      <c r="AJ101" s="16">
        <f t="shared" si="109"/>
        <v>12226008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+IF(SEPTIEMBRE!A102=0,"",SEPTIEMBRE!A102)</f>
        <v>11303-8</v>
      </c>
      <c r="B102" s="636" t="str">
        <f>+IF(SEPTIEMBRE!B102=0,"",SEPTIEMBRE!B102)</f>
        <v>Vigencia Anterior</v>
      </c>
      <c r="C102" s="491">
        <f>+ENERO!C102</f>
        <v>0</v>
      </c>
      <c r="D102" s="388">
        <f>SEPTIEMBRE!D102+OCTUBRE!P102</f>
        <v>0</v>
      </c>
      <c r="E102" s="388">
        <f>SEPTIEMBRE!E102+OCTUBRE!Q102</f>
        <v>0</v>
      </c>
      <c r="F102" s="388">
        <f t="shared" si="97"/>
        <v>0</v>
      </c>
      <c r="G102" s="388">
        <f>SEPTIEMBRE!I102</f>
        <v>0</v>
      </c>
      <c r="H102" s="391">
        <v>0</v>
      </c>
      <c r="I102" s="388">
        <f t="shared" si="98"/>
        <v>0</v>
      </c>
      <c r="J102" s="388">
        <f>SEPTIEMBRE!L102</f>
        <v>0</v>
      </c>
      <c r="K102" s="391">
        <v>0</v>
      </c>
      <c r="L102" s="388">
        <f t="shared" si="99"/>
        <v>0</v>
      </c>
      <c r="M102" s="388">
        <f t="shared" si="100"/>
        <v>0</v>
      </c>
      <c r="N102" s="389">
        <f t="shared" si="101"/>
        <v>0</v>
      </c>
      <c r="P102" s="375">
        <v>0</v>
      </c>
      <c r="Q102" s="378">
        <v>0</v>
      </c>
      <c r="R102" s="9"/>
      <c r="S102" s="719">
        <f>+IF(SEPTIEMBRE!S102=0,"",SEPTIEMBRE!S102)</f>
        <v>1020399</v>
      </c>
      <c r="T102" s="693" t="str">
        <f>+IF(SEPTIEMBRE!T102=0,"",SEPTIEMBRE!T102)</f>
        <v>Vigencias Anteriores</v>
      </c>
      <c r="U102" s="27">
        <f>+ENERO!U102</f>
        <v>0</v>
      </c>
      <c r="V102" s="15">
        <f>SEPTIEMBRE!V102+OCTUBRE!AL102</f>
        <v>0</v>
      </c>
      <c r="W102" s="15">
        <f>SEPTIEMBRE!W102+OCTUBRE!AM102</f>
        <v>54740941</v>
      </c>
      <c r="X102" s="18">
        <f t="shared" si="103"/>
        <v>54740941</v>
      </c>
      <c r="Y102" s="19">
        <f>SEPTIEMBRE!AA102</f>
        <v>54740941</v>
      </c>
      <c r="Z102" s="377">
        <v>0</v>
      </c>
      <c r="AA102" s="18">
        <f t="shared" si="104"/>
        <v>54740941</v>
      </c>
      <c r="AB102" s="19">
        <f>SEPTIEMBRE!AD102</f>
        <v>54740941</v>
      </c>
      <c r="AC102" s="377">
        <v>0</v>
      </c>
      <c r="AD102" s="18">
        <f t="shared" si="105"/>
        <v>54740941</v>
      </c>
      <c r="AE102" s="19">
        <f>SEPTIEMBRE!AG102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+IF(SEPTIEMBRE!A103=0,"",SEPTIEMBRE!A103)</f>
        <v/>
      </c>
      <c r="B103" s="661" t="str">
        <f>+IF(SEPTIEMBRE!B103=0,"",SEPTIEMBRE!B103)</f>
        <v/>
      </c>
      <c r="C103" s="483"/>
      <c r="D103" s="483"/>
      <c r="E103" s="483"/>
      <c r="F103" s="483"/>
      <c r="G103" s="483"/>
      <c r="H103" s="483"/>
      <c r="I103" s="483"/>
      <c r="J103" s="483"/>
      <c r="K103" s="483"/>
      <c r="L103" s="483"/>
      <c r="M103" s="483"/>
      <c r="N103" s="484"/>
      <c r="P103" s="485"/>
      <c r="Q103" s="484"/>
      <c r="R103" s="9"/>
      <c r="S103" s="369" t="str">
        <f>+IF(SEPTIEMBRE!S103=0,"",SEPTIEMBRE!S103)</f>
        <v/>
      </c>
      <c r="T103" s="708" t="str">
        <f>+IF(SEPTIEMBRE!T103=0,"",SEPTIEMBRE!T103)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+IF(SEPTIEMBRE!A104=0,"",SEPTIEMBRE!A104)</f>
        <v>11304</v>
      </c>
      <c r="B104" s="626" t="str">
        <f>+IF(SEPTIEMBRE!B104=0,"",SEPTIEMBRE!B104)</f>
        <v>Otros ingresos corrientes</v>
      </c>
      <c r="C104" s="625">
        <f>SUM(C105:C111)</f>
        <v>107181679</v>
      </c>
      <c r="D104" s="623">
        <f t="shared" ref="D104:N104" si="110">SUM(D105:D111)</f>
        <v>0</v>
      </c>
      <c r="E104" s="623">
        <f t="shared" si="110"/>
        <v>0</v>
      </c>
      <c r="F104" s="623">
        <f t="shared" si="110"/>
        <v>107181679</v>
      </c>
      <c r="G104" s="623">
        <f t="shared" si="110"/>
        <v>77098886</v>
      </c>
      <c r="H104" s="623">
        <f t="shared" si="110"/>
        <v>0</v>
      </c>
      <c r="I104" s="623">
        <f t="shared" si="110"/>
        <v>77098886</v>
      </c>
      <c r="J104" s="623">
        <f t="shared" si="110"/>
        <v>77098886</v>
      </c>
      <c r="K104" s="623">
        <f t="shared" si="110"/>
        <v>0</v>
      </c>
      <c r="L104" s="623">
        <f t="shared" si="110"/>
        <v>77098886</v>
      </c>
      <c r="M104" s="623">
        <f t="shared" si="110"/>
        <v>30082793</v>
      </c>
      <c r="N104" s="624">
        <f t="shared" si="110"/>
        <v>30082793</v>
      </c>
      <c r="P104" s="43">
        <f>SUM(P105:P111)</f>
        <v>0</v>
      </c>
      <c r="Q104" s="45">
        <f>SUM(Q105:Q111)</f>
        <v>0</v>
      </c>
      <c r="R104" s="9"/>
      <c r="S104" s="718">
        <f>+IF(SEPTIEMBRE!S104=0,"",SEPTIEMBRE!S104)</f>
        <v>1020400</v>
      </c>
      <c r="T104" s="692" t="str">
        <f>+IF(SEPTIEMBRE!T104=0,"",SEPTIEMBRE!T104)</f>
        <v>Contribuciones Inherentes nómina del Sector Publico</v>
      </c>
      <c r="U104" s="135">
        <f t="shared" ref="U104:AJ104" si="111">U105+U108</f>
        <v>40619885</v>
      </c>
      <c r="V104" s="124">
        <f t="shared" si="111"/>
        <v>0</v>
      </c>
      <c r="W104" s="124">
        <f t="shared" si="111"/>
        <v>3013800</v>
      </c>
      <c r="X104" s="132">
        <f t="shared" si="111"/>
        <v>43633685</v>
      </c>
      <c r="Y104" s="131">
        <f t="shared" si="111"/>
        <v>31304600</v>
      </c>
      <c r="Z104" s="124">
        <f t="shared" si="111"/>
        <v>0</v>
      </c>
      <c r="AA104" s="132">
        <f t="shared" si="111"/>
        <v>31304600</v>
      </c>
      <c r="AB104" s="131">
        <f t="shared" si="111"/>
        <v>31304600</v>
      </c>
      <c r="AC104" s="124">
        <f t="shared" si="111"/>
        <v>0</v>
      </c>
      <c r="AD104" s="132">
        <f t="shared" si="111"/>
        <v>31304600</v>
      </c>
      <c r="AE104" s="131">
        <f t="shared" si="111"/>
        <v>28350800</v>
      </c>
      <c r="AF104" s="124">
        <f t="shared" si="111"/>
        <v>0</v>
      </c>
      <c r="AG104" s="132">
        <f t="shared" si="111"/>
        <v>28350800</v>
      </c>
      <c r="AH104" s="131">
        <f t="shared" si="111"/>
        <v>12329085</v>
      </c>
      <c r="AI104" s="124">
        <f t="shared" si="111"/>
        <v>12329085</v>
      </c>
      <c r="AJ104" s="133">
        <f t="shared" si="111"/>
        <v>15282885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+IF(SEPTIEMBRE!A105=0,"",SEPTIEMBRE!A105)</f>
        <v>11304-1</v>
      </c>
      <c r="B105" s="627" t="str">
        <f>+IF(SEPTIEMBRE!B105=0,"",SEPTIEMBRE!B105)</f>
        <v>ARRENDAMIENTO Y ALQUILER DE BIENES MUEBLES E INMUEBLES</v>
      </c>
      <c r="C105" s="401">
        <f>+ENERO!C105</f>
        <v>916364</v>
      </c>
      <c r="D105" s="376">
        <f>SEPTIEMBRE!D105+OCTUBRE!P105</f>
        <v>0</v>
      </c>
      <c r="E105" s="376">
        <f>SEPTIEMBRE!E105+OCTUBRE!Q105</f>
        <v>0</v>
      </c>
      <c r="F105" s="376">
        <f t="shared" ref="F105:F111" si="112">SUM(C105:E105)</f>
        <v>916364</v>
      </c>
      <c r="G105" s="376">
        <f>SEPTIEMBRE!I105</f>
        <v>640000</v>
      </c>
      <c r="H105" s="377">
        <v>0</v>
      </c>
      <c r="I105" s="376">
        <f t="shared" ref="I105:I111" si="113">SUM(G105:H105)</f>
        <v>640000</v>
      </c>
      <c r="J105" s="376">
        <f>SEPTIEMBRE!L105</f>
        <v>640000</v>
      </c>
      <c r="K105" s="377">
        <v>0</v>
      </c>
      <c r="L105" s="376">
        <f t="shared" ref="L105:L111" si="114">SUM(J105:K105)</f>
        <v>640000</v>
      </c>
      <c r="M105" s="376">
        <f t="shared" ref="M105:M111" si="115">F105-I105</f>
        <v>276364</v>
      </c>
      <c r="N105" s="146">
        <f t="shared" ref="N105:N111" si="116">F105-L105</f>
        <v>276364</v>
      </c>
      <c r="P105" s="375">
        <v>0</v>
      </c>
      <c r="Q105" s="378">
        <v>0</v>
      </c>
      <c r="R105" s="9"/>
      <c r="S105" s="719">
        <f>+IF(SEPTIEMBRE!S105=0,"",SEPTIEMBRE!S105)</f>
        <v>1020402</v>
      </c>
      <c r="T105" s="693" t="str">
        <f>+IF(SEPTIEMBRE!T105=0,"",SEPTIEMBRE!T105)</f>
        <v>Contribuciones - Otros</v>
      </c>
      <c r="U105" s="27">
        <f t="shared" ref="U105:AJ105" si="117">SUM(U106:U107)</f>
        <v>40619885</v>
      </c>
      <c r="V105" s="15">
        <f t="shared" si="117"/>
        <v>0</v>
      </c>
      <c r="W105" s="15">
        <f t="shared" si="117"/>
        <v>0</v>
      </c>
      <c r="X105" s="18">
        <f t="shared" si="117"/>
        <v>40619885</v>
      </c>
      <c r="Y105" s="19">
        <f t="shared" si="117"/>
        <v>28290800</v>
      </c>
      <c r="Z105" s="145">
        <f t="shared" si="117"/>
        <v>0</v>
      </c>
      <c r="AA105" s="18">
        <f t="shared" si="117"/>
        <v>28290800</v>
      </c>
      <c r="AB105" s="19">
        <f t="shared" si="117"/>
        <v>28290800</v>
      </c>
      <c r="AC105" s="145">
        <f t="shared" si="117"/>
        <v>0</v>
      </c>
      <c r="AD105" s="18">
        <f t="shared" si="117"/>
        <v>28290800</v>
      </c>
      <c r="AE105" s="19">
        <f t="shared" si="117"/>
        <v>25337000</v>
      </c>
      <c r="AF105" s="145">
        <f t="shared" si="117"/>
        <v>0</v>
      </c>
      <c r="AG105" s="18">
        <f t="shared" si="117"/>
        <v>25337000</v>
      </c>
      <c r="AH105" s="19">
        <f t="shared" si="117"/>
        <v>12329085</v>
      </c>
      <c r="AI105" s="15">
        <f t="shared" si="117"/>
        <v>12329085</v>
      </c>
      <c r="AJ105" s="16">
        <f t="shared" si="117"/>
        <v>15282885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+IF(SEPTIEMBRE!A106=0,"",SEPTIEMBRE!A106)</f>
        <v>11304-2</v>
      </c>
      <c r="B106" s="628" t="str">
        <f>+IF(SEPTIEMBRE!B106=0,"",SEPTIEMBRE!B106)</f>
        <v>COMERCIALIZACIÓN DE MERCANCÍAS</v>
      </c>
      <c r="C106" s="401">
        <f>+ENERO!C106</f>
        <v>105119431</v>
      </c>
      <c r="D106" s="376">
        <f>SEPTIEMBRE!D106+OCTUBRE!P106</f>
        <v>0</v>
      </c>
      <c r="E106" s="376">
        <f>SEPTIEMBRE!E106+OCTUBRE!Q106</f>
        <v>0</v>
      </c>
      <c r="F106" s="376">
        <f t="shared" si="112"/>
        <v>105119431</v>
      </c>
      <c r="G106" s="376">
        <f>SEPTIEMBRE!I106</f>
        <v>71223447</v>
      </c>
      <c r="H106" s="377">
        <v>0</v>
      </c>
      <c r="I106" s="376">
        <f t="shared" si="113"/>
        <v>71223447</v>
      </c>
      <c r="J106" s="376">
        <f>SEPTIEMBRE!L106</f>
        <v>71223447</v>
      </c>
      <c r="K106" s="377">
        <v>0</v>
      </c>
      <c r="L106" s="376">
        <f t="shared" si="114"/>
        <v>71223447</v>
      </c>
      <c r="M106" s="376">
        <f t="shared" si="115"/>
        <v>33895984</v>
      </c>
      <c r="N106" s="146">
        <f t="shared" si="116"/>
        <v>33895984</v>
      </c>
      <c r="P106" s="375">
        <v>0</v>
      </c>
      <c r="Q106" s="378">
        <v>0</v>
      </c>
      <c r="R106" s="9"/>
      <c r="S106" s="720" t="str">
        <f>+IF(SEPTIEMBRE!S106=0,"",SEPTIEMBRE!S106)</f>
        <v>1020402-1</v>
      </c>
      <c r="T106" s="694" t="str">
        <f>+IF(SEPTIEMBRE!T106=0,"",SEPTIEMBRE!T106)</f>
        <v>S.E.N.A.</v>
      </c>
      <c r="U106" s="27">
        <f>+ENERO!U106</f>
        <v>16247954</v>
      </c>
      <c r="V106" s="15">
        <f>SEPTIEMBRE!V106+OCTUBRE!AL106</f>
        <v>0</v>
      </c>
      <c r="W106" s="15">
        <f>SEPTIEMBRE!W106+OCTUBRE!AM106</f>
        <v>0</v>
      </c>
      <c r="X106" s="18">
        <f>SUM(U106:W106)</f>
        <v>16247954</v>
      </c>
      <c r="Y106" s="19">
        <f>SEPTIEMBRE!AA106</f>
        <v>11317100</v>
      </c>
      <c r="Z106" s="377">
        <v>0</v>
      </c>
      <c r="AA106" s="18">
        <f>SUM(Y106:Z106)</f>
        <v>11317100</v>
      </c>
      <c r="AB106" s="19">
        <f>SEPTIEMBRE!AD106</f>
        <v>11317100</v>
      </c>
      <c r="AC106" s="377">
        <v>0</v>
      </c>
      <c r="AD106" s="18">
        <f>SUM(AB106:AC106)</f>
        <v>11317100</v>
      </c>
      <c r="AE106" s="19">
        <f>SEPTIEMBRE!AG106</f>
        <v>10135400</v>
      </c>
      <c r="AF106" s="377">
        <v>0</v>
      </c>
      <c r="AG106" s="18">
        <f>SUM(AE106:AF106)</f>
        <v>10135400</v>
      </c>
      <c r="AH106" s="19">
        <f>X106-AA106</f>
        <v>4930854</v>
      </c>
      <c r="AI106" s="15">
        <f>X106-AD106</f>
        <v>4930854</v>
      </c>
      <c r="AJ106" s="16">
        <f>X106-AG106</f>
        <v>6112554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+IF(SEPTIEMBRE!A107=0,"",SEPTIEMBRE!A107)</f>
        <v>11304-3</v>
      </c>
      <c r="B107" s="627" t="str">
        <f>+IF(SEPTIEMBRE!B107=0,"",SEPTIEMBRE!B107)</f>
        <v>Bienestar Social</v>
      </c>
      <c r="C107" s="401">
        <f>+ENERO!C107</f>
        <v>0</v>
      </c>
      <c r="D107" s="376">
        <f>SEPTIEMBRE!D107+OCTUBRE!P107</f>
        <v>0</v>
      </c>
      <c r="E107" s="376">
        <f>SEPTIEMBRE!E107+OCTUBRE!Q107</f>
        <v>0</v>
      </c>
      <c r="F107" s="376">
        <f t="shared" si="112"/>
        <v>0</v>
      </c>
      <c r="G107" s="376">
        <f>SEPTIEMBRE!I107</f>
        <v>0</v>
      </c>
      <c r="H107" s="377">
        <v>0</v>
      </c>
      <c r="I107" s="376">
        <f t="shared" si="113"/>
        <v>0</v>
      </c>
      <c r="J107" s="376">
        <f>SEPTIEMBRE!L107</f>
        <v>0</v>
      </c>
      <c r="K107" s="377">
        <v>0</v>
      </c>
      <c r="L107" s="376">
        <f t="shared" si="114"/>
        <v>0</v>
      </c>
      <c r="M107" s="376">
        <f t="shared" si="115"/>
        <v>0</v>
      </c>
      <c r="N107" s="146">
        <f t="shared" si="116"/>
        <v>0</v>
      </c>
      <c r="P107" s="375">
        <v>0</v>
      </c>
      <c r="Q107" s="378">
        <v>0</v>
      </c>
      <c r="R107" s="9"/>
      <c r="S107" s="720" t="str">
        <f>+IF(SEPTIEMBRE!S107=0,"",SEPTIEMBRE!S107)</f>
        <v>1020402-2</v>
      </c>
      <c r="T107" s="694" t="str">
        <f>+IF(SEPTIEMBRE!T107=0,"",SEPTIEMBRE!T107)</f>
        <v>I.C.B.F.</v>
      </c>
      <c r="U107" s="27">
        <f>+ENERO!U107</f>
        <v>24371931</v>
      </c>
      <c r="V107" s="15">
        <f>SEPTIEMBRE!V107+OCTUBRE!AL107</f>
        <v>0</v>
      </c>
      <c r="W107" s="15">
        <f>SEPTIEMBRE!W107+OCTUBRE!AM107</f>
        <v>0</v>
      </c>
      <c r="X107" s="18">
        <f>SUM(U107:W107)</f>
        <v>24371931</v>
      </c>
      <c r="Y107" s="19">
        <f>SEPTIEMBRE!AA107</f>
        <v>16973700</v>
      </c>
      <c r="Z107" s="377">
        <v>0</v>
      </c>
      <c r="AA107" s="18">
        <f>SUM(Y107:Z107)</f>
        <v>16973700</v>
      </c>
      <c r="AB107" s="19">
        <f>SEPTIEMBRE!AD107</f>
        <v>16973700</v>
      </c>
      <c r="AC107" s="377">
        <v>0</v>
      </c>
      <c r="AD107" s="18">
        <f>SUM(AB107:AC107)</f>
        <v>16973700</v>
      </c>
      <c r="AE107" s="19">
        <f>SEPTIEMBRE!AG107</f>
        <v>15201600</v>
      </c>
      <c r="AF107" s="377">
        <v>0</v>
      </c>
      <c r="AG107" s="18">
        <f>SUM(AE107:AF107)</f>
        <v>15201600</v>
      </c>
      <c r="AH107" s="19">
        <f>X107-AA107</f>
        <v>7398231</v>
      </c>
      <c r="AI107" s="15">
        <f>X107-AD107</f>
        <v>7398231</v>
      </c>
      <c r="AJ107" s="16">
        <f>X107-AG107</f>
        <v>9170331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+IF(SEPTIEMBRE!A108=0,"",SEPTIEMBRE!A108)</f>
        <v>11304-4</v>
      </c>
      <c r="B108" s="627" t="str">
        <f>+IF(SEPTIEMBRE!B108=0,"",SEPTIEMBRE!B108)</f>
        <v>Fondo de la Vivienda</v>
      </c>
      <c r="C108" s="401">
        <f>+ENERO!C108</f>
        <v>0</v>
      </c>
      <c r="D108" s="376">
        <f>SEPTIEMBRE!D108+OCTUBRE!P108</f>
        <v>0</v>
      </c>
      <c r="E108" s="376">
        <f>SEPTIEMBRE!E108+OCTUBRE!Q108</f>
        <v>0</v>
      </c>
      <c r="F108" s="376">
        <f t="shared" si="112"/>
        <v>0</v>
      </c>
      <c r="G108" s="376">
        <f>SEPTIEMBRE!I108</f>
        <v>0</v>
      </c>
      <c r="H108" s="377">
        <v>0</v>
      </c>
      <c r="I108" s="376">
        <f t="shared" si="113"/>
        <v>0</v>
      </c>
      <c r="J108" s="376">
        <f>SEPTIEMBRE!L108</f>
        <v>0</v>
      </c>
      <c r="K108" s="377">
        <v>0</v>
      </c>
      <c r="L108" s="376">
        <f t="shared" si="114"/>
        <v>0</v>
      </c>
      <c r="M108" s="376">
        <f t="shared" si="115"/>
        <v>0</v>
      </c>
      <c r="N108" s="146">
        <f t="shared" si="116"/>
        <v>0</v>
      </c>
      <c r="P108" s="375">
        <v>0</v>
      </c>
      <c r="Q108" s="378">
        <v>0</v>
      </c>
      <c r="R108" s="9"/>
      <c r="S108" s="719">
        <f>+IF(SEPTIEMBRE!S108=0,"",SEPTIEMBRE!S108)</f>
        <v>1020499</v>
      </c>
      <c r="T108" s="693" t="str">
        <f>+IF(SEPTIEMBRE!T108=0,"",SEPTIEMBRE!T108)</f>
        <v>Vigencias Anteriores</v>
      </c>
      <c r="U108" s="27">
        <f>+ENERO!U108</f>
        <v>0</v>
      </c>
      <c r="V108" s="15">
        <f>SEPTIEMBRE!V108+OCTUBRE!AL108</f>
        <v>0</v>
      </c>
      <c r="W108" s="15">
        <f>SEPTIEMBRE!W108+OCTUBRE!AM108</f>
        <v>3013800</v>
      </c>
      <c r="X108" s="18">
        <f>SUM(U108:W108)</f>
        <v>3013800</v>
      </c>
      <c r="Y108" s="19">
        <f>SEPTIEMBRE!AA108</f>
        <v>3013800</v>
      </c>
      <c r="Z108" s="377">
        <v>0</v>
      </c>
      <c r="AA108" s="18">
        <f>SUM(Y108:Z108)</f>
        <v>3013800</v>
      </c>
      <c r="AB108" s="19">
        <f>SEPTIEMBRE!AD108</f>
        <v>3013800</v>
      </c>
      <c r="AC108" s="377">
        <v>0</v>
      </c>
      <c r="AD108" s="18">
        <f>SUM(AB108:AC108)</f>
        <v>3013800</v>
      </c>
      <c r="AE108" s="19">
        <f>SEPTIEMBRE!AG108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+IF(SEPTIEMBRE!A109=0,"",SEPTIEMBRE!A109)</f>
        <v>11304-5</v>
      </c>
      <c r="B109" s="627" t="str">
        <f>+IF(SEPTIEMBRE!B109=0,"",SEPTIEMBRE!B109)</f>
        <v xml:space="preserve">Aprovechamientos </v>
      </c>
      <c r="C109" s="401">
        <f>+ENERO!C109</f>
        <v>1145884</v>
      </c>
      <c r="D109" s="376">
        <f>SEPTIEMBRE!D109+OCTUBRE!P109</f>
        <v>0</v>
      </c>
      <c r="E109" s="376">
        <f>SEPTIEMBRE!E109+OCTUBRE!Q109</f>
        <v>0</v>
      </c>
      <c r="F109" s="376">
        <f t="shared" si="112"/>
        <v>1145884</v>
      </c>
      <c r="G109" s="376">
        <f>SEPTIEMBRE!I109</f>
        <v>2412454</v>
      </c>
      <c r="H109" s="377">
        <v>0</v>
      </c>
      <c r="I109" s="376">
        <f t="shared" si="113"/>
        <v>2412454</v>
      </c>
      <c r="J109" s="376">
        <f>SEPTIEMBRE!L109</f>
        <v>2412454</v>
      </c>
      <c r="K109" s="377">
        <v>0</v>
      </c>
      <c r="L109" s="376">
        <f t="shared" si="114"/>
        <v>2412454</v>
      </c>
      <c r="M109" s="376">
        <f t="shared" si="115"/>
        <v>-1266570</v>
      </c>
      <c r="N109" s="146">
        <f t="shared" si="116"/>
        <v>-1266570</v>
      </c>
      <c r="P109" s="375">
        <v>0</v>
      </c>
      <c r="Q109" s="378">
        <v>0</v>
      </c>
      <c r="R109" s="9"/>
      <c r="S109" s="369" t="str">
        <f>+IF(SEPTIEMBRE!S109=0,"",SEPTIEMBRE!S109)</f>
        <v/>
      </c>
      <c r="T109" s="708" t="str">
        <f>+IF(SEPTIEMBRE!T109=0,"",SEPTIEMBRE!T109)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+IF(SEPTIEMBRE!A110=0,"",SEPTIEMBRE!A110)</f>
        <v>11304-6</v>
      </c>
      <c r="B110" s="627" t="str">
        <f>+IF(SEPTIEMBRE!B110=0,"",SEPTIEMBRE!B110)</f>
        <v>Otros</v>
      </c>
      <c r="C110" s="401">
        <f>+ENERO!C110</f>
        <v>0</v>
      </c>
      <c r="D110" s="376">
        <f>SEPTIEMBRE!D110+OCTUBRE!P110</f>
        <v>0</v>
      </c>
      <c r="E110" s="376">
        <f>SEPTIEMBRE!E110+OCTUBRE!Q110</f>
        <v>0</v>
      </c>
      <c r="F110" s="376">
        <f t="shared" si="112"/>
        <v>0</v>
      </c>
      <c r="G110" s="376">
        <f>SEPTIEMBRE!I110</f>
        <v>2742985</v>
      </c>
      <c r="H110" s="377">
        <v>0</v>
      </c>
      <c r="I110" s="376">
        <f t="shared" si="113"/>
        <v>2742985</v>
      </c>
      <c r="J110" s="376">
        <f>SEPTIEMBRE!L110</f>
        <v>2742985</v>
      </c>
      <c r="K110" s="377">
        <v>0</v>
      </c>
      <c r="L110" s="376">
        <f t="shared" si="114"/>
        <v>2742985</v>
      </c>
      <c r="M110" s="376">
        <f t="shared" si="115"/>
        <v>-2742985</v>
      </c>
      <c r="N110" s="146">
        <f t="shared" si="116"/>
        <v>-2742985</v>
      </c>
      <c r="P110" s="375">
        <v>0</v>
      </c>
      <c r="Q110" s="378">
        <v>0</v>
      </c>
      <c r="R110" s="9"/>
      <c r="S110" s="717">
        <f>+IF(SEPTIEMBRE!S110=0,"",SEPTIEMBRE!S110)</f>
        <v>2000000</v>
      </c>
      <c r="T110" s="697" t="str">
        <f>+IF(SEPTIEMBRE!T110=0,"",SEPTIEMBRE!T110)</f>
        <v>GASTOS GENERALES</v>
      </c>
      <c r="U110" s="473">
        <f t="shared" ref="U110:AJ110" si="118">U112+U145</f>
        <v>505626661</v>
      </c>
      <c r="V110" s="474">
        <f t="shared" si="118"/>
        <v>40600000</v>
      </c>
      <c r="W110" s="474">
        <f t="shared" si="118"/>
        <v>213332840</v>
      </c>
      <c r="X110" s="475">
        <f t="shared" si="118"/>
        <v>759559501</v>
      </c>
      <c r="Y110" s="382">
        <f t="shared" si="118"/>
        <v>553818751</v>
      </c>
      <c r="Z110" s="474">
        <f t="shared" si="118"/>
        <v>0</v>
      </c>
      <c r="AA110" s="475">
        <f t="shared" si="118"/>
        <v>553818751</v>
      </c>
      <c r="AB110" s="382">
        <f t="shared" si="118"/>
        <v>521134406</v>
      </c>
      <c r="AC110" s="474">
        <f t="shared" si="118"/>
        <v>0</v>
      </c>
      <c r="AD110" s="475">
        <f t="shared" si="118"/>
        <v>521134406</v>
      </c>
      <c r="AE110" s="382">
        <f t="shared" si="118"/>
        <v>385706058</v>
      </c>
      <c r="AF110" s="474">
        <f t="shared" si="118"/>
        <v>0</v>
      </c>
      <c r="AG110" s="475">
        <f t="shared" si="118"/>
        <v>385706058</v>
      </c>
      <c r="AH110" s="382">
        <f t="shared" si="118"/>
        <v>205740750</v>
      </c>
      <c r="AI110" s="474">
        <f t="shared" si="118"/>
        <v>238425095</v>
      </c>
      <c r="AJ110" s="383">
        <f t="shared" si="118"/>
        <v>373853443</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+IF(SEPTIEMBRE!A111=0,"",SEPTIEMBRE!A111)</f>
        <v>11304-7</v>
      </c>
      <c r="B111" s="662" t="str">
        <f>+IF(SEPTIEMBRE!B111=0,"",SEPTIEMBRE!B111)</f>
        <v>Vigencia Anterior</v>
      </c>
      <c r="C111" s="491">
        <f>+ENERO!C111</f>
        <v>0</v>
      </c>
      <c r="D111" s="388">
        <f>SEPTIEMBRE!D111+OCTUBRE!P111</f>
        <v>0</v>
      </c>
      <c r="E111" s="388">
        <f>SEPTIEMBRE!E111+OCTUBRE!Q111</f>
        <v>0</v>
      </c>
      <c r="F111" s="388">
        <f t="shared" si="112"/>
        <v>0</v>
      </c>
      <c r="G111" s="388">
        <f>SEPTIEMBRE!I111</f>
        <v>80000</v>
      </c>
      <c r="H111" s="391">
        <v>0</v>
      </c>
      <c r="I111" s="388">
        <f t="shared" si="113"/>
        <v>80000</v>
      </c>
      <c r="J111" s="388">
        <f>SEPTIEMBRE!L111</f>
        <v>80000</v>
      </c>
      <c r="K111" s="391">
        <v>0</v>
      </c>
      <c r="L111" s="388">
        <f t="shared" si="114"/>
        <v>80000</v>
      </c>
      <c r="M111" s="388">
        <f t="shared" si="115"/>
        <v>-80000</v>
      </c>
      <c r="N111" s="389">
        <f t="shared" si="116"/>
        <v>-80000</v>
      </c>
      <c r="P111" s="375">
        <v>0</v>
      </c>
      <c r="Q111" s="378">
        <v>0</v>
      </c>
      <c r="R111" s="9"/>
      <c r="S111" s="369" t="str">
        <f>+IF(SEPTIEMBRE!S111=0,"",SEPTIEMBRE!S111)</f>
        <v/>
      </c>
      <c r="T111" s="708" t="str">
        <f>+IF(SEPTIEMBRE!T111=0,"",SEPTIEMBRE!T111)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+IF(SEPTIEMBRE!A112=0,"",SEPTIEMBRE!A112)</f>
        <v/>
      </c>
      <c r="B112" s="661" t="str">
        <f>+IF(SEPTIEMBRE!B112=0,"",SEPTIEMBRE!B112)</f>
        <v/>
      </c>
      <c r="C112" s="483"/>
      <c r="D112" s="483"/>
      <c r="E112" s="483"/>
      <c r="F112" s="483"/>
      <c r="G112" s="483"/>
      <c r="H112" s="483"/>
      <c r="I112" s="483"/>
      <c r="J112" s="483"/>
      <c r="K112" s="483"/>
      <c r="L112" s="483"/>
      <c r="M112" s="483"/>
      <c r="N112" s="484"/>
      <c r="P112" s="485"/>
      <c r="Q112" s="484"/>
      <c r="R112" s="9"/>
      <c r="S112" s="717">
        <f>+IF(SEPTIEMBRE!S112=0,"",SEPTIEMBRE!S112)</f>
        <v>2010000</v>
      </c>
      <c r="T112" s="691" t="str">
        <f>+IF(SEPTIEMBRE!T112=0,"",SEPTIEMBRE!T112)</f>
        <v>Gastos de Administración</v>
      </c>
      <c r="U112" s="135">
        <f t="shared" ref="U112:AJ112" si="119">U114+U123+U141</f>
        <v>181650786</v>
      </c>
      <c r="V112" s="124">
        <f t="shared" si="119"/>
        <v>13561935</v>
      </c>
      <c r="W112" s="124">
        <f t="shared" si="119"/>
        <v>102233652</v>
      </c>
      <c r="X112" s="132">
        <f t="shared" si="119"/>
        <v>297446373</v>
      </c>
      <c r="Y112" s="131">
        <f t="shared" si="119"/>
        <v>209532522</v>
      </c>
      <c r="Z112" s="124">
        <f t="shared" si="119"/>
        <v>0</v>
      </c>
      <c r="AA112" s="132">
        <f t="shared" si="119"/>
        <v>209532522</v>
      </c>
      <c r="AB112" s="131">
        <f t="shared" si="119"/>
        <v>207057522</v>
      </c>
      <c r="AC112" s="124">
        <f t="shared" si="119"/>
        <v>0</v>
      </c>
      <c r="AD112" s="132">
        <f t="shared" si="119"/>
        <v>207057522</v>
      </c>
      <c r="AE112" s="131">
        <f t="shared" si="119"/>
        <v>164509397</v>
      </c>
      <c r="AF112" s="124">
        <f t="shared" si="119"/>
        <v>0</v>
      </c>
      <c r="AG112" s="132">
        <f t="shared" si="119"/>
        <v>164509397</v>
      </c>
      <c r="AH112" s="131">
        <f t="shared" si="119"/>
        <v>87913851</v>
      </c>
      <c r="AI112" s="124">
        <f t="shared" si="119"/>
        <v>90388851</v>
      </c>
      <c r="AJ112" s="133">
        <f t="shared" si="119"/>
        <v>132936976</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+IF(SEPTIEMBRE!A113=0,"",SEPTIEMBRE!A113)</f>
        <v>2000</v>
      </c>
      <c r="B113" s="648" t="str">
        <f>+IF(SEPTIEMBRE!B113=0,"",SEPTIEMBRE!B113)</f>
        <v>INGRESOS DE CAPITAL</v>
      </c>
      <c r="C113" s="631">
        <f>SUM(C115:C124)</f>
        <v>32659146</v>
      </c>
      <c r="D113" s="632">
        <f>SUM(D115:D124)</f>
        <v>0</v>
      </c>
      <c r="E113" s="632">
        <f t="shared" ref="E113:N113" si="120">SUM(E115:E124)</f>
        <v>27176600</v>
      </c>
      <c r="F113" s="632">
        <f t="shared" si="120"/>
        <v>59835746</v>
      </c>
      <c r="G113" s="632">
        <f t="shared" si="120"/>
        <v>51708770</v>
      </c>
      <c r="H113" s="632">
        <f t="shared" si="120"/>
        <v>0</v>
      </c>
      <c r="I113" s="632">
        <f t="shared" si="120"/>
        <v>51708770</v>
      </c>
      <c r="J113" s="632">
        <f t="shared" si="120"/>
        <v>51708770</v>
      </c>
      <c r="K113" s="632">
        <f t="shared" si="120"/>
        <v>0</v>
      </c>
      <c r="L113" s="632">
        <f t="shared" si="120"/>
        <v>51708770</v>
      </c>
      <c r="M113" s="632">
        <f t="shared" si="120"/>
        <v>8126976</v>
      </c>
      <c r="N113" s="633">
        <f t="shared" si="120"/>
        <v>8126976</v>
      </c>
      <c r="O113" s="464"/>
      <c r="P113" s="177">
        <f>SUM(P115:P124)</f>
        <v>0</v>
      </c>
      <c r="Q113" s="178">
        <f>SUM(Q115:Q124)</f>
        <v>0</v>
      </c>
      <c r="R113" s="9"/>
      <c r="S113" s="369" t="str">
        <f>+IF(SEPTIEMBRE!S113=0,"",SEPTIEMBRE!S113)</f>
        <v/>
      </c>
      <c r="T113" s="708" t="str">
        <f>+IF(SEPTIEMBRE!T113=0,"",SEPTIEMBRE!T113)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+IF(SEPTIEMBRE!A114=0,"",SEPTIEMBRE!A114)</f>
        <v/>
      </c>
      <c r="B114" s="661" t="str">
        <f>+IF(SEPTIEMBRE!B114=0,"",SEPTIEMBRE!B114)</f>
        <v/>
      </c>
      <c r="C114" s="483"/>
      <c r="D114" s="483"/>
      <c r="E114" s="483"/>
      <c r="F114" s="483"/>
      <c r="G114" s="483"/>
      <c r="H114" s="483"/>
      <c r="I114" s="483"/>
      <c r="J114" s="483"/>
      <c r="K114" s="483"/>
      <c r="L114" s="483"/>
      <c r="M114" s="483"/>
      <c r="N114" s="484"/>
      <c r="P114" s="485"/>
      <c r="Q114" s="484"/>
      <c r="R114" s="9"/>
      <c r="S114" s="718">
        <f>+IF(SEPTIEMBRE!S114=0,"",SEPTIEMBRE!S114)</f>
        <v>2010100</v>
      </c>
      <c r="T114" s="692" t="str">
        <f>+IF(SEPTIEMBRE!T114=0,"",SEPTIEMBRE!T114)</f>
        <v>Adquisición de bienes</v>
      </c>
      <c r="U114" s="135">
        <f t="shared" ref="U114:AJ114" si="121">SUM(U115:U121)</f>
        <v>29771433</v>
      </c>
      <c r="V114" s="124">
        <f t="shared" si="121"/>
        <v>0</v>
      </c>
      <c r="W114" s="124">
        <f t="shared" si="121"/>
        <v>69356464</v>
      </c>
      <c r="X114" s="132">
        <f t="shared" si="121"/>
        <v>99127897</v>
      </c>
      <c r="Y114" s="131">
        <f t="shared" si="121"/>
        <v>67762916</v>
      </c>
      <c r="Z114" s="124">
        <f t="shared" si="121"/>
        <v>0</v>
      </c>
      <c r="AA114" s="132">
        <f t="shared" si="121"/>
        <v>67762916</v>
      </c>
      <c r="AB114" s="131">
        <f t="shared" si="121"/>
        <v>67762916</v>
      </c>
      <c r="AC114" s="124">
        <f t="shared" si="121"/>
        <v>0</v>
      </c>
      <c r="AD114" s="132">
        <f t="shared" si="121"/>
        <v>67762916</v>
      </c>
      <c r="AE114" s="131">
        <f t="shared" si="121"/>
        <v>53502433</v>
      </c>
      <c r="AF114" s="124">
        <f t="shared" si="121"/>
        <v>0</v>
      </c>
      <c r="AG114" s="132">
        <f t="shared" si="121"/>
        <v>53502433</v>
      </c>
      <c r="AH114" s="131">
        <f t="shared" si="121"/>
        <v>31364981</v>
      </c>
      <c r="AI114" s="124">
        <f t="shared" si="121"/>
        <v>31364981</v>
      </c>
      <c r="AJ114" s="133">
        <f t="shared" si="121"/>
        <v>45625464</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+IF(SEPTIEMBRE!A115=0,"",SEPTIEMBRE!A115)</f>
        <v>2100</v>
      </c>
      <c r="B115" s="634" t="str">
        <f>+IF(SEPTIEMBRE!B115=0,"",SEPTIEMBRE!B115)</f>
        <v>CREDITO INTERNO</v>
      </c>
      <c r="C115" s="375">
        <f>+ENERO!C115</f>
        <v>0</v>
      </c>
      <c r="D115" s="467">
        <f>SEPTIEMBRE!D115+OCTUBRE!P115</f>
        <v>0</v>
      </c>
      <c r="E115" s="467">
        <f>SEPTIEMBRE!E115+OCTUBRE!Q115</f>
        <v>0</v>
      </c>
      <c r="F115" s="471">
        <f t="shared" ref="F115:F124" si="122">SUM(C115:E115)</f>
        <v>0</v>
      </c>
      <c r="G115" s="469">
        <f>SEPTIEMBRE!I115</f>
        <v>0</v>
      </c>
      <c r="H115" s="377">
        <v>0</v>
      </c>
      <c r="I115" s="471">
        <f t="shared" ref="I115:I124" si="123">SUM(G115:H115)</f>
        <v>0</v>
      </c>
      <c r="J115" s="469">
        <f>SEPTIEMBRE!L115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+IF(SEPTIEMBRE!S115=0,"",SEPTIEMBRE!S115)</f>
        <v>2010100-1</v>
      </c>
      <c r="T115" s="693" t="str">
        <f>+IF(SEPTIEMBRE!T115=0,"",SEPTIEMBRE!T115)</f>
        <v>Compra de Equipos</v>
      </c>
      <c r="U115" s="27">
        <f>+ENERO!U115</f>
        <v>0</v>
      </c>
      <c r="V115" s="15">
        <f>SEPTIEMBRE!V115+OCTUBRE!AL115</f>
        <v>0</v>
      </c>
      <c r="W115" s="15">
        <f>SEPTIEMBRE!W115+OCTUBRE!AM115</f>
        <v>57176600</v>
      </c>
      <c r="X115" s="18">
        <f t="shared" ref="X115:X121" si="127">SUM(U115:W115)</f>
        <v>57176600</v>
      </c>
      <c r="Y115" s="19">
        <f>SEPTIEMBRE!AA115</f>
        <v>26998720</v>
      </c>
      <c r="Z115" s="377">
        <v>0</v>
      </c>
      <c r="AA115" s="18">
        <f t="shared" ref="AA115:AA121" si="128">SUM(Y115:Z115)</f>
        <v>26998720</v>
      </c>
      <c r="AB115" s="19">
        <f>SEPTIEMBRE!AD115</f>
        <v>26998720</v>
      </c>
      <c r="AC115" s="377">
        <v>0</v>
      </c>
      <c r="AD115" s="18">
        <f t="shared" ref="AD115:AD121" si="129">SUM(AB115:AC115)</f>
        <v>26998720</v>
      </c>
      <c r="AE115" s="19">
        <f>SEPTIEMBRE!AG115</f>
        <v>24785720</v>
      </c>
      <c r="AF115" s="377">
        <v>0</v>
      </c>
      <c r="AG115" s="18">
        <f t="shared" ref="AG115:AG121" si="130">SUM(AE115:AF115)</f>
        <v>24785720</v>
      </c>
      <c r="AH115" s="19">
        <f t="shared" ref="AH115:AH121" si="131">X115-AA115</f>
        <v>30177880</v>
      </c>
      <c r="AI115" s="15">
        <f t="shared" ref="AI115:AI121" si="132">X115-AD115</f>
        <v>30177880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+IF(SEPTIEMBRE!A116=0,"",SEPTIEMBRE!A116)</f>
        <v>2100-1</v>
      </c>
      <c r="B116" s="635" t="str">
        <f>+IF(SEPTIEMBRE!B116=0,"",SEPTIEMBRE!B116)</f>
        <v>Vigencia Anterior</v>
      </c>
      <c r="C116" s="375">
        <f>+ENERO!C116</f>
        <v>0</v>
      </c>
      <c r="D116" s="467">
        <f>SEPTIEMBRE!D116+OCTUBRE!P116</f>
        <v>0</v>
      </c>
      <c r="E116" s="467">
        <f>SEPTIEMBRE!E116+OCTUBRE!Q116</f>
        <v>0</v>
      </c>
      <c r="F116" s="471">
        <f t="shared" si="122"/>
        <v>0</v>
      </c>
      <c r="G116" s="469">
        <f>SEPTIEMBRE!I116</f>
        <v>0</v>
      </c>
      <c r="H116" s="377">
        <v>0</v>
      </c>
      <c r="I116" s="471">
        <f t="shared" si="123"/>
        <v>0</v>
      </c>
      <c r="J116" s="469">
        <f>SEPTIEMBRE!L116</f>
        <v>0</v>
      </c>
      <c r="K116" s="377">
        <v>0</v>
      </c>
      <c r="L116" s="468">
        <f t="shared" si="124"/>
        <v>0</v>
      </c>
      <c r="M116" s="472">
        <f t="shared" si="125"/>
        <v>0</v>
      </c>
      <c r="N116" s="468">
        <f t="shared" si="126"/>
        <v>0</v>
      </c>
      <c r="O116" s="464"/>
      <c r="P116" s="375">
        <v>0</v>
      </c>
      <c r="Q116" s="378">
        <v>0</v>
      </c>
      <c r="R116" s="9"/>
      <c r="S116" s="719" t="str">
        <f>+IF(SEPTIEMBRE!S116=0,"",SEPTIEMBRE!S116)</f>
        <v>2010100-2</v>
      </c>
      <c r="T116" s="693" t="str">
        <f>+IF(SEPTIEMBRE!T116=0,"",SEPTIEMBRE!T116)</f>
        <v>Materiales</v>
      </c>
      <c r="U116" s="27">
        <f>+ENERO!U116</f>
        <v>29771433</v>
      </c>
      <c r="V116" s="15">
        <f>SEPTIEMBRE!V116+OCTUBRE!AL116</f>
        <v>0</v>
      </c>
      <c r="W116" s="15">
        <f>SEPTIEMBRE!W116+OCTUBRE!AM116</f>
        <v>0</v>
      </c>
      <c r="X116" s="18">
        <f t="shared" si="127"/>
        <v>29771433</v>
      </c>
      <c r="Y116" s="19">
        <f>SEPTIEMBRE!AA116</f>
        <v>28584332</v>
      </c>
      <c r="Z116" s="377">
        <v>0</v>
      </c>
      <c r="AA116" s="18">
        <f t="shared" si="128"/>
        <v>28584332</v>
      </c>
      <c r="AB116" s="19">
        <f>SEPTIEMBRE!AD116</f>
        <v>28584332</v>
      </c>
      <c r="AC116" s="377">
        <v>0</v>
      </c>
      <c r="AD116" s="18">
        <f t="shared" si="129"/>
        <v>28584332</v>
      </c>
      <c r="AE116" s="19">
        <f>SEPTIEMBRE!AG116</f>
        <v>16536849</v>
      </c>
      <c r="AF116" s="377">
        <v>0</v>
      </c>
      <c r="AG116" s="18">
        <f t="shared" si="130"/>
        <v>16536849</v>
      </c>
      <c r="AH116" s="19">
        <f t="shared" si="131"/>
        <v>1187101</v>
      </c>
      <c r="AI116" s="15">
        <f t="shared" si="132"/>
        <v>1187101</v>
      </c>
      <c r="AJ116" s="16">
        <f t="shared" si="133"/>
        <v>13234584</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+IF(SEPTIEMBRE!A117=0,"",SEPTIEMBRE!A117)</f>
        <v>2200</v>
      </c>
      <c r="B117" s="634" t="str">
        <f>+IF(SEPTIEMBRE!B117=0,"",SEPTIEMBRE!B117)</f>
        <v>CREDITO EXTERNO</v>
      </c>
      <c r="C117" s="375">
        <f>+ENERO!C117</f>
        <v>0</v>
      </c>
      <c r="D117" s="467">
        <f>SEPTIEMBRE!D117+OCTUBRE!P117</f>
        <v>0</v>
      </c>
      <c r="E117" s="467">
        <f>SEPTIEMBRE!E117+OCTUBRE!Q117</f>
        <v>0</v>
      </c>
      <c r="F117" s="471">
        <f t="shared" si="122"/>
        <v>0</v>
      </c>
      <c r="G117" s="469">
        <f>SEPTIEMBRE!I117</f>
        <v>0</v>
      </c>
      <c r="H117" s="377">
        <v>0</v>
      </c>
      <c r="I117" s="471">
        <f t="shared" si="123"/>
        <v>0</v>
      </c>
      <c r="J117" s="469">
        <f>SEPTIEMBRE!L117</f>
        <v>0</v>
      </c>
      <c r="K117" s="377">
        <v>0</v>
      </c>
      <c r="L117" s="468">
        <f t="shared" si="124"/>
        <v>0</v>
      </c>
      <c r="M117" s="472">
        <f t="shared" si="125"/>
        <v>0</v>
      </c>
      <c r="N117" s="468">
        <f t="shared" si="126"/>
        <v>0</v>
      </c>
      <c r="O117" s="464"/>
      <c r="P117" s="375">
        <v>0</v>
      </c>
      <c r="Q117" s="378">
        <v>0</v>
      </c>
      <c r="R117" s="9"/>
      <c r="S117" s="719" t="str">
        <f>+IF(SEPTIEMBRE!S117=0,"",SEPTIEMBRE!S117)</f>
        <v>2010100-3</v>
      </c>
      <c r="T117" s="693" t="str">
        <f>+IF(SEPTIEMBRE!T117=0,"",SEPTIEMBRE!T117)</f>
        <v>Salud Ocupacional</v>
      </c>
      <c r="U117" s="27">
        <f>+ENERO!U117</f>
        <v>0</v>
      </c>
      <c r="V117" s="15">
        <f>SEPTIEMBRE!V117+OCTUBRE!AL117</f>
        <v>0</v>
      </c>
      <c r="W117" s="15">
        <f>SEPTIEMBRE!W117+OCTUBRE!AM117</f>
        <v>0</v>
      </c>
      <c r="X117" s="18">
        <f t="shared" si="127"/>
        <v>0</v>
      </c>
      <c r="Y117" s="19">
        <f>SEPTIEMBRE!AA117</f>
        <v>0</v>
      </c>
      <c r="Z117" s="377">
        <v>0</v>
      </c>
      <c r="AA117" s="18">
        <f t="shared" si="128"/>
        <v>0</v>
      </c>
      <c r="AB117" s="19">
        <f>SEPTIEMBRE!AD117</f>
        <v>0</v>
      </c>
      <c r="AC117" s="377">
        <v>0</v>
      </c>
      <c r="AD117" s="18">
        <f t="shared" si="129"/>
        <v>0</v>
      </c>
      <c r="AE117" s="19">
        <f>SEPTIEMBRE!AG117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+IF(SEPTIEMBRE!A118=0,"",SEPTIEMBRE!A118)</f>
        <v>2200-1</v>
      </c>
      <c r="B118" s="635" t="str">
        <f>+IF(SEPTIEMBRE!B118=0,"",SEPTIEMBRE!B118)</f>
        <v>Vigencia Anterior</v>
      </c>
      <c r="C118" s="375">
        <f>+ENERO!C118</f>
        <v>0</v>
      </c>
      <c r="D118" s="467">
        <f>SEPTIEMBRE!D118+OCTUBRE!P118</f>
        <v>0</v>
      </c>
      <c r="E118" s="467">
        <f>SEPTIEMBRE!E118+OCTUBRE!Q118</f>
        <v>0</v>
      </c>
      <c r="F118" s="471">
        <f t="shared" si="122"/>
        <v>0</v>
      </c>
      <c r="G118" s="469">
        <f>SEPTIEMBRE!I118</f>
        <v>0</v>
      </c>
      <c r="H118" s="377">
        <v>0</v>
      </c>
      <c r="I118" s="471">
        <f t="shared" si="123"/>
        <v>0</v>
      </c>
      <c r="J118" s="469">
        <f>SEPTIEMBRE!L118</f>
        <v>0</v>
      </c>
      <c r="K118" s="377">
        <v>0</v>
      </c>
      <c r="L118" s="468">
        <f t="shared" si="124"/>
        <v>0</v>
      </c>
      <c r="M118" s="472">
        <f t="shared" si="125"/>
        <v>0</v>
      </c>
      <c r="N118" s="468">
        <f t="shared" si="126"/>
        <v>0</v>
      </c>
      <c r="O118" s="464"/>
      <c r="P118" s="375">
        <v>0</v>
      </c>
      <c r="Q118" s="378">
        <v>0</v>
      </c>
      <c r="R118" s="9"/>
      <c r="S118" s="719" t="str">
        <f>+IF(SEPTIEMBRE!S118=0,"",SEPTIEMBRE!S118)</f>
        <v>2010100-4</v>
      </c>
      <c r="T118" s="693" t="str">
        <f>+IF(SEPTIEMBRE!T118=0,"",SEPTIEMBRE!T118)</f>
        <v/>
      </c>
      <c r="U118" s="27">
        <f>+ENERO!U118</f>
        <v>0</v>
      </c>
      <c r="V118" s="15">
        <f>SEPTIEMBRE!V118+OCTUBRE!AL118</f>
        <v>0</v>
      </c>
      <c r="W118" s="15">
        <f>SEPTIEMBRE!W118+OCTUBRE!AM118</f>
        <v>0</v>
      </c>
      <c r="X118" s="18">
        <f t="shared" si="127"/>
        <v>0</v>
      </c>
      <c r="Y118" s="19">
        <f>SEPTIEMBRE!AA118</f>
        <v>0</v>
      </c>
      <c r="Z118" s="377">
        <v>0</v>
      </c>
      <c r="AA118" s="18">
        <f t="shared" si="128"/>
        <v>0</v>
      </c>
      <c r="AB118" s="19">
        <f>SEPTIEMBRE!AD118</f>
        <v>0</v>
      </c>
      <c r="AC118" s="377">
        <v>0</v>
      </c>
      <c r="AD118" s="18">
        <f t="shared" si="129"/>
        <v>0</v>
      </c>
      <c r="AE118" s="19">
        <f>SEPTIEMBRE!AG118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+IF(SEPTIEMBRE!A119=0,"",SEPTIEMBRE!A119)</f>
        <v>2300</v>
      </c>
      <c r="B119" s="634" t="str">
        <f>+IF(SEPTIEMBRE!B119=0,"",SEPTIEMBRE!B119)</f>
        <v>RENDIMIENTOS FINANCIEROS</v>
      </c>
      <c r="C119" s="375">
        <f>+ENERO!C119</f>
        <v>594347</v>
      </c>
      <c r="D119" s="467">
        <f>SEPTIEMBRE!D119+OCTUBRE!P119</f>
        <v>0</v>
      </c>
      <c r="E119" s="467">
        <f>SEPTIEMBRE!E119+OCTUBRE!Q119</f>
        <v>0</v>
      </c>
      <c r="F119" s="471">
        <f t="shared" si="122"/>
        <v>594347</v>
      </c>
      <c r="G119" s="222">
        <f>SEPTIEMBRE!I119</f>
        <v>90423</v>
      </c>
      <c r="H119" s="377">
        <v>0</v>
      </c>
      <c r="I119" s="476">
        <f t="shared" si="123"/>
        <v>90423</v>
      </c>
      <c r="J119" s="222">
        <f>SEPTIEMBRE!L119</f>
        <v>90423</v>
      </c>
      <c r="K119" s="377">
        <v>0</v>
      </c>
      <c r="L119" s="146">
        <f t="shared" si="124"/>
        <v>90423</v>
      </c>
      <c r="M119" s="441">
        <f t="shared" si="125"/>
        <v>503924</v>
      </c>
      <c r="N119" s="146">
        <f t="shared" si="126"/>
        <v>503924</v>
      </c>
      <c r="O119" s="464"/>
      <c r="P119" s="375">
        <v>0</v>
      </c>
      <c r="Q119" s="378">
        <v>0</v>
      </c>
      <c r="R119" s="9"/>
      <c r="S119" s="719" t="str">
        <f>+IF(SEPTIEMBRE!S119=0,"",SEPTIEMBRE!S119)</f>
        <v>2010100-5</v>
      </c>
      <c r="T119" s="693" t="str">
        <f>+IF(SEPTIEMBRE!T119=0,"",SEPTIEMBRE!T119)</f>
        <v/>
      </c>
      <c r="U119" s="27">
        <f>+ENERO!U119</f>
        <v>0</v>
      </c>
      <c r="V119" s="15">
        <f>SEPTIEMBRE!V119+OCTUBRE!AL119</f>
        <v>0</v>
      </c>
      <c r="W119" s="15">
        <f>SEPTIEMBRE!W119+OCTUBRE!AM119</f>
        <v>0</v>
      </c>
      <c r="X119" s="18">
        <f t="shared" si="127"/>
        <v>0</v>
      </c>
      <c r="Y119" s="19">
        <f>SEPTIEMBRE!AA119</f>
        <v>0</v>
      </c>
      <c r="Z119" s="377">
        <v>0</v>
      </c>
      <c r="AA119" s="18">
        <f t="shared" si="128"/>
        <v>0</v>
      </c>
      <c r="AB119" s="19">
        <f>SEPTIEMBRE!AD119</f>
        <v>0</v>
      </c>
      <c r="AC119" s="377">
        <v>0</v>
      </c>
      <c r="AD119" s="18">
        <f t="shared" si="129"/>
        <v>0</v>
      </c>
      <c r="AE119" s="19">
        <f>SEPTIEMBRE!AG119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+IF(SEPTIEMBRE!A120=0,"",SEPTIEMBRE!A120)</f>
        <v>2400</v>
      </c>
      <c r="B120" s="635" t="str">
        <f>+IF(SEPTIEMBRE!B120=0,"",SEPTIEMBRE!B120)</f>
        <v>VENTA DE ACTIVOS</v>
      </c>
      <c r="C120" s="375">
        <f>+ENERO!C120</f>
        <v>0</v>
      </c>
      <c r="D120" s="467">
        <f>SEPTIEMBRE!D120+OCTUBRE!P120</f>
        <v>0</v>
      </c>
      <c r="E120" s="467">
        <f>SEPTIEMBRE!E120+OCTUBRE!Q120</f>
        <v>0</v>
      </c>
      <c r="F120" s="471">
        <f t="shared" si="122"/>
        <v>0</v>
      </c>
      <c r="G120" s="222">
        <f>SEPTIEMBRE!I120</f>
        <v>0</v>
      </c>
      <c r="H120" s="377">
        <v>0</v>
      </c>
      <c r="I120" s="476">
        <f t="shared" si="123"/>
        <v>0</v>
      </c>
      <c r="J120" s="222">
        <f>SEPTIEMBRE!L120</f>
        <v>0</v>
      </c>
      <c r="K120" s="377">
        <v>0</v>
      </c>
      <c r="L120" s="146">
        <f t="shared" si="124"/>
        <v>0</v>
      </c>
      <c r="M120" s="441">
        <f t="shared" si="125"/>
        <v>0</v>
      </c>
      <c r="N120" s="146">
        <f t="shared" si="126"/>
        <v>0</v>
      </c>
      <c r="P120" s="375">
        <v>0</v>
      </c>
      <c r="Q120" s="378">
        <v>0</v>
      </c>
      <c r="R120" s="9"/>
      <c r="S120" s="719" t="str">
        <f>+IF(SEPTIEMBRE!S120=0,"",SEPTIEMBRE!S120)</f>
        <v>2010100-6</v>
      </c>
      <c r="T120" s="693" t="str">
        <f>+IF(SEPTIEMBRE!T120=0,"",SEPTIEMBRE!T120)</f>
        <v/>
      </c>
      <c r="U120" s="27">
        <f>+ENERO!U120</f>
        <v>0</v>
      </c>
      <c r="V120" s="15">
        <f>SEPTIEMBRE!V120+OCTUBRE!AL120</f>
        <v>0</v>
      </c>
      <c r="W120" s="15">
        <f>SEPTIEMBRE!W120+OCTUBRE!AM120</f>
        <v>0</v>
      </c>
      <c r="X120" s="18">
        <f t="shared" si="127"/>
        <v>0</v>
      </c>
      <c r="Y120" s="19">
        <f>SEPTIEMBRE!AA120</f>
        <v>0</v>
      </c>
      <c r="Z120" s="377">
        <v>0</v>
      </c>
      <c r="AA120" s="18">
        <f t="shared" si="128"/>
        <v>0</v>
      </c>
      <c r="AB120" s="19">
        <f>SEPTIEMBRE!AD120</f>
        <v>0</v>
      </c>
      <c r="AC120" s="377">
        <v>0</v>
      </c>
      <c r="AD120" s="18">
        <f t="shared" si="129"/>
        <v>0</v>
      </c>
      <c r="AE120" s="19">
        <f>SEPTIEMBRE!AG120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+IF(SEPTIEMBRE!A121=0,"",SEPTIEMBRE!A121)</f>
        <v>2500</v>
      </c>
      <c r="B121" s="635" t="str">
        <f>+IF(SEPTIEMBRE!B121=0,"",SEPTIEMBRE!B121)</f>
        <v>DONACIONES</v>
      </c>
      <c r="C121" s="375">
        <f>+ENERO!C121</f>
        <v>0</v>
      </c>
      <c r="D121" s="467">
        <f>SEPTIEMBRE!D121+OCTUBRE!P121</f>
        <v>0</v>
      </c>
      <c r="E121" s="467">
        <f>SEPTIEMBRE!E121+OCTUBRE!Q121</f>
        <v>0</v>
      </c>
      <c r="F121" s="471">
        <f t="shared" si="122"/>
        <v>0</v>
      </c>
      <c r="G121" s="222">
        <f>SEPTIEMBRE!I121</f>
        <v>0</v>
      </c>
      <c r="H121" s="377">
        <v>0</v>
      </c>
      <c r="I121" s="476">
        <f t="shared" si="123"/>
        <v>0</v>
      </c>
      <c r="J121" s="222">
        <f>SEPTIEMBRE!L121</f>
        <v>0</v>
      </c>
      <c r="K121" s="377">
        <v>0</v>
      </c>
      <c r="L121" s="146">
        <f t="shared" si="124"/>
        <v>0</v>
      </c>
      <c r="M121" s="441">
        <f t="shared" si="125"/>
        <v>0</v>
      </c>
      <c r="N121" s="146">
        <f t="shared" si="126"/>
        <v>0</v>
      </c>
      <c r="P121" s="375">
        <v>0</v>
      </c>
      <c r="Q121" s="378">
        <v>0</v>
      </c>
      <c r="R121" s="9"/>
      <c r="S121" s="719">
        <f>+IF(SEPTIEMBRE!S121=0,"",SEPTIEMBRE!S121)</f>
        <v>2010199</v>
      </c>
      <c r="T121" s="693" t="str">
        <f>+IF(SEPTIEMBRE!T121=0,"",SEPTIEMBRE!T121)</f>
        <v>Vigencias Anteriores</v>
      </c>
      <c r="U121" s="27">
        <f>+ENERO!U121</f>
        <v>0</v>
      </c>
      <c r="V121" s="15">
        <f>SEPTIEMBRE!V121+OCTUBRE!AL121</f>
        <v>0</v>
      </c>
      <c r="W121" s="15">
        <f>SEPTIEMBRE!W121+OCTUBRE!AM121</f>
        <v>12179864</v>
      </c>
      <c r="X121" s="18">
        <f t="shared" si="127"/>
        <v>12179864</v>
      </c>
      <c r="Y121" s="19">
        <f>SEPTIEMBRE!AA121</f>
        <v>12179864</v>
      </c>
      <c r="Z121" s="377">
        <v>0</v>
      </c>
      <c r="AA121" s="18">
        <f t="shared" si="128"/>
        <v>12179864</v>
      </c>
      <c r="AB121" s="19">
        <f>SEPTIEMBRE!AD121</f>
        <v>12179864</v>
      </c>
      <c r="AC121" s="377">
        <v>0</v>
      </c>
      <c r="AD121" s="18">
        <f t="shared" si="129"/>
        <v>12179864</v>
      </c>
      <c r="AE121" s="19">
        <f>SEPTIEMBRE!AG121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+IF(SEPTIEMBRE!A122=0,"",SEPTIEMBRE!A122)</f>
        <v>2600</v>
      </c>
      <c r="B122" s="635" t="str">
        <f>+IF(SEPTIEMBRE!B122=0,"",SEPTIEMBRE!B122)</f>
        <v>RECUPERACIÓN DE CARTERA (AÑO 2013 Y ANTERIORES)</v>
      </c>
      <c r="C122" s="375">
        <f>+ENERO!C122</f>
        <v>32064799</v>
      </c>
      <c r="D122" s="467">
        <f>SEPTIEMBRE!D122+OCTUBRE!P122</f>
        <v>0</v>
      </c>
      <c r="E122" s="467">
        <f>SEPTIEMBRE!E122+OCTUBRE!Q122</f>
        <v>0</v>
      </c>
      <c r="F122" s="471">
        <f t="shared" si="122"/>
        <v>32064799</v>
      </c>
      <c r="G122" s="222">
        <f>SEPTIEMBRE!I122</f>
        <v>10062134</v>
      </c>
      <c r="H122" s="377">
        <v>0</v>
      </c>
      <c r="I122" s="476">
        <f t="shared" si="123"/>
        <v>10062134</v>
      </c>
      <c r="J122" s="222">
        <f>SEPTIEMBRE!L122</f>
        <v>10062134</v>
      </c>
      <c r="K122" s="377">
        <v>0</v>
      </c>
      <c r="L122" s="146">
        <f t="shared" si="124"/>
        <v>10062134</v>
      </c>
      <c r="M122" s="441">
        <f t="shared" si="125"/>
        <v>22002665</v>
      </c>
      <c r="N122" s="146">
        <f t="shared" si="126"/>
        <v>22002665</v>
      </c>
      <c r="P122" s="375">
        <v>0</v>
      </c>
      <c r="Q122" s="378">
        <v>0</v>
      </c>
      <c r="R122" s="9"/>
      <c r="S122" s="369" t="str">
        <f>+IF(SEPTIEMBRE!S122=0,"",SEPTIEMBRE!S122)</f>
        <v/>
      </c>
      <c r="T122" s="708" t="str">
        <f>+IF(SEPTIEMBRE!T122=0,"",SEPTIEMBRE!T122)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+IF(SEPTIEMBRE!A123=0,"",SEPTIEMBRE!A123)</f>
        <v>2700</v>
      </c>
      <c r="B123" s="635" t="str">
        <f>+IF(SEPTIEMBRE!B123=0,"",SEPTIEMBRE!B123)</f>
        <v>OTROS INGRESOS DE CAPITAL</v>
      </c>
      <c r="C123" s="375">
        <f>+ENERO!C123</f>
        <v>0</v>
      </c>
      <c r="D123" s="467">
        <f>SEPTIEMBRE!D123+OCTUBRE!P123</f>
        <v>0</v>
      </c>
      <c r="E123" s="467">
        <f>SEPTIEMBRE!E123+OCTUBRE!Q123</f>
        <v>27176600</v>
      </c>
      <c r="F123" s="471">
        <f t="shared" si="122"/>
        <v>27176600</v>
      </c>
      <c r="G123" s="222">
        <f>SEPTIEMBRE!I123</f>
        <v>41556213</v>
      </c>
      <c r="H123" s="377">
        <v>0</v>
      </c>
      <c r="I123" s="476">
        <f t="shared" si="123"/>
        <v>41556213</v>
      </c>
      <c r="J123" s="222">
        <f>SEPTIEMBRE!L123</f>
        <v>41556213</v>
      </c>
      <c r="K123" s="377">
        <v>0</v>
      </c>
      <c r="L123" s="146">
        <f t="shared" si="124"/>
        <v>41556213</v>
      </c>
      <c r="M123" s="441">
        <f t="shared" si="125"/>
        <v>-14379613</v>
      </c>
      <c r="N123" s="146">
        <f t="shared" si="126"/>
        <v>-14379613</v>
      </c>
      <c r="P123" s="375">
        <v>0</v>
      </c>
      <c r="Q123" s="378">
        <v>0</v>
      </c>
      <c r="R123" s="9"/>
      <c r="S123" s="718">
        <f>+IF(SEPTIEMBRE!S123=0,"",SEPTIEMBRE!S123)</f>
        <v>2010200</v>
      </c>
      <c r="T123" s="692" t="str">
        <f>+IF(SEPTIEMBRE!T123=0,"",SEPTIEMBRE!T123)</f>
        <v>Adquisición de Servicios</v>
      </c>
      <c r="U123" s="135">
        <f t="shared" ref="U123:AJ123" si="134">SUM(U124:U139)</f>
        <v>141098390</v>
      </c>
      <c r="V123" s="124">
        <f t="shared" si="134"/>
        <v>5900000</v>
      </c>
      <c r="W123" s="124">
        <f t="shared" si="134"/>
        <v>31389245</v>
      </c>
      <c r="X123" s="132">
        <f t="shared" si="134"/>
        <v>178387635</v>
      </c>
      <c r="Y123" s="131">
        <f t="shared" si="134"/>
        <v>126519531</v>
      </c>
      <c r="Z123" s="124">
        <f t="shared" si="134"/>
        <v>0</v>
      </c>
      <c r="AA123" s="132">
        <f t="shared" si="134"/>
        <v>126519531</v>
      </c>
      <c r="AB123" s="131">
        <f t="shared" si="134"/>
        <v>124044531</v>
      </c>
      <c r="AC123" s="124">
        <f t="shared" si="134"/>
        <v>0</v>
      </c>
      <c r="AD123" s="132">
        <f t="shared" si="134"/>
        <v>124044531</v>
      </c>
      <c r="AE123" s="131">
        <f t="shared" si="134"/>
        <v>103345029</v>
      </c>
      <c r="AF123" s="124">
        <f t="shared" si="134"/>
        <v>0</v>
      </c>
      <c r="AG123" s="132">
        <f t="shared" si="134"/>
        <v>103345029</v>
      </c>
      <c r="AH123" s="131">
        <f t="shared" si="134"/>
        <v>51868104</v>
      </c>
      <c r="AI123" s="124">
        <f t="shared" si="134"/>
        <v>54343104</v>
      </c>
      <c r="AJ123" s="133">
        <f t="shared" si="134"/>
        <v>75042606</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+IF(SEPTIEMBRE!A124=0,"",SEPTIEMBRE!A124)</f>
        <v>2800</v>
      </c>
      <c r="B124" s="663" t="str">
        <f>+IF(SEPTIEMBRE!B124=0,"",SEPTIEMBRE!B124)</f>
        <v/>
      </c>
      <c r="C124" s="387">
        <f>+ENERO!C124</f>
        <v>0</v>
      </c>
      <c r="D124" s="465">
        <f>SEPTIEMBRE!D124+OCTUBRE!P124</f>
        <v>0</v>
      </c>
      <c r="E124" s="465">
        <f>SEPTIEMBRE!E124+OCTUBRE!Q124</f>
        <v>0</v>
      </c>
      <c r="F124" s="477">
        <f t="shared" si="122"/>
        <v>0</v>
      </c>
      <c r="G124" s="390">
        <f>SEPTIEMBRE!I124</f>
        <v>0</v>
      </c>
      <c r="H124" s="391">
        <v>0</v>
      </c>
      <c r="I124" s="478">
        <f t="shared" si="123"/>
        <v>0</v>
      </c>
      <c r="J124" s="390">
        <f>SEPTIEMBRE!L124</f>
        <v>0</v>
      </c>
      <c r="K124" s="391">
        <v>0</v>
      </c>
      <c r="L124" s="389">
        <f t="shared" si="124"/>
        <v>0</v>
      </c>
      <c r="M124" s="479">
        <f t="shared" si="125"/>
        <v>0</v>
      </c>
      <c r="N124" s="389">
        <f t="shared" si="126"/>
        <v>0</v>
      </c>
      <c r="P124" s="387">
        <v>0</v>
      </c>
      <c r="Q124" s="392">
        <v>0</v>
      </c>
      <c r="R124" s="9"/>
      <c r="S124" s="719" t="str">
        <f>+IF(SEPTIEMBRE!S124=0,"",SEPTIEMBRE!S124)</f>
        <v>2010200-1</v>
      </c>
      <c r="T124" s="693" t="str">
        <f>+IF(SEPTIEMBRE!T124=0,"",SEPTIEMBRE!T124)</f>
        <v>Seguros</v>
      </c>
      <c r="U124" s="27">
        <f>+ENERO!U124</f>
        <v>17953987</v>
      </c>
      <c r="V124" s="15">
        <f>SEPTIEMBRE!V124+OCTUBRE!AL124</f>
        <v>0</v>
      </c>
      <c r="W124" s="15">
        <f>SEPTIEMBRE!W124+OCTUBRE!AM124</f>
        <v>5000000</v>
      </c>
      <c r="X124" s="18">
        <f t="shared" ref="X124:X139" si="135">SUM(U124:W124)</f>
        <v>22953987</v>
      </c>
      <c r="Y124" s="19">
        <f>SEPTIEMBRE!AA124</f>
        <v>18778005</v>
      </c>
      <c r="Z124" s="377">
        <v>0</v>
      </c>
      <c r="AA124" s="18">
        <f t="shared" ref="AA124:AA139" si="136">SUM(Y124:Z124)</f>
        <v>18778005</v>
      </c>
      <c r="AB124" s="19">
        <f>SEPTIEMBRE!AD124</f>
        <v>18778005</v>
      </c>
      <c r="AC124" s="377">
        <v>0</v>
      </c>
      <c r="AD124" s="18">
        <f t="shared" ref="AD124:AD139" si="137">SUM(AB124:AC124)</f>
        <v>18778005</v>
      </c>
      <c r="AE124" s="19">
        <f>SEPTIEMBRE!AG124</f>
        <v>16918425</v>
      </c>
      <c r="AF124" s="377">
        <v>0</v>
      </c>
      <c r="AG124" s="18">
        <f t="shared" ref="AG124:AG139" si="138">SUM(AE124:AF124)</f>
        <v>16918425</v>
      </c>
      <c r="AH124" s="19">
        <f t="shared" ref="AH124:AH139" si="139">X124-AA124</f>
        <v>4175982</v>
      </c>
      <c r="AI124" s="15">
        <f t="shared" ref="AI124:AI139" si="140">X124-AD124</f>
        <v>4175982</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+IF(SEPTIEMBRE!S125=0,"",SEPTIEMBRE!S125)</f>
        <v>2010200-2</v>
      </c>
      <c r="T125" s="693" t="str">
        <f>+IF(SEPTIEMBRE!T125=0,"",SEPTIEMBRE!T125)</f>
        <v>Impresos y Publicaciones</v>
      </c>
      <c r="U125" s="27">
        <f>+ENERO!U125</f>
        <v>3151827</v>
      </c>
      <c r="V125" s="15">
        <f>SEPTIEMBRE!V125+OCTUBRE!AL125</f>
        <v>0</v>
      </c>
      <c r="W125" s="15">
        <f>SEPTIEMBRE!W125+OCTUBRE!AM125</f>
        <v>0</v>
      </c>
      <c r="X125" s="18">
        <f t="shared" si="135"/>
        <v>3151827</v>
      </c>
      <c r="Y125" s="19">
        <f>SEPTIEMBRE!AA125</f>
        <v>195788</v>
      </c>
      <c r="Z125" s="377">
        <v>0</v>
      </c>
      <c r="AA125" s="18">
        <f t="shared" si="136"/>
        <v>195788</v>
      </c>
      <c r="AB125" s="19">
        <f>SEPTIEMBRE!AD125</f>
        <v>195788</v>
      </c>
      <c r="AC125" s="377">
        <v>0</v>
      </c>
      <c r="AD125" s="18">
        <f t="shared" si="137"/>
        <v>195788</v>
      </c>
      <c r="AE125" s="19">
        <f>SEPTIEMBRE!AG125</f>
        <v>195788</v>
      </c>
      <c r="AF125" s="377">
        <v>0</v>
      </c>
      <c r="AG125" s="18">
        <f t="shared" si="138"/>
        <v>195788</v>
      </c>
      <c r="AH125" s="19">
        <f t="shared" si="139"/>
        <v>2956039</v>
      </c>
      <c r="AI125" s="15">
        <f t="shared" si="140"/>
        <v>2956039</v>
      </c>
      <c r="AJ125" s="16">
        <f t="shared" si="141"/>
        <v>2956039</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2520218189</v>
      </c>
      <c r="H126" s="480">
        <f t="shared" si="142"/>
        <v>0</v>
      </c>
      <c r="I126" s="480">
        <f t="shared" si="142"/>
        <v>2520218189</v>
      </c>
      <c r="J126" s="480">
        <f t="shared" si="142"/>
        <v>1690721600</v>
      </c>
      <c r="K126" s="480">
        <f t="shared" si="142"/>
        <v>0</v>
      </c>
      <c r="L126" s="480">
        <f t="shared" si="142"/>
        <v>1680659466</v>
      </c>
      <c r="M126" s="480">
        <f t="shared" si="142"/>
        <v>814933996</v>
      </c>
      <c r="N126" s="621">
        <f t="shared" si="142"/>
        <v>1632490054</v>
      </c>
      <c r="P126" s="481">
        <f>P8-P128</f>
        <v>0</v>
      </c>
      <c r="Q126" s="482">
        <f>Q8-Q128</f>
        <v>0</v>
      </c>
      <c r="R126" s="9"/>
      <c r="S126" s="719" t="str">
        <f>+IF(SEPTIEMBRE!S126=0,"",SEPTIEMBRE!S126)</f>
        <v>2010200-3</v>
      </c>
      <c r="T126" s="693" t="str">
        <f>+IF(SEPTIEMBRE!T126=0,"",SEPTIEMBRE!T126)</f>
        <v xml:space="preserve">Servicios Públicos </v>
      </c>
      <c r="U126" s="27">
        <f>+ENERO!U126</f>
        <v>55492147</v>
      </c>
      <c r="V126" s="15">
        <f>SEPTIEMBRE!V126+OCTUBRE!AL126</f>
        <v>0</v>
      </c>
      <c r="W126" s="15">
        <f>SEPTIEMBRE!W126+OCTUBRE!AM126</f>
        <v>0</v>
      </c>
      <c r="X126" s="18">
        <f t="shared" si="135"/>
        <v>55492147</v>
      </c>
      <c r="Y126" s="19">
        <f>SEPTIEMBRE!AA126</f>
        <v>42071130</v>
      </c>
      <c r="Z126" s="377">
        <v>0</v>
      </c>
      <c r="AA126" s="18">
        <f t="shared" si="136"/>
        <v>42071130</v>
      </c>
      <c r="AB126" s="19">
        <f>SEPTIEMBRE!AD126</f>
        <v>42071130</v>
      </c>
      <c r="AC126" s="377">
        <v>0</v>
      </c>
      <c r="AD126" s="18">
        <f t="shared" si="137"/>
        <v>42071130</v>
      </c>
      <c r="AE126" s="19">
        <f>SEPTIEMBRE!AG126</f>
        <v>40936099</v>
      </c>
      <c r="AF126" s="377">
        <v>0</v>
      </c>
      <c r="AG126" s="18">
        <f t="shared" si="138"/>
        <v>40936099</v>
      </c>
      <c r="AH126" s="19">
        <f t="shared" si="139"/>
        <v>13421017</v>
      </c>
      <c r="AI126" s="15">
        <f t="shared" si="140"/>
        <v>13421017</v>
      </c>
      <c r="AJ126" s="16">
        <f t="shared" si="141"/>
        <v>14556048</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+IF(SEPTIEMBRE!S127=0,"",SEPTIEMBRE!S127)</f>
        <v>2010200-4</v>
      </c>
      <c r="T127" s="693" t="str">
        <f>+IF(SEPTIEMBRE!T127=0,"",SEPTIEMBRE!T127)</f>
        <v>Comunicaciones y Transportes</v>
      </c>
      <c r="U127" s="27">
        <f>+ENERO!U127</f>
        <v>14481572</v>
      </c>
      <c r="V127" s="15">
        <f>SEPTIEMBRE!V127+OCTUBRE!AL127</f>
        <v>0</v>
      </c>
      <c r="W127" s="15">
        <f>SEPTIEMBRE!W127+OCTUBRE!AM127</f>
        <v>0</v>
      </c>
      <c r="X127" s="18">
        <f t="shared" si="135"/>
        <v>14481572</v>
      </c>
      <c r="Y127" s="19">
        <f>SEPTIEMBRE!AA127</f>
        <v>9518819</v>
      </c>
      <c r="Z127" s="377">
        <v>0</v>
      </c>
      <c r="AA127" s="18">
        <f t="shared" si="136"/>
        <v>9518819</v>
      </c>
      <c r="AB127" s="19">
        <f>SEPTIEMBRE!AD127</f>
        <v>8643819</v>
      </c>
      <c r="AC127" s="377">
        <v>0</v>
      </c>
      <c r="AD127" s="18">
        <f t="shared" si="137"/>
        <v>8643819</v>
      </c>
      <c r="AE127" s="19">
        <f>SEPTIEMBRE!AG127</f>
        <v>7723819</v>
      </c>
      <c r="AF127" s="377">
        <v>0</v>
      </c>
      <c r="AG127" s="18">
        <f t="shared" si="138"/>
        <v>7723819</v>
      </c>
      <c r="AH127" s="19">
        <f t="shared" si="139"/>
        <v>4962753</v>
      </c>
      <c r="AI127" s="15">
        <f t="shared" si="140"/>
        <v>5837753</v>
      </c>
      <c r="AJ127" s="16">
        <f t="shared" si="141"/>
        <v>6757753</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505084119</v>
      </c>
      <c r="H128" s="486">
        <f>SUMIF($B8:$B$122,$B$24,H8:H122)+H122</f>
        <v>0</v>
      </c>
      <c r="I128" s="486">
        <f>SUMIF($B8:$B$122,$B$24,I8:I122)+I122</f>
        <v>505084119</v>
      </c>
      <c r="J128" s="486">
        <f>SUMIF($B8:$B$122,$B$24,J8:J122)+J1212</f>
        <v>495021985</v>
      </c>
      <c r="K128" s="486">
        <f>SUMIF($B8:$B$122,$B$24,K8:K122)+K122</f>
        <v>0</v>
      </c>
      <c r="L128" s="486">
        <f>SUMIF($B8:$B$122,$B$24,L8:L122)+L122</f>
        <v>505084119</v>
      </c>
      <c r="M128" s="486">
        <f>SUMIF($B8:$B$122,$B$24,M8:M122)+M12</f>
        <v>50364443</v>
      </c>
      <c r="N128" s="622">
        <f>SUMIF($B8:$B$122,$B$24,N8:N122)+N122</f>
        <v>72367108</v>
      </c>
      <c r="O128" s="464"/>
      <c r="P128" s="486">
        <f>SUMIF($B8:$B$122,$B$24,P8:P122)+P122</f>
        <v>0</v>
      </c>
      <c r="Q128" s="487">
        <f>SUMIF($B8:$B$122,$B$24,Q8:Q122)+Q122</f>
        <v>0</v>
      </c>
      <c r="R128" s="9"/>
      <c r="S128" s="719" t="str">
        <f>+IF(SEPTIEMBRE!S128=0,"",SEPTIEMBRE!S128)</f>
        <v>2010200-5</v>
      </c>
      <c r="T128" s="693" t="str">
        <f>+IF(SEPTIEMBRE!T128=0,"",SEPTIEMBRE!T128)</f>
        <v>Viáticos y Gastos de Viaje</v>
      </c>
      <c r="U128" s="27">
        <f>+ENERO!U128</f>
        <v>12695514</v>
      </c>
      <c r="V128" s="15">
        <f>SEPTIEMBRE!V128+OCTUBRE!AL128</f>
        <v>4700000</v>
      </c>
      <c r="W128" s="15">
        <f>SEPTIEMBRE!W128+OCTUBRE!AM128</f>
        <v>0</v>
      </c>
      <c r="X128" s="18">
        <f t="shared" si="135"/>
        <v>17395514</v>
      </c>
      <c r="Y128" s="19">
        <f>SEPTIEMBRE!AA128</f>
        <v>14694863</v>
      </c>
      <c r="Z128" s="377">
        <v>0</v>
      </c>
      <c r="AA128" s="18">
        <f t="shared" si="136"/>
        <v>14694863</v>
      </c>
      <c r="AB128" s="19">
        <f>SEPTIEMBRE!AD128</f>
        <v>14694863</v>
      </c>
      <c r="AC128" s="377">
        <v>0</v>
      </c>
      <c r="AD128" s="18">
        <f t="shared" si="137"/>
        <v>14694863</v>
      </c>
      <c r="AE128" s="19">
        <f>SEPTIEMBRE!AG128</f>
        <v>14694863</v>
      </c>
      <c r="AF128" s="377">
        <v>0</v>
      </c>
      <c r="AG128" s="18">
        <f t="shared" si="138"/>
        <v>14694863</v>
      </c>
      <c r="AH128" s="19">
        <f t="shared" si="139"/>
        <v>2700651</v>
      </c>
      <c r="AI128" s="15">
        <f t="shared" si="140"/>
        <v>2700651</v>
      </c>
      <c r="AJ128" s="16">
        <f t="shared" si="141"/>
        <v>2700651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+IF(SEPTIEMBRE!S129=0,"",SEPTIEMBRE!S129)</f>
        <v>2010200-6</v>
      </c>
      <c r="T129" s="693" t="str">
        <f>+IF(SEPTIEMBRE!T129=0,"",SEPTIEMBRE!T129)</f>
        <v>Arrendamientos</v>
      </c>
      <c r="U129" s="27">
        <f>+ENERO!U129</f>
        <v>0</v>
      </c>
      <c r="V129" s="15">
        <f>SEPTIEMBRE!V129+OCTUBRE!AL129</f>
        <v>0</v>
      </c>
      <c r="W129" s="15">
        <f>SEPTIEMBRE!W129+OCTUBRE!AM129</f>
        <v>0</v>
      </c>
      <c r="X129" s="18">
        <f t="shared" si="135"/>
        <v>0</v>
      </c>
      <c r="Y129" s="19">
        <f>SEPTIEMBRE!AA129</f>
        <v>0</v>
      </c>
      <c r="Z129" s="377">
        <v>0</v>
      </c>
      <c r="AA129" s="18">
        <f t="shared" si="136"/>
        <v>0</v>
      </c>
      <c r="AB129" s="19">
        <f>SEPTIEMBRE!AD129</f>
        <v>0</v>
      </c>
      <c r="AC129" s="377">
        <v>0</v>
      </c>
      <c r="AD129" s="18">
        <f t="shared" si="137"/>
        <v>0</v>
      </c>
      <c r="AE129" s="19">
        <f>SEPTIEMBRE!AG129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3025302308</v>
      </c>
      <c r="H130" s="489">
        <f t="shared" si="143"/>
        <v>0</v>
      </c>
      <c r="I130" s="490">
        <f t="shared" si="143"/>
        <v>3025302308</v>
      </c>
      <c r="J130" s="488">
        <f t="shared" si="143"/>
        <v>2185743585</v>
      </c>
      <c r="K130" s="489">
        <f t="shared" si="143"/>
        <v>0</v>
      </c>
      <c r="L130" s="490">
        <f t="shared" si="143"/>
        <v>2185743585</v>
      </c>
      <c r="M130" s="488">
        <f t="shared" si="143"/>
        <v>865298439</v>
      </c>
      <c r="N130" s="490">
        <f t="shared" si="143"/>
        <v>1704857162</v>
      </c>
      <c r="P130" s="481">
        <f>P128+P126</f>
        <v>0</v>
      </c>
      <c r="Q130" s="482">
        <f>Q128+Q126</f>
        <v>0</v>
      </c>
      <c r="R130" s="9"/>
      <c r="S130" s="719" t="str">
        <f>+IF(SEPTIEMBRE!S130=0,"",SEPTIEMBRE!S130)</f>
        <v>2010200-7</v>
      </c>
      <c r="T130" s="693" t="str">
        <f>+IF(SEPTIEMBRE!T130=0,"",SEPTIEMBRE!T130)</f>
        <v>Vigilancia y Aseo</v>
      </c>
      <c r="U130" s="27">
        <f>+ENERO!U130</f>
        <v>0</v>
      </c>
      <c r="V130" s="15">
        <f>SEPTIEMBRE!V130+OCTUBRE!AL130</f>
        <v>0</v>
      </c>
      <c r="W130" s="15">
        <f>SEPTIEMBRE!W130+OCTUBRE!AM130</f>
        <v>0</v>
      </c>
      <c r="X130" s="18">
        <f t="shared" si="135"/>
        <v>0</v>
      </c>
      <c r="Y130" s="19">
        <f>SEPTIEMBRE!AA130</f>
        <v>0</v>
      </c>
      <c r="Z130" s="377">
        <v>0</v>
      </c>
      <c r="AA130" s="18">
        <f t="shared" si="136"/>
        <v>0</v>
      </c>
      <c r="AB130" s="19">
        <f>SEPTIEMBRE!AD130</f>
        <v>0</v>
      </c>
      <c r="AC130" s="377">
        <v>0</v>
      </c>
      <c r="AD130" s="18">
        <f t="shared" si="137"/>
        <v>0</v>
      </c>
      <c r="AE130" s="19">
        <f>SEPTIEMBRE!AG130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+IF(SEPTIEMBRE!S131=0,"",SEPTIEMBRE!S131)</f>
        <v>2010200-8</v>
      </c>
      <c r="T131" s="693" t="str">
        <f>+IF(SEPTIEMBRE!T131=0,"",SEPTIEMBRE!T131)</f>
        <v>Bienestar Social</v>
      </c>
      <c r="U131" s="27">
        <f>+ENERO!U131</f>
        <v>28364135</v>
      </c>
      <c r="V131" s="15">
        <f>SEPTIEMBRE!V131+OCTUBRE!AL131</f>
        <v>0</v>
      </c>
      <c r="W131" s="15">
        <f>SEPTIEMBRE!W131+OCTUBRE!AM131</f>
        <v>81553</v>
      </c>
      <c r="X131" s="18">
        <f t="shared" si="135"/>
        <v>28445688</v>
      </c>
      <c r="Y131" s="19">
        <f>SEPTIEMBRE!AA131</f>
        <v>8908149</v>
      </c>
      <c r="Z131" s="377">
        <v>0</v>
      </c>
      <c r="AA131" s="18">
        <f t="shared" si="136"/>
        <v>8908149</v>
      </c>
      <c r="AB131" s="19">
        <f>SEPTIEMBRE!AD131</f>
        <v>7308149</v>
      </c>
      <c r="AC131" s="377">
        <v>0</v>
      </c>
      <c r="AD131" s="18">
        <f t="shared" si="137"/>
        <v>7308149</v>
      </c>
      <c r="AE131" s="19">
        <f>SEPTIEMBRE!AG131</f>
        <v>7022899</v>
      </c>
      <c r="AF131" s="377">
        <v>0</v>
      </c>
      <c r="AG131" s="18">
        <f t="shared" si="138"/>
        <v>7022899</v>
      </c>
      <c r="AH131" s="19">
        <f t="shared" si="139"/>
        <v>19537539</v>
      </c>
      <c r="AI131" s="15">
        <f t="shared" si="140"/>
        <v>21137539</v>
      </c>
      <c r="AJ131" s="16">
        <f t="shared" si="141"/>
        <v>21422789</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+IF(SEPTIEMBRE!S132=0,"",SEPTIEMBRE!S132)</f>
        <v>2010200-9</v>
      </c>
      <c r="T132" s="693" t="str">
        <f>+IF(SEPTIEMBRE!T132=0,"",SEPTIEMBRE!T132)</f>
        <v>Capacitación, estimulos, incentivos, programa de calidad</v>
      </c>
      <c r="U132" s="27">
        <f>+ENERO!U132</f>
        <v>3982443</v>
      </c>
      <c r="V132" s="15">
        <f>SEPTIEMBRE!V132+OCTUBRE!AL132</f>
        <v>0</v>
      </c>
      <c r="W132" s="15">
        <f>SEPTIEMBRE!W132+OCTUBRE!AM132</f>
        <v>0</v>
      </c>
      <c r="X132" s="18">
        <f t="shared" si="135"/>
        <v>3982443</v>
      </c>
      <c r="Y132" s="19">
        <f>SEPTIEMBRE!AA132</f>
        <v>0</v>
      </c>
      <c r="Z132" s="377">
        <v>0</v>
      </c>
      <c r="AA132" s="18">
        <f t="shared" si="136"/>
        <v>0</v>
      </c>
      <c r="AB132" s="19">
        <f>SEPTIEMBRE!AD132</f>
        <v>0</v>
      </c>
      <c r="AC132" s="377">
        <v>0</v>
      </c>
      <c r="AD132" s="18">
        <f t="shared" si="137"/>
        <v>0</v>
      </c>
      <c r="AE132" s="19">
        <f>SEPTIEMBRE!AG132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+IF(SEPTIEMBRE!S133=0,"",SEPTIEMBRE!S133)</f>
        <v>2010200-10</v>
      </c>
      <c r="T133" s="693" t="str">
        <f>+IF(SEPTIEMBRE!T133=0,"",SEPTIEMBRE!T133)</f>
        <v>Pagos otras IPS</v>
      </c>
      <c r="U133" s="27">
        <f>+ENERO!U133</f>
        <v>0</v>
      </c>
      <c r="V133" s="15">
        <f>SEPTIEMBRE!V133+OCTUBRE!AL133</f>
        <v>0</v>
      </c>
      <c r="W133" s="15">
        <f>SEPTIEMBRE!W133+OCTUBRE!AM133</f>
        <v>0</v>
      </c>
      <c r="X133" s="18">
        <f t="shared" si="135"/>
        <v>0</v>
      </c>
      <c r="Y133" s="19">
        <f>SEPTIEMBRE!AA133</f>
        <v>0</v>
      </c>
      <c r="Z133" s="377">
        <v>0</v>
      </c>
      <c r="AA133" s="18">
        <f t="shared" si="136"/>
        <v>0</v>
      </c>
      <c r="AB133" s="19">
        <f>SEPTIEMBRE!AD133</f>
        <v>0</v>
      </c>
      <c r="AC133" s="377">
        <v>0</v>
      </c>
      <c r="AD133" s="18">
        <f t="shared" si="137"/>
        <v>0</v>
      </c>
      <c r="AE133" s="19">
        <f>SEPTIEMBRE!AG133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+IF(SEPTIEMBRE!S134=0,"",SEPTIEMBRE!S134)</f>
        <v>2010200-11</v>
      </c>
      <c r="T134" s="693" t="str">
        <f>+IF(SEPTIEMBRE!T134=0,"",SEPTIEMBRE!T134)</f>
        <v>Gastos financieros</v>
      </c>
      <c r="U134" s="27">
        <f>+ENERO!U134</f>
        <v>4976765</v>
      </c>
      <c r="V134" s="15">
        <f>SEPTIEMBRE!V134+OCTUBRE!AL134</f>
        <v>1200000</v>
      </c>
      <c r="W134" s="15">
        <f>SEPTIEMBRE!W134+OCTUBRE!AM134</f>
        <v>0</v>
      </c>
      <c r="X134" s="18">
        <f t="shared" si="135"/>
        <v>6176765</v>
      </c>
      <c r="Y134" s="19">
        <f>SEPTIEMBRE!AA134</f>
        <v>6045085</v>
      </c>
      <c r="Z134" s="377">
        <v>0</v>
      </c>
      <c r="AA134" s="18">
        <f t="shared" si="136"/>
        <v>6045085</v>
      </c>
      <c r="AB134" s="19">
        <f>SEPTIEMBRE!AD134</f>
        <v>6045085</v>
      </c>
      <c r="AC134" s="377">
        <v>0</v>
      </c>
      <c r="AD134" s="18">
        <f t="shared" si="137"/>
        <v>6045085</v>
      </c>
      <c r="AE134" s="19">
        <f>SEPTIEMBRE!AG134</f>
        <v>6045085</v>
      </c>
      <c r="AF134" s="377">
        <v>0</v>
      </c>
      <c r="AG134" s="18">
        <f t="shared" si="138"/>
        <v>6045085</v>
      </c>
      <c r="AH134" s="19">
        <f t="shared" si="139"/>
        <v>131680</v>
      </c>
      <c r="AI134" s="15">
        <f t="shared" si="140"/>
        <v>131680</v>
      </c>
      <c r="AJ134" s="16">
        <f t="shared" si="141"/>
        <v>131680</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+IF(SEPTIEMBRE!S135=0,"",SEPTIEMBRE!S135)</f>
        <v>2010200-12</v>
      </c>
      <c r="T135" s="693" t="str">
        <f>+IF(SEPTIEMBRE!T135=0,"",SEPTIEMBRE!T135)</f>
        <v/>
      </c>
      <c r="U135" s="27">
        <f>+ENERO!U135</f>
        <v>0</v>
      </c>
      <c r="V135" s="15">
        <f>SEPTIEMBRE!V135+OCTUBRE!AL135</f>
        <v>0</v>
      </c>
      <c r="W135" s="15">
        <f>SEPTIEMBRE!W135+OCTUBRE!AM135</f>
        <v>0</v>
      </c>
      <c r="X135" s="18">
        <f t="shared" si="135"/>
        <v>0</v>
      </c>
      <c r="Y135" s="19">
        <f>SEPTIEMBRE!AA135</f>
        <v>0</v>
      </c>
      <c r="Z135" s="377">
        <v>0</v>
      </c>
      <c r="AA135" s="18">
        <f t="shared" si="136"/>
        <v>0</v>
      </c>
      <c r="AB135" s="19">
        <f>SEPTIEMBRE!AD135</f>
        <v>0</v>
      </c>
      <c r="AC135" s="377">
        <v>0</v>
      </c>
      <c r="AD135" s="18">
        <f t="shared" si="137"/>
        <v>0</v>
      </c>
      <c r="AE135" s="19">
        <f>SEPTIEMBRE!AG135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+IF(SEPTIEMBRE!S136=0,"",SEPTIEMBRE!S136)</f>
        <v>2010200-13</v>
      </c>
      <c r="T136" s="693" t="str">
        <f>+IF(SEPTIEMBRE!T136=0,"",SEPTIEMBRE!T136)</f>
        <v/>
      </c>
      <c r="U136" s="27">
        <f>+ENERO!U136</f>
        <v>0</v>
      </c>
      <c r="V136" s="15">
        <f>SEPTIEMBRE!V136+OCTUBRE!AL136</f>
        <v>0</v>
      </c>
      <c r="W136" s="15">
        <f>SEPTIEMBRE!W136+OCTUBRE!AM136</f>
        <v>0</v>
      </c>
      <c r="X136" s="18">
        <f t="shared" si="135"/>
        <v>0</v>
      </c>
      <c r="Y136" s="19">
        <f>SEPTIEMBRE!AA136</f>
        <v>0</v>
      </c>
      <c r="Z136" s="377">
        <v>0</v>
      </c>
      <c r="AA136" s="18">
        <f t="shared" si="136"/>
        <v>0</v>
      </c>
      <c r="AB136" s="19">
        <f>SEPTIEMBRE!AD136</f>
        <v>0</v>
      </c>
      <c r="AC136" s="377">
        <v>0</v>
      </c>
      <c r="AD136" s="18">
        <f t="shared" si="137"/>
        <v>0</v>
      </c>
      <c r="AE136" s="19">
        <f>SEPTIEMBRE!AG136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+IF(SEPTIEMBRE!S137=0,"",SEPTIEMBRE!S137)</f>
        <v>2010020-14</v>
      </c>
      <c r="T137" s="693" t="str">
        <f>+IF(SEPTIEMBRE!T137=0,"",SEPTIEMBRE!T137)</f>
        <v/>
      </c>
      <c r="U137" s="27">
        <f>+ENERO!U137</f>
        <v>0</v>
      </c>
      <c r="V137" s="15">
        <f>SEPTIEMBRE!V137+OCTUBRE!AL137</f>
        <v>0</v>
      </c>
      <c r="W137" s="15">
        <f>SEPTIEMBRE!W137+OCTUBRE!AM137</f>
        <v>0</v>
      </c>
      <c r="X137" s="18">
        <f t="shared" si="135"/>
        <v>0</v>
      </c>
      <c r="Y137" s="19">
        <f>SEPTIEMBRE!AA137</f>
        <v>0</v>
      </c>
      <c r="Z137" s="377">
        <v>0</v>
      </c>
      <c r="AA137" s="18">
        <f t="shared" si="136"/>
        <v>0</v>
      </c>
      <c r="AB137" s="19">
        <f>SEPTIEMBRE!AD137</f>
        <v>0</v>
      </c>
      <c r="AC137" s="377">
        <v>0</v>
      </c>
      <c r="AD137" s="18">
        <f t="shared" si="137"/>
        <v>0</v>
      </c>
      <c r="AE137" s="19">
        <f>SEPTIEMBRE!AG137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+IF(SEPTIEMBRE!S138=0,"",SEPTIEMBRE!S138)</f>
        <v>2010200-15</v>
      </c>
      <c r="T138" s="693" t="str">
        <f>+IF(SEPTIEMBRE!T138=0,"",SEPTIEMBRE!T138)</f>
        <v/>
      </c>
      <c r="U138" s="27">
        <f>+ENERO!U138</f>
        <v>0</v>
      </c>
      <c r="V138" s="15">
        <f>SEPTIEMBRE!V138+OCTUBRE!AL138</f>
        <v>0</v>
      </c>
      <c r="W138" s="15">
        <f>SEPTIEMBRE!W138+OCTUBRE!AM138</f>
        <v>0</v>
      </c>
      <c r="X138" s="18">
        <f t="shared" si="135"/>
        <v>0</v>
      </c>
      <c r="Y138" s="19">
        <f>SEPTIEMBRE!AA138</f>
        <v>0</v>
      </c>
      <c r="Z138" s="377">
        <v>0</v>
      </c>
      <c r="AA138" s="18">
        <f t="shared" si="136"/>
        <v>0</v>
      </c>
      <c r="AB138" s="19">
        <f>SEPTIEMBRE!AD138</f>
        <v>0</v>
      </c>
      <c r="AC138" s="377">
        <v>0</v>
      </c>
      <c r="AD138" s="18">
        <f t="shared" si="137"/>
        <v>0</v>
      </c>
      <c r="AE138" s="19">
        <f>SEPTIEMBRE!AG138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+IF(SEPTIEMBRE!S139=0,"",SEPTIEMBRE!S139)</f>
        <v>2010299</v>
      </c>
      <c r="T139" s="693" t="str">
        <f>+IF(SEPTIEMBRE!T139=0,"",SEPTIEMBRE!T139)</f>
        <v>Vigencias Anteriores</v>
      </c>
      <c r="U139" s="27">
        <f>+ENERO!U139</f>
        <v>0</v>
      </c>
      <c r="V139" s="15">
        <f>SEPTIEMBRE!V139+OCTUBRE!AL139</f>
        <v>0</v>
      </c>
      <c r="W139" s="15">
        <f>SEPTIEMBRE!W139+OCTUBRE!AM139</f>
        <v>26307692</v>
      </c>
      <c r="X139" s="18">
        <f t="shared" si="135"/>
        <v>26307692</v>
      </c>
      <c r="Y139" s="19">
        <f>SEPTIEMBRE!AA139</f>
        <v>26307692</v>
      </c>
      <c r="Z139" s="377">
        <v>0</v>
      </c>
      <c r="AA139" s="18">
        <f t="shared" si="136"/>
        <v>26307692</v>
      </c>
      <c r="AB139" s="19">
        <f>SEPTIEMBRE!AD139</f>
        <v>26307692</v>
      </c>
      <c r="AC139" s="377">
        <v>0</v>
      </c>
      <c r="AD139" s="18">
        <f t="shared" si="137"/>
        <v>26307692</v>
      </c>
      <c r="AE139" s="19">
        <f>SEPTIEMBRE!AG139</f>
        <v>9808051</v>
      </c>
      <c r="AF139" s="377">
        <v>0</v>
      </c>
      <c r="AG139" s="18">
        <f t="shared" si="138"/>
        <v>9808051</v>
      </c>
      <c r="AH139" s="19">
        <f t="shared" si="139"/>
        <v>0</v>
      </c>
      <c r="AI139" s="15">
        <f t="shared" si="140"/>
        <v>0</v>
      </c>
      <c r="AJ139" s="16">
        <f t="shared" si="141"/>
        <v>16499641</v>
      </c>
      <c r="AK139" s="9"/>
      <c r="AL139" s="375">
        <v>0</v>
      </c>
      <c r="AM139" s="378">
        <v>0</v>
      </c>
      <c r="AN139" s="9"/>
      <c r="AO139" s="297"/>
      <c r="AP139" s="297"/>
      <c r="AQ139" s="297"/>
    </row>
    <row r="140" spans="1:52" s="385" customFormat="1" ht="24.95" customHeight="1" x14ac:dyDescent="0.2">
      <c r="A140" s="767"/>
      <c r="B140" s="668"/>
      <c r="N140" s="9"/>
      <c r="R140" s="9"/>
      <c r="S140" s="369" t="str">
        <f>+IF(SEPTIEMBRE!S140=0,"",SEPTIEMBRE!S140)</f>
        <v/>
      </c>
      <c r="T140" s="708" t="str">
        <f>+IF(SEPTIEMBRE!T140=0,"",SEPTIEMBRE!T140)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+IF(SEPTIEMBRE!S141=0,"",SEPTIEMBRE!S141)</f>
        <v>2010300</v>
      </c>
      <c r="T141" s="692" t="str">
        <f>+IF(SEPTIEMBRE!T141=0,"",SEPTIEMBRE!T141)</f>
        <v>Impuestos y Multas</v>
      </c>
      <c r="U141" s="135">
        <f t="shared" ref="U141:AJ141" si="144">U142+U143</f>
        <v>10780963</v>
      </c>
      <c r="V141" s="124">
        <f t="shared" si="144"/>
        <v>7661935</v>
      </c>
      <c r="W141" s="124">
        <f t="shared" si="144"/>
        <v>1487943</v>
      </c>
      <c r="X141" s="132">
        <f t="shared" si="144"/>
        <v>19930841</v>
      </c>
      <c r="Y141" s="131">
        <f t="shared" si="144"/>
        <v>15250075</v>
      </c>
      <c r="Z141" s="124">
        <f t="shared" si="144"/>
        <v>0</v>
      </c>
      <c r="AA141" s="132">
        <f t="shared" si="144"/>
        <v>15250075</v>
      </c>
      <c r="AB141" s="131">
        <f t="shared" si="144"/>
        <v>15250075</v>
      </c>
      <c r="AC141" s="124">
        <f t="shared" si="144"/>
        <v>0</v>
      </c>
      <c r="AD141" s="132">
        <f t="shared" si="144"/>
        <v>15250075</v>
      </c>
      <c r="AE141" s="131">
        <f t="shared" si="144"/>
        <v>7661935</v>
      </c>
      <c r="AF141" s="124">
        <f t="shared" si="144"/>
        <v>0</v>
      </c>
      <c r="AG141" s="132">
        <f t="shared" si="144"/>
        <v>7661935</v>
      </c>
      <c r="AH141" s="131">
        <f t="shared" si="144"/>
        <v>4680766</v>
      </c>
      <c r="AI141" s="124">
        <f t="shared" si="144"/>
        <v>4680766</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+IF(SEPTIEMBRE!S142=0,"",SEPTIEMBRE!S142)</f>
        <v>2010300-1</v>
      </c>
      <c r="T142" s="693" t="str">
        <f>+IF(SEPTIEMBRE!T142=0,"",SEPTIEMBRE!T142)</f>
        <v>Impuestos (Predial, Vehiculos, Otros)</v>
      </c>
      <c r="U142" s="27">
        <f>+ENERO!U142</f>
        <v>10780963</v>
      </c>
      <c r="V142" s="15">
        <f>SEPTIEMBRE!V142+OCTUBRE!AL142</f>
        <v>7661935</v>
      </c>
      <c r="W142" s="15">
        <f>SEPTIEMBRE!W142+OCTUBRE!AM142</f>
        <v>0</v>
      </c>
      <c r="X142" s="18">
        <f>SUM(U142:W142)</f>
        <v>18442898</v>
      </c>
      <c r="Y142" s="19">
        <f>SEPTIEMBRE!AA142</f>
        <v>13762132</v>
      </c>
      <c r="Z142" s="377">
        <v>0</v>
      </c>
      <c r="AA142" s="18">
        <f>SUM(Y142:Z142)</f>
        <v>13762132</v>
      </c>
      <c r="AB142" s="19">
        <f>SEPTIEMBRE!AD142</f>
        <v>13762132</v>
      </c>
      <c r="AC142" s="377">
        <v>0</v>
      </c>
      <c r="AD142" s="18">
        <f>SUM(AB142:AC142)</f>
        <v>13762132</v>
      </c>
      <c r="AE142" s="19">
        <f>SEPTIEMBRE!AG142</f>
        <v>7661935</v>
      </c>
      <c r="AF142" s="377">
        <v>0</v>
      </c>
      <c r="AG142" s="18">
        <f>SUM(AE142:AF142)</f>
        <v>7661935</v>
      </c>
      <c r="AH142" s="19">
        <f>X142-AA142</f>
        <v>4680766</v>
      </c>
      <c r="AI142" s="15">
        <f>X142-AD142</f>
        <v>4680766</v>
      </c>
      <c r="AJ142" s="16">
        <f>X142-AG142</f>
        <v>10780963</v>
      </c>
      <c r="AK142" s="9"/>
      <c r="AL142" s="375">
        <v>0</v>
      </c>
      <c r="AM142" s="378">
        <v>0</v>
      </c>
      <c r="AN142" s="9"/>
    </row>
    <row r="143" spans="1:52" s="385" customFormat="1" ht="24.95" customHeight="1" x14ac:dyDescent="0.2">
      <c r="A143" s="767"/>
      <c r="B143" s="668"/>
      <c r="N143" s="9"/>
      <c r="R143" s="9"/>
      <c r="S143" s="719">
        <f>+IF(SEPTIEMBRE!S143=0,"",SEPTIEMBRE!S143)</f>
        <v>2010399</v>
      </c>
      <c r="T143" s="693" t="str">
        <f>+IF(SEPTIEMBRE!T143=0,"",SEPTIEMBRE!T143)</f>
        <v>Vigencias Anteriores</v>
      </c>
      <c r="U143" s="27">
        <f>+ENERO!U143</f>
        <v>0</v>
      </c>
      <c r="V143" s="15">
        <f>SEPTIEMBRE!V143+OCTUBRE!AL143</f>
        <v>0</v>
      </c>
      <c r="W143" s="15">
        <f>SEPTIEMBRE!W143+OCTUBRE!AM143</f>
        <v>1487943</v>
      </c>
      <c r="X143" s="18">
        <f>SUM(U143:W143)</f>
        <v>1487943</v>
      </c>
      <c r="Y143" s="19">
        <f>SEPTIEMBRE!AA143</f>
        <v>1487943</v>
      </c>
      <c r="Z143" s="377">
        <v>0</v>
      </c>
      <c r="AA143" s="18">
        <f>SUM(Y143:Z143)</f>
        <v>1487943</v>
      </c>
      <c r="AB143" s="19">
        <f>SEPTIEMBRE!AD143</f>
        <v>1487943</v>
      </c>
      <c r="AC143" s="377">
        <v>0</v>
      </c>
      <c r="AD143" s="18">
        <f>SUM(AB143:AC143)</f>
        <v>1487943</v>
      </c>
      <c r="AE143" s="19">
        <f>SEPTIEMBRE!AG143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+IF(SEPTIEMBRE!S144=0,"",SEPTIEMBRE!S144)</f>
        <v/>
      </c>
      <c r="T144" s="708" t="str">
        <f>+IF(SEPTIEMBRE!T144=0,"",SEPTIEMBRE!T144)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+IF(SEPTIEMBRE!S145=0,"",SEPTIEMBRE!S145)</f>
        <v>2020010</v>
      </c>
      <c r="T145" s="691" t="str">
        <f>+IF(SEPTIEMBRE!T145=0,"",SEPTIEMBRE!T145)</f>
        <v>Gastos de Operación</v>
      </c>
      <c r="U145" s="135">
        <f t="shared" ref="U145:AJ145" si="145">U147+U155</f>
        <v>323975875</v>
      </c>
      <c r="V145" s="124">
        <f t="shared" si="145"/>
        <v>27038065</v>
      </c>
      <c r="W145" s="124">
        <f t="shared" si="145"/>
        <v>111099188</v>
      </c>
      <c r="X145" s="132">
        <f t="shared" si="145"/>
        <v>462113128</v>
      </c>
      <c r="Y145" s="131">
        <f t="shared" si="145"/>
        <v>344286229</v>
      </c>
      <c r="Z145" s="124">
        <f t="shared" si="145"/>
        <v>0</v>
      </c>
      <c r="AA145" s="132">
        <f t="shared" si="145"/>
        <v>344286229</v>
      </c>
      <c r="AB145" s="131">
        <f t="shared" si="145"/>
        <v>314076884</v>
      </c>
      <c r="AC145" s="124">
        <f t="shared" si="145"/>
        <v>0</v>
      </c>
      <c r="AD145" s="132">
        <f t="shared" si="145"/>
        <v>314076884</v>
      </c>
      <c r="AE145" s="131">
        <f t="shared" si="145"/>
        <v>221196661</v>
      </c>
      <c r="AF145" s="124">
        <f t="shared" si="145"/>
        <v>0</v>
      </c>
      <c r="AG145" s="132">
        <f t="shared" si="145"/>
        <v>221196661</v>
      </c>
      <c r="AH145" s="131">
        <f t="shared" si="145"/>
        <v>117826899</v>
      </c>
      <c r="AI145" s="124">
        <f t="shared" si="145"/>
        <v>148036244</v>
      </c>
      <c r="AJ145" s="133">
        <f t="shared" si="145"/>
        <v>240916467</v>
      </c>
      <c r="AK145" s="10"/>
      <c r="AL145" s="131">
        <f>AL147+AL155</f>
        <v>0</v>
      </c>
      <c r="AM145" s="133">
        <f>AM147+AM155</f>
        <v>0</v>
      </c>
      <c r="AN145" s="9"/>
    </row>
    <row r="146" spans="1:40" s="385" customFormat="1" ht="24.95" customHeight="1" x14ac:dyDescent="0.2">
      <c r="A146" s="767"/>
      <c r="B146" s="668"/>
      <c r="N146" s="9"/>
      <c r="R146" s="9"/>
      <c r="S146" s="720" t="str">
        <f>+IF(SEPTIEMBRE!S146=0,"",SEPTIEMBRE!S146)</f>
        <v/>
      </c>
      <c r="T146" s="694" t="str">
        <f>+IF(SEPTIEMBRE!T146=0,"",SEPTIEMBRE!T146)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+IF(SEPTIEMBRE!S147=0,"",SEPTIEMBRE!S147)</f>
        <v>2020100</v>
      </c>
      <c r="T147" s="692" t="str">
        <f>+IF(SEPTIEMBRE!T147=0,"",SEPTIEMBRE!T147)</f>
        <v>Adquisición de bienes</v>
      </c>
      <c r="U147" s="135">
        <f t="shared" ref="U147:AJ147" si="146">SUM(U148:U149)+U153</f>
        <v>113248636</v>
      </c>
      <c r="V147" s="124">
        <f t="shared" si="146"/>
        <v>-5661935</v>
      </c>
      <c r="W147" s="124">
        <f t="shared" si="146"/>
        <v>75561517</v>
      </c>
      <c r="X147" s="132">
        <f t="shared" si="146"/>
        <v>183148218</v>
      </c>
      <c r="Y147" s="131">
        <f t="shared" si="146"/>
        <v>112521395</v>
      </c>
      <c r="Z147" s="124">
        <f t="shared" si="146"/>
        <v>0</v>
      </c>
      <c r="AA147" s="132">
        <f t="shared" si="146"/>
        <v>112521395</v>
      </c>
      <c r="AB147" s="131">
        <f t="shared" si="146"/>
        <v>112521395</v>
      </c>
      <c r="AC147" s="124">
        <f t="shared" si="146"/>
        <v>0</v>
      </c>
      <c r="AD147" s="132">
        <f t="shared" si="146"/>
        <v>112521395</v>
      </c>
      <c r="AE147" s="131">
        <f t="shared" si="146"/>
        <v>70437698</v>
      </c>
      <c r="AF147" s="124">
        <f t="shared" si="146"/>
        <v>0</v>
      </c>
      <c r="AG147" s="132">
        <f t="shared" si="146"/>
        <v>70437698</v>
      </c>
      <c r="AH147" s="131">
        <f t="shared" si="146"/>
        <v>70626823</v>
      </c>
      <c r="AI147" s="124">
        <f t="shared" si="146"/>
        <v>70626823</v>
      </c>
      <c r="AJ147" s="133">
        <f t="shared" si="146"/>
        <v>112710520</v>
      </c>
      <c r="AK147" s="9"/>
      <c r="AL147" s="131">
        <f>SUM(AL148:AL149)+AL153</f>
        <v>0</v>
      </c>
      <c r="AM147" s="133">
        <f>SUM(AM148:AM149)+AM153</f>
        <v>0</v>
      </c>
      <c r="AN147" s="9"/>
    </row>
    <row r="148" spans="1:40" s="385" customFormat="1" ht="24.95" customHeight="1" x14ac:dyDescent="0.2">
      <c r="A148" s="767"/>
      <c r="B148" s="668"/>
      <c r="N148" s="9"/>
      <c r="R148" s="9"/>
      <c r="S148" s="719">
        <f>+IF(SEPTIEMBRE!S148=0,"",SEPTIEMBRE!S148)</f>
        <v>2020101</v>
      </c>
      <c r="T148" s="693" t="str">
        <f>+IF(SEPTIEMBRE!T148=0,"",SEPTIEMBRE!T148)</f>
        <v>Mantenimiento Hospitalario</v>
      </c>
      <c r="U148" s="27">
        <f>+ENERO!U148</f>
        <v>74533223</v>
      </c>
      <c r="V148" s="15">
        <f>SEPTIEMBRE!V148+OCTUBRE!AL148</f>
        <v>0</v>
      </c>
      <c r="W148" s="15">
        <f>SEPTIEMBRE!W148+OCTUBRE!AM148</f>
        <v>0</v>
      </c>
      <c r="X148" s="18">
        <f>SUM(U148:W148)</f>
        <v>74533223</v>
      </c>
      <c r="Y148" s="19">
        <f>SEPTIEMBRE!AA148</f>
        <v>35234897</v>
      </c>
      <c r="Z148" s="377">
        <v>0</v>
      </c>
      <c r="AA148" s="18">
        <f>SUM(Y148:Z148)</f>
        <v>35234897</v>
      </c>
      <c r="AB148" s="19">
        <f>SEPTIEMBRE!AD148</f>
        <v>35234897</v>
      </c>
      <c r="AC148" s="377">
        <v>0</v>
      </c>
      <c r="AD148" s="18">
        <f>SUM(AB148:AC148)</f>
        <v>35234897</v>
      </c>
      <c r="AE148" s="19">
        <f>SEPTIEMBRE!AG148</f>
        <v>28636860</v>
      </c>
      <c r="AF148" s="377">
        <v>0</v>
      </c>
      <c r="AG148" s="18">
        <f>SUM(AE148:AF148)</f>
        <v>28636860</v>
      </c>
      <c r="AH148" s="19">
        <f>X148-AA148</f>
        <v>39298326</v>
      </c>
      <c r="AI148" s="15">
        <f>X148-AD148</f>
        <v>39298326</v>
      </c>
      <c r="AJ148" s="16">
        <f>X148-AG148</f>
        <v>45896363</v>
      </c>
      <c r="AK148" s="9"/>
      <c r="AL148" s="375">
        <v>0</v>
      </c>
      <c r="AM148" s="378">
        <v>0</v>
      </c>
      <c r="AN148" s="9"/>
    </row>
    <row r="149" spans="1:40" s="385" customFormat="1" ht="24.95" customHeight="1" x14ac:dyDescent="0.2">
      <c r="A149" s="767"/>
      <c r="B149" s="668"/>
      <c r="N149" s="9"/>
      <c r="R149" s="9"/>
      <c r="S149" s="719">
        <f>+IF(SEPTIEMBRE!S149=0,"",SEPTIEMBRE!S149)</f>
        <v>2020102</v>
      </c>
      <c r="T149" s="693" t="str">
        <f>+IF(SEPTIEMBRE!T149=0,"",SEPTIEMBRE!T149)</f>
        <v>Otros</v>
      </c>
      <c r="U149" s="27">
        <f t="shared" ref="U149:AJ149" si="147">SUM(U150:U152)</f>
        <v>38715413</v>
      </c>
      <c r="V149" s="15">
        <f t="shared" si="147"/>
        <v>-5661935</v>
      </c>
      <c r="W149" s="15">
        <f t="shared" si="147"/>
        <v>41780673</v>
      </c>
      <c r="X149" s="18">
        <f t="shared" si="147"/>
        <v>74834151</v>
      </c>
      <c r="Y149" s="19">
        <f t="shared" si="147"/>
        <v>43505654</v>
      </c>
      <c r="Z149" s="145">
        <f t="shared" si="147"/>
        <v>0</v>
      </c>
      <c r="AA149" s="18">
        <f t="shared" si="147"/>
        <v>43505654</v>
      </c>
      <c r="AB149" s="19">
        <f t="shared" si="147"/>
        <v>43505654</v>
      </c>
      <c r="AC149" s="145">
        <f t="shared" si="147"/>
        <v>0</v>
      </c>
      <c r="AD149" s="18">
        <f t="shared" si="147"/>
        <v>43505654</v>
      </c>
      <c r="AE149" s="19">
        <f t="shared" si="147"/>
        <v>8019994</v>
      </c>
      <c r="AF149" s="145">
        <f t="shared" si="147"/>
        <v>0</v>
      </c>
      <c r="AG149" s="18">
        <f t="shared" si="147"/>
        <v>8019994</v>
      </c>
      <c r="AH149" s="19">
        <f t="shared" si="147"/>
        <v>31328497</v>
      </c>
      <c r="AI149" s="15">
        <f t="shared" si="147"/>
        <v>31328497</v>
      </c>
      <c r="AJ149" s="16">
        <f t="shared" si="147"/>
        <v>66814157</v>
      </c>
      <c r="AK149" s="9"/>
      <c r="AL149" s="29">
        <f>SUM(AL150:AL152)</f>
        <v>0</v>
      </c>
      <c r="AM149" s="26">
        <f>SUM(AM150:AM152)</f>
        <v>0</v>
      </c>
      <c r="AN149" s="9"/>
    </row>
    <row r="150" spans="1:40" s="385" customFormat="1" ht="24.95" customHeight="1" x14ac:dyDescent="0.2">
      <c r="A150" s="767"/>
      <c r="B150" s="668"/>
      <c r="N150" s="9"/>
      <c r="R150" s="9"/>
      <c r="S150" s="720" t="str">
        <f>+IF(SEPTIEMBRE!S150=0,"",SEPTIEMBRE!S150)</f>
        <v>2020102-1</v>
      </c>
      <c r="T150" s="693" t="str">
        <f>+IF(SEPTIEMBRE!T150=0,"",SEPTIEMBRE!T150)</f>
        <v>Compra de Equipo e Instr. Mco. y Laborat.</v>
      </c>
      <c r="U150" s="27">
        <f>+ENERO!U150</f>
        <v>0</v>
      </c>
      <c r="V150" s="15">
        <f>SEPTIEMBRE!V150+OCTUBRE!AL150</f>
        <v>0</v>
      </c>
      <c r="W150" s="15">
        <f>SEPTIEMBRE!W150+OCTUBRE!AM150</f>
        <v>40000000</v>
      </c>
      <c r="X150" s="18">
        <f>SUM(U150:W150)</f>
        <v>40000000</v>
      </c>
      <c r="Y150" s="19">
        <f>SEPTIEMBRE!AA150</f>
        <v>15833188</v>
      </c>
      <c r="Z150" s="377">
        <v>0</v>
      </c>
      <c r="AA150" s="18">
        <f>SUM(Y150:Z150)</f>
        <v>15833188</v>
      </c>
      <c r="AB150" s="19">
        <f>SEPTIEMBRE!AD150</f>
        <v>15833188</v>
      </c>
      <c r="AC150" s="377">
        <v>0</v>
      </c>
      <c r="AD150" s="18">
        <f>SUM(AB150:AC150)</f>
        <v>15833188</v>
      </c>
      <c r="AE150" s="19">
        <f>SEPTIEMBRE!AG150</f>
        <v>1809600</v>
      </c>
      <c r="AF150" s="377">
        <v>0</v>
      </c>
      <c r="AG150" s="18">
        <f>SUM(AE150:AF150)</f>
        <v>1809600</v>
      </c>
      <c r="AH150" s="19">
        <f>X150-AA150</f>
        <v>24166812</v>
      </c>
      <c r="AI150" s="15">
        <f>X150-AD150</f>
        <v>24166812</v>
      </c>
      <c r="AJ150" s="16">
        <f>X150-AG150</f>
        <v>38190400</v>
      </c>
      <c r="AK150" s="9"/>
      <c r="AL150" s="375">
        <v>0</v>
      </c>
      <c r="AM150" s="378">
        <v>0</v>
      </c>
      <c r="AN150" s="9"/>
    </row>
    <row r="151" spans="1:40" s="385" customFormat="1" ht="24.95" customHeight="1" x14ac:dyDescent="0.2">
      <c r="A151" s="767"/>
      <c r="B151" s="668"/>
      <c r="N151" s="9"/>
      <c r="R151" s="9"/>
      <c r="S151" s="720" t="str">
        <f>+IF(SEPTIEMBRE!S151=0,"",SEPTIEMBRE!S151)</f>
        <v>2020102-2</v>
      </c>
      <c r="T151" s="693" t="str">
        <f>+IF(SEPTIEMBRE!T151=0,"",SEPTIEMBRE!T151)</f>
        <v>Materiales</v>
      </c>
      <c r="U151" s="27">
        <f>+ENERO!U151</f>
        <v>15288294</v>
      </c>
      <c r="V151" s="15">
        <f>SEPTIEMBRE!V151+OCTUBRE!AL151</f>
        <v>-5661935</v>
      </c>
      <c r="W151" s="15">
        <f>SEPTIEMBRE!W151+OCTUBRE!AM151</f>
        <v>1780673</v>
      </c>
      <c r="X151" s="18">
        <f>SUM(U151:W151)</f>
        <v>11407032</v>
      </c>
      <c r="Y151" s="19">
        <f>SEPTIEMBRE!AA151</f>
        <v>8901568</v>
      </c>
      <c r="Z151" s="377">
        <v>0</v>
      </c>
      <c r="AA151" s="18">
        <f>SUM(Y151:Z151)</f>
        <v>8901568</v>
      </c>
      <c r="AB151" s="19">
        <f>SEPTIEMBRE!AD151</f>
        <v>8901568</v>
      </c>
      <c r="AC151" s="377">
        <v>0</v>
      </c>
      <c r="AD151" s="18">
        <f>SUM(AB151:AC151)</f>
        <v>8901568</v>
      </c>
      <c r="AE151" s="19">
        <f>SEPTIEMBRE!AG151</f>
        <v>2326880</v>
      </c>
      <c r="AF151" s="377">
        <v>0</v>
      </c>
      <c r="AG151" s="18">
        <f>SUM(AE151:AF151)</f>
        <v>2326880</v>
      </c>
      <c r="AH151" s="19">
        <f>X151-AA151</f>
        <v>2505464</v>
      </c>
      <c r="AI151" s="15">
        <f>X151-AD151</f>
        <v>2505464</v>
      </c>
      <c r="AJ151" s="16">
        <f>X151-AG151</f>
        <v>9080152</v>
      </c>
      <c r="AK151" s="9"/>
      <c r="AL151" s="375">
        <v>0</v>
      </c>
      <c r="AM151" s="378">
        <v>0</v>
      </c>
      <c r="AN151" s="9"/>
    </row>
    <row r="152" spans="1:40" s="385" customFormat="1" ht="24.95" customHeight="1" x14ac:dyDescent="0.2">
      <c r="A152" s="767"/>
      <c r="B152" s="668"/>
      <c r="N152" s="9"/>
      <c r="R152" s="9"/>
      <c r="S152" s="720" t="str">
        <f>+IF(SEPTIEMBRE!S152=0,"",SEPTIEMBRE!S152)</f>
        <v>2020102-3</v>
      </c>
      <c r="T152" s="693" t="str">
        <f>+IF(SEPTIEMBRE!T152=0,"",SEPTIEMBRE!T152)</f>
        <v>Combustible</v>
      </c>
      <c r="U152" s="27">
        <f>+ENERO!U152</f>
        <v>23427119</v>
      </c>
      <c r="V152" s="15">
        <f>SEPTIEMBRE!V152+OCTUBRE!AL152</f>
        <v>0</v>
      </c>
      <c r="W152" s="15">
        <f>SEPTIEMBRE!W152+OCTUBRE!AM152</f>
        <v>0</v>
      </c>
      <c r="X152" s="18">
        <f>SUM(U152:W152)</f>
        <v>23427119</v>
      </c>
      <c r="Y152" s="19">
        <f>SEPTIEMBRE!AA152</f>
        <v>18770898</v>
      </c>
      <c r="Z152" s="377">
        <v>0</v>
      </c>
      <c r="AA152" s="18">
        <f>SUM(Y152:Z152)</f>
        <v>18770898</v>
      </c>
      <c r="AB152" s="19">
        <f>SEPTIEMBRE!AD152</f>
        <v>18770898</v>
      </c>
      <c r="AC152" s="377">
        <v>0</v>
      </c>
      <c r="AD152" s="18">
        <f>SUM(AB152:AC152)</f>
        <v>18770898</v>
      </c>
      <c r="AE152" s="19">
        <f>SEPTIEMBRE!AG152</f>
        <v>3883514</v>
      </c>
      <c r="AF152" s="377">
        <v>0</v>
      </c>
      <c r="AG152" s="18">
        <f>SUM(AE152:AF152)</f>
        <v>3883514</v>
      </c>
      <c r="AH152" s="19">
        <f>X152-AA152</f>
        <v>4656221</v>
      </c>
      <c r="AI152" s="15">
        <f>X152-AD152</f>
        <v>4656221</v>
      </c>
      <c r="AJ152" s="16">
        <f>X152-AG152</f>
        <v>19543605</v>
      </c>
      <c r="AK152" s="9"/>
      <c r="AL152" s="375">
        <v>0</v>
      </c>
      <c r="AM152" s="378">
        <v>0</v>
      </c>
      <c r="AN152" s="9"/>
    </row>
    <row r="153" spans="1:40" s="385" customFormat="1" ht="24.95" customHeight="1" x14ac:dyDescent="0.2">
      <c r="A153" s="767"/>
      <c r="B153" s="668"/>
      <c r="N153" s="9"/>
      <c r="R153" s="9"/>
      <c r="S153" s="719">
        <f>+IF(SEPTIEMBRE!S153=0,"",SEPTIEMBRE!S153)</f>
        <v>2020199</v>
      </c>
      <c r="T153" s="693" t="str">
        <f>+IF(SEPTIEMBRE!T153=0,"",SEPTIEMBRE!T153)</f>
        <v>Vigencias Anteriores</v>
      </c>
      <c r="U153" s="27">
        <f>+ENERO!U153</f>
        <v>0</v>
      </c>
      <c r="V153" s="15">
        <f>SEPTIEMBRE!V153+OCTUBRE!AL153</f>
        <v>0</v>
      </c>
      <c r="W153" s="15">
        <f>SEPTIEMBRE!W153+OCTUBRE!AM153</f>
        <v>33780844</v>
      </c>
      <c r="X153" s="18">
        <f>SUM(U153:W153)</f>
        <v>33780844</v>
      </c>
      <c r="Y153" s="19">
        <f>SEPTIEMBRE!AA153</f>
        <v>33780844</v>
      </c>
      <c r="Z153" s="377">
        <v>0</v>
      </c>
      <c r="AA153" s="18">
        <f>SUM(Y153:Z153)</f>
        <v>33780844</v>
      </c>
      <c r="AB153" s="19">
        <f>SEPTIEMBRE!AD153</f>
        <v>33780844</v>
      </c>
      <c r="AC153" s="377">
        <v>0</v>
      </c>
      <c r="AD153" s="18">
        <f>SUM(AB153:AC153)</f>
        <v>33780844</v>
      </c>
      <c r="AE153" s="19">
        <f>SEPTIEMBRE!AG153</f>
        <v>33780844</v>
      </c>
      <c r="AF153" s="377">
        <v>0</v>
      </c>
      <c r="AG153" s="18">
        <f>SUM(AE153:AF153)</f>
        <v>33780844</v>
      </c>
      <c r="AH153" s="19">
        <f>X153-AA153</f>
        <v>0</v>
      </c>
      <c r="AI153" s="15">
        <f>X153-AD153</f>
        <v>0</v>
      </c>
      <c r="AJ153" s="16">
        <f>X153-AG153</f>
        <v>0</v>
      </c>
      <c r="AK153" s="9"/>
      <c r="AL153" s="375">
        <v>0</v>
      </c>
      <c r="AM153" s="378">
        <v>0</v>
      </c>
      <c r="AN153" s="9"/>
    </row>
    <row r="154" spans="1:40" s="385" customFormat="1" ht="24.95" customHeight="1" x14ac:dyDescent="0.2">
      <c r="A154" s="767"/>
      <c r="B154" s="668"/>
      <c r="N154" s="9"/>
      <c r="R154" s="9"/>
      <c r="S154" s="369" t="str">
        <f>+IF(SEPTIEMBRE!S154=0,"",SEPTIEMBRE!S154)</f>
        <v/>
      </c>
      <c r="T154" s="708" t="str">
        <f>+IF(SEPTIEMBRE!T154=0,"",SEPTIEMBRE!T154)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+IF(SEPTIEMBRE!S155=0,"",SEPTIEMBRE!S155)</f>
        <v>2020200</v>
      </c>
      <c r="T155" s="692" t="str">
        <f>+IF(SEPTIEMBRE!T155=0,"",SEPTIEMBRE!T155)</f>
        <v>Adquisición de Servicios</v>
      </c>
      <c r="U155" s="135">
        <f t="shared" ref="U155:AJ155" si="148">SUM(U156:U157)+U168</f>
        <v>210727239</v>
      </c>
      <c r="V155" s="124">
        <f t="shared" si="148"/>
        <v>32700000</v>
      </c>
      <c r="W155" s="124">
        <f t="shared" si="148"/>
        <v>35537671</v>
      </c>
      <c r="X155" s="132">
        <f t="shared" si="148"/>
        <v>278964910</v>
      </c>
      <c r="Y155" s="131">
        <f t="shared" si="148"/>
        <v>231764834</v>
      </c>
      <c r="Z155" s="124">
        <f t="shared" si="148"/>
        <v>0</v>
      </c>
      <c r="AA155" s="132">
        <f t="shared" si="148"/>
        <v>231764834</v>
      </c>
      <c r="AB155" s="131">
        <f t="shared" si="148"/>
        <v>201555489</v>
      </c>
      <c r="AC155" s="124">
        <f t="shared" si="148"/>
        <v>0</v>
      </c>
      <c r="AD155" s="132">
        <f t="shared" si="148"/>
        <v>201555489</v>
      </c>
      <c r="AE155" s="131">
        <f t="shared" si="148"/>
        <v>150758963</v>
      </c>
      <c r="AF155" s="124">
        <f t="shared" si="148"/>
        <v>0</v>
      </c>
      <c r="AG155" s="132">
        <f t="shared" si="148"/>
        <v>150758963</v>
      </c>
      <c r="AH155" s="131">
        <f t="shared" si="148"/>
        <v>47200076</v>
      </c>
      <c r="AI155" s="124">
        <f t="shared" si="148"/>
        <v>77409421</v>
      </c>
      <c r="AJ155" s="133">
        <f t="shared" si="148"/>
        <v>128205947</v>
      </c>
      <c r="AK155" s="9"/>
      <c r="AL155" s="131">
        <f>SUM(AL156:AL157)+AL168</f>
        <v>0</v>
      </c>
      <c r="AM155" s="133">
        <f>SUM(AM156:AM157)+AM168</f>
        <v>0</v>
      </c>
      <c r="AN155" s="9"/>
    </row>
    <row r="156" spans="1:40" s="385" customFormat="1" ht="24.95" customHeight="1" x14ac:dyDescent="0.2">
      <c r="A156" s="767"/>
      <c r="B156" s="668"/>
      <c r="N156" s="9"/>
      <c r="P156" s="9"/>
      <c r="Q156" s="9"/>
      <c r="R156" s="9"/>
      <c r="S156" s="719">
        <f>+IF(SEPTIEMBRE!S156=0,"",SEPTIEMBRE!S156)</f>
        <v>2020201</v>
      </c>
      <c r="T156" s="693" t="str">
        <f>+IF(SEPTIEMBRE!T156=0,"",SEPTIEMBRE!T156)</f>
        <v>Mantenimiento Hospitalario</v>
      </c>
      <c r="U156" s="27">
        <f>+ENERO!U156</f>
        <v>82251828</v>
      </c>
      <c r="V156" s="15">
        <f>SEPTIEMBRE!V156+OCTUBRE!AL156</f>
        <v>0</v>
      </c>
      <c r="W156" s="15">
        <f>SEPTIEMBRE!W156+OCTUBRE!AM156</f>
        <v>0</v>
      </c>
      <c r="X156" s="18">
        <f>SUM(U156:W156)</f>
        <v>82251828</v>
      </c>
      <c r="Y156" s="19">
        <f>SEPTIEMBRE!AA156</f>
        <v>75063929</v>
      </c>
      <c r="Z156" s="377">
        <v>0</v>
      </c>
      <c r="AA156" s="18">
        <f>SUM(Y156:Z156)</f>
        <v>75063929</v>
      </c>
      <c r="AB156" s="19">
        <f>SEPTIEMBRE!AD156</f>
        <v>65637083</v>
      </c>
      <c r="AC156" s="377">
        <v>0</v>
      </c>
      <c r="AD156" s="18">
        <f>SUM(AB156:AC156)</f>
        <v>65637083</v>
      </c>
      <c r="AE156" s="19">
        <f>SEPTIEMBRE!AG156</f>
        <v>52084920</v>
      </c>
      <c r="AF156" s="377">
        <v>0</v>
      </c>
      <c r="AG156" s="18">
        <f>SUM(AE156:AF156)</f>
        <v>52084920</v>
      </c>
      <c r="AH156" s="19">
        <f>X156-AA156</f>
        <v>7187899</v>
      </c>
      <c r="AI156" s="15">
        <f>X156-AD156</f>
        <v>16614745</v>
      </c>
      <c r="AJ156" s="16">
        <f>X156-AG156</f>
        <v>30166908</v>
      </c>
      <c r="AK156" s="9"/>
      <c r="AL156" s="375">
        <v>0</v>
      </c>
      <c r="AM156" s="378">
        <v>0</v>
      </c>
      <c r="AN156" s="9"/>
    </row>
    <row r="157" spans="1:40" s="385" customFormat="1" ht="24.95" customHeight="1" x14ac:dyDescent="0.2">
      <c r="A157" s="767"/>
      <c r="B157" s="668"/>
      <c r="N157" s="9"/>
      <c r="P157" s="9"/>
      <c r="Q157" s="9"/>
      <c r="R157" s="9"/>
      <c r="S157" s="719">
        <f>+IF(SEPTIEMBRE!S157=0,"",SEPTIEMBRE!S157)</f>
        <v>2020202</v>
      </c>
      <c r="T157" s="693" t="str">
        <f>+IF(SEPTIEMBRE!T157=0,"",SEPTIEMBRE!T157)</f>
        <v>Otros</v>
      </c>
      <c r="U157" s="27">
        <f t="shared" ref="U157:AJ157" si="149">SUM(U158:U167)</f>
        <v>128475411</v>
      </c>
      <c r="V157" s="15">
        <f t="shared" si="149"/>
        <v>32700000</v>
      </c>
      <c r="W157" s="15">
        <f t="shared" si="149"/>
        <v>7000000</v>
      </c>
      <c r="X157" s="18">
        <f t="shared" si="149"/>
        <v>168175411</v>
      </c>
      <c r="Y157" s="19">
        <f t="shared" si="149"/>
        <v>128163234</v>
      </c>
      <c r="Z157" s="145">
        <f t="shared" si="149"/>
        <v>0</v>
      </c>
      <c r="AA157" s="18">
        <f t="shared" si="149"/>
        <v>128163234</v>
      </c>
      <c r="AB157" s="19">
        <f t="shared" si="149"/>
        <v>107380735</v>
      </c>
      <c r="AC157" s="145">
        <f t="shared" si="149"/>
        <v>0</v>
      </c>
      <c r="AD157" s="18">
        <f t="shared" si="149"/>
        <v>107380735</v>
      </c>
      <c r="AE157" s="19">
        <f t="shared" si="149"/>
        <v>74246631</v>
      </c>
      <c r="AF157" s="145">
        <f t="shared" si="149"/>
        <v>0</v>
      </c>
      <c r="AG157" s="18">
        <f t="shared" si="149"/>
        <v>74246631</v>
      </c>
      <c r="AH157" s="19">
        <f t="shared" si="149"/>
        <v>40012177</v>
      </c>
      <c r="AI157" s="15">
        <f t="shared" si="149"/>
        <v>60794676</v>
      </c>
      <c r="AJ157" s="16">
        <f t="shared" si="149"/>
        <v>93928780</v>
      </c>
      <c r="AK157" s="10"/>
      <c r="AL157" s="29">
        <f>SUM(AL158:AL167)</f>
        <v>0</v>
      </c>
      <c r="AM157" s="26">
        <f>SUM(AM158:AM167)</f>
        <v>0</v>
      </c>
      <c r="AN157" s="9"/>
    </row>
    <row r="158" spans="1:40" s="385" customFormat="1" ht="24.95" customHeight="1" x14ac:dyDescent="0.2">
      <c r="A158" s="767"/>
      <c r="B158" s="668"/>
      <c r="N158" s="9"/>
      <c r="P158" s="9"/>
      <c r="Q158" s="9"/>
      <c r="R158" s="9"/>
      <c r="S158" s="720" t="str">
        <f>+IF(SEPTIEMBRE!S158=0,"",SEPTIEMBRE!S158)</f>
        <v>2020202-1</v>
      </c>
      <c r="T158" s="694" t="str">
        <f>+IF(SEPTIEMBRE!T158=0,"",SEPTIEMBRE!T158)</f>
        <v>Seguros</v>
      </c>
      <c r="U158" s="27">
        <f>+ENERO!U158</f>
        <v>15745455</v>
      </c>
      <c r="V158" s="15">
        <f>SEPTIEMBRE!V158+OCTUBRE!AL158</f>
        <v>0</v>
      </c>
      <c r="W158" s="15">
        <f>SEPTIEMBRE!W158+OCTUBRE!AM158</f>
        <v>5000000</v>
      </c>
      <c r="X158" s="18">
        <f t="shared" ref="X158:X168" si="150">SUM(U158:W158)</f>
        <v>20745455</v>
      </c>
      <c r="Y158" s="19">
        <f>SEPTIEMBRE!AA158</f>
        <v>18105539</v>
      </c>
      <c r="Z158" s="377">
        <v>0</v>
      </c>
      <c r="AA158" s="18">
        <f t="shared" ref="AA158:AA168" si="151">SUM(Y158:Z158)</f>
        <v>18105539</v>
      </c>
      <c r="AB158" s="19">
        <f>SEPTIEMBRE!AD158</f>
        <v>18105539</v>
      </c>
      <c r="AC158" s="377">
        <v>0</v>
      </c>
      <c r="AD158" s="18">
        <f t="shared" ref="AD158:AD168" si="152">SUM(AB158:AC158)</f>
        <v>18105539</v>
      </c>
      <c r="AE158" s="19">
        <f>SEPTIEMBRE!AG158</f>
        <v>15857681</v>
      </c>
      <c r="AF158" s="377">
        <v>0</v>
      </c>
      <c r="AG158" s="18">
        <f t="shared" ref="AG158:AG168" si="153">SUM(AE158:AF158)</f>
        <v>15857681</v>
      </c>
      <c r="AH158" s="19">
        <f t="shared" ref="AH158:AH168" si="154">X158-AA158</f>
        <v>2639916</v>
      </c>
      <c r="AI158" s="15">
        <f t="shared" ref="AI158:AI168" si="155">X158-AD158</f>
        <v>2639916</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+IF(SEPTIEMBRE!S159=0,"",SEPTIEMBRE!S159)</f>
        <v>2020202-2</v>
      </c>
      <c r="T159" s="694" t="str">
        <f>+IF(SEPTIEMBRE!T159=0,"",SEPTIEMBRE!T159)</f>
        <v>Impresos y Publicaciones</v>
      </c>
      <c r="U159" s="27">
        <f>+ENERO!U159</f>
        <v>0</v>
      </c>
      <c r="V159" s="15">
        <f>SEPTIEMBRE!V159+OCTUBRE!AL159</f>
        <v>0</v>
      </c>
      <c r="W159" s="15">
        <f>SEPTIEMBRE!W159+OCTUBRE!AM159</f>
        <v>0</v>
      </c>
      <c r="X159" s="18">
        <f t="shared" si="150"/>
        <v>0</v>
      </c>
      <c r="Y159" s="19">
        <f>SEPTIEMBRE!AA159</f>
        <v>0</v>
      </c>
      <c r="Z159" s="377">
        <v>0</v>
      </c>
      <c r="AA159" s="18">
        <f t="shared" si="151"/>
        <v>0</v>
      </c>
      <c r="AB159" s="19">
        <f>SEPTIEMBRE!AD159</f>
        <v>0</v>
      </c>
      <c r="AC159" s="377">
        <v>0</v>
      </c>
      <c r="AD159" s="18">
        <f t="shared" si="152"/>
        <v>0</v>
      </c>
      <c r="AE159" s="19">
        <f>SEPTIEMBRE!AG159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+IF(SEPTIEMBRE!S160=0,"",SEPTIEMBRE!S160)</f>
        <v>2020202-3</v>
      </c>
      <c r="T160" s="694" t="str">
        <f>+IF(SEPTIEMBRE!T160=0,"",SEPTIEMBRE!T160)</f>
        <v>Pago a otras IPS</v>
      </c>
      <c r="U160" s="27">
        <f>+ENERO!U160</f>
        <v>893693</v>
      </c>
      <c r="V160" s="15">
        <f>SEPTIEMBRE!V160+OCTUBRE!AL160</f>
        <v>23000000</v>
      </c>
      <c r="W160" s="15">
        <f>SEPTIEMBRE!W160+OCTUBRE!AM160</f>
        <v>2000000</v>
      </c>
      <c r="X160" s="18">
        <f t="shared" si="150"/>
        <v>25893693</v>
      </c>
      <c r="Y160" s="19">
        <f>SEPTIEMBRE!AA160</f>
        <v>3222593</v>
      </c>
      <c r="Z160" s="377">
        <v>0</v>
      </c>
      <c r="AA160" s="18">
        <f t="shared" si="151"/>
        <v>3222593</v>
      </c>
      <c r="AB160" s="19">
        <f>SEPTIEMBRE!AD160</f>
        <v>3222593</v>
      </c>
      <c r="AC160" s="377">
        <v>0</v>
      </c>
      <c r="AD160" s="18">
        <f t="shared" si="152"/>
        <v>3222593</v>
      </c>
      <c r="AE160" s="19">
        <f>SEPTIEMBRE!AG160</f>
        <v>55000</v>
      </c>
      <c r="AF160" s="377">
        <v>0</v>
      </c>
      <c r="AG160" s="18">
        <f t="shared" si="153"/>
        <v>55000</v>
      </c>
      <c r="AH160" s="19">
        <f t="shared" si="154"/>
        <v>22671100</v>
      </c>
      <c r="AI160" s="15">
        <f t="shared" si="155"/>
        <v>22671100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+IF(SEPTIEMBRE!S161=0,"",SEPTIEMBRE!S161)</f>
        <v>2020202-4</v>
      </c>
      <c r="T161" s="694" t="str">
        <f>+IF(SEPTIEMBRE!T161=0,"",SEPTIEMBRE!T161)</f>
        <v>Comunicaciones y Transportes</v>
      </c>
      <c r="U161" s="27">
        <f>+ENERO!U161</f>
        <v>9528246</v>
      </c>
      <c r="V161" s="15">
        <f>SEPTIEMBRE!V161+OCTUBRE!AL161</f>
        <v>0</v>
      </c>
      <c r="W161" s="15">
        <f>SEPTIEMBRE!W161+OCTUBRE!AM161</f>
        <v>0</v>
      </c>
      <c r="X161" s="18">
        <f t="shared" si="150"/>
        <v>9528246</v>
      </c>
      <c r="Y161" s="19">
        <f>SEPTIEMBRE!AA161</f>
        <v>5856554</v>
      </c>
      <c r="Z161" s="377">
        <v>0</v>
      </c>
      <c r="AA161" s="18">
        <f t="shared" si="151"/>
        <v>5856554</v>
      </c>
      <c r="AB161" s="19">
        <f>SEPTIEMBRE!AD161</f>
        <v>5856554</v>
      </c>
      <c r="AC161" s="377">
        <v>0</v>
      </c>
      <c r="AD161" s="18">
        <f t="shared" si="152"/>
        <v>5856554</v>
      </c>
      <c r="AE161" s="19">
        <f>SEPTIEMBRE!AG161</f>
        <v>4865014</v>
      </c>
      <c r="AF161" s="377">
        <v>0</v>
      </c>
      <c r="AG161" s="18">
        <f t="shared" si="153"/>
        <v>4865014</v>
      </c>
      <c r="AH161" s="19">
        <f t="shared" si="154"/>
        <v>3671692</v>
      </c>
      <c r="AI161" s="15">
        <f t="shared" si="155"/>
        <v>3671692</v>
      </c>
      <c r="AJ161" s="16">
        <f t="shared" si="156"/>
        <v>4663232</v>
      </c>
      <c r="AK161" s="9"/>
      <c r="AL161" s="375">
        <v>0</v>
      </c>
      <c r="AM161" s="378">
        <v>0</v>
      </c>
      <c r="AN161" s="9"/>
    </row>
    <row r="162" spans="1:40" s="385" customFormat="1" ht="24.95" customHeight="1" x14ac:dyDescent="0.2">
      <c r="A162" s="767"/>
      <c r="B162" s="668"/>
      <c r="N162" s="9"/>
      <c r="P162" s="9"/>
      <c r="Q162" s="9"/>
      <c r="R162" s="9"/>
      <c r="S162" s="720" t="str">
        <f>+IF(SEPTIEMBRE!S162=0,"",SEPTIEMBRE!S162)</f>
        <v>2020202-5</v>
      </c>
      <c r="T162" s="694" t="str">
        <f>+IF(SEPTIEMBRE!T162=0,"",SEPTIEMBRE!T162)</f>
        <v>Viáticos y Gastos de Viaje</v>
      </c>
      <c r="U162" s="27">
        <f>+ENERO!U162</f>
        <v>3326745</v>
      </c>
      <c r="V162" s="15">
        <f>SEPTIEMBRE!V162+OCTUBRE!AL162</f>
        <v>0</v>
      </c>
      <c r="W162" s="15">
        <f>SEPTIEMBRE!W162+OCTUBRE!AM162</f>
        <v>0</v>
      </c>
      <c r="X162" s="18">
        <f t="shared" si="150"/>
        <v>3326745</v>
      </c>
      <c r="Y162" s="19">
        <f>SEPTIEMBRE!AA162</f>
        <v>1189478</v>
      </c>
      <c r="Z162" s="377">
        <v>0</v>
      </c>
      <c r="AA162" s="18">
        <f t="shared" si="151"/>
        <v>1189478</v>
      </c>
      <c r="AB162" s="19">
        <f>SEPTIEMBRE!AD162</f>
        <v>1189478</v>
      </c>
      <c r="AC162" s="377">
        <v>0</v>
      </c>
      <c r="AD162" s="18">
        <f t="shared" si="152"/>
        <v>1189478</v>
      </c>
      <c r="AE162" s="19">
        <f>SEPTIEMBRE!AG162</f>
        <v>1114729</v>
      </c>
      <c r="AF162" s="377">
        <v>0</v>
      </c>
      <c r="AG162" s="18">
        <f t="shared" si="153"/>
        <v>1114729</v>
      </c>
      <c r="AH162" s="19">
        <f t="shared" si="154"/>
        <v>2137267</v>
      </c>
      <c r="AI162" s="15">
        <f t="shared" si="155"/>
        <v>2137267</v>
      </c>
      <c r="AJ162" s="16">
        <f t="shared" si="156"/>
        <v>2212016</v>
      </c>
      <c r="AK162" s="9"/>
      <c r="AL162" s="375">
        <v>0</v>
      </c>
      <c r="AM162" s="378">
        <v>0</v>
      </c>
      <c r="AN162" s="9"/>
    </row>
    <row r="163" spans="1:40" s="385" customFormat="1" ht="24.95" customHeight="1" x14ac:dyDescent="0.2">
      <c r="A163" s="767"/>
      <c r="B163" s="668"/>
      <c r="N163" s="9"/>
      <c r="P163" s="9"/>
      <c r="Q163" s="9"/>
      <c r="R163" s="9"/>
      <c r="S163" s="720" t="str">
        <f>+IF(SEPTIEMBRE!S163=0,"",SEPTIEMBRE!S163)</f>
        <v>2020202-6</v>
      </c>
      <c r="T163" s="694" t="str">
        <f>+IF(SEPTIEMBRE!T163=0,"",SEPTIEMBRE!T163)</f>
        <v>Plan Integral de Manejo de Residuos Sólidos Hospitalarios</v>
      </c>
      <c r="U163" s="27">
        <f>+ENERO!U163</f>
        <v>10511470</v>
      </c>
      <c r="V163" s="15">
        <f>SEPTIEMBRE!V163+OCTUBRE!AL163</f>
        <v>0</v>
      </c>
      <c r="W163" s="15">
        <f>SEPTIEMBRE!W163+OCTUBRE!AM163</f>
        <v>0</v>
      </c>
      <c r="X163" s="18">
        <f t="shared" si="150"/>
        <v>10511470</v>
      </c>
      <c r="Y163" s="19">
        <f>SEPTIEMBRE!AA163</f>
        <v>10511470</v>
      </c>
      <c r="Z163" s="377">
        <v>0</v>
      </c>
      <c r="AA163" s="18">
        <f t="shared" si="151"/>
        <v>10511470</v>
      </c>
      <c r="AB163" s="19">
        <f>SEPTIEMBRE!AD163</f>
        <v>4751953</v>
      </c>
      <c r="AC163" s="377">
        <v>0</v>
      </c>
      <c r="AD163" s="18">
        <f t="shared" si="152"/>
        <v>4751953</v>
      </c>
      <c r="AE163" s="19">
        <f>SEPTIEMBRE!AG163</f>
        <v>2391035</v>
      </c>
      <c r="AF163" s="377">
        <v>0</v>
      </c>
      <c r="AG163" s="18">
        <f t="shared" si="153"/>
        <v>2391035</v>
      </c>
      <c r="AH163" s="19">
        <f t="shared" si="154"/>
        <v>0</v>
      </c>
      <c r="AI163" s="15">
        <f t="shared" si="155"/>
        <v>5759517</v>
      </c>
      <c r="AJ163" s="16">
        <f t="shared" si="156"/>
        <v>8120435</v>
      </c>
      <c r="AK163" s="9"/>
      <c r="AL163" s="375">
        <v>0</v>
      </c>
      <c r="AM163" s="378">
        <v>0</v>
      </c>
      <c r="AN163" s="9"/>
    </row>
    <row r="164" spans="1:40" s="385" customFormat="1" ht="24.95" customHeight="1" x14ac:dyDescent="0.2">
      <c r="A164" s="767"/>
      <c r="B164" s="668"/>
      <c r="N164" s="9"/>
      <c r="P164" s="9"/>
      <c r="Q164" s="9"/>
      <c r="R164" s="9"/>
      <c r="S164" s="720" t="str">
        <f>+IF(SEPTIEMBRE!S164=0,"",SEPTIEMBRE!S164)</f>
        <v>2020202-7</v>
      </c>
      <c r="T164" s="694" t="str">
        <f>+IF(SEPTIEMBRE!T164=0,"",SEPTIEMBRE!T164)</f>
        <v>Servicios de Laboratorio contratados con terceros</v>
      </c>
      <c r="U164" s="27">
        <f>+ENERO!U164</f>
        <v>21580478</v>
      </c>
      <c r="V164" s="15">
        <f>SEPTIEMBRE!V164+OCTUBRE!AL164</f>
        <v>9700000</v>
      </c>
      <c r="W164" s="15">
        <f>SEPTIEMBRE!W164+OCTUBRE!AM164</f>
        <v>0</v>
      </c>
      <c r="X164" s="18">
        <f t="shared" si="150"/>
        <v>31280478</v>
      </c>
      <c r="Y164" s="19">
        <f>SEPTIEMBRE!AA164</f>
        <v>25657900</v>
      </c>
      <c r="Z164" s="377">
        <v>0</v>
      </c>
      <c r="AA164" s="18">
        <f t="shared" si="151"/>
        <v>25657900</v>
      </c>
      <c r="AB164" s="19">
        <f>SEPTIEMBRE!AD164</f>
        <v>25657900</v>
      </c>
      <c r="AC164" s="377">
        <v>0</v>
      </c>
      <c r="AD164" s="18">
        <f t="shared" si="152"/>
        <v>25657900</v>
      </c>
      <c r="AE164" s="19">
        <f>SEPTIEMBRE!AG164</f>
        <v>13060000</v>
      </c>
      <c r="AF164" s="377">
        <v>0</v>
      </c>
      <c r="AG164" s="18">
        <f t="shared" si="153"/>
        <v>13060000</v>
      </c>
      <c r="AH164" s="19">
        <f t="shared" si="154"/>
        <v>5622578</v>
      </c>
      <c r="AI164" s="15">
        <f t="shared" si="155"/>
        <v>5622578</v>
      </c>
      <c r="AJ164" s="16">
        <f t="shared" si="156"/>
        <v>18220478</v>
      </c>
      <c r="AK164" s="9"/>
      <c r="AL164" s="375">
        <v>0</v>
      </c>
      <c r="AM164" s="378">
        <v>0</v>
      </c>
      <c r="AN164" s="9"/>
    </row>
    <row r="165" spans="1:40" s="385" customFormat="1" ht="24.95" customHeight="1" x14ac:dyDescent="0.2">
      <c r="A165" s="767"/>
      <c r="B165" s="668"/>
      <c r="N165" s="9"/>
      <c r="P165" s="9"/>
      <c r="Q165" s="9"/>
      <c r="R165" s="9"/>
      <c r="S165" s="720" t="str">
        <f>+IF(SEPTIEMBRE!S165=0,"",SEPTIEMBRE!S165)</f>
        <v>2020202-8</v>
      </c>
      <c r="T165" s="694" t="str">
        <f>+IF(SEPTIEMBRE!T165=0,"",SEPTIEMBRE!T165)</f>
        <v>Servicios de Rayos X e Imaginología contratado con terceros</v>
      </c>
      <c r="U165" s="27">
        <f>+ENERO!U165</f>
        <v>0</v>
      </c>
      <c r="V165" s="15">
        <f>SEPTIEMBRE!V165+OCTUBRE!AL165</f>
        <v>0</v>
      </c>
      <c r="W165" s="15">
        <f>SEPTIEMBRE!W165+OCTUBRE!AM165</f>
        <v>0</v>
      </c>
      <c r="X165" s="18">
        <f t="shared" si="150"/>
        <v>0</v>
      </c>
      <c r="Y165" s="19">
        <f>SEPTIEMBRE!AA165</f>
        <v>0</v>
      </c>
      <c r="Z165" s="377">
        <v>0</v>
      </c>
      <c r="AA165" s="18">
        <f t="shared" si="151"/>
        <v>0</v>
      </c>
      <c r="AB165" s="19">
        <f>SEPTIEMBRE!AD165</f>
        <v>0</v>
      </c>
      <c r="AC165" s="377">
        <v>0</v>
      </c>
      <c r="AD165" s="18">
        <f t="shared" si="152"/>
        <v>0</v>
      </c>
      <c r="AE165" s="19">
        <f>SEPTIEMBRE!AG165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+IF(SEPTIEMBRE!S166=0,"",SEPTIEMBRE!S166)</f>
        <v>2020202-9</v>
      </c>
      <c r="T166" s="694" t="str">
        <f>+IF(SEPTIEMBRE!T166=0,"",SEPTIEMBRE!T166)</f>
        <v>Arrendamientos</v>
      </c>
      <c r="U166" s="27">
        <f>+ENERO!U166</f>
        <v>66889324</v>
      </c>
      <c r="V166" s="15">
        <f>SEPTIEMBRE!V166+OCTUBRE!AL166</f>
        <v>0</v>
      </c>
      <c r="W166" s="15">
        <f>SEPTIEMBRE!W166+OCTUBRE!AM166</f>
        <v>0</v>
      </c>
      <c r="X166" s="18">
        <f t="shared" si="150"/>
        <v>66889324</v>
      </c>
      <c r="Y166" s="19">
        <f>SEPTIEMBRE!AA166</f>
        <v>63619700</v>
      </c>
      <c r="Z166" s="377">
        <v>0</v>
      </c>
      <c r="AA166" s="18">
        <f t="shared" si="151"/>
        <v>63619700</v>
      </c>
      <c r="AB166" s="19">
        <f>SEPTIEMBRE!AD166</f>
        <v>48596718</v>
      </c>
      <c r="AC166" s="377">
        <v>0</v>
      </c>
      <c r="AD166" s="18">
        <f t="shared" si="152"/>
        <v>48596718</v>
      </c>
      <c r="AE166" s="19">
        <f>SEPTIEMBRE!AG166</f>
        <v>36903172</v>
      </c>
      <c r="AF166" s="377">
        <v>0</v>
      </c>
      <c r="AG166" s="18">
        <f t="shared" si="153"/>
        <v>36903172</v>
      </c>
      <c r="AH166" s="19">
        <f t="shared" si="154"/>
        <v>3269624</v>
      </c>
      <c r="AI166" s="15">
        <f t="shared" si="155"/>
        <v>18292606</v>
      </c>
      <c r="AJ166" s="16">
        <f t="shared" si="156"/>
        <v>29986152</v>
      </c>
      <c r="AK166" s="9"/>
      <c r="AL166" s="375">
        <v>0</v>
      </c>
      <c r="AM166" s="378">
        <v>0</v>
      </c>
      <c r="AN166" s="9"/>
    </row>
    <row r="167" spans="1:40" s="385" customFormat="1" ht="24.95" customHeight="1" x14ac:dyDescent="0.2">
      <c r="A167" s="767"/>
      <c r="B167" s="668"/>
      <c r="N167" s="9"/>
      <c r="P167" s="9"/>
      <c r="Q167" s="9"/>
      <c r="R167" s="9"/>
      <c r="S167" s="720" t="str">
        <f>+IF(SEPTIEMBRE!S167=0,"",SEPTIEMBRE!S167)</f>
        <v>2020202-10</v>
      </c>
      <c r="T167" s="694" t="str">
        <f>+IF(SEPTIEMBRE!T167=0,"",SEPTIEMBRE!T167)</f>
        <v>Servicios Públicos</v>
      </c>
      <c r="U167" s="27">
        <f>+ENERO!U167</f>
        <v>0</v>
      </c>
      <c r="V167" s="15">
        <f>SEPTIEMBRE!V167+OCTUBRE!AL167</f>
        <v>0</v>
      </c>
      <c r="W167" s="15">
        <f>SEPTIEMBRE!W167+OCTUBRE!AM167</f>
        <v>0</v>
      </c>
      <c r="X167" s="18">
        <f>SUM(U167:W167)</f>
        <v>0</v>
      </c>
      <c r="Y167" s="19">
        <f>SEPTIEMBRE!AA167</f>
        <v>0</v>
      </c>
      <c r="Z167" s="377">
        <v>0</v>
      </c>
      <c r="AA167" s="18">
        <f>SUM(Y167:Z167)</f>
        <v>0</v>
      </c>
      <c r="AB167" s="19">
        <f>SEPTIEMBRE!AD167</f>
        <v>0</v>
      </c>
      <c r="AC167" s="377">
        <v>0</v>
      </c>
      <c r="AD167" s="18">
        <f>SUM(AB167:AC167)</f>
        <v>0</v>
      </c>
      <c r="AE167" s="19">
        <f>SEPTIEMBRE!AG167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+IF(SEPTIEMBRE!S168=0,"",SEPTIEMBRE!S168)</f>
        <v>2020299</v>
      </c>
      <c r="T168" s="693" t="str">
        <f>+IF(SEPTIEMBRE!T168=0,"",SEPTIEMBRE!T168)</f>
        <v>Vigencias Anteriores</v>
      </c>
      <c r="U168" s="27">
        <f>+ENERO!U168</f>
        <v>0</v>
      </c>
      <c r="V168" s="15">
        <f>SEPTIEMBRE!V168+OCTUBRE!AL168</f>
        <v>0</v>
      </c>
      <c r="W168" s="15">
        <f>SEPTIEMBRE!W168+OCTUBRE!AM168</f>
        <v>28537671</v>
      </c>
      <c r="X168" s="18">
        <f t="shared" si="150"/>
        <v>28537671</v>
      </c>
      <c r="Y168" s="19">
        <f>SEPTIEMBRE!AA168</f>
        <v>28537671</v>
      </c>
      <c r="Z168" s="377">
        <v>0</v>
      </c>
      <c r="AA168" s="18">
        <f t="shared" si="151"/>
        <v>28537671</v>
      </c>
      <c r="AB168" s="19">
        <f>SEPTIEMBRE!AD168</f>
        <v>28537671</v>
      </c>
      <c r="AC168" s="377">
        <v>0</v>
      </c>
      <c r="AD168" s="18">
        <f t="shared" si="152"/>
        <v>28537671</v>
      </c>
      <c r="AE168" s="19">
        <f>SEPTIEMBRE!AG168</f>
        <v>24427412</v>
      </c>
      <c r="AF168" s="377">
        <v>0</v>
      </c>
      <c r="AG168" s="18">
        <f t="shared" si="153"/>
        <v>24427412</v>
      </c>
      <c r="AH168" s="19">
        <f t="shared" si="154"/>
        <v>0</v>
      </c>
      <c r="AI168" s="15">
        <f t="shared" si="155"/>
        <v>0</v>
      </c>
      <c r="AJ168" s="16">
        <f t="shared" si="156"/>
        <v>4110259</v>
      </c>
      <c r="AK168" s="9"/>
      <c r="AL168" s="375">
        <v>0</v>
      </c>
      <c r="AM168" s="378">
        <v>0</v>
      </c>
      <c r="AN168" s="9"/>
    </row>
    <row r="169" spans="1:40" s="385" customFormat="1" ht="24.95" customHeight="1" x14ac:dyDescent="0.2">
      <c r="A169" s="767"/>
      <c r="B169" s="668"/>
      <c r="N169" s="9"/>
      <c r="P169" s="9"/>
      <c r="Q169" s="9"/>
      <c r="R169" s="9"/>
      <c r="S169" s="369" t="str">
        <f>+IF(SEPTIEMBRE!S169=0,"",SEPTIEMBRE!S169)</f>
        <v/>
      </c>
      <c r="T169" s="708" t="str">
        <f>+IF(SEPTIEMBRE!T169=0,"",SEPTIEMBRE!T169)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+IF(SEPTIEMBRE!S170=0,"",SEPTIEMBRE!S170)</f>
        <v>3000000</v>
      </c>
      <c r="T170" s="697" t="str">
        <f>+IF(SEPTIEMBRE!T170=0,"",SEPTIEMBRE!T170)</f>
        <v>TRANSFERENCIAS CORRIENTES</v>
      </c>
      <c r="U170" s="473">
        <f t="shared" ref="U170:AJ170" si="157">U172+U176+U185</f>
        <v>60072284</v>
      </c>
      <c r="V170" s="474">
        <f t="shared" si="157"/>
        <v>0</v>
      </c>
      <c r="W170" s="474">
        <f t="shared" si="157"/>
        <v>14421810</v>
      </c>
      <c r="X170" s="475">
        <f t="shared" si="157"/>
        <v>74494094</v>
      </c>
      <c r="Y170" s="382">
        <f t="shared" si="157"/>
        <v>41093974</v>
      </c>
      <c r="Z170" s="474">
        <f t="shared" si="157"/>
        <v>0</v>
      </c>
      <c r="AA170" s="475">
        <f t="shared" si="157"/>
        <v>41093974</v>
      </c>
      <c r="AB170" s="382">
        <f t="shared" si="157"/>
        <v>41093974</v>
      </c>
      <c r="AC170" s="474">
        <f t="shared" si="157"/>
        <v>0</v>
      </c>
      <c r="AD170" s="475">
        <f t="shared" si="157"/>
        <v>41093974</v>
      </c>
      <c r="AE170" s="382">
        <f t="shared" si="157"/>
        <v>35009605</v>
      </c>
      <c r="AF170" s="474">
        <f t="shared" si="157"/>
        <v>0</v>
      </c>
      <c r="AG170" s="475">
        <f t="shared" si="157"/>
        <v>35009605</v>
      </c>
      <c r="AH170" s="382">
        <f t="shared" si="157"/>
        <v>33400120</v>
      </c>
      <c r="AI170" s="474">
        <f t="shared" si="157"/>
        <v>33400120</v>
      </c>
      <c r="AJ170" s="383">
        <f t="shared" si="157"/>
        <v>39484489</v>
      </c>
      <c r="AK170" s="9"/>
      <c r="AL170" s="131">
        <f>AL172+AL176+AL185</f>
        <v>0</v>
      </c>
      <c r="AM170" s="133">
        <f>AM172+AM176+AM185</f>
        <v>0</v>
      </c>
      <c r="AN170" s="9"/>
    </row>
    <row r="171" spans="1:40" s="385" customFormat="1" ht="24.95" customHeight="1" x14ac:dyDescent="0.2">
      <c r="A171" s="767"/>
      <c r="B171" s="668"/>
      <c r="N171" s="9"/>
      <c r="P171" s="9"/>
      <c r="Q171" s="9"/>
      <c r="R171" s="9"/>
      <c r="S171" s="369" t="str">
        <f>+IF(SEPTIEMBRE!S171=0,"",SEPTIEMBRE!S171)</f>
        <v/>
      </c>
      <c r="T171" s="708" t="str">
        <f>+IF(SEPTIEMBRE!T171=0,"",SEPTIEMBRE!T171)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+IF(SEPTIEMBRE!S172=0,"",SEPTIEMBRE!S172)</f>
        <v>3100000</v>
      </c>
      <c r="T172" s="692" t="str">
        <f>+IF(SEPTIEMBRE!T172=0,"",SEPTIEMBRE!T172)</f>
        <v>Transferencias al Sector Público</v>
      </c>
      <c r="U172" s="135">
        <f t="shared" ref="U172:AJ172" si="158">SUM(U173:U174)</f>
        <v>5285000</v>
      </c>
      <c r="V172" s="124">
        <f t="shared" si="158"/>
        <v>0</v>
      </c>
      <c r="W172" s="124">
        <f t="shared" si="158"/>
        <v>243136</v>
      </c>
      <c r="X172" s="132">
        <f t="shared" si="158"/>
        <v>5528136</v>
      </c>
      <c r="Y172" s="131">
        <f t="shared" si="158"/>
        <v>3154924</v>
      </c>
      <c r="Z172" s="124">
        <f t="shared" si="158"/>
        <v>0</v>
      </c>
      <c r="AA172" s="132">
        <f t="shared" si="158"/>
        <v>3154924</v>
      </c>
      <c r="AB172" s="131">
        <f t="shared" si="158"/>
        <v>3154924</v>
      </c>
      <c r="AC172" s="124">
        <f t="shared" si="158"/>
        <v>0</v>
      </c>
      <c r="AD172" s="132">
        <f t="shared" si="158"/>
        <v>3154924</v>
      </c>
      <c r="AE172" s="131">
        <f t="shared" si="158"/>
        <v>3154924</v>
      </c>
      <c r="AF172" s="124">
        <f t="shared" si="158"/>
        <v>0</v>
      </c>
      <c r="AG172" s="132">
        <f t="shared" si="158"/>
        <v>3154924</v>
      </c>
      <c r="AH172" s="131">
        <f t="shared" si="158"/>
        <v>2373212</v>
      </c>
      <c r="AI172" s="124">
        <f t="shared" si="158"/>
        <v>2373212</v>
      </c>
      <c r="AJ172" s="133">
        <f t="shared" si="158"/>
        <v>2373212</v>
      </c>
      <c r="AK172" s="9"/>
      <c r="AL172" s="131">
        <f>SUM(AL173:AL174)</f>
        <v>0</v>
      </c>
      <c r="AM172" s="133">
        <f>SUM(AM173:AM174)</f>
        <v>0</v>
      </c>
      <c r="AN172" s="9"/>
    </row>
    <row r="173" spans="1:40" s="385" customFormat="1" ht="24.95" customHeight="1" x14ac:dyDescent="0.2">
      <c r="A173" s="767"/>
      <c r="B173" s="668"/>
      <c r="N173" s="9"/>
      <c r="P173" s="9"/>
      <c r="Q173" s="9"/>
      <c r="R173" s="9"/>
      <c r="S173" s="719">
        <f>+IF(SEPTIEMBRE!S173=0,"",SEPTIEMBRE!S173)</f>
        <v>3100003</v>
      </c>
      <c r="T173" s="693" t="str">
        <f>+IF(SEPTIEMBRE!T173=0,"",SEPTIEMBRE!T173)</f>
        <v>Entidades Públicas (Contraloria, Supersalud,…)</v>
      </c>
      <c r="U173" s="27">
        <f>+ENERO!U173</f>
        <v>5285000</v>
      </c>
      <c r="V173" s="15">
        <f>SEPTIEMBRE!V173+OCTUBRE!AL173</f>
        <v>0</v>
      </c>
      <c r="W173" s="15">
        <f>SEPTIEMBRE!W173+OCTUBRE!AM173</f>
        <v>0</v>
      </c>
      <c r="X173" s="18">
        <f>SUM(U173:W173)</f>
        <v>5285000</v>
      </c>
      <c r="Y173" s="19">
        <f>SEPTIEMBRE!AA173</f>
        <v>2911788</v>
      </c>
      <c r="Z173" s="377">
        <v>0</v>
      </c>
      <c r="AA173" s="18">
        <f>SUM(Y173:Z173)</f>
        <v>2911788</v>
      </c>
      <c r="AB173" s="19">
        <f>SEPTIEMBRE!AD173</f>
        <v>2911788</v>
      </c>
      <c r="AC173" s="377">
        <v>0</v>
      </c>
      <c r="AD173" s="18">
        <f>SUM(AB173:AC173)</f>
        <v>2911788</v>
      </c>
      <c r="AE173" s="19">
        <f>SEPTIEMBRE!AG173</f>
        <v>2911788</v>
      </c>
      <c r="AF173" s="377">
        <v>0</v>
      </c>
      <c r="AG173" s="18">
        <f>SUM(AE173:AF173)</f>
        <v>2911788</v>
      </c>
      <c r="AH173" s="19">
        <f>X173-AA173</f>
        <v>2373212</v>
      </c>
      <c r="AI173" s="15">
        <f>X173-AD173</f>
        <v>2373212</v>
      </c>
      <c r="AJ173" s="16">
        <f>X173-AG173</f>
        <v>2373212</v>
      </c>
      <c r="AK173" s="9"/>
      <c r="AL173" s="375">
        <v>0</v>
      </c>
      <c r="AM173" s="378">
        <v>0</v>
      </c>
      <c r="AN173" s="9"/>
    </row>
    <row r="174" spans="1:40" s="385" customFormat="1" ht="24.95" customHeight="1" x14ac:dyDescent="0.2">
      <c r="A174" s="767"/>
      <c r="B174" s="668"/>
      <c r="N174" s="9"/>
      <c r="P174" s="9"/>
      <c r="Q174" s="9"/>
      <c r="R174" s="9"/>
      <c r="S174" s="719">
        <f>+IF(SEPTIEMBRE!S174=0,"",SEPTIEMBRE!S174)</f>
        <v>3199999</v>
      </c>
      <c r="T174" s="693" t="str">
        <f>+IF(SEPTIEMBRE!T174=0,"",SEPTIEMBRE!T174)</f>
        <v>Vigencias Anteriores</v>
      </c>
      <c r="U174" s="27">
        <f>+ENERO!U174</f>
        <v>0</v>
      </c>
      <c r="V174" s="15">
        <f>SEPTIEMBRE!V174+OCTUBRE!AL174</f>
        <v>0</v>
      </c>
      <c r="W174" s="15">
        <f>SEPTIEMBRE!W174+OCTUBRE!AM174</f>
        <v>243136</v>
      </c>
      <c r="X174" s="18">
        <f>SUM(U174:W174)</f>
        <v>243136</v>
      </c>
      <c r="Y174" s="19">
        <f>SEPTIEMBRE!AA174</f>
        <v>243136</v>
      </c>
      <c r="Z174" s="377">
        <v>0</v>
      </c>
      <c r="AA174" s="18">
        <f>SUM(Y174:Z174)</f>
        <v>243136</v>
      </c>
      <c r="AB174" s="19">
        <f>SEPTIEMBRE!AD174</f>
        <v>243136</v>
      </c>
      <c r="AC174" s="377">
        <v>0</v>
      </c>
      <c r="AD174" s="18">
        <f>SUM(AB174:AC174)</f>
        <v>243136</v>
      </c>
      <c r="AE174" s="19">
        <f>SEPTIEMBRE!AG174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+IF(SEPTIEMBRE!S175=0,"",SEPTIEMBRE!S175)</f>
        <v/>
      </c>
      <c r="T175" s="708" t="str">
        <f>+IF(SEPTIEMBRE!T175=0,"",SEPTIEMBRE!T175)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+IF(SEPTIEMBRE!S176=0,"",SEPTIEMBRE!S176)</f>
        <v>320000</v>
      </c>
      <c r="T176" s="692" t="str">
        <f>+IF(SEPTIEMBRE!T176=0,"",SEPTIEMBRE!T176)</f>
        <v>Transf. Previsión y Seguridad Social</v>
      </c>
      <c r="U176" s="135">
        <f t="shared" ref="U176:AJ176" si="159">SUM(U177:U183)</f>
        <v>51170820</v>
      </c>
      <c r="V176" s="124">
        <f t="shared" si="159"/>
        <v>0</v>
      </c>
      <c r="W176" s="124">
        <f t="shared" si="159"/>
        <v>8290292</v>
      </c>
      <c r="X176" s="132">
        <f t="shared" si="159"/>
        <v>59461112</v>
      </c>
      <c r="Y176" s="131">
        <f t="shared" si="159"/>
        <v>32181746</v>
      </c>
      <c r="Z176" s="124">
        <f t="shared" si="159"/>
        <v>0</v>
      </c>
      <c r="AA176" s="132">
        <f t="shared" si="159"/>
        <v>32181746</v>
      </c>
      <c r="AB176" s="131">
        <f t="shared" si="159"/>
        <v>32181746</v>
      </c>
      <c r="AC176" s="124">
        <f t="shared" si="159"/>
        <v>0</v>
      </c>
      <c r="AD176" s="132">
        <f t="shared" si="159"/>
        <v>32181746</v>
      </c>
      <c r="AE176" s="131">
        <f t="shared" si="159"/>
        <v>31407356</v>
      </c>
      <c r="AF176" s="124">
        <f t="shared" si="159"/>
        <v>0</v>
      </c>
      <c r="AG176" s="132">
        <f t="shared" si="159"/>
        <v>31407356</v>
      </c>
      <c r="AH176" s="131">
        <f t="shared" si="159"/>
        <v>27279366</v>
      </c>
      <c r="AI176" s="124">
        <f t="shared" si="159"/>
        <v>27279366</v>
      </c>
      <c r="AJ176" s="133">
        <f t="shared" si="159"/>
        <v>28053756</v>
      </c>
      <c r="AK176" s="9"/>
      <c r="AL176" s="131">
        <f>SUM(AL177:AL183)</f>
        <v>0</v>
      </c>
      <c r="AM176" s="133">
        <f>SUM(AM177:AM183)</f>
        <v>0</v>
      </c>
      <c r="AN176" s="9"/>
    </row>
    <row r="177" spans="1:40" s="385" customFormat="1" ht="24.95" customHeight="1" x14ac:dyDescent="0.2">
      <c r="A177" s="767"/>
      <c r="B177" s="668"/>
      <c r="N177" s="9"/>
      <c r="P177" s="9"/>
      <c r="Q177" s="9"/>
      <c r="R177" s="9"/>
      <c r="S177" s="719">
        <f>+IF(SEPTIEMBRE!S177=0,"",SEPTIEMBRE!S177)</f>
        <v>3200100</v>
      </c>
      <c r="T177" s="693" t="str">
        <f>+IF(SEPTIEMBRE!T177=0,"",SEPTIEMBRE!T177)</f>
        <v>Pensiones y Jubilaciones (Pago Directo)</v>
      </c>
      <c r="U177" s="27">
        <f>+ENERO!U177</f>
        <v>39279816</v>
      </c>
      <c r="V177" s="15">
        <f>SEPTIEMBRE!V177+OCTUBRE!AL177</f>
        <v>0</v>
      </c>
      <c r="W177" s="15">
        <f>SEPTIEMBRE!W177+OCTUBRE!AM177</f>
        <v>0</v>
      </c>
      <c r="X177" s="18">
        <f t="shared" ref="X177:X183" si="160">SUM(U177:W177)</f>
        <v>39279816</v>
      </c>
      <c r="Y177" s="19">
        <f>SEPTIEMBRE!AA177</f>
        <v>22897362</v>
      </c>
      <c r="Z177" s="377">
        <v>0</v>
      </c>
      <c r="AA177" s="18">
        <f t="shared" ref="AA177:AA183" si="161">SUM(Y177:Z177)</f>
        <v>22897362</v>
      </c>
      <c r="AB177" s="19">
        <f>SEPTIEMBRE!AD177</f>
        <v>22897362</v>
      </c>
      <c r="AC177" s="377">
        <v>0</v>
      </c>
      <c r="AD177" s="18">
        <f t="shared" ref="AD177:AD183" si="162">SUM(AB177:AC177)</f>
        <v>22897362</v>
      </c>
      <c r="AE177" s="19">
        <f>SEPTIEMBRE!AG177</f>
        <v>22897362</v>
      </c>
      <c r="AF177" s="377">
        <v>0</v>
      </c>
      <c r="AG177" s="18">
        <f t="shared" ref="AG177:AG183" si="163">SUM(AE177:AF177)</f>
        <v>22897362</v>
      </c>
      <c r="AH177" s="19">
        <f t="shared" ref="AH177:AH183" si="164">X177-AA177</f>
        <v>16382454</v>
      </c>
      <c r="AI177" s="15">
        <f t="shared" ref="AI177:AI183" si="165">X177-AD177</f>
        <v>16382454</v>
      </c>
      <c r="AJ177" s="16">
        <f t="shared" ref="AJ177:AJ183" si="166">X177-AG177</f>
        <v>16382454</v>
      </c>
      <c r="AK177" s="9"/>
      <c r="AL177" s="375">
        <v>0</v>
      </c>
      <c r="AM177" s="378">
        <v>0</v>
      </c>
      <c r="AN177" s="9"/>
    </row>
    <row r="178" spans="1:40" s="385" customFormat="1" ht="24.95" customHeight="1" x14ac:dyDescent="0.2">
      <c r="A178" s="767"/>
      <c r="B178" s="668"/>
      <c r="N178" s="9"/>
      <c r="P178" s="9"/>
      <c r="Q178" s="9"/>
      <c r="R178" s="9"/>
      <c r="S178" s="719">
        <f>+IF(SEPTIEMBRE!S178=0,"",SEPTIEMBRE!S178)</f>
        <v>3200200</v>
      </c>
      <c r="T178" s="693" t="str">
        <f>+IF(SEPTIEMBRE!T178=0,"",SEPTIEMBRE!T178)</f>
        <v>Cesantías Pago Directo (Pago Directo)</v>
      </c>
      <c r="U178" s="27">
        <f>+ENERO!U178</f>
        <v>11891004</v>
      </c>
      <c r="V178" s="15">
        <f>SEPTIEMBRE!V178+OCTUBRE!AL178</f>
        <v>-11891004</v>
      </c>
      <c r="W178" s="15">
        <f>SEPTIEMBRE!W178+OCTUBRE!AM178</f>
        <v>0</v>
      </c>
      <c r="X178" s="18">
        <f t="shared" si="160"/>
        <v>0</v>
      </c>
      <c r="Y178" s="19">
        <f>SEPTIEMBRE!AA178</f>
        <v>0</v>
      </c>
      <c r="Z178" s="377">
        <v>0</v>
      </c>
      <c r="AA178" s="18">
        <f t="shared" si="161"/>
        <v>0</v>
      </c>
      <c r="AB178" s="19">
        <f>SEPTIEMBRE!AD178</f>
        <v>0</v>
      </c>
      <c r="AC178" s="377">
        <v>0</v>
      </c>
      <c r="AD178" s="18">
        <f t="shared" si="162"/>
        <v>0</v>
      </c>
      <c r="AE178" s="19">
        <f>SEPTIEMBRE!AG178</f>
        <v>0</v>
      </c>
      <c r="AF178" s="377">
        <v>0</v>
      </c>
      <c r="AG178" s="18">
        <f t="shared" si="163"/>
        <v>0</v>
      </c>
      <c r="AH178" s="19">
        <f t="shared" si="164"/>
        <v>0</v>
      </c>
      <c r="AI178" s="15">
        <f t="shared" si="165"/>
        <v>0</v>
      </c>
      <c r="AJ178" s="16">
        <f t="shared" si="166"/>
        <v>0</v>
      </c>
      <c r="AK178" s="9"/>
      <c r="AL178" s="375">
        <v>0</v>
      </c>
      <c r="AM178" s="378">
        <v>0</v>
      </c>
      <c r="AN178" s="9"/>
    </row>
    <row r="179" spans="1:40" s="385" customFormat="1" ht="24.95" customHeight="1" x14ac:dyDescent="0.2">
      <c r="A179" s="767"/>
      <c r="B179" s="668"/>
      <c r="N179" s="9"/>
      <c r="P179" s="9"/>
      <c r="Q179" s="9"/>
      <c r="R179" s="9"/>
      <c r="S179" s="719">
        <f>+IF(SEPTIEMBRE!S179=0,"",SEPTIEMBRE!S179)</f>
        <v>3200300</v>
      </c>
      <c r="T179" s="693" t="str">
        <f>+IF(SEPTIEMBRE!T179=0,"",SEPTIEMBRE!T179)</f>
        <v>Bonos, Cuotas de Bonos y cuotas partes jubilatorias</v>
      </c>
      <c r="U179" s="27">
        <f>+ENERO!U179</f>
        <v>0</v>
      </c>
      <c r="V179" s="15">
        <f>SEPTIEMBRE!V179+OCTUBRE!AL179</f>
        <v>0</v>
      </c>
      <c r="W179" s="15">
        <f>SEPTIEMBRE!W179+OCTUBRE!AM179</f>
        <v>0</v>
      </c>
      <c r="X179" s="18">
        <f t="shared" si="160"/>
        <v>0</v>
      </c>
      <c r="Y179" s="19">
        <f>SEPTIEMBRE!AA179</f>
        <v>0</v>
      </c>
      <c r="Z179" s="377">
        <v>0</v>
      </c>
      <c r="AA179" s="18">
        <f t="shared" si="161"/>
        <v>0</v>
      </c>
      <c r="AB179" s="19">
        <f>SEPTIEMBRE!AD179</f>
        <v>0</v>
      </c>
      <c r="AC179" s="377">
        <v>0</v>
      </c>
      <c r="AD179" s="18">
        <f t="shared" si="162"/>
        <v>0</v>
      </c>
      <c r="AE179" s="19">
        <f>SEPTIEMBRE!AG179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+IF(SEPTIEMBRE!S180=0,"",SEPTIEMBRE!S180)</f>
        <v>3200400</v>
      </c>
      <c r="T180" s="693" t="str">
        <f>+IF(SEPTIEMBRE!T180=0,"",SEPTIEMBRE!T180)</f>
        <v>Intereses a las cesantias</v>
      </c>
      <c r="U180" s="27">
        <f>+ENERO!U180</f>
        <v>0</v>
      </c>
      <c r="V180" s="15">
        <f>SEPTIEMBRE!V180+OCTUBRE!AL180</f>
        <v>11891004</v>
      </c>
      <c r="W180" s="15">
        <f>SEPTIEMBRE!W180+OCTUBRE!AM180</f>
        <v>0</v>
      </c>
      <c r="X180" s="18">
        <f t="shared" si="160"/>
        <v>11891004</v>
      </c>
      <c r="Y180" s="19">
        <f>SEPTIEMBRE!AA180</f>
        <v>994092</v>
      </c>
      <c r="Z180" s="377">
        <v>0</v>
      </c>
      <c r="AA180" s="18">
        <f t="shared" si="161"/>
        <v>994092</v>
      </c>
      <c r="AB180" s="19">
        <f>SEPTIEMBRE!AD180</f>
        <v>994092</v>
      </c>
      <c r="AC180" s="377">
        <v>0</v>
      </c>
      <c r="AD180" s="18">
        <f t="shared" si="162"/>
        <v>994092</v>
      </c>
      <c r="AE180" s="19">
        <f>SEPTIEMBRE!AG180</f>
        <v>231803</v>
      </c>
      <c r="AF180" s="377">
        <v>0</v>
      </c>
      <c r="AG180" s="18">
        <f t="shared" si="163"/>
        <v>231803</v>
      </c>
      <c r="AH180" s="19">
        <f t="shared" si="164"/>
        <v>10896912</v>
      </c>
      <c r="AI180" s="15">
        <f t="shared" si="165"/>
        <v>10896912</v>
      </c>
      <c r="AJ180" s="16">
        <f t="shared" si="166"/>
        <v>11659201</v>
      </c>
      <c r="AK180" s="9"/>
      <c r="AL180" s="375">
        <v>0</v>
      </c>
      <c r="AM180" s="378">
        <v>0</v>
      </c>
      <c r="AN180" s="9"/>
    </row>
    <row r="181" spans="1:40" s="385" customFormat="1" ht="24.95" customHeight="1" x14ac:dyDescent="0.2">
      <c r="A181" s="767"/>
      <c r="B181" s="668"/>
      <c r="N181" s="9"/>
      <c r="P181" s="9"/>
      <c r="Q181" s="9"/>
      <c r="R181" s="9"/>
      <c r="S181" s="719" t="str">
        <f>+IF(SEPTIEMBRE!S181=0,"",SEPTIEMBRE!S181)</f>
        <v/>
      </c>
      <c r="T181" s="693" t="str">
        <f>+IF(SEPTIEMBRE!T181=0,"",SEPTIEMBRE!T181)</f>
        <v/>
      </c>
      <c r="U181" s="27">
        <f>+ENERO!U181</f>
        <v>0</v>
      </c>
      <c r="V181" s="15">
        <f>SEPTIEMBRE!V181+OCTUBRE!AL181</f>
        <v>0</v>
      </c>
      <c r="W181" s="15">
        <f>SEPTIEMBRE!W181+OCTUBRE!AM181</f>
        <v>0</v>
      </c>
      <c r="X181" s="18">
        <f t="shared" si="160"/>
        <v>0</v>
      </c>
      <c r="Y181" s="19">
        <f>SEPTIEMBRE!AA181</f>
        <v>0</v>
      </c>
      <c r="Z181" s="377">
        <v>0</v>
      </c>
      <c r="AA181" s="18">
        <f t="shared" si="161"/>
        <v>0</v>
      </c>
      <c r="AB181" s="19">
        <f>SEPTIEMBRE!AD181</f>
        <v>0</v>
      </c>
      <c r="AC181" s="377">
        <v>0</v>
      </c>
      <c r="AD181" s="18">
        <f t="shared" si="162"/>
        <v>0</v>
      </c>
      <c r="AE181" s="19">
        <f>SEPTIEMBRE!AG181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+IF(SEPTIEMBRE!S182=0,"",SEPTIEMBRE!S182)</f>
        <v/>
      </c>
      <c r="T182" s="693" t="str">
        <f>+IF(SEPTIEMBRE!T182=0,"",SEPTIEMBRE!T182)</f>
        <v/>
      </c>
      <c r="U182" s="27">
        <f>+ENERO!U182</f>
        <v>0</v>
      </c>
      <c r="V182" s="15">
        <f>SEPTIEMBRE!V182+OCTUBRE!AL182</f>
        <v>0</v>
      </c>
      <c r="W182" s="15">
        <f>SEPTIEMBRE!W182+OCTUBRE!AM182</f>
        <v>0</v>
      </c>
      <c r="X182" s="18">
        <f t="shared" si="160"/>
        <v>0</v>
      </c>
      <c r="Y182" s="19">
        <f>SEPTIEMBRE!AA182</f>
        <v>0</v>
      </c>
      <c r="Z182" s="377">
        <v>0</v>
      </c>
      <c r="AA182" s="18">
        <f t="shared" si="161"/>
        <v>0</v>
      </c>
      <c r="AB182" s="19">
        <f>SEPTIEMBRE!AD182</f>
        <v>0</v>
      </c>
      <c r="AC182" s="377">
        <v>0</v>
      </c>
      <c r="AD182" s="18">
        <f t="shared" si="162"/>
        <v>0</v>
      </c>
      <c r="AE182" s="19">
        <f>SEPTIEMBRE!AG182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+IF(SEPTIEMBRE!S183=0,"",SEPTIEMBRE!S183)</f>
        <v>3299999</v>
      </c>
      <c r="T183" s="693" t="str">
        <f>+IF(SEPTIEMBRE!T183=0,"",SEPTIEMBRE!T183)</f>
        <v>Vigencias Anteriores</v>
      </c>
      <c r="U183" s="27">
        <f>+ENERO!U183</f>
        <v>0</v>
      </c>
      <c r="V183" s="15">
        <f>SEPTIEMBRE!V183+OCTUBRE!AL183</f>
        <v>0</v>
      </c>
      <c r="W183" s="15">
        <f>SEPTIEMBRE!W183+OCTUBRE!AM183</f>
        <v>8290292</v>
      </c>
      <c r="X183" s="18">
        <f t="shared" si="160"/>
        <v>8290292</v>
      </c>
      <c r="Y183" s="19">
        <f>SEPTIEMBRE!AA183</f>
        <v>8290292</v>
      </c>
      <c r="Z183" s="377">
        <v>0</v>
      </c>
      <c r="AA183" s="18">
        <f t="shared" si="161"/>
        <v>8290292</v>
      </c>
      <c r="AB183" s="19">
        <f>SEPTIEMBRE!AD183</f>
        <v>8290292</v>
      </c>
      <c r="AC183" s="377">
        <v>0</v>
      </c>
      <c r="AD183" s="18">
        <f t="shared" si="162"/>
        <v>8290292</v>
      </c>
      <c r="AE183" s="19">
        <f>SEPTIEMBRE!AG183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+IF(SEPTIEMBRE!S184=0,"",SEPTIEMBRE!S184)</f>
        <v/>
      </c>
      <c r="T184" s="708" t="str">
        <f>+IF(SEPTIEMBRE!T184=0,"",SEPTIEMBRE!T184)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+IF(SEPTIEMBRE!S185=0,"",SEPTIEMBRE!S185)</f>
        <v>3300000</v>
      </c>
      <c r="T185" s="692" t="str">
        <f>+IF(SEPTIEMBRE!T185=0,"",SEPTIEMBRE!T185)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447325</v>
      </c>
      <c r="AF185" s="124">
        <f t="shared" si="167"/>
        <v>0</v>
      </c>
      <c r="AG185" s="132">
        <f t="shared" si="167"/>
        <v>447325</v>
      </c>
      <c r="AH185" s="131">
        <f t="shared" si="167"/>
        <v>3747542</v>
      </c>
      <c r="AI185" s="124">
        <f t="shared" si="167"/>
        <v>3747542</v>
      </c>
      <c r="AJ185" s="133">
        <f t="shared" si="167"/>
        <v>9057521</v>
      </c>
      <c r="AK185" s="9"/>
      <c r="AL185" s="131">
        <f>AL186+AL187+AL191</f>
        <v>0</v>
      </c>
      <c r="AM185" s="133">
        <f>AM186+AM187+AM191</f>
        <v>0</v>
      </c>
      <c r="AN185" s="9"/>
    </row>
    <row r="186" spans="1:40" s="385" customFormat="1" ht="24.95" customHeight="1" x14ac:dyDescent="0.2">
      <c r="A186" s="767"/>
      <c r="B186" s="668"/>
      <c r="N186" s="9"/>
      <c r="P186" s="9"/>
      <c r="Q186" s="9"/>
      <c r="R186" s="9"/>
      <c r="S186" s="719">
        <f>+IF(SEPTIEMBRE!S186=0,"",SEPTIEMBRE!S186)</f>
        <v>3300100</v>
      </c>
      <c r="T186" s="693" t="str">
        <f>+IF(SEPTIEMBRE!T186=0,"",SEPTIEMBRE!T186)</f>
        <v>Sentencias y Conciliaciones</v>
      </c>
      <c r="U186" s="27">
        <f>+ENERO!U186</f>
        <v>0</v>
      </c>
      <c r="V186" s="15">
        <f>SEPTIEMBRE!V186+OCTUBRE!AL186</f>
        <v>0</v>
      </c>
      <c r="W186" s="15">
        <f>SEPTIEMBRE!W186+OCTUBRE!AM186</f>
        <v>0</v>
      </c>
      <c r="X186" s="18">
        <f>SUM(U186:W186)</f>
        <v>0</v>
      </c>
      <c r="Y186" s="19">
        <f>SEPTIEMBRE!AA186</f>
        <v>0</v>
      </c>
      <c r="Z186" s="377">
        <v>0</v>
      </c>
      <c r="AA186" s="18">
        <f>SUM(Y186:Z186)</f>
        <v>0</v>
      </c>
      <c r="AB186" s="19">
        <f>SEPTIEMBRE!AD186</f>
        <v>0</v>
      </c>
      <c r="AC186" s="377">
        <v>0</v>
      </c>
      <c r="AD186" s="18">
        <f>SUM(AB186:AC186)</f>
        <v>0</v>
      </c>
      <c r="AE186" s="19">
        <f>SEPTIEMBRE!AG186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+IF(SEPTIEMBRE!S187=0,"",SEPTIEMBRE!S187)</f>
        <v>3300200</v>
      </c>
      <c r="T187" s="693" t="str">
        <f>+IF(SEPTIEMBRE!T187=0,"",SEPTIEMBRE!T187)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58943</v>
      </c>
      <c r="AF187" s="145">
        <f t="shared" si="168"/>
        <v>0</v>
      </c>
      <c r="AG187" s="18">
        <f t="shared" si="168"/>
        <v>58943</v>
      </c>
      <c r="AH187" s="19">
        <f t="shared" si="168"/>
        <v>3747542</v>
      </c>
      <c r="AI187" s="15">
        <f t="shared" si="168"/>
        <v>3747542</v>
      </c>
      <c r="AJ187" s="16">
        <f t="shared" si="168"/>
        <v>9057521</v>
      </c>
      <c r="AK187" s="9"/>
      <c r="AL187" s="29">
        <f t="shared" si="168"/>
        <v>0</v>
      </c>
      <c r="AM187" s="26">
        <f t="shared" si="168"/>
        <v>0</v>
      </c>
      <c r="AN187" s="9"/>
    </row>
    <row r="188" spans="1:40" s="385" customFormat="1" ht="24.95" customHeight="1" x14ac:dyDescent="0.2">
      <c r="A188" s="767"/>
      <c r="B188" s="669"/>
      <c r="N188" s="9"/>
      <c r="P188" s="9"/>
      <c r="Q188" s="9"/>
      <c r="R188" s="9"/>
      <c r="S188" s="720" t="str">
        <f>+IF(SEPTIEMBRE!S188=0,"",SEPTIEMBRE!S188)</f>
        <v>3300200-1</v>
      </c>
      <c r="T188" s="693" t="str">
        <f>+IF(SEPTIEMBRE!T188=0,"",SEPTIEMBRE!T188)</f>
        <v>COHAN</v>
      </c>
      <c r="U188" s="27">
        <f>+ENERO!U188</f>
        <v>793940</v>
      </c>
      <c r="V188" s="15">
        <f>SEPTIEMBRE!V188+OCTUBRE!AL188</f>
        <v>0</v>
      </c>
      <c r="W188" s="15">
        <f>SEPTIEMBRE!W188+OCTUBRE!AM188</f>
        <v>5500000</v>
      </c>
      <c r="X188" s="18">
        <f>SUM(U188:W188)</f>
        <v>6293940</v>
      </c>
      <c r="Y188" s="19">
        <f>SEPTIEMBRE!AA188</f>
        <v>2791522</v>
      </c>
      <c r="Z188" s="377">
        <v>0</v>
      </c>
      <c r="AA188" s="18">
        <f>SUM(Y188:Z188)</f>
        <v>2791522</v>
      </c>
      <c r="AB188" s="19">
        <f>SEPTIEMBRE!AD188</f>
        <v>2791522</v>
      </c>
      <c r="AC188" s="377">
        <v>0</v>
      </c>
      <c r="AD188" s="18">
        <f>SUM(AB188:AC188)</f>
        <v>2791522</v>
      </c>
      <c r="AE188" s="19">
        <f>SEPTIEMBRE!AG188</f>
        <v>58943</v>
      </c>
      <c r="AF188" s="377">
        <v>0</v>
      </c>
      <c r="AG188" s="18">
        <f>SUM(AE188:AF188)</f>
        <v>58943</v>
      </c>
      <c r="AH188" s="19">
        <f>X188-AA188</f>
        <v>3502418</v>
      </c>
      <c r="AI188" s="15">
        <f>X188-AD188</f>
        <v>3502418</v>
      </c>
      <c r="AJ188" s="16">
        <f>X188-AG188</f>
        <v>6234997</v>
      </c>
      <c r="AK188" s="9"/>
      <c r="AL188" s="375">
        <v>0</v>
      </c>
      <c r="AM188" s="378">
        <v>0</v>
      </c>
      <c r="AN188" s="9"/>
    </row>
    <row r="189" spans="1:40" s="385" customFormat="1" ht="24.95" customHeight="1" x14ac:dyDescent="0.2">
      <c r="A189" s="767"/>
      <c r="B189" s="669"/>
      <c r="N189" s="9"/>
      <c r="P189" s="9"/>
      <c r="Q189" s="9"/>
      <c r="R189" s="9"/>
      <c r="S189" s="720" t="str">
        <f>+IF(SEPTIEMBRE!S189=0,"",SEPTIEMBRE!S189)</f>
        <v>3300200-2</v>
      </c>
      <c r="T189" s="693" t="str">
        <f>+IF(SEPTIEMBRE!T189=0,"",SEPTIEMBRE!T189)</f>
        <v>AESA</v>
      </c>
      <c r="U189" s="27">
        <f>+ENERO!U189</f>
        <v>2822524</v>
      </c>
      <c r="V189" s="15">
        <f>SEPTIEMBRE!V189+OCTUBRE!AL189</f>
        <v>0</v>
      </c>
      <c r="W189" s="15">
        <f>SEPTIEMBRE!W189+OCTUBRE!AM189</f>
        <v>0</v>
      </c>
      <c r="X189" s="18">
        <f>SUM(U189:W189)</f>
        <v>2822524</v>
      </c>
      <c r="Y189" s="19">
        <f>SEPTIEMBRE!AA189</f>
        <v>2577400</v>
      </c>
      <c r="Z189" s="377">
        <v>0</v>
      </c>
      <c r="AA189" s="18">
        <f>SUM(Y189:Z189)</f>
        <v>2577400</v>
      </c>
      <c r="AB189" s="19">
        <f>SEPTIEMBRE!AD189</f>
        <v>2577400</v>
      </c>
      <c r="AC189" s="377">
        <v>0</v>
      </c>
      <c r="AD189" s="18">
        <f>SUM(AB189:AC189)</f>
        <v>2577400</v>
      </c>
      <c r="AE189" s="19">
        <f>SEPTIEMBRE!AG189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+IF(SEPTIEMBRE!S190=0,"",SEPTIEMBRE!S190)</f>
        <v>3300200-3</v>
      </c>
      <c r="T190" s="693" t="str">
        <f>+IF(SEPTIEMBRE!T190=0,"",SEPTIEMBRE!T190)</f>
        <v xml:space="preserve">OTRAS </v>
      </c>
      <c r="U190" s="27">
        <f>+ENERO!U190</f>
        <v>0</v>
      </c>
      <c r="V190" s="15">
        <f>SEPTIEMBRE!V190+OCTUBRE!AL190</f>
        <v>0</v>
      </c>
      <c r="W190" s="15">
        <f>SEPTIEMBRE!W190+OCTUBRE!AM190</f>
        <v>0</v>
      </c>
      <c r="X190" s="18">
        <f>SUM(U190:W190)</f>
        <v>0</v>
      </c>
      <c r="Y190" s="19">
        <f>SEPTIEMBRE!AA190</f>
        <v>0</v>
      </c>
      <c r="Z190" s="377">
        <v>0</v>
      </c>
      <c r="AA190" s="18">
        <f>SUM(Y190:Z190)</f>
        <v>0</v>
      </c>
      <c r="AB190" s="19">
        <f>SEPTIEMBRE!AD190</f>
        <v>0</v>
      </c>
      <c r="AC190" s="377">
        <v>0</v>
      </c>
      <c r="AD190" s="18">
        <f>SUM(AB190:AC190)</f>
        <v>0</v>
      </c>
      <c r="AE190" s="19">
        <f>SEPTIEMBRE!AG190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+IF(SEPTIEMBRE!S191=0,"",SEPTIEMBRE!S191)</f>
        <v>3399999</v>
      </c>
      <c r="T191" s="693" t="str">
        <f>+IF(SEPTIEMBRE!T191=0,"",SEPTIEMBRE!T191)</f>
        <v>Vigencias Anteriores</v>
      </c>
      <c r="U191" s="27">
        <f>+ENERO!U191</f>
        <v>0</v>
      </c>
      <c r="V191" s="15">
        <f>SEPTIEMBRE!V191+OCTUBRE!AL191</f>
        <v>0</v>
      </c>
      <c r="W191" s="15">
        <f>SEPTIEMBRE!W191+OCTUBRE!AM191</f>
        <v>388382</v>
      </c>
      <c r="X191" s="18">
        <f>SUM(U191:W191)</f>
        <v>388382</v>
      </c>
      <c r="Y191" s="19">
        <f>SEPTIEMBRE!AA191</f>
        <v>388382</v>
      </c>
      <c r="Z191" s="377">
        <v>0</v>
      </c>
      <c r="AA191" s="18">
        <f>SUM(Y191:Z191)</f>
        <v>388382</v>
      </c>
      <c r="AB191" s="19">
        <f>SEPTIEMBRE!AD191</f>
        <v>388382</v>
      </c>
      <c r="AC191" s="377">
        <v>0</v>
      </c>
      <c r="AD191" s="18">
        <f>SUM(AB191:AC191)</f>
        <v>388382</v>
      </c>
      <c r="AE191" s="19">
        <f>SEPTIEMBRE!AG191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+IF(SEPTIEMBRE!S192=0,"",SEPTIEMBRE!S192)</f>
        <v/>
      </c>
      <c r="T192" s="708" t="str">
        <f>+IF(SEPTIEMBRE!T192=0,"",SEPTIEMBRE!T192)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+IF(SEPTIEMBRE!S193=0,"",SEPTIEMBRE!S193)</f>
        <v>4000000</v>
      </c>
      <c r="T193" s="697" t="str">
        <f>+IF(SEPTIEMBRE!T193=0,"",SEPTIEMBRE!T193)</f>
        <v>GASTOS  DE PRESTACION DE SERVICIOS</v>
      </c>
      <c r="U193" s="473">
        <f t="shared" ref="U193:AJ193" si="169">U194</f>
        <v>272529328</v>
      </c>
      <c r="V193" s="474">
        <f t="shared" si="169"/>
        <v>-27900000</v>
      </c>
      <c r="W193" s="474">
        <f t="shared" si="169"/>
        <v>196423942</v>
      </c>
      <c r="X193" s="475">
        <f t="shared" si="169"/>
        <v>441053270</v>
      </c>
      <c r="Y193" s="382">
        <f t="shared" si="169"/>
        <v>354734932</v>
      </c>
      <c r="Z193" s="474">
        <f t="shared" si="169"/>
        <v>0</v>
      </c>
      <c r="AA193" s="475">
        <f t="shared" si="169"/>
        <v>354734932</v>
      </c>
      <c r="AB193" s="382">
        <f t="shared" si="169"/>
        <v>342925988</v>
      </c>
      <c r="AC193" s="474">
        <f t="shared" si="169"/>
        <v>0</v>
      </c>
      <c r="AD193" s="475">
        <f t="shared" si="169"/>
        <v>342925988</v>
      </c>
      <c r="AE193" s="382">
        <f t="shared" si="169"/>
        <v>177717142</v>
      </c>
      <c r="AF193" s="474">
        <f t="shared" si="169"/>
        <v>0</v>
      </c>
      <c r="AG193" s="475">
        <f t="shared" si="169"/>
        <v>177717142</v>
      </c>
      <c r="AH193" s="382">
        <f t="shared" si="169"/>
        <v>86318338</v>
      </c>
      <c r="AI193" s="474">
        <f t="shared" si="169"/>
        <v>98127282</v>
      </c>
      <c r="AJ193" s="383">
        <f t="shared" si="169"/>
        <v>263336128</v>
      </c>
      <c r="AK193" s="9"/>
      <c r="AL193" s="131">
        <f>AL194</f>
        <v>0</v>
      </c>
      <c r="AM193" s="133">
        <f>AM194</f>
        <v>0</v>
      </c>
      <c r="AN193" s="9"/>
    </row>
    <row r="194" spans="1:40" s="385" customFormat="1" ht="24.95" customHeight="1" x14ac:dyDescent="0.2">
      <c r="A194" s="767"/>
      <c r="B194" s="669"/>
      <c r="N194" s="9"/>
      <c r="P194" s="9"/>
      <c r="Q194" s="9"/>
      <c r="R194" s="9"/>
      <c r="S194" s="718">
        <f>+IF(SEPTIEMBRE!S194=0,"",SEPTIEMBRE!S194)</f>
        <v>4100000</v>
      </c>
      <c r="T194" s="692" t="str">
        <f>+IF(SEPTIEMBRE!T194=0,"",SEPTIEMBRE!T194)</f>
        <v>Insumos y Suministros Hospitalarios</v>
      </c>
      <c r="U194" s="135">
        <f t="shared" ref="U194:AJ194" si="170">U195+U203+U205</f>
        <v>272529328</v>
      </c>
      <c r="V194" s="124">
        <f t="shared" si="170"/>
        <v>-27900000</v>
      </c>
      <c r="W194" s="124">
        <f t="shared" si="170"/>
        <v>196423942</v>
      </c>
      <c r="X194" s="132">
        <f t="shared" si="170"/>
        <v>441053270</v>
      </c>
      <c r="Y194" s="131">
        <f t="shared" si="170"/>
        <v>354734932</v>
      </c>
      <c r="Z194" s="124">
        <f t="shared" si="170"/>
        <v>0</v>
      </c>
      <c r="AA194" s="132">
        <f t="shared" si="170"/>
        <v>354734932</v>
      </c>
      <c r="AB194" s="131">
        <f t="shared" si="170"/>
        <v>342925988</v>
      </c>
      <c r="AC194" s="124">
        <f t="shared" si="170"/>
        <v>0</v>
      </c>
      <c r="AD194" s="132">
        <f t="shared" si="170"/>
        <v>342925988</v>
      </c>
      <c r="AE194" s="131">
        <f t="shared" si="170"/>
        <v>177717142</v>
      </c>
      <c r="AF194" s="124">
        <f t="shared" si="170"/>
        <v>0</v>
      </c>
      <c r="AG194" s="132">
        <f t="shared" si="170"/>
        <v>177717142</v>
      </c>
      <c r="AH194" s="131">
        <f t="shared" si="170"/>
        <v>86318338</v>
      </c>
      <c r="AI194" s="124">
        <f t="shared" si="170"/>
        <v>98127282</v>
      </c>
      <c r="AJ194" s="133">
        <f t="shared" si="170"/>
        <v>263336128</v>
      </c>
      <c r="AK194" s="10"/>
      <c r="AL194" s="131">
        <f>AL195+AL203+AL205</f>
        <v>0</v>
      </c>
      <c r="AM194" s="133">
        <f>AM195+AM203+AM205</f>
        <v>0</v>
      </c>
      <c r="AN194" s="9"/>
    </row>
    <row r="195" spans="1:40" s="385" customFormat="1" ht="24.95" customHeight="1" x14ac:dyDescent="0.2">
      <c r="A195" s="767"/>
      <c r="B195" s="669"/>
      <c r="N195" s="9"/>
      <c r="P195" s="9"/>
      <c r="Q195" s="9"/>
      <c r="R195" s="9"/>
      <c r="S195" s="719">
        <f>+IF(SEPTIEMBRE!S195=0,"",SEPTIEMBRE!S195)</f>
        <v>4100100</v>
      </c>
      <c r="T195" s="693" t="str">
        <f>+IF(SEPTIEMBRE!T195=0,"",SEPTIEMBRE!T195)</f>
        <v>Compra de Bienes para la Prestacion de servicios</v>
      </c>
      <c r="U195" s="27">
        <f t="shared" ref="U195:AJ195" si="171">SUM(U196:U202)</f>
        <v>240561284</v>
      </c>
      <c r="V195" s="15">
        <f t="shared" si="171"/>
        <v>-30900000</v>
      </c>
      <c r="W195" s="15">
        <f t="shared" si="171"/>
        <v>104588010</v>
      </c>
      <c r="X195" s="18">
        <f t="shared" si="171"/>
        <v>314249294</v>
      </c>
      <c r="Y195" s="19">
        <f t="shared" si="171"/>
        <v>233964690</v>
      </c>
      <c r="Z195" s="145">
        <f t="shared" si="171"/>
        <v>0</v>
      </c>
      <c r="AA195" s="18">
        <f t="shared" si="171"/>
        <v>233964690</v>
      </c>
      <c r="AB195" s="19">
        <f t="shared" si="171"/>
        <v>222196526</v>
      </c>
      <c r="AC195" s="145">
        <f t="shared" si="171"/>
        <v>0</v>
      </c>
      <c r="AD195" s="18">
        <f t="shared" si="171"/>
        <v>222196526</v>
      </c>
      <c r="AE195" s="19">
        <f t="shared" si="171"/>
        <v>61089976</v>
      </c>
      <c r="AF195" s="145">
        <f t="shared" si="171"/>
        <v>0</v>
      </c>
      <c r="AG195" s="18">
        <f t="shared" si="171"/>
        <v>61089976</v>
      </c>
      <c r="AH195" s="19">
        <f t="shared" si="171"/>
        <v>80284604</v>
      </c>
      <c r="AI195" s="15">
        <f t="shared" si="171"/>
        <v>92052768</v>
      </c>
      <c r="AJ195" s="16">
        <f t="shared" si="171"/>
        <v>253159318</v>
      </c>
      <c r="AK195" s="9"/>
      <c r="AL195" s="29">
        <f>SUM(AL196:AL202)</f>
        <v>0</v>
      </c>
      <c r="AM195" s="26">
        <f>SUM(AM196:AM202)</f>
        <v>0</v>
      </c>
      <c r="AN195" s="9"/>
    </row>
    <row r="196" spans="1:40" s="385" customFormat="1" ht="24.95" customHeight="1" x14ac:dyDescent="0.2">
      <c r="A196" s="767"/>
      <c r="B196" s="669"/>
      <c r="N196" s="9"/>
      <c r="P196" s="9"/>
      <c r="Q196" s="9"/>
      <c r="R196" s="9"/>
      <c r="S196" s="720" t="str">
        <f>+IF(SEPTIEMBRE!S196=0,"",SEPTIEMBRE!S196)</f>
        <v>4100100-1</v>
      </c>
      <c r="T196" s="694" t="str">
        <f>+IF(SEPTIEMBRE!T196=0,"",SEPTIEMBRE!T196)</f>
        <v>Productos Farmaceuticos</v>
      </c>
      <c r="U196" s="27">
        <f>+ENERO!U196</f>
        <v>145961721</v>
      </c>
      <c r="V196" s="15">
        <f>SEPTIEMBRE!V196+OCTUBRE!AL196</f>
        <v>-36874000</v>
      </c>
      <c r="W196" s="15">
        <f>SEPTIEMBRE!W196+OCTUBRE!AM196</f>
        <v>102588010</v>
      </c>
      <c r="X196" s="18">
        <f t="shared" ref="X196:X202" si="172">SUM(U196:W196)</f>
        <v>211675731</v>
      </c>
      <c r="Y196" s="19">
        <f>SEPTIEMBRE!AA196</f>
        <v>153166071</v>
      </c>
      <c r="Z196" s="377">
        <v>0</v>
      </c>
      <c r="AA196" s="18">
        <f t="shared" ref="AA196:AA202" si="173">SUM(Y196:Z196)</f>
        <v>153166071</v>
      </c>
      <c r="AB196" s="19">
        <f>SEPTIEMBRE!AD196</f>
        <v>141397907</v>
      </c>
      <c r="AC196" s="377">
        <v>0</v>
      </c>
      <c r="AD196" s="18">
        <f t="shared" ref="AD196:AD202" si="174">SUM(AB196:AC196)</f>
        <v>141397907</v>
      </c>
      <c r="AE196" s="19">
        <f>SEPTIEMBRE!AG196</f>
        <v>33891501</v>
      </c>
      <c r="AF196" s="377">
        <v>0</v>
      </c>
      <c r="AG196" s="18">
        <f t="shared" ref="AG196:AG202" si="175">SUM(AE196:AF196)</f>
        <v>33891501</v>
      </c>
      <c r="AH196" s="19">
        <f t="shared" ref="AH196:AH202" si="176">X196-AA196</f>
        <v>58509660</v>
      </c>
      <c r="AI196" s="15">
        <f t="shared" ref="AI196:AI202" si="177">X196-AD196</f>
        <v>70277824</v>
      </c>
      <c r="AJ196" s="16">
        <f t="shared" ref="AJ196:AJ202" si="178">X196-AG196</f>
        <v>177784230</v>
      </c>
      <c r="AK196" s="9"/>
      <c r="AL196" s="375">
        <v>0</v>
      </c>
      <c r="AM196" s="378">
        <v>0</v>
      </c>
      <c r="AN196" s="9"/>
    </row>
    <row r="197" spans="1:40" s="385" customFormat="1" ht="24.95" customHeight="1" x14ac:dyDescent="0.2">
      <c r="A197" s="767"/>
      <c r="B197" s="669"/>
      <c r="N197" s="9"/>
      <c r="P197" s="9"/>
      <c r="Q197" s="9"/>
      <c r="R197" s="9"/>
      <c r="S197" s="720" t="str">
        <f>+IF(SEPTIEMBRE!S197=0,"",SEPTIEMBRE!S197)</f>
        <v>4100100-2</v>
      </c>
      <c r="T197" s="694" t="str">
        <f>+IF(SEPTIEMBRE!T197=0,"",SEPTIEMBRE!T197)</f>
        <v>Material Médico Quirúrgico</v>
      </c>
      <c r="U197" s="27">
        <f>+ENERO!U197</f>
        <v>49263202</v>
      </c>
      <c r="V197" s="15">
        <f>SEPTIEMBRE!V197+OCTUBRE!AL197</f>
        <v>0</v>
      </c>
      <c r="W197" s="15">
        <f>SEPTIEMBRE!W197+OCTUBRE!AM197</f>
        <v>0</v>
      </c>
      <c r="X197" s="18">
        <f t="shared" si="172"/>
        <v>49263202</v>
      </c>
      <c r="Y197" s="19">
        <f>SEPTIEMBRE!AA197</f>
        <v>41751651</v>
      </c>
      <c r="Z197" s="377">
        <v>0</v>
      </c>
      <c r="AA197" s="18">
        <f t="shared" si="173"/>
        <v>41751651</v>
      </c>
      <c r="AB197" s="19">
        <f>SEPTIEMBRE!AD197</f>
        <v>41751651</v>
      </c>
      <c r="AC197" s="377">
        <v>0</v>
      </c>
      <c r="AD197" s="18">
        <f t="shared" si="174"/>
        <v>41751651</v>
      </c>
      <c r="AE197" s="19">
        <f>SEPTIEMBRE!AG197</f>
        <v>13065656</v>
      </c>
      <c r="AF197" s="377">
        <v>0</v>
      </c>
      <c r="AG197" s="18">
        <f t="shared" si="175"/>
        <v>13065656</v>
      </c>
      <c r="AH197" s="19">
        <f t="shared" si="176"/>
        <v>7511551</v>
      </c>
      <c r="AI197" s="15">
        <f t="shared" si="177"/>
        <v>7511551</v>
      </c>
      <c r="AJ197" s="16">
        <f t="shared" si="178"/>
        <v>36197546</v>
      </c>
      <c r="AK197" s="9"/>
      <c r="AL197" s="375">
        <v>0</v>
      </c>
      <c r="AM197" s="378">
        <v>0</v>
      </c>
      <c r="AN197" s="9"/>
    </row>
    <row r="198" spans="1:40" s="385" customFormat="1" ht="24.95" customHeight="1" x14ac:dyDescent="0.2">
      <c r="A198" s="767"/>
      <c r="B198" s="669"/>
      <c r="N198" s="9"/>
      <c r="P198" s="9"/>
      <c r="Q198" s="9"/>
      <c r="R198" s="9"/>
      <c r="S198" s="720" t="str">
        <f>+IF(SEPTIEMBRE!S198=0,"",SEPTIEMBRE!S198)</f>
        <v>4100100-3</v>
      </c>
      <c r="T198" s="694" t="str">
        <f>+IF(SEPTIEMBRE!T198=0,"",SEPTIEMBRE!T198)</f>
        <v>Material de Laboratorio</v>
      </c>
      <c r="U198" s="27">
        <f>+ENERO!U198</f>
        <v>20729510</v>
      </c>
      <c r="V198" s="15">
        <f>SEPTIEMBRE!V198+OCTUBRE!AL198</f>
        <v>8974000</v>
      </c>
      <c r="W198" s="15">
        <f>SEPTIEMBRE!W198+OCTUBRE!AM198</f>
        <v>0</v>
      </c>
      <c r="X198" s="18">
        <f t="shared" si="172"/>
        <v>29703510</v>
      </c>
      <c r="Y198" s="19">
        <f>SEPTIEMBRE!AA198</f>
        <v>22442273</v>
      </c>
      <c r="Z198" s="377">
        <v>0</v>
      </c>
      <c r="AA198" s="18">
        <f t="shared" si="173"/>
        <v>22442273</v>
      </c>
      <c r="AB198" s="19">
        <f>SEPTIEMBRE!AD198</f>
        <v>22442273</v>
      </c>
      <c r="AC198" s="377">
        <v>0</v>
      </c>
      <c r="AD198" s="18">
        <f t="shared" si="174"/>
        <v>22442273</v>
      </c>
      <c r="AE198" s="19">
        <f>SEPTIEMBRE!AG198</f>
        <v>6596916</v>
      </c>
      <c r="AF198" s="377">
        <v>0</v>
      </c>
      <c r="AG198" s="18">
        <f t="shared" si="175"/>
        <v>6596916</v>
      </c>
      <c r="AH198" s="19">
        <f t="shared" si="176"/>
        <v>7261237</v>
      </c>
      <c r="AI198" s="15">
        <f t="shared" si="177"/>
        <v>7261237</v>
      </c>
      <c r="AJ198" s="16">
        <f t="shared" si="178"/>
        <v>23106594</v>
      </c>
      <c r="AK198" s="9"/>
      <c r="AL198" s="375">
        <v>0</v>
      </c>
      <c r="AM198" s="378">
        <v>0</v>
      </c>
      <c r="AN198" s="9"/>
    </row>
    <row r="199" spans="1:40" s="385" customFormat="1" ht="24.95" customHeight="1" x14ac:dyDescent="0.2">
      <c r="A199" s="767"/>
      <c r="B199" s="669"/>
      <c r="N199" s="9"/>
      <c r="P199" s="9"/>
      <c r="Q199" s="9"/>
      <c r="R199" s="9"/>
      <c r="S199" s="720" t="str">
        <f>+IF(SEPTIEMBRE!S199=0,"",SEPTIEMBRE!S199)</f>
        <v>4100100-4</v>
      </c>
      <c r="T199" s="694" t="str">
        <f>+IF(SEPTIEMBRE!T199=0,"",SEPTIEMBRE!T199)</f>
        <v>Material para Odontologia</v>
      </c>
      <c r="U199" s="27">
        <f>+ENERO!U199</f>
        <v>22568185</v>
      </c>
      <c r="V199" s="15">
        <f>SEPTIEMBRE!V199+OCTUBRE!AL199</f>
        <v>0</v>
      </c>
      <c r="W199" s="15">
        <f>SEPTIEMBRE!W199+OCTUBRE!AM199</f>
        <v>0</v>
      </c>
      <c r="X199" s="18">
        <f t="shared" si="172"/>
        <v>22568185</v>
      </c>
      <c r="Y199" s="19">
        <f>SEPTIEMBRE!AA199</f>
        <v>16604695</v>
      </c>
      <c r="Z199" s="377">
        <v>0</v>
      </c>
      <c r="AA199" s="18">
        <f t="shared" si="173"/>
        <v>16604695</v>
      </c>
      <c r="AB199" s="19">
        <f>SEPTIEMBRE!AD199</f>
        <v>16604695</v>
      </c>
      <c r="AC199" s="377">
        <v>0</v>
      </c>
      <c r="AD199" s="18">
        <f t="shared" si="174"/>
        <v>16604695</v>
      </c>
      <c r="AE199" s="19">
        <f>SEPTIEMBRE!AG199</f>
        <v>7535903</v>
      </c>
      <c r="AF199" s="377">
        <v>0</v>
      </c>
      <c r="AG199" s="18">
        <f t="shared" si="175"/>
        <v>7535903</v>
      </c>
      <c r="AH199" s="19">
        <f t="shared" si="176"/>
        <v>5963490</v>
      </c>
      <c r="AI199" s="15">
        <f t="shared" si="177"/>
        <v>5963490</v>
      </c>
      <c r="AJ199" s="16">
        <f t="shared" si="178"/>
        <v>15032282</v>
      </c>
      <c r="AK199" s="9"/>
      <c r="AL199" s="375">
        <v>0</v>
      </c>
      <c r="AM199" s="378">
        <v>0</v>
      </c>
      <c r="AN199" s="9"/>
    </row>
    <row r="200" spans="1:40" s="385" customFormat="1" ht="24.95" customHeight="1" x14ac:dyDescent="0.2">
      <c r="A200" s="767"/>
      <c r="B200" s="669"/>
      <c r="N200" s="9"/>
      <c r="P200" s="9"/>
      <c r="Q200" s="9"/>
      <c r="R200" s="9"/>
      <c r="S200" s="720" t="str">
        <f>+IF(SEPTIEMBRE!S200=0,"",SEPTIEMBRE!S200)</f>
        <v>4100100-5</v>
      </c>
      <c r="T200" s="694" t="str">
        <f>+IF(SEPTIEMBRE!T200=0,"",SEPTIEMBRE!T200)</f>
        <v>Material para Rayos X</v>
      </c>
      <c r="U200" s="27">
        <f>+ENERO!U200</f>
        <v>2038666</v>
      </c>
      <c r="V200" s="15">
        <f>SEPTIEMBRE!V200+OCTUBRE!AL200</f>
        <v>-3000000</v>
      </c>
      <c r="W200" s="15">
        <f>SEPTIEMBRE!W200+OCTUBRE!AM200</f>
        <v>2000000</v>
      </c>
      <c r="X200" s="18">
        <f t="shared" si="172"/>
        <v>1038666</v>
      </c>
      <c r="Y200" s="19">
        <f>SEPTIEMBRE!AA200</f>
        <v>0</v>
      </c>
      <c r="Z200" s="377">
        <v>0</v>
      </c>
      <c r="AA200" s="18">
        <f t="shared" si="173"/>
        <v>0</v>
      </c>
      <c r="AB200" s="19">
        <f>SEPTIEMBRE!AD200</f>
        <v>0</v>
      </c>
      <c r="AC200" s="377">
        <v>0</v>
      </c>
      <c r="AD200" s="18">
        <f t="shared" si="174"/>
        <v>0</v>
      </c>
      <c r="AE200" s="19">
        <f>SEPTIEMBRE!AG200</f>
        <v>0</v>
      </c>
      <c r="AF200" s="377">
        <v>0</v>
      </c>
      <c r="AG200" s="18">
        <f t="shared" si="175"/>
        <v>0</v>
      </c>
      <c r="AH200" s="19">
        <f t="shared" si="176"/>
        <v>1038666</v>
      </c>
      <c r="AI200" s="15">
        <f t="shared" si="177"/>
        <v>1038666</v>
      </c>
      <c r="AJ200" s="16">
        <f t="shared" si="178"/>
        <v>1038666</v>
      </c>
      <c r="AK200" s="9"/>
      <c r="AL200" s="375">
        <v>0</v>
      </c>
      <c r="AM200" s="378">
        <v>0</v>
      </c>
      <c r="AN200" s="9"/>
    </row>
    <row r="201" spans="1:40" s="385" customFormat="1" ht="24.95" customHeight="1" x14ac:dyDescent="0.2">
      <c r="A201" s="767"/>
      <c r="B201" s="669"/>
      <c r="N201" s="9"/>
      <c r="P201" s="9"/>
      <c r="Q201" s="9"/>
      <c r="R201" s="9"/>
      <c r="S201" s="720" t="str">
        <f>+IF(SEPTIEMBRE!S201=0,"",SEPTIEMBRE!S201)</f>
        <v/>
      </c>
      <c r="T201" s="694" t="str">
        <f>+IF(SEPTIEMBRE!T201=0,"",SEPTIEMBRE!T201)</f>
        <v/>
      </c>
      <c r="U201" s="27">
        <f>+ENERO!U201</f>
        <v>0</v>
      </c>
      <c r="V201" s="15">
        <f>SEPTIEMBRE!V201+OCTUBRE!AL201</f>
        <v>0</v>
      </c>
      <c r="W201" s="15">
        <f>SEPTIEMBRE!W201+OCTUBRE!AM201</f>
        <v>0</v>
      </c>
      <c r="X201" s="18">
        <f t="shared" si="172"/>
        <v>0</v>
      </c>
      <c r="Y201" s="19">
        <f>SEPTIEMBRE!AA201</f>
        <v>0</v>
      </c>
      <c r="Z201" s="377">
        <v>0</v>
      </c>
      <c r="AA201" s="18">
        <f t="shared" si="173"/>
        <v>0</v>
      </c>
      <c r="AB201" s="19">
        <f>SEPTIEMBRE!AD201</f>
        <v>0</v>
      </c>
      <c r="AC201" s="377">
        <v>0</v>
      </c>
      <c r="AD201" s="18">
        <f t="shared" si="174"/>
        <v>0</v>
      </c>
      <c r="AE201" s="19">
        <f>SEPTIEMBRE!AG201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+IF(SEPTIEMBRE!S202=0,"",SEPTIEMBRE!S202)</f>
        <v/>
      </c>
      <c r="T202" s="694" t="str">
        <f>+IF(SEPTIEMBRE!T202=0,"",SEPTIEMBRE!T202)</f>
        <v/>
      </c>
      <c r="U202" s="27">
        <f>+ENERO!U202</f>
        <v>0</v>
      </c>
      <c r="V202" s="15">
        <f>SEPTIEMBRE!V202+OCTUBRE!AL202</f>
        <v>0</v>
      </c>
      <c r="W202" s="15">
        <f>SEPTIEMBRE!W202+OCTUBRE!AM202</f>
        <v>0</v>
      </c>
      <c r="X202" s="18">
        <f t="shared" si="172"/>
        <v>0</v>
      </c>
      <c r="Y202" s="19">
        <f>SEPTIEMBRE!AA202</f>
        <v>0</v>
      </c>
      <c r="Z202" s="377">
        <v>0</v>
      </c>
      <c r="AA202" s="18">
        <f t="shared" si="173"/>
        <v>0</v>
      </c>
      <c r="AB202" s="19">
        <f>SEPTIEMBRE!AD202</f>
        <v>0</v>
      </c>
      <c r="AC202" s="377">
        <v>0</v>
      </c>
      <c r="AD202" s="18">
        <f t="shared" si="174"/>
        <v>0</v>
      </c>
      <c r="AE202" s="19">
        <f>SEPTIEMBRE!AG202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+IF(SEPTIEMBRE!S203=0,"",SEPTIEMBRE!S203)</f>
        <v>4100200</v>
      </c>
      <c r="T203" s="693" t="str">
        <f>+IF(SEPTIEMBRE!T203=0,"",SEPTIEMBRE!T203)</f>
        <v>Gastos Complementarios e Intermedios</v>
      </c>
      <c r="U203" s="27">
        <f t="shared" ref="U203:AJ203" si="179">U204</f>
        <v>31968044</v>
      </c>
      <c r="V203" s="15">
        <f t="shared" si="179"/>
        <v>3000000</v>
      </c>
      <c r="W203" s="15">
        <f t="shared" si="179"/>
        <v>0</v>
      </c>
      <c r="X203" s="18">
        <f t="shared" si="179"/>
        <v>34968044</v>
      </c>
      <c r="Y203" s="19">
        <f t="shared" si="179"/>
        <v>28934310</v>
      </c>
      <c r="Z203" s="145">
        <f t="shared" si="179"/>
        <v>0</v>
      </c>
      <c r="AA203" s="18">
        <f t="shared" si="179"/>
        <v>28934310</v>
      </c>
      <c r="AB203" s="19">
        <f t="shared" si="179"/>
        <v>28893530</v>
      </c>
      <c r="AC203" s="145">
        <f t="shared" si="179"/>
        <v>0</v>
      </c>
      <c r="AD203" s="18">
        <f t="shared" si="179"/>
        <v>28893530</v>
      </c>
      <c r="AE203" s="19">
        <f t="shared" si="179"/>
        <v>25017596</v>
      </c>
      <c r="AF203" s="145">
        <f t="shared" si="179"/>
        <v>0</v>
      </c>
      <c r="AG203" s="18">
        <f t="shared" si="179"/>
        <v>25017596</v>
      </c>
      <c r="AH203" s="19">
        <f t="shared" si="179"/>
        <v>6033734</v>
      </c>
      <c r="AI203" s="15">
        <f t="shared" si="179"/>
        <v>6074514</v>
      </c>
      <c r="AJ203" s="16">
        <f t="shared" si="179"/>
        <v>9950448</v>
      </c>
      <c r="AK203" s="9"/>
      <c r="AL203" s="29">
        <f>AL204</f>
        <v>0</v>
      </c>
      <c r="AM203" s="26">
        <f>AM204</f>
        <v>0</v>
      </c>
      <c r="AN203" s="9"/>
    </row>
    <row r="204" spans="1:40" s="385" customFormat="1" ht="24.95" customHeight="1" x14ac:dyDescent="0.2">
      <c r="A204" s="767"/>
      <c r="B204" s="669"/>
      <c r="N204" s="9"/>
      <c r="P204" s="9"/>
      <c r="Q204" s="9"/>
      <c r="R204" s="9"/>
      <c r="S204" s="720" t="str">
        <f>+IF(SEPTIEMBRE!S204=0,"",SEPTIEMBRE!S204)</f>
        <v>4100200-1</v>
      </c>
      <c r="T204" s="694" t="str">
        <f>+IF(SEPTIEMBRE!T204=0,"",SEPTIEMBRE!T204)</f>
        <v>Alimentación</v>
      </c>
      <c r="U204" s="27">
        <f>+ENERO!U204</f>
        <v>31968044</v>
      </c>
      <c r="V204" s="15">
        <f>SEPTIEMBRE!V204+OCTUBRE!AL204</f>
        <v>3000000</v>
      </c>
      <c r="W204" s="15">
        <f>SEPTIEMBRE!W204+OCTUBRE!AM204</f>
        <v>0</v>
      </c>
      <c r="X204" s="18">
        <f>SUM(U204:W204)</f>
        <v>34968044</v>
      </c>
      <c r="Y204" s="19">
        <f>SEPTIEMBRE!AA204</f>
        <v>28934310</v>
      </c>
      <c r="Z204" s="377">
        <v>0</v>
      </c>
      <c r="AA204" s="18">
        <f>SUM(Y204:Z204)</f>
        <v>28934310</v>
      </c>
      <c r="AB204" s="19">
        <f>SEPTIEMBRE!AD204</f>
        <v>28893530</v>
      </c>
      <c r="AC204" s="377">
        <v>0</v>
      </c>
      <c r="AD204" s="18">
        <f>SUM(AB204:AC204)</f>
        <v>28893530</v>
      </c>
      <c r="AE204" s="19">
        <f>SEPTIEMBRE!AG204</f>
        <v>25017596</v>
      </c>
      <c r="AF204" s="377">
        <v>0</v>
      </c>
      <c r="AG204" s="18">
        <f>SUM(AE204:AF204)</f>
        <v>25017596</v>
      </c>
      <c r="AH204" s="19">
        <f>X204-AA204</f>
        <v>6033734</v>
      </c>
      <c r="AI204" s="15">
        <f>X204-AD204</f>
        <v>6074514</v>
      </c>
      <c r="AJ204" s="16">
        <f>X204-AG204</f>
        <v>9950448</v>
      </c>
      <c r="AK204" s="9"/>
      <c r="AL204" s="375">
        <v>0</v>
      </c>
      <c r="AM204" s="378">
        <v>0</v>
      </c>
      <c r="AN204" s="9"/>
    </row>
    <row r="205" spans="1:40" s="385" customFormat="1" ht="24.95" customHeight="1" thickBot="1" x14ac:dyDescent="0.25">
      <c r="A205" s="767"/>
      <c r="B205" s="669"/>
      <c r="N205" s="9"/>
      <c r="P205" s="9"/>
      <c r="Q205" s="9"/>
      <c r="R205" s="9"/>
      <c r="S205" s="724">
        <f>+IF(SEPTIEMBRE!S205=0,"",SEPTIEMBRE!S205)</f>
        <v>4199999</v>
      </c>
      <c r="T205" s="699" t="str">
        <f>+IF(SEPTIEMBRE!T205=0,"",SEPTIEMBRE!T205)</f>
        <v>Vigencias Anteriores</v>
      </c>
      <c r="U205" s="136">
        <f>+ENERO!U205</f>
        <v>0</v>
      </c>
      <c r="V205" s="123">
        <f>SEPTIEMBRE!V205+OCTUBRE!AL205</f>
        <v>0</v>
      </c>
      <c r="W205" s="123">
        <f>SEPTIEMBRE!W205+OCTUBRE!AM205</f>
        <v>91835932</v>
      </c>
      <c r="X205" s="129">
        <f>SUM(U205:W205)</f>
        <v>91835932</v>
      </c>
      <c r="Y205" s="127">
        <f>SEPTIEMBRE!AA205</f>
        <v>91835932</v>
      </c>
      <c r="Z205" s="391">
        <v>0</v>
      </c>
      <c r="AA205" s="129">
        <f>SUM(Y205:Z205)</f>
        <v>91835932</v>
      </c>
      <c r="AB205" s="127">
        <f>SEPTIEMBRE!AD205</f>
        <v>91835932</v>
      </c>
      <c r="AC205" s="391">
        <v>0</v>
      </c>
      <c r="AD205" s="129">
        <f>SUM(AB205:AC205)</f>
        <v>91835932</v>
      </c>
      <c r="AE205" s="127">
        <f>SEPTIEMBRE!AG205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+IF(SEPTIEMBRE!S206=0,"",SEPTIEMBRE!S206)</f>
        <v/>
      </c>
      <c r="T206" s="700" t="str">
        <f>+IF(SEPTIEMBRE!T206=0,"",SEPTIEMBRE!T206)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+IF(SEPTIEMBRE!S207=0,"",SEPTIEMBRE!S207)</f>
        <v>B</v>
      </c>
      <c r="T207" s="709" t="str">
        <f>+IF(SEPTIEMBRE!T207=0,"",SEPTIEMBRE!T207)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+IF(SEPTIEMBRE!S209=0,"",SEPTIEMBRE!S209)</f>
        <v>5000000</v>
      </c>
      <c r="T209" s="697" t="s">
        <v>460</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+IF(SEPTIEMBRE!S210=0,"",SEPTIEMBRE!S210)</f>
        <v>5100000</v>
      </c>
      <c r="T210" s="692" t="str">
        <f>+IF(SEPTIEMBRE!T210=0,"",SEPTIEMBRE!T210)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+IF(SEPTIEMBRE!S211=0,"",SEPTIEMBRE!S211)</f>
        <v>5100100</v>
      </c>
      <c r="T211" s="693" t="str">
        <f>+IF(SEPTIEMBRE!T211=0,"",SEPTIEMBRE!T211)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+IF(SEPTIEMBRE!S212=0,"",SEPTIEMBRE!S212)</f>
        <v>5100100-1</v>
      </c>
      <c r="T212" s="694" t="str">
        <f>+IF(SEPTIEMBRE!T212=0,"",SEPTIEMBRE!T212)</f>
        <v>Productos Farmaceuticos</v>
      </c>
      <c r="U212" s="27">
        <f>+ENERO!U212</f>
        <v>0</v>
      </c>
      <c r="V212" s="15">
        <f>SEPTIEMBRE!V212+OCTUBRE!AL212</f>
        <v>0</v>
      </c>
      <c r="W212" s="15">
        <f>SEPTIEMBRE!W212+OCTUBRE!AM212</f>
        <v>0</v>
      </c>
      <c r="X212" s="18">
        <f t="shared" ref="X212:X218" si="184">SUM(U212:W212)</f>
        <v>0</v>
      </c>
      <c r="Y212" s="19">
        <f>SEPTIEMBRE!AA212</f>
        <v>0</v>
      </c>
      <c r="Z212" s="377">
        <v>0</v>
      </c>
      <c r="AA212" s="18">
        <f t="shared" ref="AA212:AA218" si="185">SUM(Y212:Z212)</f>
        <v>0</v>
      </c>
      <c r="AB212" s="19">
        <f>SEPTIEMBRE!AD212</f>
        <v>0</v>
      </c>
      <c r="AC212" s="377">
        <v>0</v>
      </c>
      <c r="AD212" s="18">
        <f t="shared" ref="AD212:AD218" si="186">SUM(AB212:AC212)</f>
        <v>0</v>
      </c>
      <c r="AE212" s="19">
        <f>SEPTIEMBRE!AG212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+IF(SEPTIEMBRE!S213=0,"",SEPTIEMBRE!S213)</f>
        <v>5100100-2</v>
      </c>
      <c r="T213" s="694" t="str">
        <f>+IF(SEPTIEMBRE!T213=0,"",SEPTIEMBRE!T213)</f>
        <v>Material Médico Quirúrgico</v>
      </c>
      <c r="U213" s="27">
        <f>+ENERO!U213</f>
        <v>0</v>
      </c>
      <c r="V213" s="15">
        <f>SEPTIEMBRE!V213+OCTUBRE!AL213</f>
        <v>0</v>
      </c>
      <c r="W213" s="15">
        <f>SEPTIEMBRE!W213+OCTUBRE!AM213</f>
        <v>0</v>
      </c>
      <c r="X213" s="18">
        <f t="shared" si="184"/>
        <v>0</v>
      </c>
      <c r="Y213" s="19">
        <f>SEPTIEMBRE!AA213</f>
        <v>0</v>
      </c>
      <c r="Z213" s="377">
        <v>0</v>
      </c>
      <c r="AA213" s="18">
        <f t="shared" si="185"/>
        <v>0</v>
      </c>
      <c r="AB213" s="19">
        <f>SEPTIEMBRE!AD213</f>
        <v>0</v>
      </c>
      <c r="AC213" s="377">
        <v>0</v>
      </c>
      <c r="AD213" s="18">
        <f t="shared" si="186"/>
        <v>0</v>
      </c>
      <c r="AE213" s="19">
        <f>SEPTIEMBRE!AG213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+IF(SEPTIEMBRE!S214=0,"",SEPTIEMBRE!S214)</f>
        <v>5100100-3</v>
      </c>
      <c r="T214" s="694" t="str">
        <f>+IF(SEPTIEMBRE!T214=0,"",SEPTIEMBRE!T214)</f>
        <v>Material de Laboratorio</v>
      </c>
      <c r="U214" s="27">
        <f>+ENERO!U214</f>
        <v>0</v>
      </c>
      <c r="V214" s="15">
        <f>SEPTIEMBRE!V214+OCTUBRE!AL214</f>
        <v>0</v>
      </c>
      <c r="W214" s="15">
        <f>SEPTIEMBRE!W214+OCTUBRE!AM214</f>
        <v>0</v>
      </c>
      <c r="X214" s="18">
        <f t="shared" si="184"/>
        <v>0</v>
      </c>
      <c r="Y214" s="19">
        <f>SEPTIEMBRE!AA214</f>
        <v>0</v>
      </c>
      <c r="Z214" s="377">
        <v>0</v>
      </c>
      <c r="AA214" s="18">
        <f t="shared" si="185"/>
        <v>0</v>
      </c>
      <c r="AB214" s="19">
        <f>SEPTIEMBRE!AD214</f>
        <v>0</v>
      </c>
      <c r="AC214" s="377">
        <v>0</v>
      </c>
      <c r="AD214" s="18">
        <f t="shared" si="186"/>
        <v>0</v>
      </c>
      <c r="AE214" s="19">
        <f>SEPTIEMBRE!AG214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+IF(SEPTIEMBRE!S215=0,"",SEPTIEMBRE!S215)</f>
        <v>5100100-4</v>
      </c>
      <c r="T215" s="694" t="str">
        <f>+IF(SEPTIEMBRE!T215=0,"",SEPTIEMBRE!T215)</f>
        <v>Material para Odontologia</v>
      </c>
      <c r="U215" s="27">
        <f>+ENERO!U215</f>
        <v>0</v>
      </c>
      <c r="V215" s="15">
        <f>SEPTIEMBRE!V215+OCTUBRE!AL215</f>
        <v>0</v>
      </c>
      <c r="W215" s="15">
        <f>SEPTIEMBRE!W215+OCTUBRE!AM215</f>
        <v>0</v>
      </c>
      <c r="X215" s="18">
        <f t="shared" si="184"/>
        <v>0</v>
      </c>
      <c r="Y215" s="19">
        <f>SEPTIEMBRE!AA215</f>
        <v>0</v>
      </c>
      <c r="Z215" s="377">
        <v>0</v>
      </c>
      <c r="AA215" s="18">
        <f t="shared" si="185"/>
        <v>0</v>
      </c>
      <c r="AB215" s="19">
        <f>SEPTIEMBRE!AD215</f>
        <v>0</v>
      </c>
      <c r="AC215" s="377">
        <v>0</v>
      </c>
      <c r="AD215" s="18">
        <f t="shared" si="186"/>
        <v>0</v>
      </c>
      <c r="AE215" s="19">
        <f>SEPTIEMBRE!AG215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+IF(SEPTIEMBRE!S216=0,"",SEPTIEMBRE!S216)</f>
        <v>5100100-5</v>
      </c>
      <c r="T216" s="694" t="str">
        <f>+IF(SEPTIEMBRE!T216=0,"",SEPTIEMBRE!T216)</f>
        <v>Material para Rayos X</v>
      </c>
      <c r="U216" s="27">
        <f>+ENERO!U216</f>
        <v>0</v>
      </c>
      <c r="V216" s="15">
        <f>SEPTIEMBRE!V216+OCTUBRE!AL216</f>
        <v>0</v>
      </c>
      <c r="W216" s="15">
        <f>SEPTIEMBRE!W216+OCTUBRE!AM216</f>
        <v>0</v>
      </c>
      <c r="X216" s="18">
        <f t="shared" si="184"/>
        <v>0</v>
      </c>
      <c r="Y216" s="19">
        <f>SEPTIEMBRE!AA216</f>
        <v>0</v>
      </c>
      <c r="Z216" s="377">
        <v>0</v>
      </c>
      <c r="AA216" s="18">
        <f t="shared" si="185"/>
        <v>0</v>
      </c>
      <c r="AB216" s="19">
        <f>SEPTIEMBRE!AD216</f>
        <v>0</v>
      </c>
      <c r="AC216" s="377">
        <v>0</v>
      </c>
      <c r="AD216" s="18">
        <f t="shared" si="186"/>
        <v>0</v>
      </c>
      <c r="AE216" s="19">
        <f>SEPTIEMBRE!AG216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+IF(SEPTIEMBRE!S217=0,"",SEPTIEMBRE!S217)</f>
        <v>5100100-6</v>
      </c>
      <c r="T217" s="694" t="str">
        <f>+IF(SEPTIEMBRE!T217=0,"",SEPTIEMBRE!T217)</f>
        <v>Material aseo personal, etc.</v>
      </c>
      <c r="U217" s="27">
        <f>+ENERO!U217</f>
        <v>0</v>
      </c>
      <c r="V217" s="15">
        <f>SEPTIEMBRE!V217+OCTUBRE!AL217</f>
        <v>0</v>
      </c>
      <c r="W217" s="15">
        <f>SEPTIEMBRE!W217+OCTUBRE!AM217</f>
        <v>0</v>
      </c>
      <c r="X217" s="18">
        <f t="shared" si="184"/>
        <v>0</v>
      </c>
      <c r="Y217" s="19">
        <f>SEPTIEMBRE!AA217</f>
        <v>0</v>
      </c>
      <c r="Z217" s="377">
        <v>0</v>
      </c>
      <c r="AA217" s="18">
        <f t="shared" si="185"/>
        <v>0</v>
      </c>
      <c r="AB217" s="19">
        <f>SEPTIEMBRE!AD217</f>
        <v>0</v>
      </c>
      <c r="AC217" s="377">
        <v>0</v>
      </c>
      <c r="AD217" s="18">
        <f t="shared" si="186"/>
        <v>0</v>
      </c>
      <c r="AE217" s="19">
        <f>SEPTIEMBRE!AG217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+IF(SEPTIEMBRE!S218=0,"",SEPTIEMBRE!S218)</f>
        <v>5199999</v>
      </c>
      <c r="T218" s="710" t="str">
        <f>+IF(SEPTIEMBRE!T218=0,"",SEPTIEMBRE!T218)</f>
        <v>Vigencias Anteriores</v>
      </c>
      <c r="U218" s="136">
        <f>+ENERO!U218</f>
        <v>0</v>
      </c>
      <c r="V218" s="123">
        <f>SEPTIEMBRE!V218+OCTUBRE!AL218</f>
        <v>0</v>
      </c>
      <c r="W218" s="123">
        <f>SEPTIEMBRE!W218+OCTUBRE!AM218</f>
        <v>0</v>
      </c>
      <c r="X218" s="129">
        <f t="shared" si="184"/>
        <v>0</v>
      </c>
      <c r="Y218" s="127">
        <f>SEPTIEMBRE!AA218</f>
        <v>0</v>
      </c>
      <c r="Z218" s="391">
        <v>0</v>
      </c>
      <c r="AA218" s="129">
        <f t="shared" si="185"/>
        <v>0</v>
      </c>
      <c r="AB218" s="127">
        <f>SEPTIEMBRE!AD218</f>
        <v>0</v>
      </c>
      <c r="AC218" s="391">
        <v>0</v>
      </c>
      <c r="AD218" s="129">
        <f t="shared" si="186"/>
        <v>0</v>
      </c>
      <c r="AE218" s="127">
        <f>SEPTIEMBRE!AG218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+IF(SEPTIEMBRE!S219=0,"",SEPTIEMBRE!S219)</f>
        <v/>
      </c>
      <c r="T219" s="707" t="str">
        <f>+IF(SEPTIEMBRE!T219=0,"",SEPTIEMBRE!T219)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+IF(SEPTIEMBRE!S220=0,"",SEPTIEMBRE!S220)</f>
        <v>C</v>
      </c>
      <c r="T220" s="688" t="str">
        <f>+IF(SEPTIEMBRE!T220=0,"",SEPTIEMBRE!T220)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+IF(SEPTIEMBRE!S221=0,"",SEPTIEMBRE!S221)</f>
        <v/>
      </c>
      <c r="T221" s="708" t="str">
        <f>+IF(SEPTIEMBRE!T221=0,"",SEPTIEMBRE!T221)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+IF(SEPTIEMBRE!S222=0,"",SEPTIEMBRE!S222)</f>
        <v>7001000</v>
      </c>
      <c r="T222" s="692" t="str">
        <f>+IF(SEPTIEMBRE!T222=0,"",SEPTIEMBRE!T222)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+IF(SEPTIEMBRE!S223=0,"",SEPTIEMBRE!S223)</f>
        <v>7001100</v>
      </c>
      <c r="T223" s="693" t="str">
        <f>+IF(SEPTIEMBRE!T223=0,"",SEPTIEMBRE!T223)</f>
        <v>Amortización deuda Pública Interna</v>
      </c>
      <c r="U223" s="27">
        <f>+ENERO!U223</f>
        <v>0</v>
      </c>
      <c r="V223" s="15">
        <f>SEPTIEMBRE!V223+OCTUBRE!AL223</f>
        <v>0</v>
      </c>
      <c r="W223" s="15">
        <f>SEPTIEMBRE!W223+OCTUBRE!AM223</f>
        <v>0</v>
      </c>
      <c r="X223" s="18">
        <f>SUM(U223:W223)</f>
        <v>0</v>
      </c>
      <c r="Y223" s="19">
        <f>SEPTIEMBRE!AA223</f>
        <v>0</v>
      </c>
      <c r="Z223" s="377">
        <v>0</v>
      </c>
      <c r="AA223" s="18">
        <f>SUM(Y223:Z223)</f>
        <v>0</v>
      </c>
      <c r="AB223" s="19">
        <f>SEPTIEMBRE!AD223</f>
        <v>0</v>
      </c>
      <c r="AC223" s="377">
        <v>0</v>
      </c>
      <c r="AD223" s="18">
        <f>SUM(AB223:AC223)</f>
        <v>0</v>
      </c>
      <c r="AE223" s="19">
        <f>SEPTIEMBRE!AG223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+IF(SEPTIEMBRE!S224=0,"",SEPTIEMBRE!S224)</f>
        <v>7001200</v>
      </c>
      <c r="T224" s="693" t="str">
        <f>+IF(SEPTIEMBRE!T224=0,"",SEPTIEMBRE!T224)</f>
        <v>Intereses Comisiones y gastos de la Deuda Pública</v>
      </c>
      <c r="U224" s="27">
        <f>+ENERO!U224</f>
        <v>0</v>
      </c>
      <c r="V224" s="15">
        <f>SEPTIEMBRE!V224+OCTUBRE!AL224</f>
        <v>0</v>
      </c>
      <c r="W224" s="15">
        <f>SEPTIEMBRE!W224+OCTUBRE!AM224</f>
        <v>0</v>
      </c>
      <c r="X224" s="18">
        <f>SUM(U224:W224)</f>
        <v>0</v>
      </c>
      <c r="Y224" s="19">
        <f>SEPTIEMBRE!AA224</f>
        <v>0</v>
      </c>
      <c r="Z224" s="377">
        <v>0</v>
      </c>
      <c r="AA224" s="18">
        <f>SUM(Y224:Z224)</f>
        <v>0</v>
      </c>
      <c r="AB224" s="19">
        <f>SEPTIEMBRE!AD224</f>
        <v>0</v>
      </c>
      <c r="AC224" s="377">
        <v>0</v>
      </c>
      <c r="AD224" s="18">
        <f>SUM(AB224:AC224)</f>
        <v>0</v>
      </c>
      <c r="AE224" s="19">
        <f>SEPTIEMBRE!AG224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+IF(SEPTIEMBRE!S225=0,"",SEPTIEMBRE!S225)</f>
        <v>7001999</v>
      </c>
      <c r="T225" s="693" t="str">
        <f>+IF(SEPTIEMBRE!T225=0,"",SEPTIEMBRE!T225)</f>
        <v>Vigencias Anteriores</v>
      </c>
      <c r="U225" s="27">
        <f>+ENERO!U225</f>
        <v>0</v>
      </c>
      <c r="V225" s="15">
        <f>SEPTIEMBRE!V225+OCTUBRE!AL225</f>
        <v>0</v>
      </c>
      <c r="W225" s="15">
        <f>SEPTIEMBRE!W225+OCTUBRE!AM225</f>
        <v>0</v>
      </c>
      <c r="X225" s="18">
        <f>SUM(U225:W225)</f>
        <v>0</v>
      </c>
      <c r="Y225" s="19">
        <f>SEPTIEMBRE!AA225</f>
        <v>0</v>
      </c>
      <c r="Z225" s="377">
        <v>0</v>
      </c>
      <c r="AA225" s="18">
        <f>SUM(Y225:Z225)</f>
        <v>0</v>
      </c>
      <c r="AB225" s="19">
        <f>SEPTIEMBRE!AD225</f>
        <v>0</v>
      </c>
      <c r="AC225" s="377">
        <v>0</v>
      </c>
      <c r="AD225" s="18">
        <f>SUM(AB225:AC225)</f>
        <v>0</v>
      </c>
      <c r="AE225" s="19">
        <f>SEPTIEMBRE!AG225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+IF(SEPTIEMBRE!S226=0,"",SEPTIEMBRE!S226)</f>
        <v/>
      </c>
      <c r="T226" s="708" t="str">
        <f>+IF(SEPTIEMBRE!T226=0,"",SEPTIEMBRE!T226)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+IF(SEPTIEMBRE!S227=0,"",SEPTIEMBRE!S227)</f>
        <v>7002001</v>
      </c>
      <c r="T227" s="692" t="str">
        <f>+IF(SEPTIEMBRE!T227=0,"",SEPTIEMBRE!T227)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+IF(SEPTIEMBRE!S228=0,"",SEPTIEMBRE!S228)</f>
        <v>7002100</v>
      </c>
      <c r="T228" s="693" t="str">
        <f>+IF(SEPTIEMBRE!T228=0,"",SEPTIEMBRE!T228)</f>
        <v>Amortización deuda Pública Externa</v>
      </c>
      <c r="U228" s="27">
        <f>+ENERO!U228</f>
        <v>0</v>
      </c>
      <c r="V228" s="15">
        <f>SEPTIEMBRE!V228+OCTUBRE!AL228</f>
        <v>0</v>
      </c>
      <c r="W228" s="15">
        <f>SEPTIEMBRE!W228+OCTUBRE!AM228</f>
        <v>0</v>
      </c>
      <c r="X228" s="18">
        <f>SUM(U228:W228)</f>
        <v>0</v>
      </c>
      <c r="Y228" s="19">
        <f>SEPTIEMBRE!AA228</f>
        <v>0</v>
      </c>
      <c r="Z228" s="377">
        <v>0</v>
      </c>
      <c r="AA228" s="18">
        <f>SUM(Y228:Z228)</f>
        <v>0</v>
      </c>
      <c r="AB228" s="19">
        <f>SEPTIEMBRE!AD228</f>
        <v>0</v>
      </c>
      <c r="AC228" s="377">
        <v>0</v>
      </c>
      <c r="AD228" s="18">
        <f>SUM(AB228:AC228)</f>
        <v>0</v>
      </c>
      <c r="AE228" s="19">
        <f>SEPTIEMBRE!AG228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+IF(SEPTIEMBRE!S229=0,"",SEPTIEMBRE!S229)</f>
        <v>7002200</v>
      </c>
      <c r="T229" s="693" t="str">
        <f>+IF(SEPTIEMBRE!T229=0,"",SEPTIEMBRE!T229)</f>
        <v>Intereses Comisiones y gastos de la Deuda Pública</v>
      </c>
      <c r="U229" s="27">
        <f>+ENERO!U229</f>
        <v>0</v>
      </c>
      <c r="V229" s="15">
        <f>SEPTIEMBRE!V229+OCTUBRE!AL229</f>
        <v>0</v>
      </c>
      <c r="W229" s="15">
        <f>SEPTIEMBRE!W229+OCTUBRE!AM229</f>
        <v>0</v>
      </c>
      <c r="X229" s="18">
        <f>SUM(U229:W229)</f>
        <v>0</v>
      </c>
      <c r="Y229" s="19">
        <f>SEPTIEMBRE!AA229</f>
        <v>0</v>
      </c>
      <c r="Z229" s="377">
        <v>0</v>
      </c>
      <c r="AA229" s="18">
        <f>SUM(Y229:Z229)</f>
        <v>0</v>
      </c>
      <c r="AB229" s="19">
        <f>SEPTIEMBRE!AD229</f>
        <v>0</v>
      </c>
      <c r="AC229" s="377">
        <v>0</v>
      </c>
      <c r="AD229" s="18">
        <f>SUM(AB229:AC229)</f>
        <v>0</v>
      </c>
      <c r="AE229" s="19">
        <f>SEPTIEMBRE!AG229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+IF(SEPTIEMBRE!S230=0,"",SEPTIEMBRE!S230)</f>
        <v>7002999</v>
      </c>
      <c r="T230" s="699" t="str">
        <f>+IF(SEPTIEMBRE!T230=0,"",SEPTIEMBRE!T230)</f>
        <v>Vigencias Anteriores</v>
      </c>
      <c r="U230" s="136">
        <f>+ENERO!U230</f>
        <v>0</v>
      </c>
      <c r="V230" s="123">
        <f>SEPTIEMBRE!V230+OCTUBRE!AL230</f>
        <v>0</v>
      </c>
      <c r="W230" s="123">
        <f>SEPTIEMBRE!W230+OCTUBRE!AM230</f>
        <v>0</v>
      </c>
      <c r="X230" s="129">
        <f>SUM(U230:W230)</f>
        <v>0</v>
      </c>
      <c r="Y230" s="127">
        <f>SEPTIEMBRE!AA230</f>
        <v>0</v>
      </c>
      <c r="Z230" s="391">
        <v>0</v>
      </c>
      <c r="AA230" s="129">
        <f>SUM(Y230:Z230)</f>
        <v>0</v>
      </c>
      <c r="AB230" s="127">
        <f>SEPTIEMBRE!AD230</f>
        <v>0</v>
      </c>
      <c r="AC230" s="391">
        <v>0</v>
      </c>
      <c r="AD230" s="129">
        <f>SUM(AB230:AC230)</f>
        <v>0</v>
      </c>
      <c r="AE230" s="127">
        <f>SEPTIEMBRE!AG230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+IF(SEPTIEMBRE!S231=0,"",SEPTIEMBRE!S231)</f>
        <v/>
      </c>
      <c r="T231" s="700" t="str">
        <f>+IF(SEPTIEMBRE!T231=0,"",SEPTIEMBRE!T231)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+IF(SEPTIEMBRE!S232=0,"",SEPTIEMBRE!S232)</f>
        <v>D</v>
      </c>
      <c r="T232" s="709" t="str">
        <f>+IF(SEPTIEMBRE!T232=0,"",SEPTIEMBRE!T232)</f>
        <v>INVERSION</v>
      </c>
      <c r="U232" s="473">
        <f t="shared" ref="U232:AJ232" si="194">U234</f>
        <v>303000000</v>
      </c>
      <c r="V232" s="474">
        <f t="shared" si="194"/>
        <v>-103000000</v>
      </c>
      <c r="W232" s="474">
        <f t="shared" si="194"/>
        <v>178000000</v>
      </c>
      <c r="X232" s="475">
        <f t="shared" si="194"/>
        <v>378000000</v>
      </c>
      <c r="Y232" s="382">
        <f t="shared" si="194"/>
        <v>121430326</v>
      </c>
      <c r="Z232" s="474">
        <f t="shared" si="194"/>
        <v>0</v>
      </c>
      <c r="AA232" s="475">
        <f t="shared" si="194"/>
        <v>121430326</v>
      </c>
      <c r="AB232" s="382">
        <f t="shared" si="194"/>
        <v>81872992</v>
      </c>
      <c r="AC232" s="474">
        <f t="shared" si="194"/>
        <v>0</v>
      </c>
      <c r="AD232" s="475">
        <f t="shared" si="194"/>
        <v>81872992</v>
      </c>
      <c r="AE232" s="382">
        <f t="shared" si="194"/>
        <v>63461000</v>
      </c>
      <c r="AF232" s="474">
        <f t="shared" si="194"/>
        <v>0</v>
      </c>
      <c r="AG232" s="475">
        <f t="shared" si="194"/>
        <v>63461000</v>
      </c>
      <c r="AH232" s="382">
        <f t="shared" si="194"/>
        <v>256569674</v>
      </c>
      <c r="AI232" s="474">
        <f t="shared" si="194"/>
        <v>296127008</v>
      </c>
      <c r="AJ232" s="383">
        <f t="shared" si="194"/>
        <v>314539000</v>
      </c>
      <c r="AK232" s="506"/>
      <c r="AL232" s="382">
        <f>AL234</f>
        <v>0</v>
      </c>
      <c r="AM232" s="383">
        <f>AM234</f>
        <v>0</v>
      </c>
      <c r="AN232" s="9"/>
    </row>
    <row r="233" spans="1:64" s="385" customFormat="1" ht="24.95" customHeight="1" x14ac:dyDescent="0.2">
      <c r="A233" s="767"/>
      <c r="B233" s="669"/>
      <c r="N233" s="9"/>
      <c r="P233" s="9"/>
      <c r="Q233" s="9"/>
      <c r="R233" s="9"/>
      <c r="S233" s="369" t="str">
        <f>+IF(SEPTIEMBRE!S233=0,"",SEPTIEMBRE!S233)</f>
        <v/>
      </c>
      <c r="T233" s="708" t="str">
        <f>+IF(SEPTIEMBRE!T233=0,"",SEPTIEMBRE!T233)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+IF(SEPTIEMBRE!S234=0,"",SEPTIEMBRE!S234)</f>
        <v>8000000</v>
      </c>
      <c r="T234" s="692" t="str">
        <f>+IF(SEPTIEMBRE!T234=0,"",SEPTIEMBRE!T234)</f>
        <v>Programas de Inversión</v>
      </c>
      <c r="U234" s="135">
        <f t="shared" ref="U234:AJ234" si="195">U235+U243</f>
        <v>303000000</v>
      </c>
      <c r="V234" s="124">
        <f t="shared" si="195"/>
        <v>-103000000</v>
      </c>
      <c r="W234" s="124">
        <f t="shared" si="195"/>
        <v>178000000</v>
      </c>
      <c r="X234" s="132">
        <f t="shared" si="195"/>
        <v>378000000</v>
      </c>
      <c r="Y234" s="131">
        <f t="shared" si="195"/>
        <v>121430326</v>
      </c>
      <c r="Z234" s="124">
        <f t="shared" si="195"/>
        <v>0</v>
      </c>
      <c r="AA234" s="132">
        <f t="shared" si="195"/>
        <v>121430326</v>
      </c>
      <c r="AB234" s="131">
        <f t="shared" si="195"/>
        <v>81872992</v>
      </c>
      <c r="AC234" s="124">
        <f t="shared" si="195"/>
        <v>0</v>
      </c>
      <c r="AD234" s="132">
        <f t="shared" si="195"/>
        <v>81872992</v>
      </c>
      <c r="AE234" s="131">
        <f t="shared" si="195"/>
        <v>63461000</v>
      </c>
      <c r="AF234" s="124">
        <f t="shared" si="195"/>
        <v>0</v>
      </c>
      <c r="AG234" s="132">
        <f t="shared" si="195"/>
        <v>63461000</v>
      </c>
      <c r="AH234" s="131">
        <f t="shared" si="195"/>
        <v>256569674</v>
      </c>
      <c r="AI234" s="124">
        <f t="shared" si="195"/>
        <v>296127008</v>
      </c>
      <c r="AJ234" s="133">
        <f t="shared" si="195"/>
        <v>314539000</v>
      </c>
      <c r="AK234" s="9"/>
      <c r="AL234" s="131">
        <f>AL235+AL243</f>
        <v>0</v>
      </c>
      <c r="AM234" s="133">
        <f>AM235+AM243</f>
        <v>0</v>
      </c>
      <c r="AN234" s="9"/>
    </row>
    <row r="235" spans="1:64" s="385" customFormat="1" ht="24.95" customHeight="1" x14ac:dyDescent="0.2">
      <c r="A235" s="767"/>
      <c r="B235" s="669"/>
      <c r="N235" s="9"/>
      <c r="P235" s="9"/>
      <c r="Q235" s="9"/>
      <c r="R235" s="9"/>
      <c r="S235" s="719">
        <f>+IF(SEPTIEMBRE!S235=0,"",SEPTIEMBRE!S235)</f>
        <v>8001000</v>
      </c>
      <c r="T235" s="693" t="str">
        <f>+IF(SEPTIEMBRE!T235=0,"",SEPTIEMBRE!T235)</f>
        <v>Formación Bruta del Capital</v>
      </c>
      <c r="U235" s="27">
        <f t="shared" ref="U235:AJ235" si="196">SUM(U236:U241)</f>
        <v>185000000</v>
      </c>
      <c r="V235" s="15">
        <f t="shared" si="196"/>
        <v>0</v>
      </c>
      <c r="W235" s="15">
        <f t="shared" si="196"/>
        <v>0</v>
      </c>
      <c r="X235" s="18">
        <f t="shared" si="196"/>
        <v>185000000</v>
      </c>
      <c r="Y235" s="19">
        <f t="shared" si="196"/>
        <v>0</v>
      </c>
      <c r="Z235" s="145">
        <f t="shared" si="196"/>
        <v>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185000000</v>
      </c>
      <c r="AI235" s="15">
        <f t="shared" si="196"/>
        <v>185000000</v>
      </c>
      <c r="AJ235" s="16">
        <f t="shared" si="196"/>
        <v>185000000</v>
      </c>
      <c r="AK235" s="9"/>
      <c r="AL235" s="29">
        <f>SUM(AL236:AL241)</f>
        <v>0</v>
      </c>
      <c r="AM235" s="26">
        <f>SUM(AM236:AM241)</f>
        <v>0</v>
      </c>
      <c r="AN235" s="9"/>
    </row>
    <row r="236" spans="1:64" s="385" customFormat="1" ht="24.95" customHeight="1" x14ac:dyDescent="0.2">
      <c r="A236" s="767"/>
      <c r="B236" s="669"/>
      <c r="N236" s="9"/>
      <c r="P236" s="9"/>
      <c r="Q236" s="9"/>
      <c r="R236" s="9"/>
      <c r="S236" s="720" t="str">
        <f>+IF(SEPTIEMBRE!S236=0,"",SEPTIEMBRE!S236)</f>
        <v>8001000-1</v>
      </c>
      <c r="T236" s="694" t="str">
        <f>+IF(SEPTIEMBRE!T236=0,"",SEPTIEMBRE!T236)</f>
        <v>Subprogr.Diseño Proyecto plan maestro, remodelacion y adec.primer piso</v>
      </c>
      <c r="U236" s="27">
        <f>+ENERO!U236</f>
        <v>60000000</v>
      </c>
      <c r="V236" s="15">
        <f>SEPTIEMBRE!V236+OCTUBRE!AL236</f>
        <v>0</v>
      </c>
      <c r="W236" s="15">
        <f>SEPTIEMBRE!W236+OCTUBRE!AM236</f>
        <v>0</v>
      </c>
      <c r="X236" s="18">
        <f t="shared" ref="X236:X241" si="197">SUM(U236:W236)</f>
        <v>60000000</v>
      </c>
      <c r="Y236" s="19">
        <f>SEPTIEMBRE!AA236</f>
        <v>0</v>
      </c>
      <c r="Z236" s="377">
        <v>0</v>
      </c>
      <c r="AA236" s="18">
        <f t="shared" ref="AA236:AA241" si="198">SUM(Y236:Z236)</f>
        <v>0</v>
      </c>
      <c r="AB236" s="19">
        <f>SEPTIEMBRE!AD236</f>
        <v>0</v>
      </c>
      <c r="AC236" s="377">
        <v>0</v>
      </c>
      <c r="AD236" s="18">
        <f t="shared" ref="AD236:AD241" si="199">SUM(AB236:AC236)</f>
        <v>0</v>
      </c>
      <c r="AE236" s="19">
        <f>SEPTIEMBRE!AG236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+IF(SEPTIEMBRE!S237=0,"",SEPTIEMBRE!S237)</f>
        <v>8001000-2</v>
      </c>
      <c r="T237" s="694" t="str">
        <f>+IF(SEPTIEMBRE!T237=0,"",SEPTIEMBRE!T237)</f>
        <v>Subprogr.Adquisicion de ambulancia</v>
      </c>
      <c r="U237" s="27">
        <f>+ENERO!U237</f>
        <v>50000000</v>
      </c>
      <c r="V237" s="15">
        <f>SEPTIEMBRE!V237+OCTUBRE!AL237</f>
        <v>0</v>
      </c>
      <c r="W237" s="15">
        <f>SEPTIEMBRE!W237+OCTUBRE!AM237</f>
        <v>0</v>
      </c>
      <c r="X237" s="18">
        <f t="shared" si="197"/>
        <v>50000000</v>
      </c>
      <c r="Y237" s="19">
        <f>SEPTIEMBRE!AA237</f>
        <v>0</v>
      </c>
      <c r="Z237" s="377">
        <v>0</v>
      </c>
      <c r="AA237" s="18">
        <f t="shared" si="198"/>
        <v>0</v>
      </c>
      <c r="AB237" s="19">
        <f>SEPTIEMBRE!AD237</f>
        <v>0</v>
      </c>
      <c r="AC237" s="377">
        <v>0</v>
      </c>
      <c r="AD237" s="18">
        <f t="shared" si="199"/>
        <v>0</v>
      </c>
      <c r="AE237" s="19">
        <f>SEPTIEMBRE!AG237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+IF(SEPTIEMBRE!S238=0,"",SEPTIEMBRE!S238)</f>
        <v>8001000-3</v>
      </c>
      <c r="T238" s="694" t="str">
        <f>+IF(SEPTIEMBRE!T238=0,"",SEPTIEMBRE!T238)</f>
        <v>Subprogr.Actualizacion software hacia NICSP y Adquisicion de Historias clinicas</v>
      </c>
      <c r="U238" s="27">
        <f>+ENERO!U238</f>
        <v>75000000</v>
      </c>
      <c r="V238" s="15">
        <f>SEPTIEMBRE!V238+OCTUBRE!AL238</f>
        <v>0</v>
      </c>
      <c r="W238" s="15">
        <f>SEPTIEMBRE!W238+OCTUBRE!AM238</f>
        <v>0</v>
      </c>
      <c r="X238" s="18">
        <f t="shared" si="197"/>
        <v>75000000</v>
      </c>
      <c r="Y238" s="19">
        <f>SEPTIEMBRE!AA238</f>
        <v>0</v>
      </c>
      <c r="Z238" s="377">
        <v>0</v>
      </c>
      <c r="AA238" s="18">
        <f t="shared" si="198"/>
        <v>0</v>
      </c>
      <c r="AB238" s="19">
        <f>SEPTIEMBRE!AD238</f>
        <v>0</v>
      </c>
      <c r="AC238" s="377">
        <v>0</v>
      </c>
      <c r="AD238" s="18">
        <f t="shared" si="199"/>
        <v>0</v>
      </c>
      <c r="AE238" s="19">
        <f>SEPTIEMBRE!AG238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+IF(SEPTIEMBRE!S239=0,"",SEPTIEMBRE!S239)</f>
        <v>8001000-4</v>
      </c>
      <c r="T239" s="694" t="str">
        <f>+IF(SEPTIEMBRE!T239=0,"",SEPTIEMBRE!T239)</f>
        <v>Subprogr.Construc. Remodelac. Adecuación y Apliac.4</v>
      </c>
      <c r="U239" s="27">
        <f>+ENERO!U239</f>
        <v>0</v>
      </c>
      <c r="V239" s="15">
        <f>SEPTIEMBRE!V239+OCTUBRE!AL239</f>
        <v>0</v>
      </c>
      <c r="W239" s="15">
        <f>SEPTIEMBRE!W239+OCTUBRE!AM239</f>
        <v>0</v>
      </c>
      <c r="X239" s="18">
        <f t="shared" si="197"/>
        <v>0</v>
      </c>
      <c r="Y239" s="19">
        <f>SEPTIEMBRE!AA239</f>
        <v>0</v>
      </c>
      <c r="Z239" s="377">
        <v>0</v>
      </c>
      <c r="AA239" s="18">
        <f t="shared" si="198"/>
        <v>0</v>
      </c>
      <c r="AB239" s="19">
        <f>SEPTIEMBRE!AD239</f>
        <v>0</v>
      </c>
      <c r="AC239" s="377">
        <v>0</v>
      </c>
      <c r="AD239" s="18">
        <f t="shared" si="199"/>
        <v>0</v>
      </c>
      <c r="AE239" s="19">
        <f>SEPTIEMBRE!AG239</f>
        <v>0</v>
      </c>
      <c r="AF239" s="377">
        <v>0</v>
      </c>
      <c r="AG239" s="18">
        <f t="shared" si="200"/>
        <v>0</v>
      </c>
      <c r="AH239" s="19">
        <f t="shared" si="201"/>
        <v>0</v>
      </c>
      <c r="AI239" s="15">
        <f t="shared" si="202"/>
        <v>0</v>
      </c>
      <c r="AJ239" s="16">
        <f t="shared" si="203"/>
        <v>0</v>
      </c>
      <c r="AK239" s="9"/>
      <c r="AL239" s="375">
        <v>0</v>
      </c>
      <c r="AM239" s="378">
        <v>0</v>
      </c>
      <c r="AN239" s="9"/>
    </row>
    <row r="240" spans="1:64" s="385" customFormat="1" ht="24.95" customHeight="1" x14ac:dyDescent="0.2">
      <c r="A240" s="767"/>
      <c r="B240" s="669"/>
      <c r="N240" s="9"/>
      <c r="P240" s="9"/>
      <c r="Q240" s="9"/>
      <c r="S240" s="720" t="str">
        <f>+IF(SEPTIEMBRE!S240=0,"",SEPTIEMBRE!S240)</f>
        <v>8001000-7</v>
      </c>
      <c r="T240" s="694" t="str">
        <f>+IF(SEPTIEMBRE!T240=0,"",SEPTIEMBRE!T240)</f>
        <v>Subprogr.Construc. Remodelac. Adecuación y Apliac.5</v>
      </c>
      <c r="U240" s="27">
        <f>+ENERO!U240</f>
        <v>0</v>
      </c>
      <c r="V240" s="15">
        <f>SEPTIEMBRE!V240+OCTUBRE!AL240</f>
        <v>0</v>
      </c>
      <c r="W240" s="15">
        <f>SEPTIEMBRE!W240+OCTUBRE!AM240</f>
        <v>0</v>
      </c>
      <c r="X240" s="18">
        <f t="shared" si="197"/>
        <v>0</v>
      </c>
      <c r="Y240" s="19">
        <f>SEPTIEMBRE!AA240</f>
        <v>0</v>
      </c>
      <c r="Z240" s="377">
        <v>0</v>
      </c>
      <c r="AA240" s="18">
        <f t="shared" si="198"/>
        <v>0</v>
      </c>
      <c r="AB240" s="19">
        <f>SEPTIEMBRE!AD240</f>
        <v>0</v>
      </c>
      <c r="AC240" s="377">
        <v>0</v>
      </c>
      <c r="AD240" s="18">
        <f t="shared" si="199"/>
        <v>0</v>
      </c>
      <c r="AE240" s="19">
        <f>SEPTIEMBRE!AG240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s="385" customFormat="1" ht="24.95" customHeight="1" x14ac:dyDescent="0.2">
      <c r="A241" s="767"/>
      <c r="B241" s="669"/>
      <c r="N241" s="9"/>
      <c r="P241" s="9"/>
      <c r="Q241" s="9"/>
      <c r="S241" s="730">
        <f>+IF(SEPTIEMBRE!S241=0,"",SEPTIEMBRE!S241)</f>
        <v>8001999</v>
      </c>
      <c r="T241" s="694" t="str">
        <f>+IF(SEPTIEMBRE!T241=0,"",SEPTIEMBRE!T241)</f>
        <v>Vigencias Anteriores</v>
      </c>
      <c r="U241" s="27">
        <f>+ENERO!U241</f>
        <v>0</v>
      </c>
      <c r="V241" s="15">
        <f>SEPTIEMBRE!V241+OCTUBRE!AL241</f>
        <v>0</v>
      </c>
      <c r="W241" s="15">
        <f>SEPTIEMBRE!W241+OCTUBRE!AM241</f>
        <v>0</v>
      </c>
      <c r="X241" s="18">
        <f t="shared" si="197"/>
        <v>0</v>
      </c>
      <c r="Y241" s="19">
        <f>SEPTIEMBRE!AA241</f>
        <v>0</v>
      </c>
      <c r="Z241" s="377">
        <v>0</v>
      </c>
      <c r="AA241" s="18">
        <f t="shared" si="198"/>
        <v>0</v>
      </c>
      <c r="AB241" s="19">
        <f>SEPTIEMBRE!AD241</f>
        <v>0</v>
      </c>
      <c r="AC241" s="377">
        <v>0</v>
      </c>
      <c r="AD241" s="18">
        <f t="shared" si="199"/>
        <v>0</v>
      </c>
      <c r="AE241" s="19">
        <f>SEPTIEMBRE!AG241</f>
        <v>0</v>
      </c>
      <c r="AF241" s="377">
        <v>0</v>
      </c>
      <c r="AG241" s="18">
        <f t="shared" si="200"/>
        <v>0</v>
      </c>
      <c r="AH241" s="19">
        <f t="shared" si="201"/>
        <v>0</v>
      </c>
      <c r="AI241" s="15">
        <f t="shared" si="202"/>
        <v>0</v>
      </c>
      <c r="AJ241" s="16">
        <f t="shared" si="203"/>
        <v>0</v>
      </c>
      <c r="AK241" s="9"/>
      <c r="AL241" s="375">
        <v>0</v>
      </c>
      <c r="AM241" s="378">
        <v>0</v>
      </c>
      <c r="AN241" s="9"/>
      <c r="BB241" s="275"/>
      <c r="BC241" s="275"/>
      <c r="BD241" s="275"/>
      <c r="BE241" s="275"/>
      <c r="BF241" s="275"/>
      <c r="BG241" s="275"/>
      <c r="BH241" s="275"/>
      <c r="BI241" s="275"/>
      <c r="BJ241" s="275"/>
      <c r="BK241" s="275"/>
      <c r="BL241" s="27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+IF(SEPTIEMBRE!S242=0,"",SEPTIEMBRE!S242)</f>
        <v/>
      </c>
      <c r="T242" s="708" t="str">
        <f>+IF(SEPTIEMBRE!T242=0,"",SEPTIEMBRE!T242)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+IF(SEPTIEMBRE!S243=0,"",SEPTIEMBRE!S243)</f>
        <v>8002001</v>
      </c>
      <c r="T243" s="693" t="str">
        <f>+IF(SEPTIEMBRE!T243=0,"",SEPTIEMBRE!T243)</f>
        <v>Gastos Operativos de Inversion   (Programas Especiales)</v>
      </c>
      <c r="U243" s="27">
        <f t="shared" ref="U243:AJ243" si="204">SUM(U244:U256)</f>
        <v>118000000</v>
      </c>
      <c r="V243" s="15">
        <f t="shared" si="204"/>
        <v>-103000000</v>
      </c>
      <c r="W243" s="15">
        <f t="shared" si="204"/>
        <v>178000000</v>
      </c>
      <c r="X243" s="18">
        <f t="shared" si="204"/>
        <v>193000000</v>
      </c>
      <c r="Y243" s="19">
        <f t="shared" si="204"/>
        <v>121430326</v>
      </c>
      <c r="Z243" s="145">
        <f t="shared" si="204"/>
        <v>0</v>
      </c>
      <c r="AA243" s="18">
        <f t="shared" si="204"/>
        <v>121430326</v>
      </c>
      <c r="AB243" s="19">
        <f t="shared" si="204"/>
        <v>81872992</v>
      </c>
      <c r="AC243" s="145">
        <f t="shared" si="204"/>
        <v>0</v>
      </c>
      <c r="AD243" s="18">
        <f t="shared" si="204"/>
        <v>81872992</v>
      </c>
      <c r="AE243" s="19">
        <f t="shared" si="204"/>
        <v>63461000</v>
      </c>
      <c r="AF243" s="145">
        <f t="shared" si="204"/>
        <v>0</v>
      </c>
      <c r="AG243" s="18">
        <f t="shared" si="204"/>
        <v>63461000</v>
      </c>
      <c r="AH243" s="19">
        <f t="shared" si="204"/>
        <v>71569674</v>
      </c>
      <c r="AI243" s="15">
        <f t="shared" si="204"/>
        <v>111127008</v>
      </c>
      <c r="AJ243" s="16">
        <f t="shared" si="204"/>
        <v>129539000</v>
      </c>
      <c r="AK243" s="9"/>
      <c r="AL243" s="19">
        <f>SUM(AL244:AL256)</f>
        <v>0</v>
      </c>
      <c r="AM243" s="16">
        <f>SUM(AM244:AM256)</f>
        <v>0</v>
      </c>
      <c r="BR243" s="385"/>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+IF(SEPTIEMBRE!S244=0,"",SEPTIEMBRE!S244)</f>
        <v>8002100-1</v>
      </c>
      <c r="T244" s="694" t="str">
        <f>+IF(SEPTIEMBRE!T244=0,"",SEPTIEMBRE!T244)</f>
        <v>Fondo de la Vivienda</v>
      </c>
      <c r="U244" s="27">
        <f>+ENERO!U244</f>
        <v>0</v>
      </c>
      <c r="V244" s="15">
        <f>SEPTIEMBRE!V244+OCTUBRE!AL244</f>
        <v>0</v>
      </c>
      <c r="W244" s="15">
        <f>SEPTIEMBRE!W244+OCTUBRE!AM244</f>
        <v>0</v>
      </c>
      <c r="X244" s="18">
        <f t="shared" ref="X244:X256" si="205">SUM(U244:W244)</f>
        <v>0</v>
      </c>
      <c r="Y244" s="19">
        <f>SEPTIEMBRE!AA244</f>
        <v>0</v>
      </c>
      <c r="Z244" s="377">
        <v>0</v>
      </c>
      <c r="AA244" s="18">
        <f t="shared" ref="AA244:AA256" si="206">SUM(Y244:Z244)</f>
        <v>0</v>
      </c>
      <c r="AB244" s="19">
        <f>SEPTIEMBRE!AD244</f>
        <v>0</v>
      </c>
      <c r="AC244" s="377">
        <v>0</v>
      </c>
      <c r="AD244" s="18">
        <f t="shared" ref="AD244:AD256" si="207">SUM(AB244:AC244)</f>
        <v>0</v>
      </c>
      <c r="AE244" s="19">
        <f>SEPTIEMBRE!AG244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+IF(SEPTIEMBRE!S245=0,"",SEPTIEMBRE!S245)</f>
        <v>8002100-2</v>
      </c>
      <c r="T245" s="694" t="str">
        <f>+IF(SEPTIEMBRE!T245=0,"",SEPTIEMBRE!T245)</f>
        <v>Programas Especial 01 Convenio APS Municipio</v>
      </c>
      <c r="U245" s="27">
        <f>+ENERO!U245</f>
        <v>94000000</v>
      </c>
      <c r="V245" s="15">
        <f>SEPTIEMBRE!V245+OCTUBRE!AL245</f>
        <v>-68000000</v>
      </c>
      <c r="W245" s="15">
        <f>SEPTIEMBRE!W245+OCTUBRE!AM245</f>
        <v>94000000</v>
      </c>
      <c r="X245" s="18">
        <f t="shared" si="205"/>
        <v>120000000</v>
      </c>
      <c r="Y245" s="19">
        <f>SEPTIEMBRE!AA245</f>
        <v>75642326</v>
      </c>
      <c r="Z245" s="377">
        <v>0</v>
      </c>
      <c r="AA245" s="18">
        <f t="shared" si="206"/>
        <v>75642326</v>
      </c>
      <c r="AB245" s="19">
        <f>SEPTIEMBRE!AD245</f>
        <v>52018992</v>
      </c>
      <c r="AC245" s="377">
        <v>0</v>
      </c>
      <c r="AD245" s="18">
        <f t="shared" si="207"/>
        <v>52018992</v>
      </c>
      <c r="AE245" s="19">
        <f>SEPTIEMBRE!AG245</f>
        <v>49541000</v>
      </c>
      <c r="AF245" s="377">
        <v>0</v>
      </c>
      <c r="AG245" s="18">
        <f t="shared" si="208"/>
        <v>49541000</v>
      </c>
      <c r="AH245" s="19">
        <f t="shared" si="209"/>
        <v>44357674</v>
      </c>
      <c r="AI245" s="15">
        <f t="shared" si="210"/>
        <v>67981008</v>
      </c>
      <c r="AJ245" s="16">
        <f t="shared" si="211"/>
        <v>70459000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+IF(SEPTIEMBRE!S246=0,"",SEPTIEMBRE!S246)</f>
        <v>8002100-3</v>
      </c>
      <c r="T246" s="694" t="str">
        <f>+IF(SEPTIEMBRE!T246=0,"",SEPTIEMBRE!T246)</f>
        <v>Programas Especial 02 Convenios APS  Departamento</v>
      </c>
      <c r="U246" s="27">
        <f>+ENERO!U246</f>
        <v>0</v>
      </c>
      <c r="V246" s="15">
        <f>SEPTIEMBRE!V246+OCTUBRE!AL246</f>
        <v>0</v>
      </c>
      <c r="W246" s="15">
        <f>SEPTIEMBRE!W246+OCTUBRE!AM246</f>
        <v>50000000</v>
      </c>
      <c r="X246" s="18">
        <f t="shared" si="205"/>
        <v>50000000</v>
      </c>
      <c r="Y246" s="19">
        <f>SEPTIEMBRE!AA246</f>
        <v>22820000</v>
      </c>
      <c r="Z246" s="377">
        <v>0</v>
      </c>
      <c r="AA246" s="18">
        <f t="shared" si="206"/>
        <v>22820000</v>
      </c>
      <c r="AB246" s="19">
        <f>SEPTIEMBRE!AD246</f>
        <v>18370000</v>
      </c>
      <c r="AC246" s="377">
        <v>0</v>
      </c>
      <c r="AD246" s="18">
        <f t="shared" si="207"/>
        <v>18370000</v>
      </c>
      <c r="AE246" s="19">
        <f>SEPTIEMBRE!AG246</f>
        <v>13920000</v>
      </c>
      <c r="AF246" s="377">
        <v>0</v>
      </c>
      <c r="AG246" s="18">
        <f t="shared" si="208"/>
        <v>13920000</v>
      </c>
      <c r="AH246" s="19">
        <f t="shared" si="209"/>
        <v>27180000</v>
      </c>
      <c r="AI246" s="15">
        <f t="shared" si="210"/>
        <v>31630000</v>
      </c>
      <c r="AJ246" s="16">
        <f t="shared" si="211"/>
        <v>36080000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+IF(SEPTIEMBRE!S247=0,"",SEPTIEMBRE!S247)</f>
        <v>8002100-4</v>
      </c>
      <c r="T247" s="694" t="str">
        <f>+IF(SEPTIEMBRE!T247=0,"",SEPTIEMBRE!T247)</f>
        <v>Subprogr. Implementacion Normas Internacionales de Contabilidad Publica</v>
      </c>
      <c r="U247" s="27">
        <f>+ENERO!U247</f>
        <v>0</v>
      </c>
      <c r="V247" s="15">
        <f>SEPTIEMBRE!V247+OCTUBRE!AL247</f>
        <v>23000000</v>
      </c>
      <c r="W247" s="15">
        <f>SEPTIEMBRE!W247+OCTUBRE!AM247</f>
        <v>0</v>
      </c>
      <c r="X247" s="18">
        <f t="shared" si="205"/>
        <v>23000000</v>
      </c>
      <c r="Y247" s="19">
        <f>SEPTIEMBRE!AA247</f>
        <v>22968000</v>
      </c>
      <c r="Z247" s="377">
        <v>0</v>
      </c>
      <c r="AA247" s="18">
        <f t="shared" si="206"/>
        <v>22968000</v>
      </c>
      <c r="AB247" s="19">
        <f>SEPTIEMBRE!AD247</f>
        <v>11484000</v>
      </c>
      <c r="AC247" s="377">
        <v>0</v>
      </c>
      <c r="AD247" s="18">
        <f t="shared" si="207"/>
        <v>11484000</v>
      </c>
      <c r="AE247" s="19">
        <f>SEPTIEMBRE!AG247</f>
        <v>0</v>
      </c>
      <c r="AF247" s="377">
        <v>0</v>
      </c>
      <c r="AG247" s="18">
        <f t="shared" si="208"/>
        <v>0</v>
      </c>
      <c r="AH247" s="19">
        <f t="shared" si="209"/>
        <v>32000</v>
      </c>
      <c r="AI247" s="15">
        <f t="shared" si="210"/>
        <v>11516000</v>
      </c>
      <c r="AJ247" s="16">
        <f t="shared" si="211"/>
        <v>23000000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+IF(SEPTIEMBRE!S248=0,"",SEPTIEMBRE!S248)</f>
        <v>8002100-5</v>
      </c>
      <c r="T248" s="694" t="str">
        <f>+IF(SEPTIEMBRE!T248=0,"",SEPTIEMBRE!T248)</f>
        <v>Programas Especial 04 Convenio Puestos de Salud</v>
      </c>
      <c r="U248" s="27">
        <f>+ENERO!U248</f>
        <v>24000000</v>
      </c>
      <c r="V248" s="15">
        <f>SEPTIEMBRE!V248+OCTUBRE!AL248</f>
        <v>-58000000</v>
      </c>
      <c r="W248" s="15">
        <f>SEPTIEMBRE!W248+OCTUBRE!AM248</f>
        <v>34000000</v>
      </c>
      <c r="X248" s="18">
        <f t="shared" si="205"/>
        <v>0</v>
      </c>
      <c r="Y248" s="19">
        <f>SEPTIEMBRE!AA248</f>
        <v>0</v>
      </c>
      <c r="Z248" s="377">
        <v>0</v>
      </c>
      <c r="AA248" s="18">
        <f t="shared" si="206"/>
        <v>0</v>
      </c>
      <c r="AB248" s="19">
        <f>SEPTIEMBRE!AD248</f>
        <v>0</v>
      </c>
      <c r="AC248" s="377">
        <v>0</v>
      </c>
      <c r="AD248" s="18">
        <f t="shared" si="207"/>
        <v>0</v>
      </c>
      <c r="AE248" s="19">
        <f>SEPTIEMBRE!AG248</f>
        <v>0</v>
      </c>
      <c r="AF248" s="377">
        <v>0</v>
      </c>
      <c r="AG248" s="18">
        <f t="shared" si="208"/>
        <v>0</v>
      </c>
      <c r="AH248" s="19">
        <f t="shared" si="209"/>
        <v>0</v>
      </c>
      <c r="AI248" s="15">
        <f t="shared" si="210"/>
        <v>0</v>
      </c>
      <c r="AJ248" s="16">
        <f t="shared" si="211"/>
        <v>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+IF(SEPTIEMBRE!S249=0,"",SEPTIEMBRE!S249)</f>
        <v>8002100-6</v>
      </c>
      <c r="T249" s="694" t="str">
        <f>+IF(SEPTIEMBRE!T249=0,"",SEPTIEMBRE!T249)</f>
        <v>Programas Especial 05</v>
      </c>
      <c r="U249" s="27">
        <f>+ENERO!U249</f>
        <v>0</v>
      </c>
      <c r="V249" s="15">
        <f>SEPTIEMBRE!V249+OCTUBRE!AL249</f>
        <v>0</v>
      </c>
      <c r="W249" s="15">
        <f>SEPTIEMBRE!W249+OCTUBRE!AM249</f>
        <v>0</v>
      </c>
      <c r="X249" s="18">
        <f t="shared" si="205"/>
        <v>0</v>
      </c>
      <c r="Y249" s="19">
        <f>SEPTIEMBRE!AA249</f>
        <v>0</v>
      </c>
      <c r="Z249" s="377">
        <v>0</v>
      </c>
      <c r="AA249" s="18">
        <f t="shared" si="206"/>
        <v>0</v>
      </c>
      <c r="AB249" s="19">
        <f>SEPTIEMBRE!AD249</f>
        <v>0</v>
      </c>
      <c r="AC249" s="377">
        <v>0</v>
      </c>
      <c r="AD249" s="18">
        <f t="shared" si="207"/>
        <v>0</v>
      </c>
      <c r="AE249" s="19">
        <f>SEPTIEMBRE!AG249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+IF(SEPTIEMBRE!S250=0,"",SEPTIEMBRE!S250)</f>
        <v>8002100-7</v>
      </c>
      <c r="T250" s="694" t="str">
        <f>+IF(SEPTIEMBRE!T250=0,"",SEPTIEMBRE!T250)</f>
        <v>Programas Especial 06</v>
      </c>
      <c r="U250" s="27">
        <f>+ENERO!U250</f>
        <v>0</v>
      </c>
      <c r="V250" s="15">
        <f>SEPTIEMBRE!V250+OCTUBRE!AL250</f>
        <v>0</v>
      </c>
      <c r="W250" s="15">
        <f>SEPTIEMBRE!W250+OCTUBRE!AM250</f>
        <v>0</v>
      </c>
      <c r="X250" s="18">
        <f>SUM(U250:W250)</f>
        <v>0</v>
      </c>
      <c r="Y250" s="19">
        <f>SEPTIEMBRE!AA250</f>
        <v>0</v>
      </c>
      <c r="Z250" s="377">
        <v>0</v>
      </c>
      <c r="AA250" s="18">
        <f>SUM(Y250:Z250)</f>
        <v>0</v>
      </c>
      <c r="AB250" s="19">
        <f>SEPTIEMBRE!AD250</f>
        <v>0</v>
      </c>
      <c r="AC250" s="377">
        <v>0</v>
      </c>
      <c r="AD250" s="18">
        <f>SUM(AB250:AC250)</f>
        <v>0</v>
      </c>
      <c r="AE250" s="19">
        <f>SEPTIEMBRE!AG250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+IF(SEPTIEMBRE!S251=0,"",SEPTIEMBRE!S251)</f>
        <v>8002100-8</v>
      </c>
      <c r="T251" s="694" t="str">
        <f>+IF(SEPTIEMBRE!T251=0,"",SEPTIEMBRE!T251)</f>
        <v>Programas Especial 07</v>
      </c>
      <c r="U251" s="27">
        <f>+ENERO!U251</f>
        <v>0</v>
      </c>
      <c r="V251" s="15">
        <f>SEPTIEMBRE!V251+OCTUBRE!AL251</f>
        <v>0</v>
      </c>
      <c r="W251" s="15">
        <f>SEPTIEMBRE!W251+OCTUBRE!AM251</f>
        <v>0</v>
      </c>
      <c r="X251" s="18">
        <f>SUM(U251:W251)</f>
        <v>0</v>
      </c>
      <c r="Y251" s="19">
        <f>SEPTIEMBRE!AA251</f>
        <v>0</v>
      </c>
      <c r="Z251" s="377">
        <v>0</v>
      </c>
      <c r="AA251" s="18">
        <f>SUM(Y251:Z251)</f>
        <v>0</v>
      </c>
      <c r="AB251" s="19">
        <f>SEPTIEMBRE!AD251</f>
        <v>0</v>
      </c>
      <c r="AC251" s="377">
        <v>0</v>
      </c>
      <c r="AD251" s="18">
        <f>SUM(AB251:AC251)</f>
        <v>0</v>
      </c>
      <c r="AE251" s="19">
        <f>SEPTIEMBRE!AG251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+IF(SEPTIEMBRE!S252=0,"",SEPTIEMBRE!S252)</f>
        <v>8002100-9</v>
      </c>
      <c r="T252" s="694" t="str">
        <f>+IF(SEPTIEMBRE!T252=0,"",SEPTIEMBRE!T252)</f>
        <v>Programas Especial 08</v>
      </c>
      <c r="U252" s="27">
        <f>+ENERO!U252</f>
        <v>0</v>
      </c>
      <c r="V252" s="15">
        <f>SEPTIEMBRE!V252+OCTUBRE!AL252</f>
        <v>0</v>
      </c>
      <c r="W252" s="15">
        <f>SEPTIEMBRE!W252+OCTUBRE!AM252</f>
        <v>0</v>
      </c>
      <c r="X252" s="18">
        <f>SUM(U252:W252)</f>
        <v>0</v>
      </c>
      <c r="Y252" s="19">
        <f>SEPTIEMBRE!AA252</f>
        <v>0</v>
      </c>
      <c r="Z252" s="377">
        <v>0</v>
      </c>
      <c r="AA252" s="18">
        <f>SUM(Y252:Z252)</f>
        <v>0</v>
      </c>
      <c r="AB252" s="19">
        <f>SEPTIEMBRE!AD252</f>
        <v>0</v>
      </c>
      <c r="AC252" s="377">
        <v>0</v>
      </c>
      <c r="AD252" s="18">
        <f>SUM(AB252:AC252)</f>
        <v>0</v>
      </c>
      <c r="AE252" s="19">
        <f>SEPTIEMBRE!AG252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+IF(SEPTIEMBRE!S253=0,"",SEPTIEMBRE!S253)</f>
        <v>8002100-10</v>
      </c>
      <c r="T253" s="694" t="str">
        <f>+IF(SEPTIEMBRE!T253=0,"",SEPTIEMBRE!T253)</f>
        <v>Programas Especial 09</v>
      </c>
      <c r="U253" s="27">
        <f>+ENERO!U253</f>
        <v>0</v>
      </c>
      <c r="V253" s="15">
        <f>SEPTIEMBRE!V253+OCTUBRE!AL253</f>
        <v>0</v>
      </c>
      <c r="W253" s="15">
        <f>SEPTIEMBRE!W253+OCTUBRE!AM253</f>
        <v>0</v>
      </c>
      <c r="X253" s="18">
        <f>SUM(U253:W253)</f>
        <v>0</v>
      </c>
      <c r="Y253" s="19">
        <f>SEPTIEMBRE!AA253</f>
        <v>0</v>
      </c>
      <c r="Z253" s="377">
        <v>0</v>
      </c>
      <c r="AA253" s="18">
        <f>SUM(Y253:Z253)</f>
        <v>0</v>
      </c>
      <c r="AB253" s="19">
        <f>SEPTIEMBRE!AD253</f>
        <v>0</v>
      </c>
      <c r="AC253" s="377">
        <v>0</v>
      </c>
      <c r="AD253" s="18">
        <f>SUM(AB253:AC253)</f>
        <v>0</v>
      </c>
      <c r="AE253" s="19">
        <f>SEPTIEMBRE!AG253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+IF(SEPTIEMBRE!S254=0,"",SEPTIEMBRE!S254)</f>
        <v>8002100-11</v>
      </c>
      <c r="T254" s="694" t="str">
        <f>+IF(SEPTIEMBRE!T254=0,"",SEPTIEMBRE!T254)</f>
        <v>Programas Especial 10</v>
      </c>
      <c r="U254" s="27">
        <f>+ENERO!U254</f>
        <v>0</v>
      </c>
      <c r="V254" s="15">
        <f>SEPTIEMBRE!V254+OCTUBRE!AL254</f>
        <v>0</v>
      </c>
      <c r="W254" s="15">
        <f>SEPTIEMBRE!W254+OCTUBRE!AM254</f>
        <v>0</v>
      </c>
      <c r="X254" s="18">
        <f>SUM(U254:W254)</f>
        <v>0</v>
      </c>
      <c r="Y254" s="19">
        <f>SEPTIEMBRE!AA254</f>
        <v>0</v>
      </c>
      <c r="Z254" s="377">
        <v>0</v>
      </c>
      <c r="AA254" s="18">
        <f>SUM(Y254:Z254)</f>
        <v>0</v>
      </c>
      <c r="AB254" s="19">
        <f>SEPTIEMBRE!AD254</f>
        <v>0</v>
      </c>
      <c r="AC254" s="377">
        <v>0</v>
      </c>
      <c r="AD254" s="18">
        <f>SUM(AB254:AC254)</f>
        <v>0</v>
      </c>
      <c r="AE254" s="19">
        <f>SEPTIEMBRE!AG254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+IF(SEPTIEMBRE!S255=0,"",SEPTIEMBRE!S255)</f>
        <v>8002100-12</v>
      </c>
      <c r="T255" s="694" t="str">
        <f>+IF(SEPTIEMBRE!T255=0,"",SEPTIEMBRE!T255)</f>
        <v>Programas Especial 11</v>
      </c>
      <c r="U255" s="27">
        <f>+ENERO!U255</f>
        <v>0</v>
      </c>
      <c r="V255" s="15">
        <f>SEPTIEMBRE!V255+OCTUBRE!AL255</f>
        <v>0</v>
      </c>
      <c r="W255" s="15">
        <f>SEPTIEMBRE!W255+OCTUBRE!AM255</f>
        <v>0</v>
      </c>
      <c r="X255" s="18">
        <f t="shared" si="205"/>
        <v>0</v>
      </c>
      <c r="Y255" s="19">
        <f>SEPTIEMBRE!AA255</f>
        <v>0</v>
      </c>
      <c r="Z255" s="377">
        <v>0</v>
      </c>
      <c r="AA255" s="18">
        <f t="shared" si="206"/>
        <v>0</v>
      </c>
      <c r="AB255" s="19">
        <f>SEPTIEMBRE!AD255</f>
        <v>0</v>
      </c>
      <c r="AC255" s="377">
        <v>0</v>
      </c>
      <c r="AD255" s="18">
        <f t="shared" si="207"/>
        <v>0</v>
      </c>
      <c r="AE255" s="19">
        <f>SEPTIEMBRE!AG255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+IF(SEPTIEMBRE!S256=0,"",SEPTIEMBRE!S256)</f>
        <v>8002999</v>
      </c>
      <c r="T256" s="710" t="str">
        <f>+IF(SEPTIEMBRE!T256=0,"",SEPTIEMBRE!T256)</f>
        <v>Vigencias Anteriores</v>
      </c>
      <c r="U256" s="136">
        <f>+ENERO!U256</f>
        <v>0</v>
      </c>
      <c r="V256" s="123">
        <f>SEPTIEMBRE!V256+OCTUBRE!AL256</f>
        <v>0</v>
      </c>
      <c r="W256" s="123">
        <f>SEPTIEMBRE!W256+OCTUBRE!AM256</f>
        <v>0</v>
      </c>
      <c r="X256" s="129">
        <f t="shared" si="205"/>
        <v>0</v>
      </c>
      <c r="Y256" s="127">
        <f>SEPTIEMBRE!AA256</f>
        <v>0</v>
      </c>
      <c r="Z256" s="391">
        <v>0</v>
      </c>
      <c r="AA256" s="129">
        <f t="shared" si="206"/>
        <v>0</v>
      </c>
      <c r="AB256" s="127">
        <f>SEPTIEMBRE!AD256</f>
        <v>0</v>
      </c>
      <c r="AC256" s="391">
        <v>0</v>
      </c>
      <c r="AD256" s="129">
        <f t="shared" si="207"/>
        <v>0</v>
      </c>
      <c r="AE256" s="127">
        <f>SEPTIEMBRE!AG256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+IF(SEPTIEMBRE!S257=0,"",SEPTIEMBRE!S257)</f>
        <v/>
      </c>
      <c r="T257" s="707" t="str">
        <f>+IF(SEPTIEMBRE!T257=0,"",SEPTIEMBRE!T257)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A258" s="767"/>
      <c r="B258" s="669"/>
      <c r="C258" s="385"/>
      <c r="D258" s="385"/>
      <c r="E258" s="385"/>
      <c r="F258" s="385"/>
      <c r="G258" s="385"/>
      <c r="H258" s="385"/>
      <c r="I258" s="385"/>
      <c r="J258" s="385"/>
      <c r="K258" s="385"/>
      <c r="L258" s="385"/>
      <c r="M258" s="385"/>
      <c r="N258" s="9"/>
      <c r="O258" s="385"/>
      <c r="P258" s="9"/>
      <c r="Q258" s="9"/>
      <c r="S258" s="514" t="str">
        <f>+IF(SEPTIEMBRE!S258=0,"",SEPTIEMBRE!S258)</f>
        <v>E</v>
      </c>
      <c r="T258" s="711" t="str">
        <f>+IF(SEPTIEMBRE!T258=0,"",SEPTIEMBRE!T258)</f>
        <v>DISPONIBILIDAD FINAL</v>
      </c>
      <c r="U258" s="341">
        <f t="shared" ref="U258:AJ258" si="212">+(C10+C17+C113)-(U10+U207+U220+U232)</f>
        <v>0</v>
      </c>
      <c r="V258" s="341">
        <f t="shared" si="212"/>
        <v>0</v>
      </c>
      <c r="W258" s="341">
        <f t="shared" si="212"/>
        <v>0</v>
      </c>
      <c r="X258" s="341">
        <f t="shared" si="212"/>
        <v>0</v>
      </c>
      <c r="Y258" s="341">
        <f t="shared" si="212"/>
        <v>299215632</v>
      </c>
      <c r="Z258" s="341">
        <f t="shared" si="212"/>
        <v>0</v>
      </c>
      <c r="AA258" s="341">
        <f t="shared" si="212"/>
        <v>299215632</v>
      </c>
      <c r="AB258" s="341">
        <f t="shared" si="212"/>
        <v>-360366858</v>
      </c>
      <c r="AC258" s="341">
        <f t="shared" si="212"/>
        <v>0</v>
      </c>
      <c r="AD258" s="341">
        <f t="shared" si="212"/>
        <v>-360366858</v>
      </c>
      <c r="AE258" s="341">
        <f t="shared" si="212"/>
        <v>-1188978787</v>
      </c>
      <c r="AF258" s="341">
        <f t="shared" si="212"/>
        <v>1704857162</v>
      </c>
      <c r="AG258" s="341">
        <f t="shared" si="212"/>
        <v>-2054277226</v>
      </c>
      <c r="AH258" s="341">
        <f t="shared" si="212"/>
        <v>-1164514071</v>
      </c>
      <c r="AI258" s="341">
        <f t="shared" si="212"/>
        <v>-1344490304</v>
      </c>
      <c r="AJ258" s="341">
        <f t="shared" si="212"/>
        <v>-1836323521</v>
      </c>
      <c r="AK258" s="9"/>
      <c r="AL258" s="341">
        <v>0</v>
      </c>
      <c r="AM258" s="342">
        <v>0</v>
      </c>
    </row>
    <row r="259" spans="1:39" ht="24.95" customHeight="1" thickBot="1" x14ac:dyDescent="0.25">
      <c r="S259" s="912" t="str">
        <f>+IF(SEPTIEMBRE!S259=0,"",SEPTIEMBRE!S259)</f>
        <v>TOTAL VIGENCIAS ANTERIORES</v>
      </c>
      <c r="T259" s="913"/>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303837447</v>
      </c>
      <c r="AF259" s="115">
        <f t="shared" si="213"/>
        <v>0</v>
      </c>
      <c r="AG259" s="126">
        <f t="shared" si="213"/>
        <v>303837447</v>
      </c>
      <c r="AH259" s="125">
        <f t="shared" si="213"/>
        <v>0</v>
      </c>
      <c r="AI259" s="115">
        <f t="shared" si="213"/>
        <v>0</v>
      </c>
      <c r="AJ259" s="116">
        <f t="shared" si="213"/>
        <v>38526609</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row r="261" spans="1:39" ht="24.95" customHeight="1" x14ac:dyDescent="0.2">
      <c r="U261" s="120"/>
      <c r="V261" s="385"/>
      <c r="W261" s="385"/>
      <c r="X261" s="385"/>
      <c r="Y261" s="385"/>
      <c r="Z261" s="385"/>
      <c r="AA261" s="385"/>
      <c r="AB261" s="385"/>
      <c r="AC261" s="385"/>
      <c r="AD261" s="385"/>
      <c r="AE261" s="385"/>
      <c r="AF261" s="385"/>
      <c r="AG261" s="385"/>
      <c r="AH261" s="385"/>
      <c r="AI261" s="385"/>
      <c r="AJ261" s="385"/>
      <c r="AK261" s="10"/>
      <c r="AL261" s="385"/>
      <c r="AM261" s="385"/>
    </row>
  </sheetData>
  <sheetProtection password="E1F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2"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dimension ref="A1:BS260"/>
  <sheetViews>
    <sheetView showGridLines="0" topLeftCell="O250" zoomScale="80" zoomScaleNormal="80" workbookViewId="0">
      <selection activeCell="U258" sqref="U258:AJ258"/>
    </sheetView>
  </sheetViews>
  <sheetFormatPr baseColWidth="10" defaultColWidth="0" defaultRowHeight="24.95" customHeight="1" x14ac:dyDescent="0.2"/>
  <cols>
    <col min="1" max="1" width="15.140625" style="768" customWidth="1"/>
    <col min="2" max="2" width="50.5703125" style="670" customWidth="1"/>
    <col min="3" max="3" width="14.42578125" style="275" customWidth="1"/>
    <col min="4" max="4" width="16.140625" style="275" customWidth="1"/>
    <col min="5" max="6" width="14.42578125" style="275" customWidth="1"/>
    <col min="7" max="7" width="16.42578125" style="275" customWidth="1"/>
    <col min="8" max="9" width="14.42578125" style="275" customWidth="1"/>
    <col min="10" max="10" width="16.42578125"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7109375" style="712" customWidth="1"/>
    <col min="20" max="20" width="60.140625" style="686" customWidth="1"/>
    <col min="21" max="25" width="14.7109375" style="275" customWidth="1"/>
    <col min="26" max="26" width="18.140625" style="275" customWidth="1"/>
    <col min="27" max="27" width="14.7109375" style="275" customWidth="1"/>
    <col min="28" max="28" width="20.140625" style="275" customWidth="1"/>
    <col min="29" max="30" width="14.7109375" style="275" customWidth="1"/>
    <col min="31" max="31" width="19.140625" style="275" customWidth="1"/>
    <col min="32"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2.28515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0.5"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11</v>
      </c>
      <c r="AP2" s="283" t="s">
        <v>8</v>
      </c>
      <c r="AQ2" s="284"/>
      <c r="AR2" s="3"/>
      <c r="AS2" s="3"/>
      <c r="AT2" s="3"/>
      <c r="AU2" s="3"/>
      <c r="AV2" s="3"/>
      <c r="AW2" s="3"/>
      <c r="AX2" s="3"/>
      <c r="AY2" s="3"/>
      <c r="AZ2" s="4"/>
      <c r="BB2" s="899" t="s">
        <v>404</v>
      </c>
      <c r="BC2" s="901"/>
      <c r="BD2" s="51" t="s">
        <v>392</v>
      </c>
      <c r="BE2" s="281" t="str">
        <f>+L3</f>
        <v>NOVIEMBRE</v>
      </c>
      <c r="BF2" s="276"/>
      <c r="BG2" s="899" t="s">
        <v>405</v>
      </c>
      <c r="BH2" s="901"/>
      <c r="BI2" s="901"/>
      <c r="BJ2" s="51" t="s">
        <v>392</v>
      </c>
      <c r="BK2" s="281" t="str">
        <f>+BE2</f>
        <v>NOVIEMBRE</v>
      </c>
      <c r="BM2" s="899" t="s">
        <v>405</v>
      </c>
      <c r="BN2" s="901"/>
      <c r="BO2" s="901"/>
      <c r="BP2" s="51" t="s">
        <v>392</v>
      </c>
      <c r="BQ2" s="281" t="str">
        <f>+BK2</f>
        <v>NOVIEMBRE</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379</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NOVIEMBRE</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298"/>
    </row>
    <row r="5" spans="1:69" ht="42" customHeight="1" thickBot="1" x14ac:dyDescent="0.3">
      <c r="A5" s="935" t="s">
        <v>19</v>
      </c>
      <c r="B5" s="937" t="s">
        <v>20</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5" t="str">
        <f>+CONCATENATE("ACUMULADO ",N3)</f>
        <v>ACUMULADO 2015</v>
      </c>
      <c r="BI5" s="876"/>
      <c r="BJ5" s="876"/>
      <c r="BK5" s="877"/>
      <c r="BM5" s="910" t="s">
        <v>34</v>
      </c>
      <c r="BN5" s="311" t="str">
        <f>+CONCATENATE("ACUMULADO ",BQ3)</f>
        <v>ACUMULADO 2015</v>
      </c>
      <c r="BO5" s="312"/>
      <c r="BP5" s="313"/>
      <c r="BQ5" s="314"/>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NOVIEMBRE</v>
      </c>
      <c r="AS6" s="319" t="str">
        <f>AR6</f>
        <v>NOVIEMBRE</v>
      </c>
      <c r="AT6" s="319" t="str">
        <f>AR6</f>
        <v>NOVIEMBRE</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1395117330</v>
      </c>
      <c r="AS7" s="330">
        <f>L22</f>
        <v>817005247</v>
      </c>
      <c r="AT7" s="13"/>
      <c r="AU7" s="331">
        <f t="shared" ref="AU7:AU17" si="0">IF(AQ7=0," ",AR7/AQ7)</f>
        <v>0.79324130166664009</v>
      </c>
      <c r="AV7" s="331">
        <f t="shared" ref="AV7:AV17" si="1">IF(AQ7=0," ",AS7/AQ7)</f>
        <v>0.46453605848244667</v>
      </c>
      <c r="AW7" s="330">
        <f>I23/AO$2*12+I24</f>
        <v>1484709592.090909</v>
      </c>
      <c r="AX7" s="330">
        <f>L23/AO$2*12+L24</f>
        <v>854041865.18181813</v>
      </c>
      <c r="AY7" s="330">
        <f t="shared" ref="AY7:AY16" si="2">AW7-AQ7</f>
        <v>-274045690.909091</v>
      </c>
      <c r="AZ7" s="332">
        <f t="shared" ref="AZ7:AZ16" si="3">AX7-AQ7</f>
        <v>-904713417.81818187</v>
      </c>
      <c r="BB7" s="333" t="s">
        <v>55</v>
      </c>
      <c r="BC7" s="54">
        <f>F10</f>
        <v>90342061</v>
      </c>
      <c r="BD7" s="55">
        <f>I10</f>
        <v>90342061</v>
      </c>
      <c r="BE7" s="56">
        <f>K10</f>
        <v>0</v>
      </c>
      <c r="BF7" s="57"/>
      <c r="BG7" s="91" t="s">
        <v>56</v>
      </c>
      <c r="BH7" s="117">
        <f>+SUM(BH8:BH11)</f>
        <v>2821019353</v>
      </c>
      <c r="BI7" s="117">
        <f>+SUM(BI8:BI11)</f>
        <v>1999393294</v>
      </c>
      <c r="BJ7" s="117">
        <f>+SUM(BJ8:BJ11)</f>
        <v>1870783339</v>
      </c>
      <c r="BK7" s="117">
        <f>+SUM(BK8:BK11)</f>
        <v>0</v>
      </c>
      <c r="BM7" s="61" t="s">
        <v>56</v>
      </c>
      <c r="BN7" s="62">
        <f>BN8+BN15+BN22</f>
        <v>2821019353</v>
      </c>
      <c r="BO7" s="63">
        <f>BO8+BO15+BO22</f>
        <v>1999393294</v>
      </c>
      <c r="BP7" s="63">
        <f>BP8+BP15+BP22</f>
        <v>1870783339</v>
      </c>
      <c r="BQ7" s="64">
        <f>BQ8+BQ15+BQ22</f>
        <v>0</v>
      </c>
    </row>
    <row r="8" spans="1:69" s="9" customFormat="1" ht="24.95" customHeight="1" thickBot="1" x14ac:dyDescent="0.3">
      <c r="A8" s="744">
        <f>+IF(OCTUBRE!A8=0,"",OCTUBRE!A8)</f>
        <v>1</v>
      </c>
      <c r="B8" s="643" t="str">
        <f>+IF(OCTUBRE!B8=0,"",OCTUBRE!B8)</f>
        <v>INGRESOS</v>
      </c>
      <c r="C8" s="334">
        <f>C10+C17+C113</f>
        <v>3135701014</v>
      </c>
      <c r="D8" s="334">
        <f t="shared" ref="D8:Q8" si="4">D10+D17+D113</f>
        <v>0</v>
      </c>
      <c r="E8" s="334">
        <f t="shared" si="4"/>
        <v>754899733</v>
      </c>
      <c r="F8" s="334">
        <f t="shared" si="4"/>
        <v>3890600747</v>
      </c>
      <c r="G8" s="334">
        <f t="shared" si="4"/>
        <v>3025302308</v>
      </c>
      <c r="H8" s="334">
        <f t="shared" si="4"/>
        <v>0</v>
      </c>
      <c r="I8" s="334">
        <f t="shared" si="4"/>
        <v>3025302308</v>
      </c>
      <c r="J8" s="334">
        <f t="shared" si="4"/>
        <v>2185743585</v>
      </c>
      <c r="K8" s="334">
        <f t="shared" si="4"/>
        <v>0</v>
      </c>
      <c r="L8" s="334">
        <f t="shared" si="4"/>
        <v>2185743585</v>
      </c>
      <c r="M8" s="334">
        <f t="shared" si="4"/>
        <v>865298439</v>
      </c>
      <c r="N8" s="334">
        <f t="shared" si="4"/>
        <v>1704857162</v>
      </c>
      <c r="O8" s="336"/>
      <c r="P8" s="337">
        <f t="shared" si="4"/>
        <v>0</v>
      </c>
      <c r="Q8" s="335">
        <f t="shared" si="4"/>
        <v>0</v>
      </c>
      <c r="S8" s="715" t="str">
        <f>+IF(OCTUBRE!S8=0,"",OCTUBRE!S8)</f>
        <v/>
      </c>
      <c r="T8" s="687" t="str">
        <f>+IF(OCTUBRE!T8=0,"",OCTUBRE!T8)</f>
        <v>GASTOS</v>
      </c>
      <c r="U8" s="338">
        <f t="shared" ref="U8:AM8" si="5">U10+U207+U220+U232</f>
        <v>3135701014</v>
      </c>
      <c r="V8" s="339">
        <f t="shared" si="5"/>
        <v>0</v>
      </c>
      <c r="W8" s="339">
        <f t="shared" si="5"/>
        <v>754899733</v>
      </c>
      <c r="X8" s="340">
        <f t="shared" si="5"/>
        <v>3890600747</v>
      </c>
      <c r="Y8" s="341">
        <f t="shared" si="5"/>
        <v>2726086676</v>
      </c>
      <c r="Z8" s="339">
        <f t="shared" si="5"/>
        <v>0</v>
      </c>
      <c r="AA8" s="340">
        <f t="shared" si="5"/>
        <v>2726086676</v>
      </c>
      <c r="AB8" s="341">
        <f t="shared" si="5"/>
        <v>2546110443</v>
      </c>
      <c r="AC8" s="339">
        <f t="shared" si="5"/>
        <v>0</v>
      </c>
      <c r="AD8" s="340">
        <f t="shared" si="5"/>
        <v>2546110443</v>
      </c>
      <c r="AE8" s="341">
        <f t="shared" si="5"/>
        <v>2054277226</v>
      </c>
      <c r="AF8" s="339">
        <f t="shared" si="5"/>
        <v>0</v>
      </c>
      <c r="AG8" s="340">
        <f t="shared" si="5"/>
        <v>2054277226</v>
      </c>
      <c r="AH8" s="341">
        <f t="shared" si="5"/>
        <v>1164514071</v>
      </c>
      <c r="AI8" s="339">
        <f t="shared" si="5"/>
        <v>1344490304</v>
      </c>
      <c r="AJ8" s="342">
        <f t="shared" si="5"/>
        <v>1836323521</v>
      </c>
      <c r="AL8" s="343">
        <f t="shared" si="5"/>
        <v>0</v>
      </c>
      <c r="AM8" s="344">
        <f t="shared" si="5"/>
        <v>0</v>
      </c>
      <c r="AO8" s="21"/>
      <c r="AP8" s="11" t="s">
        <v>58</v>
      </c>
      <c r="AQ8" s="12">
        <f>F25</f>
        <v>945539330</v>
      </c>
      <c r="AR8" s="12">
        <f>I25</f>
        <v>685227161</v>
      </c>
      <c r="AS8" s="12">
        <f>L25</f>
        <v>489985240</v>
      </c>
      <c r="AT8" s="13"/>
      <c r="AU8" s="345">
        <f t="shared" si="0"/>
        <v>0.72469450953457426</v>
      </c>
      <c r="AV8" s="345">
        <f t="shared" si="1"/>
        <v>0.51820714850645078</v>
      </c>
      <c r="AW8" s="12">
        <f>I26/AO$2*12+I27</f>
        <v>742982036.63636363</v>
      </c>
      <c r="AX8" s="12">
        <f>L26/AO$2*12+L27</f>
        <v>529990850.09090912</v>
      </c>
      <c r="AY8" s="12">
        <f t="shared" si="2"/>
        <v>-202557293.36363637</v>
      </c>
      <c r="AZ8" s="346">
        <f t="shared" si="3"/>
        <v>-415548479.90909088</v>
      </c>
      <c r="BB8" s="143" t="s">
        <v>59</v>
      </c>
      <c r="BC8" s="65">
        <f>BC9+BC19</f>
        <v>3195036512</v>
      </c>
      <c r="BD8" s="66">
        <f>BD9+BD19</f>
        <v>2388229492</v>
      </c>
      <c r="BE8" s="67">
        <f>BE9+BE19</f>
        <v>0</v>
      </c>
      <c r="BF8" s="57"/>
      <c r="BG8" s="68" t="s">
        <v>60</v>
      </c>
      <c r="BH8" s="69">
        <f>BN9+BN13</f>
        <v>1707852065</v>
      </c>
      <c r="BI8" s="69">
        <f>BO9+BO13</f>
        <v>1158447893</v>
      </c>
      <c r="BJ8" s="69">
        <f>BP9+BP13</f>
        <v>1158447893</v>
      </c>
      <c r="BK8" s="69">
        <f>BQ9+BQ13</f>
        <v>0</v>
      </c>
      <c r="BM8" s="71" t="s">
        <v>61</v>
      </c>
      <c r="BN8" s="72">
        <f>BN9+BN14+BN13</f>
        <v>2098181582</v>
      </c>
      <c r="BO8" s="69">
        <f>BO9+BO14+BO13</f>
        <v>1515696393</v>
      </c>
      <c r="BP8" s="69">
        <f>BP9+BP14+BP13</f>
        <v>1419770783</v>
      </c>
      <c r="BQ8" s="70">
        <f>BQ9+BQ14+BQ13</f>
        <v>0</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244146079</v>
      </c>
      <c r="AS9" s="12">
        <f>L28+L75</f>
        <v>237325602</v>
      </c>
      <c r="AT9" s="13"/>
      <c r="AU9" s="353">
        <f t="shared" si="0"/>
        <v>0.69611463825630127</v>
      </c>
      <c r="AV9" s="353">
        <f t="shared" si="1"/>
        <v>0.67666794511653383</v>
      </c>
      <c r="AW9" s="354">
        <f>(I30+I33+I36+I76)/AO$2*12+I31+I34+I37+I38+I39+I40+I77</f>
        <v>244909300.90909091</v>
      </c>
      <c r="AX9" s="354">
        <f>(L30+L33+L36+L76)/AO$2*12+L31+L34+L37+L38+L39+L40+L77</f>
        <v>237806854.72727272</v>
      </c>
      <c r="AY9" s="354">
        <f t="shared" si="2"/>
        <v>-105817527.09090909</v>
      </c>
      <c r="AZ9" s="355">
        <f t="shared" si="3"/>
        <v>-112919973.27272728</v>
      </c>
      <c r="BB9" s="356" t="s">
        <v>437</v>
      </c>
      <c r="BC9" s="73">
        <f>BC10+BC18</f>
        <v>3087854833</v>
      </c>
      <c r="BD9" s="74">
        <f>BD10+BD18</f>
        <v>2311210606</v>
      </c>
      <c r="BE9" s="75">
        <f>BE10+BE18</f>
        <v>0</v>
      </c>
      <c r="BF9" s="76"/>
      <c r="BG9" s="77" t="s">
        <v>64</v>
      </c>
      <c r="BH9" s="78">
        <f t="shared" ref="BH9:BK10" si="6">BN14</f>
        <v>390329517</v>
      </c>
      <c r="BI9" s="78">
        <f t="shared" si="6"/>
        <v>357248500</v>
      </c>
      <c r="BJ9" s="78">
        <f t="shared" si="6"/>
        <v>261322890</v>
      </c>
      <c r="BK9" s="78">
        <f t="shared" si="6"/>
        <v>0</v>
      </c>
      <c r="BM9" s="140" t="s">
        <v>65</v>
      </c>
      <c r="BN9" s="80">
        <f>SUM(BN10:BN12)</f>
        <v>1254304402</v>
      </c>
      <c r="BO9" s="78">
        <f>SUM(BO10:BO12)</f>
        <v>857958328</v>
      </c>
      <c r="BP9" s="78">
        <f>SUM(BP10:BP12)</f>
        <v>857958328</v>
      </c>
      <c r="BQ9" s="79">
        <f>SUM(BQ10:BQ12)</f>
        <v>0</v>
      </c>
    </row>
    <row r="10" spans="1:69" s="9" customFormat="1" ht="24.95" customHeight="1" x14ac:dyDescent="0.2">
      <c r="A10" s="745">
        <f>+IF(OCTUBRE!A10=0,"",OCTUBRE!A10)</f>
        <v>10</v>
      </c>
      <c r="B10" s="645" t="str">
        <f>+IF(OCTUBRE!B10=0,"",OCTUBRE!B10)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+IF(OCTUBRE!S10=0,"",OCTUBRE!S10)</f>
        <v>A</v>
      </c>
      <c r="T10" s="688" t="str">
        <f>+IF(OCTUBRE!T10=0,"",OCTUBRE!T10)</f>
        <v>GASTOS DE FUNCIONAMIENTO</v>
      </c>
      <c r="U10" s="361">
        <f t="shared" ref="U10:AJ10" si="8">U12+U110+U170+U193</f>
        <v>2832701014</v>
      </c>
      <c r="V10" s="362">
        <f t="shared" si="8"/>
        <v>103000000</v>
      </c>
      <c r="W10" s="362">
        <f t="shared" si="8"/>
        <v>576899733</v>
      </c>
      <c r="X10" s="365">
        <f t="shared" si="8"/>
        <v>3512600747</v>
      </c>
      <c r="Y10" s="364">
        <f t="shared" si="8"/>
        <v>2604656350</v>
      </c>
      <c r="Z10" s="362">
        <f t="shared" si="8"/>
        <v>0</v>
      </c>
      <c r="AA10" s="365">
        <f t="shared" si="8"/>
        <v>2604656350</v>
      </c>
      <c r="AB10" s="364">
        <f t="shared" si="8"/>
        <v>2464237451</v>
      </c>
      <c r="AC10" s="362">
        <f t="shared" si="8"/>
        <v>0</v>
      </c>
      <c r="AD10" s="365">
        <f t="shared" si="8"/>
        <v>2464237451</v>
      </c>
      <c r="AE10" s="364">
        <f t="shared" si="8"/>
        <v>1990816226</v>
      </c>
      <c r="AF10" s="362">
        <f t="shared" si="8"/>
        <v>0</v>
      </c>
      <c r="AG10" s="365">
        <f t="shared" si="8"/>
        <v>1990816226</v>
      </c>
      <c r="AH10" s="364">
        <f t="shared" si="8"/>
        <v>907944397</v>
      </c>
      <c r="AI10" s="362">
        <f t="shared" si="8"/>
        <v>1048363296</v>
      </c>
      <c r="AJ10" s="363">
        <f t="shared" si="8"/>
        <v>1521784521</v>
      </c>
      <c r="AL10" s="366">
        <f>AL12+AL110+AL170+AL193</f>
        <v>0</v>
      </c>
      <c r="AM10" s="367">
        <f>AM12+AM110+AM170+AM193</f>
        <v>0</v>
      </c>
      <c r="AO10" s="352"/>
      <c r="AP10" s="11" t="s">
        <v>67</v>
      </c>
      <c r="AQ10" s="12">
        <f>F42</f>
        <v>111280673</v>
      </c>
      <c r="AR10" s="12">
        <f>I42</f>
        <v>67464121</v>
      </c>
      <c r="AS10" s="12">
        <f>L42</f>
        <v>65005392</v>
      </c>
      <c r="AT10" s="13"/>
      <c r="AU10" s="353">
        <f t="shared" si="0"/>
        <v>0.60625191402284206</v>
      </c>
      <c r="AV10" s="353">
        <f t="shared" si="1"/>
        <v>0.58415707101268155</v>
      </c>
      <c r="AW10" s="354">
        <f>I43/AO$2*12+I44</f>
        <v>73597222.909090906</v>
      </c>
      <c r="AX10" s="354">
        <f>L43/AO$2*12+L44</f>
        <v>70914973.090909094</v>
      </c>
      <c r="AY10" s="354">
        <f t="shared" si="2"/>
        <v>-37683450.090909094</v>
      </c>
      <c r="AZ10" s="355">
        <f t="shared" si="3"/>
        <v>-40365699.909090906</v>
      </c>
      <c r="BB10" s="368" t="s">
        <v>438</v>
      </c>
      <c r="BC10" s="73">
        <f>BC11+BC12+BC13+BC14+BC16+BC17+BC15</f>
        <v>3013140862</v>
      </c>
      <c r="BD10" s="74">
        <f>BD11+BD12+BD13+BD14+BD16+BD17+BD15</f>
        <v>2173338810</v>
      </c>
      <c r="BE10" s="75">
        <f>BE11+BE12+BE13+BE14+BE16+BE17+BE15</f>
        <v>0</v>
      </c>
      <c r="BF10" s="76"/>
      <c r="BG10" s="68" t="s">
        <v>68</v>
      </c>
      <c r="BH10" s="81">
        <f t="shared" si="6"/>
        <v>657265487</v>
      </c>
      <c r="BI10" s="81">
        <f t="shared" si="6"/>
        <v>451524737</v>
      </c>
      <c r="BJ10" s="81">
        <f t="shared" si="6"/>
        <v>418840392</v>
      </c>
      <c r="BK10" s="81">
        <f t="shared" si="6"/>
        <v>0</v>
      </c>
      <c r="BM10" s="137" t="s">
        <v>450</v>
      </c>
      <c r="BN10" s="83">
        <f>X17+X66</f>
        <v>943171180</v>
      </c>
      <c r="BO10" s="81">
        <f>AA17+AA66</f>
        <v>701547252</v>
      </c>
      <c r="BP10" s="81">
        <f>AD17+AD66</f>
        <v>701547252</v>
      </c>
      <c r="BQ10" s="82">
        <f>AF17+AF66</f>
        <v>0</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559</v>
      </c>
      <c r="AQ11" s="12">
        <f>F88</f>
        <v>0</v>
      </c>
      <c r="AR11" s="12">
        <f>I88</f>
        <v>0</v>
      </c>
      <c r="AS11" s="12">
        <f>L88</f>
        <v>0</v>
      </c>
      <c r="AT11" s="374">
        <f>AO2/12</f>
        <v>0.91666666666666663</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635303632</v>
      </c>
      <c r="BE11" s="75">
        <f>K26</f>
        <v>0</v>
      </c>
      <c r="BF11" s="76"/>
      <c r="BG11" s="68" t="s">
        <v>69</v>
      </c>
      <c r="BH11" s="84">
        <f>BN22</f>
        <v>65572284</v>
      </c>
      <c r="BI11" s="84">
        <f>BO22</f>
        <v>32172164</v>
      </c>
      <c r="BJ11" s="84">
        <f>BP22</f>
        <v>32172164</v>
      </c>
      <c r="BK11" s="84">
        <f>BQ22</f>
        <v>0</v>
      </c>
      <c r="BM11" s="138" t="s">
        <v>451</v>
      </c>
      <c r="BN11" s="86">
        <f>X18+X67</f>
        <v>138639980</v>
      </c>
      <c r="BO11" s="84">
        <f>AA18+AA67</f>
        <v>119045861</v>
      </c>
      <c r="BP11" s="84">
        <f>AD18+AD67</f>
        <v>119045861</v>
      </c>
      <c r="BQ11" s="85">
        <f>AF18+AF67</f>
        <v>0</v>
      </c>
    </row>
    <row r="12" spans="1:69" s="9" customFormat="1" ht="24.95" customHeight="1" x14ac:dyDescent="0.2">
      <c r="A12" s="618">
        <f>+IF(OCTUBRE!A12=0,"",OCTUBRE!A12)</f>
        <v>1001</v>
      </c>
      <c r="B12" s="646" t="str">
        <f>+IF(OCTUBRE!B12=0,"",OCTUBRE!B12)</f>
        <v>Bienestar Social (Caja, Bancos, Inversiones Tempor.) a Dic-31-2014</v>
      </c>
      <c r="C12" s="375">
        <f>+ENERO!C12</f>
        <v>0</v>
      </c>
      <c r="D12" s="376">
        <f>OCTUBRE!D12+NOVIEMBRE!P12</f>
        <v>0</v>
      </c>
      <c r="E12" s="376">
        <f>OCTUBRE!E12+NOVIEMBRE!Q12</f>
        <v>81553</v>
      </c>
      <c r="F12" s="146">
        <f>SUM(C12:E12)</f>
        <v>81553</v>
      </c>
      <c r="G12" s="222">
        <f>OCTUBRE!I12</f>
        <v>81553</v>
      </c>
      <c r="H12" s="377">
        <v>0</v>
      </c>
      <c r="I12" s="146">
        <f>SUM(G12:H12)</f>
        <v>81553</v>
      </c>
      <c r="J12" s="222">
        <f>OCTUBRE!L12</f>
        <v>81553</v>
      </c>
      <c r="K12" s="134">
        <v>0</v>
      </c>
      <c r="L12" s="146">
        <f>SUM(J12:K12)</f>
        <v>81553</v>
      </c>
      <c r="M12" s="222">
        <f>F12-I12</f>
        <v>0</v>
      </c>
      <c r="N12" s="146">
        <f>F12-L12</f>
        <v>0</v>
      </c>
      <c r="O12" s="297"/>
      <c r="P12" s="375">
        <v>0</v>
      </c>
      <c r="Q12" s="378">
        <v>0</v>
      </c>
      <c r="S12" s="716">
        <f>+IF(OCTUBRE!S12=0,"",OCTUBRE!S12)</f>
        <v>1000000</v>
      </c>
      <c r="T12" s="690" t="str">
        <f>+IF(OCTUBRE!T12=0,"",OCTUBRE!T12)</f>
        <v>GASTOS DE PERSONAL</v>
      </c>
      <c r="U12" s="379">
        <f t="shared" ref="U12:AJ12" si="9">U14+U63</f>
        <v>1994472741</v>
      </c>
      <c r="V12" s="380">
        <f t="shared" si="9"/>
        <v>90300000</v>
      </c>
      <c r="W12" s="380">
        <f t="shared" si="9"/>
        <v>152721141</v>
      </c>
      <c r="X12" s="381">
        <f t="shared" si="9"/>
        <v>2237493882</v>
      </c>
      <c r="Y12" s="366">
        <f t="shared" si="9"/>
        <v>1655008693</v>
      </c>
      <c r="Z12" s="380">
        <f t="shared" si="9"/>
        <v>0</v>
      </c>
      <c r="AA12" s="381">
        <f t="shared" si="9"/>
        <v>1655008693</v>
      </c>
      <c r="AB12" s="366">
        <f t="shared" si="9"/>
        <v>1559083083</v>
      </c>
      <c r="AC12" s="380">
        <f t="shared" si="9"/>
        <v>0</v>
      </c>
      <c r="AD12" s="381">
        <f t="shared" si="9"/>
        <v>1559083083</v>
      </c>
      <c r="AE12" s="366">
        <f t="shared" si="9"/>
        <v>1392383421</v>
      </c>
      <c r="AF12" s="380">
        <f t="shared" si="9"/>
        <v>0</v>
      </c>
      <c r="AG12" s="381">
        <f t="shared" si="9"/>
        <v>1392383421</v>
      </c>
      <c r="AH12" s="366">
        <f t="shared" si="9"/>
        <v>582485189</v>
      </c>
      <c r="AI12" s="380">
        <f t="shared" si="9"/>
        <v>678410799</v>
      </c>
      <c r="AJ12" s="367">
        <f t="shared" si="9"/>
        <v>845110461</v>
      </c>
      <c r="AK12" s="10"/>
      <c r="AL12" s="382">
        <f>AL14+AL63</f>
        <v>0</v>
      </c>
      <c r="AM12" s="383">
        <f>AM14+AM63</f>
        <v>0</v>
      </c>
      <c r="AO12" s="373"/>
      <c r="AP12" s="536" t="s">
        <v>560</v>
      </c>
      <c r="AQ12" s="12">
        <f>F89</f>
        <v>50000000</v>
      </c>
      <c r="AR12" s="12">
        <f>I89</f>
        <v>29658686</v>
      </c>
      <c r="AS12" s="12">
        <f>L89</f>
        <v>22329343</v>
      </c>
      <c r="AT12" s="13"/>
      <c r="AU12" s="353">
        <f t="shared" si="0"/>
        <v>0.59317372000000002</v>
      </c>
      <c r="AV12" s="353">
        <f t="shared" si="1"/>
        <v>0.44658685999999997</v>
      </c>
      <c r="AW12" s="354">
        <f>I89</f>
        <v>29658686</v>
      </c>
      <c r="AX12" s="354">
        <f>L89</f>
        <v>22329343</v>
      </c>
      <c r="AY12" s="354">
        <f t="shared" si="2"/>
        <v>-20341314</v>
      </c>
      <c r="AZ12" s="355">
        <f t="shared" si="3"/>
        <v>-27670657</v>
      </c>
      <c r="BB12" s="368" t="s">
        <v>440</v>
      </c>
      <c r="BC12" s="73">
        <f>F23</f>
        <v>1323143662</v>
      </c>
      <c r="BD12" s="74">
        <f>I23</f>
        <v>985514883</v>
      </c>
      <c r="BE12" s="75">
        <f>K23</f>
        <v>0</v>
      </c>
      <c r="BF12" s="76"/>
      <c r="BG12" s="384" t="s">
        <v>395</v>
      </c>
      <c r="BH12" s="84">
        <f>BN25</f>
        <v>349217338</v>
      </c>
      <c r="BI12" s="15">
        <f>BO25</f>
        <v>262899000</v>
      </c>
      <c r="BJ12" s="84">
        <f>BP25</f>
        <v>251090056</v>
      </c>
      <c r="BK12" s="84">
        <f>BQ25</f>
        <v>0</v>
      </c>
      <c r="BM12" s="139" t="s">
        <v>452</v>
      </c>
      <c r="BN12" s="86">
        <f>X16+X65-X81-X33-BN10-BN11</f>
        <v>172493242</v>
      </c>
      <c r="BO12" s="84">
        <f>AA16+AA65-AA81-AA33-BO10-BO11</f>
        <v>37365215</v>
      </c>
      <c r="BP12" s="84">
        <f>AD16+AD65-AD81-AD33-BP10-BP11</f>
        <v>37365215</v>
      </c>
      <c r="BQ12" s="85">
        <f>AF16+AF65-AF81-AF33-BQ10-BQ11</f>
        <v>0</v>
      </c>
    </row>
    <row r="13" spans="1:69" s="9" customFormat="1" ht="24.95" customHeight="1" x14ac:dyDescent="0.25">
      <c r="A13" s="618">
        <f>+IF(OCTUBRE!A13=0,"",OCTUBRE!A13)</f>
        <v>1002</v>
      </c>
      <c r="B13" s="646" t="str">
        <f>+IF(OCTUBRE!B13=0,"",OCTUBRE!B13)</f>
        <v>Fondo Vivienda (Caja, Bancos, Inversiones Tempor.) a Dic-31-2014</v>
      </c>
      <c r="C13" s="375">
        <f>+ENERO!C13</f>
        <v>0</v>
      </c>
      <c r="D13" s="376">
        <f>OCTUBRE!D13+NOVIEMBRE!P13</f>
        <v>0</v>
      </c>
      <c r="E13" s="376">
        <f>OCTUBRE!E13+NOVIEMBRE!Q13</f>
        <v>0</v>
      </c>
      <c r="F13" s="146">
        <f>SUM(C13:E13)</f>
        <v>0</v>
      </c>
      <c r="G13" s="222">
        <f>OCTUBRE!I13</f>
        <v>0</v>
      </c>
      <c r="H13" s="377">
        <v>0</v>
      </c>
      <c r="I13" s="146">
        <f>SUM(G13:H13)</f>
        <v>0</v>
      </c>
      <c r="J13" s="222">
        <f>OCTUBRE!L13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561</v>
      </c>
      <c r="AQ13" s="12">
        <f>F90</f>
        <v>24000000</v>
      </c>
      <c r="AR13" s="12">
        <f>I90</f>
        <v>9600000</v>
      </c>
      <c r="AS13" s="12">
        <f>L90</f>
        <v>9600000</v>
      </c>
      <c r="AT13" s="13"/>
      <c r="AU13" s="353">
        <f t="shared" si="0"/>
        <v>0.4</v>
      </c>
      <c r="AV13" s="353">
        <f t="shared" si="1"/>
        <v>0.4</v>
      </c>
      <c r="AW13" s="354">
        <f>I90</f>
        <v>9600000</v>
      </c>
      <c r="AX13" s="354">
        <f>L90</f>
        <v>9600000</v>
      </c>
      <c r="AY13" s="354">
        <f t="shared" si="2"/>
        <v>-14400000</v>
      </c>
      <c r="AZ13" s="355">
        <f t="shared" si="3"/>
        <v>-14400000</v>
      </c>
      <c r="BA13" s="385"/>
      <c r="BB13" s="386" t="s">
        <v>441</v>
      </c>
      <c r="BC13" s="87">
        <f>+F30+F33+F36+F38+F39+F40</f>
        <v>350726828</v>
      </c>
      <c r="BD13" s="88">
        <f>+I30+I33+I36+I38+I39+I40</f>
        <v>244146079</v>
      </c>
      <c r="BE13" s="89">
        <f>+K30+K33+K36+K38+K39+K40</f>
        <v>0</v>
      </c>
      <c r="BF13" s="90"/>
      <c r="BG13" s="91" t="s">
        <v>72</v>
      </c>
      <c r="BH13" s="84">
        <f t="shared" ref="BH13:BK15" si="10">BN29</f>
        <v>378000000</v>
      </c>
      <c r="BI13" s="84">
        <f t="shared" si="10"/>
        <v>121430326</v>
      </c>
      <c r="BJ13" s="84">
        <f t="shared" si="10"/>
        <v>81872992</v>
      </c>
      <c r="BK13" s="84">
        <f t="shared" si="10"/>
        <v>0</v>
      </c>
      <c r="BM13" s="142" t="s">
        <v>453</v>
      </c>
      <c r="BN13" s="83">
        <f>X43-X55+X57-X61+X90-X102+X104-X108</f>
        <v>453547663</v>
      </c>
      <c r="BO13" s="81">
        <f>AA43-AA55+AA57-AA61+AA90-AA102+AA104-AA108</f>
        <v>300489565</v>
      </c>
      <c r="BP13" s="81">
        <f>AD43-AD55+AD57-AD61+AD90-AD102+AD104-AD108</f>
        <v>300489565</v>
      </c>
      <c r="BQ13" s="82">
        <f>AF43-AF55+AF57-AF61+AF90-AF102+AF104-AF108</f>
        <v>0</v>
      </c>
    </row>
    <row r="14" spans="1:69" s="9" customFormat="1" ht="24.95" customHeight="1" x14ac:dyDescent="0.25">
      <c r="A14" s="618">
        <f>+IF(OCTUBRE!A14=0,"",OCTUBRE!A14)</f>
        <v>1003</v>
      </c>
      <c r="B14" s="646" t="str">
        <f>+IF(OCTUBRE!B14=0,"",OCTUBRE!B14)</f>
        <v>Fondos Comunes y Especiales (Caja, Bancos, Invers. Tempor.) a Dic-31-2014</v>
      </c>
      <c r="C14" s="375">
        <f>+ENERO!C14</f>
        <v>0</v>
      </c>
      <c r="D14" s="376">
        <f>OCTUBRE!D14+NOVIEMBRE!P14</f>
        <v>0</v>
      </c>
      <c r="E14" s="376">
        <f>OCTUBRE!E14+NOVIEMBRE!Q14</f>
        <v>11310362</v>
      </c>
      <c r="F14" s="146">
        <f>SUM(C14:E14)</f>
        <v>11310362</v>
      </c>
      <c r="G14" s="222">
        <f>OCTUBRE!I14</f>
        <v>11310362</v>
      </c>
      <c r="H14" s="377">
        <v>0</v>
      </c>
      <c r="I14" s="146">
        <f>SUM(G14:H14)</f>
        <v>11310362</v>
      </c>
      <c r="J14" s="222">
        <f>OCTUBRE!L14</f>
        <v>11310362</v>
      </c>
      <c r="K14" s="134">
        <v>0</v>
      </c>
      <c r="L14" s="146">
        <f>SUM(J14:K14)</f>
        <v>11310362</v>
      </c>
      <c r="M14" s="222">
        <f>F14-I14</f>
        <v>0</v>
      </c>
      <c r="N14" s="146">
        <f>F14-L14</f>
        <v>0</v>
      </c>
      <c r="O14" s="385"/>
      <c r="P14" s="375">
        <v>0</v>
      </c>
      <c r="Q14" s="378">
        <v>0</v>
      </c>
      <c r="S14" s="717">
        <f>+IF(OCTUBRE!S14=0,"",OCTUBRE!S14)</f>
        <v>1010000</v>
      </c>
      <c r="T14" s="691" t="str">
        <f>+IF(OCTUBRE!T14=0,"",OCTUBRE!T14)</f>
        <v>Gastos de Administración</v>
      </c>
      <c r="U14" s="135">
        <f t="shared" ref="U14:AJ14" si="11">U16+U35+U43+U57</f>
        <v>717551072</v>
      </c>
      <c r="V14" s="124">
        <f t="shared" si="11"/>
        <v>3000000</v>
      </c>
      <c r="W14" s="124">
        <f t="shared" si="11"/>
        <v>74426723</v>
      </c>
      <c r="X14" s="132">
        <f t="shared" si="11"/>
        <v>794977795</v>
      </c>
      <c r="Y14" s="131">
        <f t="shared" si="11"/>
        <v>588616225</v>
      </c>
      <c r="Z14" s="124">
        <f t="shared" si="11"/>
        <v>0</v>
      </c>
      <c r="AA14" s="132">
        <f t="shared" si="11"/>
        <v>588616225</v>
      </c>
      <c r="AB14" s="131">
        <f t="shared" si="11"/>
        <v>533290615</v>
      </c>
      <c r="AC14" s="124">
        <f t="shared" si="11"/>
        <v>0</v>
      </c>
      <c r="AD14" s="132">
        <f t="shared" si="11"/>
        <v>533290615</v>
      </c>
      <c r="AE14" s="131">
        <f t="shared" si="11"/>
        <v>474733647</v>
      </c>
      <c r="AF14" s="124">
        <f t="shared" si="11"/>
        <v>0</v>
      </c>
      <c r="AG14" s="132">
        <f t="shared" si="11"/>
        <v>474733647</v>
      </c>
      <c r="AH14" s="131">
        <f t="shared" si="11"/>
        <v>206361570</v>
      </c>
      <c r="AI14" s="124">
        <f t="shared" si="11"/>
        <v>261687180</v>
      </c>
      <c r="AJ14" s="133">
        <f t="shared" si="11"/>
        <v>320244148</v>
      </c>
      <c r="AK14" s="10"/>
      <c r="AL14" s="131">
        <f>AL16+AL35+AL43+AL57</f>
        <v>0</v>
      </c>
      <c r="AM14" s="133">
        <f>AM16+AM35+AM43+AM57</f>
        <v>0</v>
      </c>
      <c r="AO14" s="21"/>
      <c r="AP14" s="11" t="s">
        <v>75</v>
      </c>
      <c r="AQ14" s="12">
        <f>F19-AQ7-AQ8-AQ9-AQ10-AQ11-AQ12-AQ13</f>
        <v>318225176</v>
      </c>
      <c r="AR14" s="12">
        <f>I19-AR7-AR8-AR9-AR10-AR11-AR12-AR13</f>
        <v>237067418</v>
      </c>
      <c r="AS14" s="12">
        <f>L19-AS7-AS8-AS9-AS10-AS11-AS12-AS13</f>
        <v>187471248</v>
      </c>
      <c r="AT14" s="385"/>
      <c r="AU14" s="353">
        <f t="shared" si="0"/>
        <v>0.74496751319260801</v>
      </c>
      <c r="AV14" s="353">
        <f t="shared" si="1"/>
        <v>0.58911507366092242</v>
      </c>
      <c r="AW14" s="354">
        <f>(I41+I46+I49+I52+I55+I58+I61+I64+I67+I70+I73+I78+I81+I82+I83+I85+I94+I104)/AO$2*12+I47+I50+I53+I56+I59+I62+I65+I68+I71+I74</f>
        <v>532740493</v>
      </c>
      <c r="AX14" s="354">
        <f>(L41+L46+L49+L52+L55+L58+L61+L64+L67+L70+L73+L78+L81+L82+L83+L85+L94+L104)/AO$2*12+L47+L50+L53+L56+L59+L62+L65+L68+L71+L74</f>
        <v>470639933.36363637</v>
      </c>
      <c r="AY14" s="354">
        <f t="shared" si="2"/>
        <v>214515317</v>
      </c>
      <c r="AZ14" s="355">
        <f t="shared" si="3"/>
        <v>152414757.36363637</v>
      </c>
      <c r="BB14" s="386" t="s">
        <v>442</v>
      </c>
      <c r="BC14" s="92">
        <f>+F64</f>
        <v>22951026</v>
      </c>
      <c r="BD14" s="93">
        <f>+I64</f>
        <v>22121153</v>
      </c>
      <c r="BE14" s="94">
        <f>K64</f>
        <v>0</v>
      </c>
      <c r="BF14" s="95"/>
      <c r="BG14" s="91" t="s">
        <v>76</v>
      </c>
      <c r="BH14" s="81">
        <f t="shared" si="10"/>
        <v>0</v>
      </c>
      <c r="BI14" s="81">
        <f t="shared" si="10"/>
        <v>0</v>
      </c>
      <c r="BJ14" s="81">
        <f t="shared" si="10"/>
        <v>0</v>
      </c>
      <c r="BK14" s="81">
        <f t="shared" si="10"/>
        <v>0</v>
      </c>
      <c r="BM14" s="141" t="s">
        <v>449</v>
      </c>
      <c r="BN14" s="86">
        <f>X35-X41+X83-X88</f>
        <v>390329517</v>
      </c>
      <c r="BO14" s="84">
        <f>AA35-AA41+AA83-AA88</f>
        <v>357248500</v>
      </c>
      <c r="BP14" s="84">
        <f>AD35-AD41+AD83-AD88</f>
        <v>261322890</v>
      </c>
      <c r="BQ14" s="85">
        <f>AF35-AF41+AF83-AF88</f>
        <v>0</v>
      </c>
    </row>
    <row r="15" spans="1:69" s="9" customFormat="1" ht="24.95" customHeight="1" thickBot="1" x14ac:dyDescent="0.3">
      <c r="A15" s="619">
        <f>+IF(OCTUBRE!A15=0,"",OCTUBRE!A15)</f>
        <v>1004</v>
      </c>
      <c r="B15" s="646" t="str">
        <f>+IF(OCTUBRE!B15=0,"",OCTUBRE!B15)</f>
        <v>Cesantias Ley 50/1990 a Dic-31-2014</v>
      </c>
      <c r="C15" s="387">
        <f>+ENERO!C15</f>
        <v>0</v>
      </c>
      <c r="D15" s="388">
        <f>OCTUBRE!D15+NOVIEMBRE!P15</f>
        <v>0</v>
      </c>
      <c r="E15" s="388">
        <f>OCTUBRE!E15+NOVIEMBRE!Q15</f>
        <v>78950146</v>
      </c>
      <c r="F15" s="389">
        <f>SUM(C15:E15)</f>
        <v>78950146</v>
      </c>
      <c r="G15" s="390">
        <f>OCTUBRE!I15</f>
        <v>78950146</v>
      </c>
      <c r="H15" s="391">
        <v>0</v>
      </c>
      <c r="I15" s="389">
        <f>SUM(G15:H15)</f>
        <v>78950146</v>
      </c>
      <c r="J15" s="390">
        <f>OCTUBRE!L15</f>
        <v>78950146</v>
      </c>
      <c r="K15" s="168">
        <v>0</v>
      </c>
      <c r="L15" s="389">
        <f>SUM(J15:K15)</f>
        <v>78950146</v>
      </c>
      <c r="M15" s="390">
        <f>F15-I15</f>
        <v>0</v>
      </c>
      <c r="N15" s="389">
        <f>F15-L15</f>
        <v>0</v>
      </c>
      <c r="O15" s="385"/>
      <c r="P15" s="387">
        <v>0</v>
      </c>
      <c r="Q15" s="392">
        <v>0</v>
      </c>
      <c r="S15" s="369" t="str">
        <f>+IF(OCTUBRE!S15=0,"",OCTUBRE!S15)</f>
        <v/>
      </c>
      <c r="T15" s="708" t="str">
        <f>+IF(OCTUBRE!T15=0,"",OCTUBRE!T15)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51708770</v>
      </c>
      <c r="AS15" s="12">
        <f>L113</f>
        <v>51708770</v>
      </c>
      <c r="AT15" s="13"/>
      <c r="AU15" s="345">
        <f t="shared" si="0"/>
        <v>0.8641785798074616</v>
      </c>
      <c r="AV15" s="353">
        <f t="shared" si="1"/>
        <v>0.8641785798074616</v>
      </c>
      <c r="AW15" s="12">
        <f>+AR15</f>
        <v>51708770</v>
      </c>
      <c r="AX15" s="12">
        <f>+AS15</f>
        <v>51708770</v>
      </c>
      <c r="AY15" s="12">
        <f t="shared" si="2"/>
        <v>-8126976</v>
      </c>
      <c r="AZ15" s="346">
        <f t="shared" si="3"/>
        <v>-8126976</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0</v>
      </c>
      <c r="BM15" s="71" t="s">
        <v>68</v>
      </c>
      <c r="BN15" s="83">
        <f>SUM(BN16:BN21)</f>
        <v>657265487</v>
      </c>
      <c r="BO15" s="81">
        <f>SUM(BO16:BO21)</f>
        <v>451524737</v>
      </c>
      <c r="BP15" s="81">
        <f>SUM(BP16:BP21)</f>
        <v>418840392</v>
      </c>
      <c r="BQ15" s="82">
        <f>SUM(BQ16:BQ21)</f>
        <v>0</v>
      </c>
    </row>
    <row r="16" spans="1:69" s="9" customFormat="1" ht="24.95" customHeight="1" thickBot="1" x14ac:dyDescent="0.3">
      <c r="A16" s="746" t="str">
        <f>+IF(OCTUBRE!A16=0,"",OCTUBRE!A16)</f>
        <v/>
      </c>
      <c r="B16" s="647" t="str">
        <f>+IF(OCTUBRE!B16=0,"",OCTUBRE!B16)</f>
        <v/>
      </c>
      <c r="C16" s="393"/>
      <c r="D16" s="393"/>
      <c r="E16" s="393"/>
      <c r="F16" s="393"/>
      <c r="G16" s="393"/>
      <c r="H16" s="393"/>
      <c r="I16" s="393"/>
      <c r="J16" s="393"/>
      <c r="K16" s="393"/>
      <c r="L16" s="393"/>
      <c r="M16" s="393"/>
      <c r="N16" s="394"/>
      <c r="O16" s="385"/>
      <c r="P16" s="395"/>
      <c r="Q16" s="396"/>
      <c r="S16" s="718">
        <f>+IF(OCTUBRE!S16=0,"",OCTUBRE!S16)</f>
        <v>1010100</v>
      </c>
      <c r="T16" s="692" t="str">
        <f>+IF(OCTUBRE!T16=0,"",OCTUBRE!T16)</f>
        <v>Servicios Personales Asociados a Nómina</v>
      </c>
      <c r="U16" s="135">
        <f t="shared" ref="U16:AJ16" si="12">SUM(U17:U20)+U33</f>
        <v>372660589</v>
      </c>
      <c r="V16" s="124">
        <f t="shared" si="12"/>
        <v>3000000</v>
      </c>
      <c r="W16" s="124">
        <f t="shared" si="12"/>
        <v>2702630</v>
      </c>
      <c r="X16" s="132">
        <f t="shared" si="12"/>
        <v>378363219</v>
      </c>
      <c r="Y16" s="131">
        <f t="shared" si="12"/>
        <v>244775802</v>
      </c>
      <c r="Z16" s="124">
        <f t="shared" si="12"/>
        <v>0</v>
      </c>
      <c r="AA16" s="132">
        <f t="shared" si="12"/>
        <v>244775802</v>
      </c>
      <c r="AB16" s="131">
        <f t="shared" si="12"/>
        <v>244775802</v>
      </c>
      <c r="AC16" s="124">
        <f t="shared" si="12"/>
        <v>0</v>
      </c>
      <c r="AD16" s="132">
        <f t="shared" si="12"/>
        <v>244775802</v>
      </c>
      <c r="AE16" s="131">
        <f t="shared" si="12"/>
        <v>244033451</v>
      </c>
      <c r="AF16" s="124">
        <f t="shared" si="12"/>
        <v>0</v>
      </c>
      <c r="AG16" s="132">
        <f t="shared" si="12"/>
        <v>244033451</v>
      </c>
      <c r="AH16" s="131">
        <f t="shared" si="12"/>
        <v>133587417</v>
      </c>
      <c r="AI16" s="124">
        <f t="shared" si="12"/>
        <v>133587417</v>
      </c>
      <c r="AJ16" s="133">
        <f t="shared" si="12"/>
        <v>134329768</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67464121</v>
      </c>
      <c r="BE16" s="75">
        <f>K43</f>
        <v>0</v>
      </c>
      <c r="BF16" s="76"/>
      <c r="BG16" s="91" t="s">
        <v>84</v>
      </c>
      <c r="BH16" s="96">
        <f>BH7+BH12+BH13+BH14+BH15</f>
        <v>3890600747</v>
      </c>
      <c r="BI16" s="96">
        <f>BI7+BI12+BI13+BI14+BI15</f>
        <v>2726086676</v>
      </c>
      <c r="BJ16" s="96">
        <f>BJ7+BJ12+BJ13+BJ14+BJ15</f>
        <v>2546110443</v>
      </c>
      <c r="BK16" s="96">
        <f>BK7+BK12+BK13+BK14+BK15</f>
        <v>0</v>
      </c>
      <c r="BM16" s="140" t="s">
        <v>85</v>
      </c>
      <c r="BN16" s="83">
        <f>X114-X121+X147-X148-X153</f>
        <v>161782184</v>
      </c>
      <c r="BO16" s="81">
        <f>AA114-AA121+AA147-AA148-AA153</f>
        <v>99088706</v>
      </c>
      <c r="BP16" s="81">
        <f>AD114-AD121+AD147-AD148-AD153</f>
        <v>99088706</v>
      </c>
      <c r="BQ16" s="82">
        <f>AF114-AF121+AF147-AF148-AF153</f>
        <v>0</v>
      </c>
    </row>
    <row r="17" spans="1:70" s="385" customFormat="1" ht="24.95" customHeight="1" thickBot="1" x14ac:dyDescent="0.3">
      <c r="A17" s="745">
        <f>+IF(OCTUBRE!A17=0,"",OCTUBRE!A17)</f>
        <v>11</v>
      </c>
      <c r="B17" s="648" t="str">
        <f>+IF(OCTUBRE!B17=0,"",OCTUBRE!B17)</f>
        <v>INGRESOS  CORRIENTES</v>
      </c>
      <c r="C17" s="337">
        <f>C19+C94+C104</f>
        <v>3103041868</v>
      </c>
      <c r="D17" s="334">
        <f t="shared" ref="D17:Q17" si="13">D19+D94+D104</f>
        <v>0</v>
      </c>
      <c r="E17" s="334">
        <f t="shared" si="13"/>
        <v>637381072</v>
      </c>
      <c r="F17" s="334">
        <f t="shared" si="13"/>
        <v>3740422940</v>
      </c>
      <c r="G17" s="334">
        <f t="shared" si="13"/>
        <v>2883251477</v>
      </c>
      <c r="H17" s="334">
        <f t="shared" si="13"/>
        <v>0</v>
      </c>
      <c r="I17" s="334">
        <f t="shared" si="13"/>
        <v>2883251477</v>
      </c>
      <c r="J17" s="334">
        <f t="shared" si="13"/>
        <v>2043692754</v>
      </c>
      <c r="K17" s="334">
        <f t="shared" si="13"/>
        <v>0</v>
      </c>
      <c r="L17" s="334">
        <f t="shared" si="13"/>
        <v>2043692754</v>
      </c>
      <c r="M17" s="334">
        <f t="shared" si="13"/>
        <v>857171463</v>
      </c>
      <c r="N17" s="335">
        <f t="shared" si="13"/>
        <v>1696730186</v>
      </c>
      <c r="P17" s="177">
        <f t="shared" si="13"/>
        <v>0</v>
      </c>
      <c r="Q17" s="178">
        <f t="shared" si="13"/>
        <v>0</v>
      </c>
      <c r="R17" s="9"/>
      <c r="S17" s="719">
        <f>+IF(OCTUBRE!S17=0,"",OCTUBRE!S17)</f>
        <v>1010101</v>
      </c>
      <c r="T17" s="693" t="str">
        <f>+IF(OCTUBRE!T17=0,"",OCTUBRE!T17)</f>
        <v>Sueldos del Personal de nómina</v>
      </c>
      <c r="U17" s="27">
        <f>+ENERO!U17</f>
        <v>304405836</v>
      </c>
      <c r="V17" s="15">
        <f>OCTUBRE!V17+NOVIEMBRE!AL17</f>
        <v>0</v>
      </c>
      <c r="W17" s="15">
        <f>OCTUBRE!W17+NOVIEMBRE!AM17</f>
        <v>0</v>
      </c>
      <c r="X17" s="18">
        <f>SUM(U17:W17)</f>
        <v>304405836</v>
      </c>
      <c r="Y17" s="19">
        <f>OCTUBRE!AA17</f>
        <v>225802101</v>
      </c>
      <c r="Z17" s="377">
        <v>0</v>
      </c>
      <c r="AA17" s="18">
        <f>SUM(Y17:Z17)</f>
        <v>225802101</v>
      </c>
      <c r="AB17" s="19">
        <f>OCTUBRE!AD17</f>
        <v>225802101</v>
      </c>
      <c r="AC17" s="377">
        <v>0</v>
      </c>
      <c r="AD17" s="18">
        <f>SUM(AB17:AC17)</f>
        <v>225802101</v>
      </c>
      <c r="AE17" s="19">
        <f>OCTUBRE!AG17</f>
        <v>225802101</v>
      </c>
      <c r="AF17" s="377">
        <v>0</v>
      </c>
      <c r="AG17" s="18">
        <f>SUM(AE17:AF17)</f>
        <v>225802101</v>
      </c>
      <c r="AH17" s="19">
        <f>X17-AA17</f>
        <v>78603735</v>
      </c>
      <c r="AI17" s="15">
        <f>X17-AD17</f>
        <v>78603735</v>
      </c>
      <c r="AJ17" s="16">
        <f>X17-AG17</f>
        <v>78603735</v>
      </c>
      <c r="AK17" s="9"/>
      <c r="AL17" s="375">
        <v>0</v>
      </c>
      <c r="AM17" s="378">
        <v>0</v>
      </c>
      <c r="AN17" s="9"/>
      <c r="AO17" s="352"/>
      <c r="AP17" s="402" t="s">
        <v>87</v>
      </c>
      <c r="AQ17" s="403">
        <f>SUM(AQ7:AQ16)</f>
        <v>3708705097</v>
      </c>
      <c r="AR17" s="404">
        <f>SUM(AR7:AR16)</f>
        <v>2810331626</v>
      </c>
      <c r="AS17" s="405">
        <f>SUM(AS7:AS16)</f>
        <v>1970772903</v>
      </c>
      <c r="AT17" s="406"/>
      <c r="AU17" s="404">
        <f t="shared" si="0"/>
        <v>0.7577662694920928</v>
      </c>
      <c r="AV17" s="404">
        <f t="shared" si="1"/>
        <v>0.53139110591299732</v>
      </c>
      <c r="AW17" s="407">
        <f>SUM(AX7:AX16)</f>
        <v>2337374650.4545455</v>
      </c>
      <c r="AX17" s="407">
        <f>SUM(AX7:AX16)</f>
        <v>2337374650.4545455</v>
      </c>
      <c r="AY17" s="407">
        <f>SUM(AY7:AY16)</f>
        <v>-448456934.45454562</v>
      </c>
      <c r="AZ17" s="408">
        <f>SUM(AZ7:AZ16)</f>
        <v>-1371330446.5454545</v>
      </c>
      <c r="BA17" s="9"/>
      <c r="BB17" s="368" t="s">
        <v>444</v>
      </c>
      <c r="BC17" s="73">
        <f>F41+F52+F55+F58+F61+F67+F70+F73+F76+F79+F82+F86+F87+F88+F89+F90+F91</f>
        <v>331051770</v>
      </c>
      <c r="BD17" s="74">
        <f>I41+I52+I55+I58+I61+I67+I70+I73+I76+I79+I82+I86+I87+I88+I89+I90+I91</f>
        <v>218788942</v>
      </c>
      <c r="BE17" s="75">
        <f>K41+K52+K55+K58+K61+K67+K70+K73+K76+K79+K82+K86+K87+K88+K89+K90+K91</f>
        <v>0</v>
      </c>
      <c r="BF17" s="76"/>
      <c r="BG17" s="98" t="s">
        <v>88</v>
      </c>
      <c r="BH17" s="99">
        <f>BC23-BH16</f>
        <v>-3890600747</v>
      </c>
      <c r="BI17" s="99"/>
      <c r="BJ17" s="99"/>
      <c r="BK17" s="99"/>
      <c r="BM17" s="140" t="s">
        <v>459</v>
      </c>
      <c r="BN17" s="83">
        <f>X123-X126-X139+X155-X156-X167-X168</f>
        <v>264763207</v>
      </c>
      <c r="BO17" s="81">
        <f>AA123-AA126-AA139+AA155-AA156-AA167-AA168</f>
        <v>186303943</v>
      </c>
      <c r="BP17" s="81">
        <f>AD123-AD126-AD139+AD155-AD156-AD167-AD168</f>
        <v>163046444</v>
      </c>
      <c r="BQ17" s="82">
        <f>AF123-AF126-AF139+AF155-AF156-AF167-AF168</f>
        <v>0</v>
      </c>
      <c r="BR17" s="9"/>
    </row>
    <row r="18" spans="1:70" s="9" customFormat="1" ht="24.95" customHeight="1" thickBot="1" x14ac:dyDescent="0.25">
      <c r="A18" s="618" t="str">
        <f>+IF(OCTUBRE!A18=0,"",OCTUBRE!A18)</f>
        <v/>
      </c>
      <c r="B18" s="649" t="str">
        <f>+IF(OCTUBRE!B18=0,"",OCTUBRE!B18)</f>
        <v/>
      </c>
      <c r="C18" s="297"/>
      <c r="D18" s="297"/>
      <c r="E18" s="297"/>
      <c r="F18" s="297"/>
      <c r="G18" s="297"/>
      <c r="H18" s="297"/>
      <c r="I18" s="297"/>
      <c r="J18" s="297"/>
      <c r="K18" s="297"/>
      <c r="L18" s="297"/>
      <c r="M18" s="297"/>
      <c r="N18" s="466"/>
      <c r="P18" s="410"/>
      <c r="Q18" s="409"/>
      <c r="S18" s="719">
        <f>+IF(OCTUBRE!S18=0,"",OCTUBRE!S18)</f>
        <v>1010102</v>
      </c>
      <c r="T18" s="693" t="str">
        <f>+IF(OCTUBRE!T18=0,"",OCTUBRE!T18)</f>
        <v>Horas Extras,Dominic.,Festivos y Rec. Nocturnos</v>
      </c>
      <c r="U18" s="27">
        <f>+ENERO!U18</f>
        <v>12090252</v>
      </c>
      <c r="V18" s="15">
        <f>OCTUBRE!V18+NOVIEMBRE!AL18</f>
        <v>3000000</v>
      </c>
      <c r="W18" s="15">
        <f>OCTUBRE!W18+NOVIEMBRE!AM18</f>
        <v>0</v>
      </c>
      <c r="X18" s="18">
        <f>SUM(U18:W18)</f>
        <v>15090252</v>
      </c>
      <c r="Y18" s="19">
        <f>OCTUBRE!AA18</f>
        <v>13243848</v>
      </c>
      <c r="Z18" s="377">
        <v>0</v>
      </c>
      <c r="AA18" s="18">
        <f>SUM(Y18:Z18)</f>
        <v>13243848</v>
      </c>
      <c r="AB18" s="19">
        <f>OCTUBRE!AD18</f>
        <v>13243848</v>
      </c>
      <c r="AC18" s="377">
        <v>0</v>
      </c>
      <c r="AD18" s="18">
        <f>SUM(AB18:AC18)</f>
        <v>13243848</v>
      </c>
      <c r="AE18" s="19">
        <f>OCTUBRE!AG18</f>
        <v>13243848</v>
      </c>
      <c r="AF18" s="377">
        <v>0</v>
      </c>
      <c r="AG18" s="18">
        <f>SUM(AE18:AF18)</f>
        <v>13243848</v>
      </c>
      <c r="AH18" s="19">
        <f>X18-AA18</f>
        <v>1846404</v>
      </c>
      <c r="AI18" s="15">
        <f>X18-AD18</f>
        <v>1846404</v>
      </c>
      <c r="AJ18" s="16">
        <f>X18-AG18</f>
        <v>1846404</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137871796</v>
      </c>
      <c r="BE18" s="75">
        <f>+K95+K96+K97+K99+K100+K101</f>
        <v>0</v>
      </c>
      <c r="BF18" s="95"/>
      <c r="BM18" s="140" t="s">
        <v>89</v>
      </c>
      <c r="BN18" s="83">
        <f>X148+X156</f>
        <v>156785051</v>
      </c>
      <c r="BO18" s="81">
        <f>AA148+AA156</f>
        <v>110298826</v>
      </c>
      <c r="BP18" s="81">
        <f>AD148+AD156</f>
        <v>100871980</v>
      </c>
      <c r="BQ18" s="82">
        <f>AF148+AF156</f>
        <v>0</v>
      </c>
      <c r="BR18" s="385"/>
    </row>
    <row r="19" spans="1:70" s="9" customFormat="1" ht="24.95" customHeight="1" thickBot="1" x14ac:dyDescent="0.3">
      <c r="A19" s="747">
        <f>+IF(OCTUBRE!A19=0,"",OCTUBRE!A19)</f>
        <v>113</v>
      </c>
      <c r="B19" s="650" t="str">
        <f>+IF(OCTUBRE!B19=0,"",OCTUBRE!B19)</f>
        <v>VENTA DE SERVICIOS</v>
      </c>
      <c r="C19" s="337">
        <f t="shared" ref="C19:N19" si="14">C21+C85</f>
        <v>2995860189</v>
      </c>
      <c r="D19" s="334">
        <f t="shared" si="14"/>
        <v>0</v>
      </c>
      <c r="E19" s="334">
        <f t="shared" si="14"/>
        <v>562667101</v>
      </c>
      <c r="F19" s="335">
        <f t="shared" si="14"/>
        <v>3558527290</v>
      </c>
      <c r="G19" s="337">
        <f t="shared" si="14"/>
        <v>2668280795</v>
      </c>
      <c r="H19" s="334">
        <f t="shared" si="14"/>
        <v>0</v>
      </c>
      <c r="I19" s="335">
        <f t="shared" si="14"/>
        <v>2668280795</v>
      </c>
      <c r="J19" s="337">
        <f t="shared" si="14"/>
        <v>1828722072</v>
      </c>
      <c r="K19" s="334">
        <f t="shared" si="14"/>
        <v>0</v>
      </c>
      <c r="L19" s="335">
        <f t="shared" si="14"/>
        <v>1828722072</v>
      </c>
      <c r="M19" s="337">
        <f t="shared" si="14"/>
        <v>890246495</v>
      </c>
      <c r="N19" s="335">
        <f t="shared" si="14"/>
        <v>1729805218</v>
      </c>
      <c r="O19" s="385"/>
      <c r="P19" s="43">
        <f>P21+P85</f>
        <v>0</v>
      </c>
      <c r="Q19" s="45">
        <f>Q21+Q85</f>
        <v>0</v>
      </c>
      <c r="S19" s="719">
        <f>+IF(OCTUBRE!S19=0,"",OCTUBRE!S19)</f>
        <v>1010103</v>
      </c>
      <c r="T19" s="693" t="str">
        <f>+IF(OCTUBRE!T19=0,"",OCTUBRE!T19)</f>
        <v>Prima Técnica</v>
      </c>
      <c r="U19" s="27">
        <f>+ENERO!U19</f>
        <v>0</v>
      </c>
      <c r="V19" s="15">
        <f>OCTUBRE!V19+NOVIEMBRE!AL19</f>
        <v>0</v>
      </c>
      <c r="W19" s="15">
        <f>OCTUBRE!W19+NOVIEMBRE!AM19</f>
        <v>0</v>
      </c>
      <c r="X19" s="18">
        <f>SUM(U19:W19)</f>
        <v>0</v>
      </c>
      <c r="Y19" s="19">
        <f>OCTUBRE!AA19</f>
        <v>0</v>
      </c>
      <c r="Z19" s="377">
        <v>0</v>
      </c>
      <c r="AA19" s="18">
        <f>SUM(Y19:Z19)</f>
        <v>0</v>
      </c>
      <c r="AB19" s="19">
        <f>OCTUBRE!AD19</f>
        <v>0</v>
      </c>
      <c r="AC19" s="377">
        <v>0</v>
      </c>
      <c r="AD19" s="18">
        <f>SUM(AB19:AC19)</f>
        <v>0</v>
      </c>
      <c r="AE19" s="19">
        <f>OCTUBRE!AG19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77018886</v>
      </c>
      <c r="BE19" s="94">
        <f>+K105+K106+K107+K108+K109+K110+K98</f>
        <v>0</v>
      </c>
      <c r="BF19" s="57"/>
      <c r="BG19" s="385"/>
      <c r="BH19" s="385">
        <f>BN33</f>
        <v>0</v>
      </c>
      <c r="BI19" s="385"/>
      <c r="BJ19" s="385"/>
      <c r="BK19" s="385"/>
      <c r="BM19" s="140" t="s">
        <v>96</v>
      </c>
      <c r="BN19" s="83">
        <f>X126+X167</f>
        <v>55492147</v>
      </c>
      <c r="BO19" s="81">
        <f>AA126+AA167</f>
        <v>42071130</v>
      </c>
      <c r="BP19" s="81">
        <f>AD126+AD167</f>
        <v>42071130</v>
      </c>
      <c r="BQ19" s="82">
        <f>AF126+AF167</f>
        <v>0</v>
      </c>
    </row>
    <row r="20" spans="1:70" s="425" customFormat="1" ht="24.95" customHeight="1" thickBot="1" x14ac:dyDescent="0.3">
      <c r="A20" s="618" t="str">
        <f>+IF(OCTUBRE!A20=0,"",OCTUBRE!A20)</f>
        <v/>
      </c>
      <c r="B20" s="651" t="str">
        <f>+IF(OCTUBRE!B20=0,"",OCTUBRE!B20)</f>
        <v/>
      </c>
      <c r="C20" s="297"/>
      <c r="D20" s="297"/>
      <c r="E20" s="297"/>
      <c r="F20" s="297"/>
      <c r="G20" s="297"/>
      <c r="H20" s="297"/>
      <c r="I20" s="297"/>
      <c r="J20" s="297"/>
      <c r="K20" s="297"/>
      <c r="L20" s="297"/>
      <c r="M20" s="297"/>
      <c r="N20" s="466"/>
      <c r="O20" s="9"/>
      <c r="P20" s="410"/>
      <c r="Q20" s="409"/>
      <c r="R20" s="9"/>
      <c r="S20" s="719">
        <f>+IF(OCTUBRE!S20=0,"",OCTUBRE!S20)</f>
        <v>1010104</v>
      </c>
      <c r="T20" s="693" t="str">
        <f>+IF(OCTUBRE!T20=0,"",OCTUBRE!T20)</f>
        <v>Otros</v>
      </c>
      <c r="U20" s="27">
        <f t="shared" ref="U20:AJ20" si="15">SUM(U21:U32)</f>
        <v>56164501</v>
      </c>
      <c r="V20" s="15">
        <f t="shared" si="15"/>
        <v>0</v>
      </c>
      <c r="W20" s="15">
        <f t="shared" si="15"/>
        <v>0</v>
      </c>
      <c r="X20" s="18">
        <f t="shared" si="15"/>
        <v>56164501</v>
      </c>
      <c r="Y20" s="19">
        <f t="shared" si="15"/>
        <v>3027223</v>
      </c>
      <c r="Z20" s="145">
        <f t="shared" si="15"/>
        <v>0</v>
      </c>
      <c r="AA20" s="18">
        <f t="shared" si="15"/>
        <v>3027223</v>
      </c>
      <c r="AB20" s="19">
        <f t="shared" si="15"/>
        <v>3027223</v>
      </c>
      <c r="AC20" s="145">
        <f t="shared" si="15"/>
        <v>0</v>
      </c>
      <c r="AD20" s="18">
        <f t="shared" si="15"/>
        <v>3027223</v>
      </c>
      <c r="AE20" s="19">
        <f t="shared" si="15"/>
        <v>3027223</v>
      </c>
      <c r="AF20" s="145">
        <f t="shared" si="15"/>
        <v>0</v>
      </c>
      <c r="AG20" s="18">
        <f t="shared" si="15"/>
        <v>3027223</v>
      </c>
      <c r="AH20" s="19">
        <f t="shared" si="15"/>
        <v>53137278</v>
      </c>
      <c r="AI20" s="15">
        <f t="shared" si="15"/>
        <v>53137278</v>
      </c>
      <c r="AJ20" s="16">
        <f t="shared" si="15"/>
        <v>53137278</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41646636</v>
      </c>
      <c r="BE20" s="67">
        <f>+K115+K117+K119+K120+K121+K123+K124</f>
        <v>0</v>
      </c>
      <c r="BF20" s="57"/>
      <c r="BG20" s="385"/>
      <c r="BH20" s="385">
        <f>BH19-BH16</f>
        <v>-3890600747</v>
      </c>
      <c r="BI20" s="385"/>
      <c r="BJ20" s="385"/>
      <c r="BK20" s="385"/>
      <c r="BL20" s="385"/>
      <c r="BM20" s="142" t="s">
        <v>454</v>
      </c>
      <c r="BN20" s="83">
        <f>+X141-X143</f>
        <v>18442898</v>
      </c>
      <c r="BO20" s="81">
        <f>+AA141-AA143</f>
        <v>13762132</v>
      </c>
      <c r="BP20" s="81">
        <f>+AD141-AD143</f>
        <v>13762132</v>
      </c>
      <c r="BQ20" s="82">
        <f>+AF141-AF143</f>
        <v>0</v>
      </c>
      <c r="BR20" s="9"/>
    </row>
    <row r="21" spans="1:70" s="425" customFormat="1" ht="24.95" customHeight="1" thickBot="1" x14ac:dyDescent="0.3">
      <c r="A21" s="748">
        <f>+IF(OCTUBRE!A21=0,"",OCTUBRE!A21)</f>
        <v>11301</v>
      </c>
      <c r="B21" s="652" t="str">
        <f>+IF(OCTUBRE!B21=0,"",OCTUBRE!B21)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2629022109</v>
      </c>
      <c r="H21" s="357">
        <f t="shared" si="16"/>
        <v>0</v>
      </c>
      <c r="I21" s="357">
        <f t="shared" si="16"/>
        <v>2629022109</v>
      </c>
      <c r="J21" s="357">
        <f t="shared" si="16"/>
        <v>1796792729</v>
      </c>
      <c r="K21" s="357">
        <f t="shared" si="16"/>
        <v>0</v>
      </c>
      <c r="L21" s="357">
        <f t="shared" si="16"/>
        <v>1796792729</v>
      </c>
      <c r="M21" s="357">
        <f t="shared" si="16"/>
        <v>855505181</v>
      </c>
      <c r="N21" s="178">
        <f t="shared" si="16"/>
        <v>1687734561</v>
      </c>
      <c r="O21" s="385"/>
      <c r="P21" s="43">
        <f>P22+P25+P28+P41+P42+P45+P48+P51+P54+P57+P60+P63+P66+P69+P72+P75+P78+P81</f>
        <v>0</v>
      </c>
      <c r="Q21" s="45">
        <f>Q22+Q25+Q28+Q41+Q42+Q45+Q48+Q51+Q54+Q57+Q60+Q63+Q66+Q69+Q72+Q75+Q78+Q81</f>
        <v>0</v>
      </c>
      <c r="R21" s="9"/>
      <c r="S21" s="720" t="str">
        <f>+IF(OCTUBRE!S21=0,"",OCTUBRE!S21)</f>
        <v>1010104-1</v>
      </c>
      <c r="T21" s="694" t="str">
        <f>+IF(OCTUBRE!T21=0,"",OCTUBRE!T21)</f>
        <v xml:space="preserve">Prima de Navidad </v>
      </c>
      <c r="U21" s="27">
        <f>+ENERO!U21</f>
        <v>27481083</v>
      </c>
      <c r="V21" s="15">
        <f>OCTUBRE!V21+NOVIEMBRE!AL21</f>
        <v>0</v>
      </c>
      <c r="W21" s="15">
        <f>OCTUBRE!W21+NOVIEMBRE!AM21</f>
        <v>0</v>
      </c>
      <c r="X21" s="18">
        <f t="shared" ref="X21:X33" si="17">SUM(U21:W21)</f>
        <v>27481083</v>
      </c>
      <c r="Y21" s="19">
        <f>OCTUBRE!AA21</f>
        <v>0</v>
      </c>
      <c r="Z21" s="377">
        <v>0</v>
      </c>
      <c r="AA21" s="18">
        <f t="shared" ref="AA21:AA33" si="18">SUM(Y21:Z21)</f>
        <v>0</v>
      </c>
      <c r="AB21" s="19">
        <f>OCTUBRE!AD21</f>
        <v>0</v>
      </c>
      <c r="AC21" s="377">
        <v>0</v>
      </c>
      <c r="AD21" s="18">
        <f t="shared" ref="AD21:AD33" si="19">SUM(AB21:AC21)</f>
        <v>0</v>
      </c>
      <c r="AE21" s="19">
        <f>OCTUBRE!AG21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NOVIEMBRE</v>
      </c>
      <c r="AS21" s="429" t="str">
        <f>AR6</f>
        <v>NOVIEMBRE</v>
      </c>
      <c r="AT21" s="428" t="str">
        <f>AR6</f>
        <v>NOVIEMBRE</v>
      </c>
      <c r="AU21" s="428" t="s">
        <v>46</v>
      </c>
      <c r="AV21" s="428" t="s">
        <v>24</v>
      </c>
      <c r="AW21" s="430"/>
      <c r="AX21" s="430"/>
      <c r="AY21" s="428" t="s">
        <v>46</v>
      </c>
      <c r="AZ21" s="431" t="s">
        <v>24</v>
      </c>
      <c r="BA21" s="9"/>
      <c r="BB21" s="101" t="s">
        <v>447</v>
      </c>
      <c r="BC21" s="65">
        <f>SUMIF($B8:B122,$B24,F8:F122)+F122</f>
        <v>577451227</v>
      </c>
      <c r="BD21" s="66">
        <f>SUMIF($B8:B122,$B24,I8:I122)+I122</f>
        <v>505084119</v>
      </c>
      <c r="BE21" s="67">
        <f>SUMIF($B8:B122,$B24,K8:K122)+K122</f>
        <v>0</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+IF(OCTUBRE!A22=0,"",OCTUBRE!A22)</f>
        <v>1130101</v>
      </c>
      <c r="B22" s="653" t="str">
        <f>+IF(OCTUBRE!B22=0,"",OCTUBRE!B22)</f>
        <v>EPS - REGIMEN CONTRIBUTIVO</v>
      </c>
      <c r="C22" s="43">
        <f t="shared" ref="C22:N22" si="24">SUM(C23:C24)</f>
        <v>1323143662</v>
      </c>
      <c r="D22" s="44">
        <f t="shared" si="24"/>
        <v>0</v>
      </c>
      <c r="E22" s="44">
        <f t="shared" si="24"/>
        <v>435611621</v>
      </c>
      <c r="F22" s="44">
        <f t="shared" si="24"/>
        <v>1758755283</v>
      </c>
      <c r="G22" s="44">
        <f t="shared" si="24"/>
        <v>1395117330</v>
      </c>
      <c r="H22" s="44">
        <f t="shared" si="24"/>
        <v>0</v>
      </c>
      <c r="I22" s="44">
        <f t="shared" si="24"/>
        <v>1395117330</v>
      </c>
      <c r="J22" s="44">
        <f t="shared" si="24"/>
        <v>817005247</v>
      </c>
      <c r="K22" s="44">
        <f t="shared" si="24"/>
        <v>0</v>
      </c>
      <c r="L22" s="44">
        <f t="shared" si="24"/>
        <v>817005247</v>
      </c>
      <c r="M22" s="44">
        <f t="shared" si="24"/>
        <v>363637953</v>
      </c>
      <c r="N22" s="45">
        <f t="shared" si="24"/>
        <v>941750036</v>
      </c>
      <c r="P22" s="43">
        <f>SUM(P23:P24)</f>
        <v>0</v>
      </c>
      <c r="Q22" s="45">
        <f>SUM(Q23:Q24)</f>
        <v>0</v>
      </c>
      <c r="S22" s="720" t="str">
        <f>+IF(OCTUBRE!S22=0,"",OCTUBRE!S22)</f>
        <v>1010104-2</v>
      </c>
      <c r="T22" s="694" t="str">
        <f>+IF(OCTUBRE!T22=0,"",OCTUBRE!T22)</f>
        <v>Prima Vida Cara</v>
      </c>
      <c r="U22" s="27">
        <f>+ENERO!U22</f>
        <v>0</v>
      </c>
      <c r="V22" s="15">
        <f>OCTUBRE!V22+NOVIEMBRE!AL22</f>
        <v>0</v>
      </c>
      <c r="W22" s="15">
        <f>OCTUBRE!W22+NOVIEMBRE!AM22</f>
        <v>0</v>
      </c>
      <c r="X22" s="18">
        <f t="shared" si="17"/>
        <v>0</v>
      </c>
      <c r="Y22" s="19">
        <f>OCTUBRE!AA22</f>
        <v>0</v>
      </c>
      <c r="Z22" s="377">
        <v>0</v>
      </c>
      <c r="AA22" s="18">
        <f t="shared" si="18"/>
        <v>0</v>
      </c>
      <c r="AB22" s="19">
        <f>OCTUBRE!AD22</f>
        <v>0</v>
      </c>
      <c r="AC22" s="377">
        <v>0</v>
      </c>
      <c r="AD22" s="18">
        <f t="shared" si="19"/>
        <v>0</v>
      </c>
      <c r="AE22" s="19">
        <f>OCTUBRE!AG22</f>
        <v>0</v>
      </c>
      <c r="AF22" s="377">
        <v>0</v>
      </c>
      <c r="AG22" s="18">
        <f t="shared" si="20"/>
        <v>0</v>
      </c>
      <c r="AH22" s="19">
        <f t="shared" si="21"/>
        <v>0</v>
      </c>
      <c r="AI22" s="15">
        <f t="shared" si="22"/>
        <v>0</v>
      </c>
      <c r="AJ22" s="16">
        <f t="shared" si="23"/>
        <v>0</v>
      </c>
      <c r="AL22" s="375">
        <v>0</v>
      </c>
      <c r="AM22" s="378">
        <v>0</v>
      </c>
      <c r="AO22" s="21"/>
      <c r="AP22" s="432" t="s">
        <v>106</v>
      </c>
      <c r="AQ22" s="433">
        <f>X17+X66</f>
        <v>943171180</v>
      </c>
      <c r="AR22" s="433">
        <f>AD17+AD66</f>
        <v>701547252</v>
      </c>
      <c r="AS22" s="433">
        <f>AG17+AG66</f>
        <v>671543837</v>
      </c>
      <c r="AT22" s="434"/>
      <c r="AU22" s="435">
        <f t="shared" ref="AU22:AU32" si="25">IF(AQ22=0," ",AR22/AQ22)</f>
        <v>0.74381752419534275</v>
      </c>
      <c r="AV22" s="435">
        <f t="shared" ref="AV22:AV32" si="26">IF(AQ22=0," ",AS22/AQ22)</f>
        <v>0.71200631575701878</v>
      </c>
      <c r="AW22" s="436">
        <f>AR22/$AO$2*12</f>
        <v>765324274.90909088</v>
      </c>
      <c r="AX22" s="436">
        <f>AS22/$AO$2*12</f>
        <v>732593276.72727275</v>
      </c>
      <c r="AY22" s="436">
        <f t="shared" ref="AY22:AY31" si="27">AW22-AQ22</f>
        <v>-177846905.09090912</v>
      </c>
      <c r="AZ22" s="437">
        <f t="shared" ref="AZ22:AZ31" si="28">AQ22-AX22</f>
        <v>210577903.27272725</v>
      </c>
      <c r="BA22" s="385"/>
      <c r="BB22" s="102" t="s">
        <v>111</v>
      </c>
      <c r="BC22" s="103">
        <f>BC7+BC8+BC20+BC21</f>
        <v>3890600747</v>
      </c>
      <c r="BD22" s="104">
        <f>BD7+BD8+BD20+BD21</f>
        <v>3025302308</v>
      </c>
      <c r="BE22" s="105">
        <f>BE7+BE8+BE20+BE21</f>
        <v>0</v>
      </c>
      <c r="BF22" s="57"/>
      <c r="BG22" s="385"/>
      <c r="BH22" s="385"/>
      <c r="BI22" s="385"/>
      <c r="BJ22" s="385"/>
      <c r="BK22" s="385"/>
      <c r="BM22" s="71" t="s">
        <v>69</v>
      </c>
      <c r="BN22" s="83">
        <f>BN23+BN24</f>
        <v>65572284</v>
      </c>
      <c r="BO22" s="81">
        <f>BO23+BO24</f>
        <v>32172164</v>
      </c>
      <c r="BP22" s="81">
        <f>BP23+BP24</f>
        <v>32172164</v>
      </c>
      <c r="BQ22" s="82">
        <f>BQ23+BQ24</f>
        <v>0</v>
      </c>
      <c r="BR22" s="385"/>
    </row>
    <row r="23" spans="1:70" s="425" customFormat="1" ht="24.95" customHeight="1" x14ac:dyDescent="0.2">
      <c r="A23" s="618" t="str">
        <f>+IF(OCTUBRE!A23=0,"",OCTUBRE!A23)</f>
        <v>1130101-1</v>
      </c>
      <c r="B23" s="654" t="str">
        <f>+CONCATENATE("Vigencia ",INSTRUCCIONES!$F$3)</f>
        <v>Vigencia 2015</v>
      </c>
      <c r="C23" s="375">
        <f>+ENERO!C23</f>
        <v>1323143662</v>
      </c>
      <c r="D23" s="376">
        <f>OCTUBRE!D23+NOVIEMBRE!P23</f>
        <v>0</v>
      </c>
      <c r="E23" s="376">
        <f>OCTUBRE!E23+NOVIEMBRE!Q23</f>
        <v>0</v>
      </c>
      <c r="F23" s="376">
        <f>SUM(C23:E23)</f>
        <v>1323143662</v>
      </c>
      <c r="G23" s="376">
        <f>OCTUBRE!I23</f>
        <v>985514883</v>
      </c>
      <c r="H23" s="377">
        <v>0</v>
      </c>
      <c r="I23" s="376">
        <f>SUM(G23:H23)</f>
        <v>985514883</v>
      </c>
      <c r="J23" s="376">
        <f>OCTUBRE!L23</f>
        <v>407402800</v>
      </c>
      <c r="K23" s="377">
        <v>0</v>
      </c>
      <c r="L23" s="376">
        <f>SUM(J23:K23)</f>
        <v>407402800</v>
      </c>
      <c r="M23" s="376">
        <f>F23-I23</f>
        <v>337628779</v>
      </c>
      <c r="N23" s="146">
        <f>F23-L23</f>
        <v>915740862</v>
      </c>
      <c r="O23" s="9"/>
      <c r="P23" s="375">
        <v>0</v>
      </c>
      <c r="Q23" s="378">
        <v>0</v>
      </c>
      <c r="R23" s="9"/>
      <c r="S23" s="720" t="str">
        <f>+IF(OCTUBRE!S23=0,"",OCTUBRE!S23)</f>
        <v>1010104-3</v>
      </c>
      <c r="T23" s="694" t="str">
        <f>+IF(OCTUBRE!T23=0,"",OCTUBRE!T23)</f>
        <v>Prima de Vacaciones</v>
      </c>
      <c r="U23" s="27">
        <f>+ENERO!U23</f>
        <v>12683577</v>
      </c>
      <c r="V23" s="15">
        <f>OCTUBRE!V23+NOVIEMBRE!AL23</f>
        <v>0</v>
      </c>
      <c r="W23" s="15">
        <f>OCTUBRE!W23+NOVIEMBRE!AM23</f>
        <v>0</v>
      </c>
      <c r="X23" s="18">
        <f t="shared" si="17"/>
        <v>12683577</v>
      </c>
      <c r="Y23" s="19">
        <f>OCTUBRE!AA23</f>
        <v>2128961</v>
      </c>
      <c r="Z23" s="377">
        <v>0</v>
      </c>
      <c r="AA23" s="18">
        <f t="shared" si="18"/>
        <v>2128961</v>
      </c>
      <c r="AB23" s="19">
        <f>OCTUBRE!AD23</f>
        <v>2128961</v>
      </c>
      <c r="AC23" s="377">
        <v>0</v>
      </c>
      <c r="AD23" s="18">
        <f t="shared" si="19"/>
        <v>2128961</v>
      </c>
      <c r="AE23" s="19">
        <f>OCTUBRE!AG23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327491529</v>
      </c>
      <c r="AR23" s="439">
        <f>AD16+AD65-AR22</f>
        <v>172769383</v>
      </c>
      <c r="AS23" s="439">
        <f>AG16+AG65-AS22</f>
        <v>145794943</v>
      </c>
      <c r="AT23" s="330"/>
      <c r="AU23" s="345">
        <f t="shared" si="25"/>
        <v>0.52755374628331231</v>
      </c>
      <c r="AV23" s="345">
        <f t="shared" si="26"/>
        <v>0.4451869135216624</v>
      </c>
      <c r="AW23" s="439">
        <f>(AR23-AD21-AD22-AD23-AD25-AD30-AD33-AD70-AD71-AD72-AD74-AD78-AD81)/$AO$2*12+AX22/12*2.5+AD30+AD33+AD78+AD81</f>
        <v>302968939.40909088</v>
      </c>
      <c r="AX23" s="439">
        <f>(AS23-AG21-AG22-AG23-AG25-AG30-AG33-AG70-AG71-AG72-AG74-AG78-AG81)/$AO$2*12+AX22/12*2.5+AG30+AG33+AG78+AG81</f>
        <v>288737859.59090912</v>
      </c>
      <c r="AY23" s="439">
        <f t="shared" si="27"/>
        <v>-24522589.590909123</v>
      </c>
      <c r="AZ23" s="46">
        <f t="shared" si="28"/>
        <v>38753669.409090877</v>
      </c>
      <c r="BA23" s="385"/>
      <c r="BF23" s="385"/>
      <c r="BG23" s="385"/>
      <c r="BH23" s="385"/>
      <c r="BI23" s="385"/>
      <c r="BJ23" s="385"/>
      <c r="BK23" s="385"/>
      <c r="BL23" s="385"/>
      <c r="BM23" s="140" t="s">
        <v>107</v>
      </c>
      <c r="BN23" s="83">
        <f>X177</f>
        <v>39279816</v>
      </c>
      <c r="BO23" s="81">
        <f>AA177</f>
        <v>22897362</v>
      </c>
      <c r="BP23" s="81">
        <f>AD177</f>
        <v>22897362</v>
      </c>
      <c r="BQ23" s="82">
        <f>AF177</f>
        <v>0</v>
      </c>
      <c r="BR23" s="9"/>
    </row>
    <row r="24" spans="1:70" s="425" customFormat="1" ht="24.95" customHeight="1" x14ac:dyDescent="0.2">
      <c r="A24" s="618" t="str">
        <f>+IF(OCTUBRE!A24=0,"",OCTUBRE!A24)</f>
        <v>1130101-2</v>
      </c>
      <c r="B24" s="654" t="str">
        <f>+IF(OCTUBRE!B24=0,"",OCTUBRE!B24)</f>
        <v>Vigencia Anterior</v>
      </c>
      <c r="C24" s="375">
        <f>+ENERO!C24</f>
        <v>0</v>
      </c>
      <c r="D24" s="376">
        <f>OCTUBRE!D24+NOVIEMBRE!P24</f>
        <v>0</v>
      </c>
      <c r="E24" s="376">
        <f>OCTUBRE!E24+NOVIEMBRE!Q24</f>
        <v>435611621</v>
      </c>
      <c r="F24" s="376">
        <f>SUM(C24:E24)</f>
        <v>435611621</v>
      </c>
      <c r="G24" s="376">
        <f>OCTUBRE!I24</f>
        <v>409602447</v>
      </c>
      <c r="H24" s="377">
        <v>0</v>
      </c>
      <c r="I24" s="376">
        <f>SUM(G24:H24)</f>
        <v>409602447</v>
      </c>
      <c r="J24" s="376">
        <f>OCTUBRE!L24</f>
        <v>409602447</v>
      </c>
      <c r="K24" s="377">
        <v>0</v>
      </c>
      <c r="L24" s="376">
        <f>SUM(J24:K24)</f>
        <v>409602447</v>
      </c>
      <c r="M24" s="376">
        <f>F24-I24</f>
        <v>26009174</v>
      </c>
      <c r="N24" s="146">
        <f>F24-L24</f>
        <v>26009174</v>
      </c>
      <c r="O24" s="385"/>
      <c r="P24" s="375">
        <v>0</v>
      </c>
      <c r="Q24" s="378">
        <v>0</v>
      </c>
      <c r="R24" s="9"/>
      <c r="S24" s="720" t="str">
        <f>+IF(OCTUBRE!S24=0,"",OCTUBRE!S24)</f>
        <v>1010104-4</v>
      </c>
      <c r="T24" s="694" t="str">
        <f>+IF(OCTUBRE!T24=0,"",OCTUBRE!T24)</f>
        <v>Prima Clima</v>
      </c>
      <c r="U24" s="27">
        <f>+ENERO!U24</f>
        <v>0</v>
      </c>
      <c r="V24" s="15">
        <f>OCTUBRE!V24+NOVIEMBRE!AL24</f>
        <v>0</v>
      </c>
      <c r="W24" s="15">
        <f>OCTUBRE!W24+NOVIEMBRE!AM24</f>
        <v>0</v>
      </c>
      <c r="X24" s="18">
        <f t="shared" si="17"/>
        <v>0</v>
      </c>
      <c r="Y24" s="19">
        <f>OCTUBRE!AA24</f>
        <v>0</v>
      </c>
      <c r="Z24" s="377">
        <v>0</v>
      </c>
      <c r="AA24" s="18">
        <f t="shared" si="18"/>
        <v>0</v>
      </c>
      <c r="AB24" s="19">
        <f>OCTUBRE!AD24</f>
        <v>0</v>
      </c>
      <c r="AC24" s="377">
        <v>0</v>
      </c>
      <c r="AD24" s="18">
        <f t="shared" si="19"/>
        <v>0</v>
      </c>
      <c r="AE24" s="19">
        <f>OCTUBRE!AG24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295277368</v>
      </c>
      <c r="AS24" s="434">
        <f>AG35+AG83</f>
        <v>248039060</v>
      </c>
      <c r="AT24" s="434"/>
      <c r="AU24" s="376">
        <f t="shared" si="25"/>
        <v>0.69594274467034756</v>
      </c>
      <c r="AV24" s="376">
        <f t="shared" si="26"/>
        <v>0.58460621405245328</v>
      </c>
      <c r="AW24" s="376">
        <f>(AR24-AD41-AD88)/$AO$2*12+AD41+AD88</f>
        <v>319033994.36363637</v>
      </c>
      <c r="AX24" s="376">
        <f>(AS24-AG41-AG88)/$AO$2*12+AG41+AG88</f>
        <v>268133099.63636363</v>
      </c>
      <c r="AY24" s="376">
        <f t="shared" si="27"/>
        <v>-105250000.63636363</v>
      </c>
      <c r="AZ24" s="146">
        <f t="shared" si="28"/>
        <v>156150895.36363637</v>
      </c>
      <c r="BA24" s="9"/>
      <c r="BB24" s="440"/>
      <c r="BC24" s="385"/>
      <c r="BD24" s="385"/>
      <c r="BE24" s="385"/>
      <c r="BF24" s="385"/>
      <c r="BG24" s="385"/>
      <c r="BH24" s="385"/>
      <c r="BI24" s="385"/>
      <c r="BJ24" s="385"/>
      <c r="BK24" s="385"/>
      <c r="BL24" s="385"/>
      <c r="BM24" s="140" t="s">
        <v>112</v>
      </c>
      <c r="BN24" s="83">
        <f>X170-X177-X174-X183-X191</f>
        <v>26292468</v>
      </c>
      <c r="BO24" s="81">
        <f>AA170-AA177-AA174-AA183-AA191</f>
        <v>9274802</v>
      </c>
      <c r="BP24" s="81">
        <f>AD170-AD177-AD174-AD183-AD191</f>
        <v>9274802</v>
      </c>
      <c r="BQ24" s="82">
        <f>AF170-AF177-AF174-AF183-AF191</f>
        <v>0</v>
      </c>
      <c r="BR24" s="385"/>
    </row>
    <row r="25" spans="1:70" s="385" customFormat="1" ht="24.95" customHeight="1" x14ac:dyDescent="0.25">
      <c r="A25" s="747">
        <f>+IF(OCTUBRE!A25=0,"",OCTUBRE!A25)</f>
        <v>1130102</v>
      </c>
      <c r="B25" s="653" t="str">
        <f>+IF(OCTUBRE!B25=0,"",OCTUBRE!B25)</f>
        <v>ARS - REGIMEN SUBSIDIADO</v>
      </c>
      <c r="C25" s="43">
        <f t="shared" ref="C25:N25" si="29">SUM(C26:C27)</f>
        <v>873986903</v>
      </c>
      <c r="D25" s="44">
        <f t="shared" si="29"/>
        <v>0</v>
      </c>
      <c r="E25" s="44">
        <f t="shared" si="29"/>
        <v>71552427</v>
      </c>
      <c r="F25" s="44">
        <f t="shared" si="29"/>
        <v>945539330</v>
      </c>
      <c r="G25" s="44">
        <f t="shared" si="29"/>
        <v>685227161</v>
      </c>
      <c r="H25" s="44">
        <f t="shared" si="29"/>
        <v>0</v>
      </c>
      <c r="I25" s="44">
        <f t="shared" si="29"/>
        <v>685227161</v>
      </c>
      <c r="J25" s="44">
        <f t="shared" si="29"/>
        <v>489985240</v>
      </c>
      <c r="K25" s="44">
        <f t="shared" si="29"/>
        <v>0</v>
      </c>
      <c r="L25" s="44">
        <f t="shared" si="29"/>
        <v>489985240</v>
      </c>
      <c r="M25" s="44">
        <f t="shared" si="29"/>
        <v>260312169</v>
      </c>
      <c r="N25" s="45">
        <f t="shared" si="29"/>
        <v>455554090</v>
      </c>
      <c r="P25" s="43">
        <f>SUM(P26:P27)</f>
        <v>0</v>
      </c>
      <c r="Q25" s="45">
        <f>SUM(Q26:Q27)</f>
        <v>0</v>
      </c>
      <c r="R25" s="9"/>
      <c r="S25" s="720" t="str">
        <f>+IF(OCTUBRE!S25=0,"",OCTUBRE!S25)</f>
        <v>1010104-5</v>
      </c>
      <c r="T25" s="694" t="str">
        <f>+IF(OCTUBRE!T25=0,"",OCTUBRE!T25)</f>
        <v>Prima de Servicios</v>
      </c>
      <c r="U25" s="27">
        <f>+ENERO!U25</f>
        <v>12683577</v>
      </c>
      <c r="V25" s="15">
        <f>OCTUBRE!V25+NOVIEMBRE!AL25</f>
        <v>0</v>
      </c>
      <c r="W25" s="15">
        <f>OCTUBRE!W25+NOVIEMBRE!AM25</f>
        <v>0</v>
      </c>
      <c r="X25" s="18">
        <f t="shared" si="17"/>
        <v>12683577</v>
      </c>
      <c r="Y25" s="19">
        <f>OCTUBRE!AA25</f>
        <v>0</v>
      </c>
      <c r="Z25" s="377">
        <v>0</v>
      </c>
      <c r="AA25" s="18">
        <f t="shared" si="18"/>
        <v>0</v>
      </c>
      <c r="AB25" s="19">
        <f>OCTUBRE!AD25</f>
        <v>0</v>
      </c>
      <c r="AC25" s="377">
        <v>0</v>
      </c>
      <c r="AD25" s="18">
        <f t="shared" si="19"/>
        <v>0</v>
      </c>
      <c r="AE25" s="19">
        <f>OCTUBRE!AG25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389489080</v>
      </c>
      <c r="AS25" s="376">
        <f>AG43+AG57+AG90+AG104</f>
        <v>327005581</v>
      </c>
      <c r="AT25" s="434"/>
      <c r="AU25" s="376">
        <f t="shared" si="25"/>
        <v>0.71788979059070879</v>
      </c>
      <c r="AV25" s="376">
        <f t="shared" si="26"/>
        <v>0.60272284929293285</v>
      </c>
      <c r="AW25" s="376">
        <f>(AR25-AD55-AD61-AD102-AD108)/$AO$2*12+AD55+AD61+AD102+AD108</f>
        <v>416806313.18181819</v>
      </c>
      <c r="AX25" s="376">
        <f>(AS25-AG55-AG61-AG102-AG108)/$AO$2*12+AG55+AG61+AG102+AG108</f>
        <v>348821852.36363637</v>
      </c>
      <c r="AY25" s="376">
        <f t="shared" si="27"/>
        <v>-125740864.81818181</v>
      </c>
      <c r="AZ25" s="146">
        <f t="shared" si="28"/>
        <v>193725325.63636363</v>
      </c>
      <c r="BM25" s="143" t="s">
        <v>455</v>
      </c>
      <c r="BN25" s="106">
        <f>+SUM(BN26:BN28)</f>
        <v>349217338</v>
      </c>
      <c r="BO25" s="107">
        <f>+SUM(BO26:BO28)</f>
        <v>262899000</v>
      </c>
      <c r="BP25" s="107">
        <f>+SUM(BP26:BP28)</f>
        <v>251090056</v>
      </c>
      <c r="BQ25" s="108">
        <f>+SUM(BQ26:BQ28)</f>
        <v>0</v>
      </c>
    </row>
    <row r="26" spans="1:70" s="9" customFormat="1" ht="24.95" customHeight="1" x14ac:dyDescent="0.2">
      <c r="A26" s="618" t="str">
        <f>+IF(OCTUBRE!A26=0,"",OCTUBRE!A26)</f>
        <v>1130102-1</v>
      </c>
      <c r="B26" s="654" t="str">
        <f>+CONCATENATE("Vigencia ",INSTRUCCIONES!$F$3)</f>
        <v>Vigencia 2015</v>
      </c>
      <c r="C26" s="375">
        <f>+ENERO!C26</f>
        <v>873986903</v>
      </c>
      <c r="D26" s="376">
        <f>OCTUBRE!D26+NOVIEMBRE!P26</f>
        <v>0</v>
      </c>
      <c r="E26" s="376">
        <f>OCTUBRE!E26+NOVIEMBRE!Q26</f>
        <v>0</v>
      </c>
      <c r="F26" s="376">
        <f>SUM(C26:E26)</f>
        <v>873986903</v>
      </c>
      <c r="G26" s="376">
        <f>OCTUBRE!I26</f>
        <v>635303632</v>
      </c>
      <c r="H26" s="377">
        <v>0</v>
      </c>
      <c r="I26" s="376">
        <f>SUM(G26:H26)</f>
        <v>635303632</v>
      </c>
      <c r="J26" s="376">
        <f>OCTUBRE!L26</f>
        <v>440061711</v>
      </c>
      <c r="K26" s="377">
        <v>0</v>
      </c>
      <c r="L26" s="376">
        <f>SUM(J26:K26)</f>
        <v>440061711</v>
      </c>
      <c r="M26" s="376">
        <f>F26-I26</f>
        <v>238683271</v>
      </c>
      <c r="N26" s="146">
        <f>F26-L26</f>
        <v>433925192</v>
      </c>
      <c r="P26" s="375">
        <v>0</v>
      </c>
      <c r="Q26" s="378">
        <v>0</v>
      </c>
      <c r="S26" s="720" t="str">
        <f>+IF(OCTUBRE!S26=0,"",OCTUBRE!S26)</f>
        <v>1010104-8</v>
      </c>
      <c r="T26" s="694" t="str">
        <f>+IF(OCTUBRE!T26=0,"",OCTUBRE!T26)</f>
        <v>Bonific. por Servicios Prestados (Convencional)</v>
      </c>
      <c r="U26" s="27">
        <f>+ENERO!U26</f>
        <v>0</v>
      </c>
      <c r="V26" s="15">
        <f>OCTUBRE!V26+NOVIEMBRE!AL26</f>
        <v>0</v>
      </c>
      <c r="W26" s="15">
        <f>OCTUBRE!W26+NOVIEMBRE!AM26</f>
        <v>0</v>
      </c>
      <c r="X26" s="18">
        <f t="shared" si="17"/>
        <v>0</v>
      </c>
      <c r="Y26" s="19">
        <f>OCTUBRE!AA26</f>
        <v>0</v>
      </c>
      <c r="Z26" s="377">
        <v>0</v>
      </c>
      <c r="AA26" s="18">
        <f t="shared" si="18"/>
        <v>0</v>
      </c>
      <c r="AB26" s="19">
        <f>OCTUBRE!AD26</f>
        <v>0</v>
      </c>
      <c r="AC26" s="377">
        <v>0</v>
      </c>
      <c r="AD26" s="18">
        <f t="shared" si="19"/>
        <v>0</v>
      </c>
      <c r="AE26" s="19">
        <f>OCTUBRE!AG26</f>
        <v>0</v>
      </c>
      <c r="AF26" s="377">
        <v>0</v>
      </c>
      <c r="AG26" s="18">
        <f t="shared" si="20"/>
        <v>0</v>
      </c>
      <c r="AH26" s="19">
        <f t="shared" si="21"/>
        <v>0</v>
      </c>
      <c r="AI26" s="15">
        <f t="shared" si="22"/>
        <v>0</v>
      </c>
      <c r="AJ26" s="16">
        <f t="shared" si="23"/>
        <v>0</v>
      </c>
      <c r="AL26" s="375">
        <v>0</v>
      </c>
      <c r="AM26" s="378">
        <v>0</v>
      </c>
      <c r="AO26" s="21"/>
      <c r="AP26" s="442" t="s">
        <v>122</v>
      </c>
      <c r="AQ26" s="330">
        <f>X110</f>
        <v>759559501</v>
      </c>
      <c r="AR26" s="330">
        <f>AD110</f>
        <v>521134406</v>
      </c>
      <c r="AS26" s="330">
        <f>AG110</f>
        <v>385706058</v>
      </c>
      <c r="AT26" s="374">
        <f>AO2/12</f>
        <v>0.91666666666666663</v>
      </c>
      <c r="AU26" s="345">
        <f t="shared" si="25"/>
        <v>0.68610083254030685</v>
      </c>
      <c r="AV26" s="345">
        <f t="shared" si="26"/>
        <v>0.50780229526745135</v>
      </c>
      <c r="AW26" s="439">
        <f>(AR26-AD121-AD139-AD143-AD153-AD168)/$AO$2*12+AD121+AD139+AD143+AD153+AD168</f>
        <v>559210805.27272725</v>
      </c>
      <c r="AX26" s="439">
        <f>(AS26-AG121-AG139-AG143-AG153-AG168)/$AO$2*12+AG121+AG139+AG143+AG153+AG168</f>
        <v>413479684.09090906</v>
      </c>
      <c r="AY26" s="439">
        <f t="shared" si="27"/>
        <v>-200348695.72727275</v>
      </c>
      <c r="AZ26" s="46">
        <f t="shared" si="28"/>
        <v>346079816.90909094</v>
      </c>
      <c r="BA26" s="385"/>
      <c r="BB26" s="385"/>
      <c r="BC26" s="385"/>
      <c r="BD26" s="385"/>
      <c r="BE26" s="385"/>
      <c r="BF26" s="385"/>
      <c r="BG26" s="385"/>
      <c r="BH26" s="385"/>
      <c r="BI26" s="385"/>
      <c r="BJ26" s="385"/>
      <c r="BK26" s="385"/>
      <c r="BM26" s="109" t="s">
        <v>456</v>
      </c>
      <c r="BN26" s="86">
        <f>+X196+X212</f>
        <v>211675731</v>
      </c>
      <c r="BO26" s="84">
        <f>+AA196+AA212</f>
        <v>153166071</v>
      </c>
      <c r="BP26" s="84">
        <f>+AD196+AD212</f>
        <v>141397907</v>
      </c>
      <c r="BQ26" s="85">
        <f>+AF196+AF212</f>
        <v>0</v>
      </c>
      <c r="BR26" s="385"/>
    </row>
    <row r="27" spans="1:70" s="425" customFormat="1" ht="24.95" customHeight="1" x14ac:dyDescent="0.2">
      <c r="A27" s="618" t="str">
        <f>+IF(OCTUBRE!A27=0,"",OCTUBRE!A27)</f>
        <v>1130102-2</v>
      </c>
      <c r="B27" s="654" t="str">
        <f>+IF(OCTUBRE!B27=0,"",OCTUBRE!B27)</f>
        <v>Vigencia Anterior</v>
      </c>
      <c r="C27" s="375">
        <f>+ENERO!C27</f>
        <v>0</v>
      </c>
      <c r="D27" s="376">
        <f>OCTUBRE!D27+NOVIEMBRE!P27</f>
        <v>0</v>
      </c>
      <c r="E27" s="376">
        <f>OCTUBRE!E27+NOVIEMBRE!Q27</f>
        <v>71552427</v>
      </c>
      <c r="F27" s="376">
        <f>SUM(C27:E27)</f>
        <v>71552427</v>
      </c>
      <c r="G27" s="376">
        <f>OCTUBRE!I27</f>
        <v>49923529</v>
      </c>
      <c r="H27" s="377">
        <v>0</v>
      </c>
      <c r="I27" s="376">
        <f>SUM(G27:H27)</f>
        <v>49923529</v>
      </c>
      <c r="J27" s="376">
        <f>OCTUBRE!L27</f>
        <v>49923529</v>
      </c>
      <c r="K27" s="377">
        <v>0</v>
      </c>
      <c r="L27" s="376">
        <f>SUM(J27:K27)</f>
        <v>49923529</v>
      </c>
      <c r="M27" s="376">
        <f>F27-I27</f>
        <v>21628898</v>
      </c>
      <c r="N27" s="146">
        <f>F27-L27</f>
        <v>21628898</v>
      </c>
      <c r="O27" s="385"/>
      <c r="P27" s="375">
        <v>0</v>
      </c>
      <c r="Q27" s="378">
        <v>0</v>
      </c>
      <c r="R27" s="9"/>
      <c r="S27" s="720" t="str">
        <f>+IF(OCTUBRE!S27=0,"",OCTUBRE!S27)</f>
        <v>1010104-9</v>
      </c>
      <c r="T27" s="694" t="str">
        <f>+IF(OCTUBRE!T27=0,"",OCTUBRE!T27)</f>
        <v>Auxilio de Transporte</v>
      </c>
      <c r="U27" s="27">
        <f>+ENERO!U27</f>
        <v>1625120</v>
      </c>
      <c r="V27" s="15">
        <f>OCTUBRE!V27+NOVIEMBRE!AL27</f>
        <v>0</v>
      </c>
      <c r="W27" s="15">
        <f>OCTUBRE!W27+NOVIEMBRE!AM27</f>
        <v>0</v>
      </c>
      <c r="X27" s="18">
        <f t="shared" si="17"/>
        <v>1625120</v>
      </c>
      <c r="Y27" s="19">
        <f>OCTUBRE!AA27</f>
        <v>614400</v>
      </c>
      <c r="Z27" s="377">
        <v>0</v>
      </c>
      <c r="AA27" s="18">
        <f t="shared" si="18"/>
        <v>614400</v>
      </c>
      <c r="AB27" s="19">
        <f>OCTUBRE!AD27</f>
        <v>614400</v>
      </c>
      <c r="AC27" s="377">
        <v>0</v>
      </c>
      <c r="AD27" s="18">
        <f t="shared" si="19"/>
        <v>614400</v>
      </c>
      <c r="AE27" s="19">
        <f>OCTUBRE!AG27</f>
        <v>614400</v>
      </c>
      <c r="AF27" s="377">
        <v>0</v>
      </c>
      <c r="AG27" s="18">
        <f t="shared" si="20"/>
        <v>614400</v>
      </c>
      <c r="AH27" s="19">
        <f t="shared" si="21"/>
        <v>1010720</v>
      </c>
      <c r="AI27" s="15">
        <f t="shared" si="22"/>
        <v>1010720</v>
      </c>
      <c r="AJ27" s="16">
        <f t="shared" si="23"/>
        <v>1010720</v>
      </c>
      <c r="AK27" s="9"/>
      <c r="AL27" s="375">
        <v>0</v>
      </c>
      <c r="AM27" s="378">
        <v>0</v>
      </c>
      <c r="AN27" s="9"/>
      <c r="AO27" s="352"/>
      <c r="AP27" s="441" t="s">
        <v>126</v>
      </c>
      <c r="AQ27" s="376">
        <f>X170</f>
        <v>74494094</v>
      </c>
      <c r="AR27" s="376">
        <f>AD170</f>
        <v>41093974</v>
      </c>
      <c r="AS27" s="376">
        <f>AG170</f>
        <v>35009605</v>
      </c>
      <c r="AT27" s="434"/>
      <c r="AU27" s="376">
        <f t="shared" si="25"/>
        <v>0.55164069785183234</v>
      </c>
      <c r="AV27" s="376">
        <f t="shared" si="26"/>
        <v>0.46996484043419601</v>
      </c>
      <c r="AW27" s="376">
        <f>(AR27-AD174-AD183-AD191)/$AO$2*12+AD174+AD183+AD191</f>
        <v>44018716.18181818</v>
      </c>
      <c r="AX27" s="376">
        <f>(AS27-AG174-AG183-AG191)/$AO$2*12+AG174+AG183+AG191</f>
        <v>37382322.81818182</v>
      </c>
      <c r="AY27" s="376">
        <f t="shared" si="27"/>
        <v>-30475377.81818182</v>
      </c>
      <c r="AZ27" s="146">
        <f t="shared" si="28"/>
        <v>37111771.18181818</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+IF(OCTUBRE!A28=0,"",OCTUBRE!A28)</f>
        <v>1130103</v>
      </c>
      <c r="B28" s="630" t="str">
        <f>+IF(OCTUBRE!B28=0,"",OCTUBRE!B28)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244146079</v>
      </c>
      <c r="H28" s="44">
        <f t="shared" si="30"/>
        <v>0</v>
      </c>
      <c r="I28" s="44">
        <f t="shared" si="30"/>
        <v>244146079</v>
      </c>
      <c r="J28" s="44">
        <f t="shared" si="30"/>
        <v>237325602</v>
      </c>
      <c r="K28" s="44">
        <f t="shared" si="30"/>
        <v>0</v>
      </c>
      <c r="L28" s="44">
        <f t="shared" si="30"/>
        <v>237325602</v>
      </c>
      <c r="M28" s="44">
        <f t="shared" si="30"/>
        <v>106580749</v>
      </c>
      <c r="N28" s="45">
        <f t="shared" si="30"/>
        <v>113401226</v>
      </c>
      <c r="O28" s="385"/>
      <c r="P28" s="43">
        <f>P29+P32+P35+P38+P39+P940</f>
        <v>0</v>
      </c>
      <c r="Q28" s="45">
        <f>Q29+Q32+Q35+Q38+Q39+Q40</f>
        <v>0</v>
      </c>
      <c r="R28" s="9"/>
      <c r="S28" s="720" t="str">
        <f>+IF(OCTUBRE!S28=0,"",OCTUBRE!S28)</f>
        <v>1010104-10</v>
      </c>
      <c r="T28" s="694" t="str">
        <f>+IF(OCTUBRE!T28=0,"",OCTUBRE!T28)</f>
        <v>Subsidio de Alimentación</v>
      </c>
      <c r="U28" s="27">
        <f>+ENERO!U28</f>
        <v>0</v>
      </c>
      <c r="V28" s="15">
        <f>OCTUBRE!V28+NOVIEMBRE!AL28</f>
        <v>0</v>
      </c>
      <c r="W28" s="15">
        <f>OCTUBRE!W28+NOVIEMBRE!AM28</f>
        <v>0</v>
      </c>
      <c r="X28" s="18">
        <f t="shared" si="17"/>
        <v>0</v>
      </c>
      <c r="Y28" s="19">
        <f>OCTUBRE!AA28</f>
        <v>0</v>
      </c>
      <c r="Z28" s="377">
        <v>0</v>
      </c>
      <c r="AA28" s="18">
        <f t="shared" si="18"/>
        <v>0</v>
      </c>
      <c r="AB28" s="19">
        <f>OCTUBRE!AD28</f>
        <v>0</v>
      </c>
      <c r="AC28" s="377">
        <v>0</v>
      </c>
      <c r="AD28" s="18">
        <f t="shared" si="19"/>
        <v>0</v>
      </c>
      <c r="AE28" s="19">
        <f>OCTUBRE!AG28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441053270</v>
      </c>
      <c r="AR28" s="434">
        <f>AD193</f>
        <v>342925988</v>
      </c>
      <c r="AS28" s="434">
        <f>AG193</f>
        <v>177717142</v>
      </c>
      <c r="AT28" s="434"/>
      <c r="AU28" s="376">
        <f t="shared" si="25"/>
        <v>0.77751603111342993</v>
      </c>
      <c r="AV28" s="376">
        <f t="shared" si="26"/>
        <v>0.40293804419588591</v>
      </c>
      <c r="AW28" s="376">
        <f>(AR28-AD205)/$AO$2*12+AD205</f>
        <v>365752356.72727275</v>
      </c>
      <c r="AX28" s="376">
        <f>(AS28-AG205)/$AO$2*12+AG205</f>
        <v>185545103.09090909</v>
      </c>
      <c r="AY28" s="376">
        <f t="shared" si="27"/>
        <v>-75300913.272727251</v>
      </c>
      <c r="AZ28" s="146">
        <f t="shared" si="28"/>
        <v>255508166.90909091</v>
      </c>
      <c r="BA28" s="385"/>
      <c r="BB28" s="385"/>
      <c r="BC28" s="385"/>
      <c r="BD28" s="385"/>
      <c r="BE28" s="385"/>
      <c r="BF28" s="385"/>
      <c r="BG28" s="385"/>
      <c r="BH28" s="385"/>
      <c r="BI28" s="385"/>
      <c r="BJ28" s="385"/>
      <c r="BK28" s="385"/>
      <c r="BL28" s="385"/>
      <c r="BM28" s="71" t="s">
        <v>458</v>
      </c>
      <c r="BN28" s="83">
        <f>+X194-X196-X205</f>
        <v>137541607</v>
      </c>
      <c r="BO28" s="81">
        <f>+AA194-AA196-AA205</f>
        <v>109732929</v>
      </c>
      <c r="BP28" s="81">
        <f>+AD194-AD196-AD205</f>
        <v>109692149</v>
      </c>
      <c r="BQ28" s="82">
        <f>+AF194-AF196-AF205</f>
        <v>0</v>
      </c>
      <c r="BR28" s="9"/>
    </row>
    <row r="29" spans="1:70" s="9" customFormat="1" ht="24.95" customHeight="1" x14ac:dyDescent="0.25">
      <c r="A29" s="618" t="str">
        <f>+IF(OCTUBRE!A29=0,"",OCTUBRE!A29)</f>
        <v>1130103-1</v>
      </c>
      <c r="B29" s="655" t="str">
        <f>+IF(OCTUBRE!B29=0,"",OCTUBRE!B29)</f>
        <v>Prestación de Servicios de salud  1er Nivel</v>
      </c>
      <c r="C29" s="19">
        <f t="shared" ref="C29:N29" si="31">SUM(C30:C31)</f>
        <v>24095828</v>
      </c>
      <c r="D29" s="15">
        <f t="shared" si="31"/>
        <v>0</v>
      </c>
      <c r="E29" s="15">
        <f t="shared" si="31"/>
        <v>0</v>
      </c>
      <c r="F29" s="15">
        <f t="shared" si="31"/>
        <v>24095828</v>
      </c>
      <c r="G29" s="15">
        <f t="shared" si="31"/>
        <v>8395441</v>
      </c>
      <c r="H29" s="15">
        <f t="shared" si="31"/>
        <v>0</v>
      </c>
      <c r="I29" s="15">
        <f t="shared" si="31"/>
        <v>8395441</v>
      </c>
      <c r="J29" s="15">
        <f t="shared" si="31"/>
        <v>5293780</v>
      </c>
      <c r="K29" s="15">
        <f t="shared" si="31"/>
        <v>0</v>
      </c>
      <c r="L29" s="15">
        <f t="shared" si="31"/>
        <v>5293780</v>
      </c>
      <c r="M29" s="15">
        <f t="shared" si="31"/>
        <v>15700387</v>
      </c>
      <c r="N29" s="16">
        <f t="shared" si="31"/>
        <v>18802048</v>
      </c>
      <c r="O29" s="385"/>
      <c r="P29" s="147">
        <f>SUM(P30:P31)</f>
        <v>0</v>
      </c>
      <c r="Q29" s="148">
        <f>SUM(Q30:Q31)</f>
        <v>0</v>
      </c>
      <c r="S29" s="720" t="str">
        <f>+IF(OCTUBRE!S29=0,"",OCTUBRE!S29)</f>
        <v>1010104-11</v>
      </c>
      <c r="T29" s="694" t="str">
        <f>+IF(OCTUBRE!T29=0,"",OCTUBRE!T29)</f>
        <v>Gastos de Representación</v>
      </c>
      <c r="U29" s="27">
        <f>+ENERO!U29</f>
        <v>0</v>
      </c>
      <c r="V29" s="15">
        <f>OCTUBRE!V29+NOVIEMBRE!AL29</f>
        <v>0</v>
      </c>
      <c r="W29" s="15">
        <f>OCTUBRE!W29+NOVIEMBRE!AM29</f>
        <v>0</v>
      </c>
      <c r="X29" s="18">
        <f t="shared" si="17"/>
        <v>0</v>
      </c>
      <c r="Y29" s="19">
        <f>OCTUBRE!AA29</f>
        <v>0</v>
      </c>
      <c r="Z29" s="377">
        <v>0</v>
      </c>
      <c r="AA29" s="18">
        <f t="shared" si="18"/>
        <v>0</v>
      </c>
      <c r="AB29" s="19">
        <f>OCTUBRE!AD29</f>
        <v>0</v>
      </c>
      <c r="AC29" s="377">
        <v>0</v>
      </c>
      <c r="AD29" s="18">
        <f t="shared" si="19"/>
        <v>0</v>
      </c>
      <c r="AE29" s="19">
        <f>OCTUBRE!AG29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378000000</v>
      </c>
      <c r="BO29" s="107">
        <f>AA232-AA256-AA241</f>
        <v>121430326</v>
      </c>
      <c r="BP29" s="107">
        <f>AD232-AD256-AD241</f>
        <v>81872992</v>
      </c>
      <c r="BQ29" s="108">
        <f>AF232-AF256-AF241</f>
        <v>0</v>
      </c>
      <c r="BR29" s="385"/>
    </row>
    <row r="30" spans="1:70" s="425" customFormat="1" ht="24.95" customHeight="1" x14ac:dyDescent="0.25">
      <c r="A30" s="618" t="str">
        <f>+IF(OCTUBRE!A30=0,"",OCTUBRE!A30)</f>
        <v>1130103-1-1</v>
      </c>
      <c r="B30" s="654" t="str">
        <f>+CONCATENATE("Vigencia ",INSTRUCCIONES!$F$3)</f>
        <v>Vigencia 2015</v>
      </c>
      <c r="C30" s="375">
        <f>+ENERO!C30</f>
        <v>24095828</v>
      </c>
      <c r="D30" s="376">
        <f>OCTUBRE!D30+NOVIEMBRE!P30</f>
        <v>0</v>
      </c>
      <c r="E30" s="376">
        <f>OCTUBRE!E30+NOVIEMBRE!Q30</f>
        <v>0</v>
      </c>
      <c r="F30" s="376">
        <f>SUM(C30:E30)</f>
        <v>24095828</v>
      </c>
      <c r="G30" s="376">
        <f>OCTUBRE!I30</f>
        <v>8395441</v>
      </c>
      <c r="H30" s="377">
        <v>0</v>
      </c>
      <c r="I30" s="376">
        <f>SUM(G30:H30)</f>
        <v>8395441</v>
      </c>
      <c r="J30" s="376">
        <f>OCTUBRE!L30</f>
        <v>5293780</v>
      </c>
      <c r="K30" s="377">
        <v>0</v>
      </c>
      <c r="L30" s="376">
        <f>SUM(J30:K30)</f>
        <v>5293780</v>
      </c>
      <c r="M30" s="376">
        <f>F30-I30</f>
        <v>15700387</v>
      </c>
      <c r="N30" s="146">
        <f>F30-L30</f>
        <v>18802048</v>
      </c>
      <c r="O30" s="9"/>
      <c r="P30" s="375">
        <v>0</v>
      </c>
      <c r="Q30" s="378">
        <v>0</v>
      </c>
      <c r="R30" s="9"/>
      <c r="S30" s="720" t="str">
        <f>+IF(OCTUBRE!S30=0,"",OCTUBRE!S30)</f>
        <v>1010104-12</v>
      </c>
      <c r="T30" s="694" t="str">
        <f>+IF(OCTUBRE!T30=0,"",OCTUBRE!T30)</f>
        <v xml:space="preserve"> Indemnizaciones por Vacaciones o Supresión de Cargos por Reestructuración</v>
      </c>
      <c r="U30" s="27">
        <f>+ENERO!U30</f>
        <v>0</v>
      </c>
      <c r="V30" s="15">
        <f>OCTUBRE!V30+NOVIEMBRE!AL30</f>
        <v>0</v>
      </c>
      <c r="W30" s="15">
        <f>OCTUBRE!W30+NOVIEMBRE!AM30</f>
        <v>0</v>
      </c>
      <c r="X30" s="18">
        <f t="shared" si="17"/>
        <v>0</v>
      </c>
      <c r="Y30" s="19">
        <f>OCTUBRE!AA30</f>
        <v>0</v>
      </c>
      <c r="Z30" s="377">
        <v>0</v>
      </c>
      <c r="AA30" s="18">
        <f t="shared" si="18"/>
        <v>0</v>
      </c>
      <c r="AB30" s="19">
        <f>OCTUBRE!AD30</f>
        <v>0</v>
      </c>
      <c r="AC30" s="377">
        <v>0</v>
      </c>
      <c r="AD30" s="18">
        <f t="shared" si="19"/>
        <v>0</v>
      </c>
      <c r="AE30" s="19">
        <f>OCTUBRE!AG30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378000000</v>
      </c>
      <c r="AR30" s="376">
        <f>AD220+AD232</f>
        <v>81872992</v>
      </c>
      <c r="AS30" s="376">
        <f>AG220+AG232</f>
        <v>63461000</v>
      </c>
      <c r="AT30" s="434"/>
      <c r="AU30" s="376">
        <f t="shared" si="25"/>
        <v>0.21659521693121694</v>
      </c>
      <c r="AV30" s="376">
        <f t="shared" si="26"/>
        <v>0.16788624338624339</v>
      </c>
      <c r="AW30" s="376">
        <f>(AR30-AD225-AD230-AD241-AD256)/$AO$2*12+AD225+AD230+AD241+AD256</f>
        <v>89315991.272727266</v>
      </c>
      <c r="AX30" s="376">
        <f>(AS30-AG225-AG230-AG241-AG256)/$AO$2*12+AG225+AG230+AG241+AG256</f>
        <v>69230181.818181813</v>
      </c>
      <c r="AY30" s="376">
        <f t="shared" si="27"/>
        <v>-288684008.72727275</v>
      </c>
      <c r="AZ30" s="146">
        <f t="shared" si="28"/>
        <v>308769818.18181819</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+IF(OCTUBRE!A31=0,"",OCTUBRE!A31)</f>
        <v>1130103-1-2</v>
      </c>
      <c r="B31" s="654" t="str">
        <f>+IF(OCTUBRE!B31=0,"",OCTUBRE!B31)</f>
        <v>Vigencia Anterior</v>
      </c>
      <c r="C31" s="375">
        <f>+ENERO!C31</f>
        <v>0</v>
      </c>
      <c r="D31" s="376">
        <f>OCTUBRE!D31+NOVIEMBRE!P31</f>
        <v>0</v>
      </c>
      <c r="E31" s="376">
        <f>OCTUBRE!E31+NOVIEMBRE!Q31</f>
        <v>0</v>
      </c>
      <c r="F31" s="376">
        <f>SUM(C31:E31)</f>
        <v>0</v>
      </c>
      <c r="G31" s="376">
        <f>OCTUBRE!I31</f>
        <v>0</v>
      </c>
      <c r="H31" s="377">
        <v>0</v>
      </c>
      <c r="I31" s="376">
        <f>SUM(G31:H31)</f>
        <v>0</v>
      </c>
      <c r="J31" s="376">
        <f>OCTUBRE!L31</f>
        <v>0</v>
      </c>
      <c r="K31" s="377">
        <v>0</v>
      </c>
      <c r="L31" s="376">
        <f>SUM(J31:K31)</f>
        <v>0</v>
      </c>
      <c r="M31" s="376">
        <f>F31-I31</f>
        <v>0</v>
      </c>
      <c r="N31" s="146">
        <f>F31-L31</f>
        <v>0</v>
      </c>
      <c r="O31" s="385"/>
      <c r="P31" s="375">
        <v>0</v>
      </c>
      <c r="Q31" s="378">
        <v>0</v>
      </c>
      <c r="R31" s="9"/>
      <c r="S31" s="720" t="str">
        <f>+IF(OCTUBRE!S31=0,"",OCTUBRE!S31)</f>
        <v>1010104-13</v>
      </c>
      <c r="T31" s="694" t="str">
        <f>+IF(OCTUBRE!T31=0,"",OCTUBRE!T31)</f>
        <v>Bonificación Especial por Recreación</v>
      </c>
      <c r="U31" s="27">
        <f>+ENERO!U31</f>
        <v>1691144</v>
      </c>
      <c r="V31" s="15">
        <f>OCTUBRE!V31+NOVIEMBRE!AL31</f>
        <v>0</v>
      </c>
      <c r="W31" s="15">
        <f>OCTUBRE!W31+NOVIEMBRE!AM31</f>
        <v>0</v>
      </c>
      <c r="X31" s="18">
        <f t="shared" si="17"/>
        <v>1691144</v>
      </c>
      <c r="Y31" s="19">
        <f>OCTUBRE!AA31</f>
        <v>283862</v>
      </c>
      <c r="Z31" s="377">
        <v>0</v>
      </c>
      <c r="AA31" s="18">
        <f t="shared" si="18"/>
        <v>283862</v>
      </c>
      <c r="AB31" s="19">
        <f>OCTUBRE!AD31</f>
        <v>283862</v>
      </c>
      <c r="AC31" s="377">
        <v>0</v>
      </c>
      <c r="AD31" s="18">
        <f t="shared" si="19"/>
        <v>283862</v>
      </c>
      <c r="AE31" s="19">
        <f>OCTUBRE!AG31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-360366858</v>
      </c>
      <c r="AS31" s="434">
        <f>AG258</f>
        <v>-2054277226</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0</v>
      </c>
      <c r="BR31" s="9"/>
    </row>
    <row r="32" spans="1:70" s="9" customFormat="1" ht="24.95" customHeight="1" thickBot="1" x14ac:dyDescent="0.3">
      <c r="A32" s="618" t="str">
        <f>+IF(OCTUBRE!A32=0,"",OCTUBRE!A32)</f>
        <v>1130103-2</v>
      </c>
      <c r="B32" s="655" t="str">
        <f>+IF(OCTUBRE!B32=0,"",OCTUBRE!B32)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+IF(OCTUBRE!S32=0,"",OCTUBRE!S32)</f>
        <v>1010104-14</v>
      </c>
      <c r="T32" s="694" t="str">
        <f>+IF(OCTUBRE!T32=0,"",OCTUBRE!T32)</f>
        <v/>
      </c>
      <c r="U32" s="27">
        <f>+ENERO!U32</f>
        <v>0</v>
      </c>
      <c r="V32" s="15">
        <f>OCTUBRE!V32+NOVIEMBRE!AL32</f>
        <v>0</v>
      </c>
      <c r="W32" s="15">
        <f>OCTUBRE!W32+NOVIEMBRE!AM32</f>
        <v>0</v>
      </c>
      <c r="X32" s="18">
        <f t="shared" si="17"/>
        <v>0</v>
      </c>
      <c r="Y32" s="19">
        <f>OCTUBRE!AA32</f>
        <v>0</v>
      </c>
      <c r="Z32" s="377">
        <v>0</v>
      </c>
      <c r="AA32" s="18">
        <f t="shared" si="18"/>
        <v>0</v>
      </c>
      <c r="AB32" s="19">
        <f>OCTUBRE!AD32</f>
        <v>0</v>
      </c>
      <c r="AC32" s="377">
        <v>0</v>
      </c>
      <c r="AD32" s="18">
        <f t="shared" si="19"/>
        <v>0</v>
      </c>
      <c r="AE32" s="19">
        <f>OCTUBRE!AG32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2185743585</v>
      </c>
      <c r="AS32" s="398">
        <f>SUM(AS22:AS31)</f>
        <v>0</v>
      </c>
      <c r="AT32" s="444"/>
      <c r="AU32" s="445">
        <f t="shared" si="25"/>
        <v>0.56180105005259229</v>
      </c>
      <c r="AV32" s="445">
        <f t="shared" si="26"/>
        <v>0</v>
      </c>
      <c r="AW32" s="354">
        <f>SUM(AW22:AW31)</f>
        <v>2862431391.3181815</v>
      </c>
      <c r="AX32" s="354">
        <f>SUM(AX22:AX31)</f>
        <v>2343923380.136364</v>
      </c>
      <c r="AY32" s="354">
        <f>SUM(AY22:AY31)</f>
        <v>-1028169355.6818184</v>
      </c>
      <c r="AZ32" s="355">
        <f>SUM(AZ22:AZ31)</f>
        <v>1546677366.8636363</v>
      </c>
      <c r="BA32" s="385"/>
      <c r="BB32" s="425"/>
      <c r="BC32" s="425"/>
      <c r="BD32" s="425"/>
      <c r="BE32" s="425"/>
      <c r="BF32" s="425"/>
      <c r="BG32" s="385"/>
      <c r="BH32" s="385"/>
      <c r="BI32" s="385"/>
      <c r="BJ32" s="385"/>
      <c r="BK32" s="385"/>
      <c r="BM32" s="110" t="s">
        <v>140</v>
      </c>
      <c r="BN32" s="106">
        <f>+BN7+BN25+BN29+BN30+BN31</f>
        <v>3890600747</v>
      </c>
      <c r="BO32" s="107">
        <f>+BO7+BO25+BO29+BO30+BO31</f>
        <v>2726086676</v>
      </c>
      <c r="BP32" s="107">
        <f>+BP7+BP25+BP29+BP30+BP31</f>
        <v>2546110443</v>
      </c>
      <c r="BQ32" s="108">
        <f>+BQ7+BQ25+BQ29+BQ30+BQ31</f>
        <v>0</v>
      </c>
      <c r="BR32" s="385"/>
    </row>
    <row r="33" spans="1:70" s="425" customFormat="1" ht="24.95" customHeight="1" thickBot="1" x14ac:dyDescent="0.3">
      <c r="A33" s="618" t="str">
        <f>+IF(OCTUBRE!A33=0,"",OCTUBRE!A33)</f>
        <v>1130103-2-1</v>
      </c>
      <c r="B33" s="654" t="str">
        <f>+CONCATENATE("Vigencia ",INSTRUCCIONES!$F$3)</f>
        <v>Vigencia 2015</v>
      </c>
      <c r="C33" s="375">
        <f>+ENERO!C33</f>
        <v>0</v>
      </c>
      <c r="D33" s="376">
        <f>OCTUBRE!D33+NOVIEMBRE!P33</f>
        <v>0</v>
      </c>
      <c r="E33" s="376">
        <f>OCTUBRE!E33+NOVIEMBRE!Q33</f>
        <v>0</v>
      </c>
      <c r="F33" s="376">
        <f>SUM(C33:E33)</f>
        <v>0</v>
      </c>
      <c r="G33" s="376">
        <f>OCTUBRE!I33</f>
        <v>0</v>
      </c>
      <c r="H33" s="377">
        <v>0</v>
      </c>
      <c r="I33" s="376">
        <f>SUM(G33:H33)</f>
        <v>0</v>
      </c>
      <c r="J33" s="376">
        <f>OCTUBRE!L33</f>
        <v>0</v>
      </c>
      <c r="K33" s="377">
        <v>0</v>
      </c>
      <c r="L33" s="376">
        <f>SUM(J33:K33)</f>
        <v>0</v>
      </c>
      <c r="M33" s="376">
        <f>F33-I33</f>
        <v>0</v>
      </c>
      <c r="N33" s="146">
        <f>F33-L33</f>
        <v>0</v>
      </c>
      <c r="O33" s="9"/>
      <c r="P33" s="375">
        <v>0</v>
      </c>
      <c r="Q33" s="378">
        <v>0</v>
      </c>
      <c r="R33" s="9"/>
      <c r="S33" s="719">
        <f>+IF(OCTUBRE!S33=0,"",OCTUBRE!S33)</f>
        <v>1010199</v>
      </c>
      <c r="T33" s="693" t="str">
        <f>+IF(OCTUBRE!T33=0,"",OCTUBRE!T33)</f>
        <v>Vigencias Anteriores</v>
      </c>
      <c r="U33" s="27">
        <f>+ENERO!U33</f>
        <v>0</v>
      </c>
      <c r="V33" s="15">
        <f>OCTUBRE!V33+NOVIEMBRE!AL33</f>
        <v>0</v>
      </c>
      <c r="W33" s="15">
        <f>OCTUBRE!W33+NOVIEMBRE!AM33</f>
        <v>2702630</v>
      </c>
      <c r="X33" s="18">
        <f t="shared" si="17"/>
        <v>2702630</v>
      </c>
      <c r="Y33" s="19">
        <f>OCTUBRE!AA33</f>
        <v>2702630</v>
      </c>
      <c r="Z33" s="377">
        <v>0</v>
      </c>
      <c r="AA33" s="18">
        <f t="shared" si="18"/>
        <v>2702630</v>
      </c>
      <c r="AB33" s="19">
        <f>OCTUBRE!AD33</f>
        <v>2702630</v>
      </c>
      <c r="AC33" s="377">
        <v>0</v>
      </c>
      <c r="AD33" s="18">
        <f t="shared" si="19"/>
        <v>2702630</v>
      </c>
      <c r="AE33" s="19">
        <f>OCTUBRE!AG33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299215632</v>
      </c>
      <c r="BP33" s="113">
        <f>AD258</f>
        <v>-360366858</v>
      </c>
      <c r="BQ33" s="114">
        <f>AF258</f>
        <v>1704857162</v>
      </c>
      <c r="BR33" s="385"/>
    </row>
    <row r="34" spans="1:70" s="425" customFormat="1" ht="24.95" customHeight="1" thickBot="1" x14ac:dyDescent="0.25">
      <c r="A34" s="618" t="str">
        <f>+IF(OCTUBRE!A34=0,"",OCTUBRE!A34)</f>
        <v>1130103-2-2</v>
      </c>
      <c r="B34" s="654" t="str">
        <f>+IF(OCTUBRE!B34=0,"",OCTUBRE!B34)</f>
        <v>Vigencia Anterior</v>
      </c>
      <c r="C34" s="375">
        <f>+ENERO!C34</f>
        <v>0</v>
      </c>
      <c r="D34" s="376">
        <f>OCTUBRE!D34+NOVIEMBRE!P34</f>
        <v>0</v>
      </c>
      <c r="E34" s="376">
        <f>OCTUBRE!E34+NOVIEMBRE!Q34</f>
        <v>0</v>
      </c>
      <c r="F34" s="376">
        <f>SUM(C34:E34)</f>
        <v>0</v>
      </c>
      <c r="G34" s="376">
        <f>OCTUBRE!I34</f>
        <v>0</v>
      </c>
      <c r="H34" s="377">
        <v>0</v>
      </c>
      <c r="I34" s="376">
        <f>SUM(G34:H34)</f>
        <v>0</v>
      </c>
      <c r="J34" s="376">
        <f>OCTUBRE!L34</f>
        <v>0</v>
      </c>
      <c r="K34" s="377">
        <v>0</v>
      </c>
      <c r="L34" s="376">
        <f>SUM(J34:K34)</f>
        <v>0</v>
      </c>
      <c r="M34" s="376">
        <f>F34-I34</f>
        <v>0</v>
      </c>
      <c r="N34" s="146">
        <f>F34-L34</f>
        <v>0</v>
      </c>
      <c r="O34" s="385"/>
      <c r="P34" s="375">
        <v>0</v>
      </c>
      <c r="Q34" s="378">
        <v>0</v>
      </c>
      <c r="R34" s="9"/>
      <c r="S34" s="369" t="str">
        <f>+IF(OCTUBRE!S34=0,"",OCTUBRE!S34)</f>
        <v/>
      </c>
      <c r="T34" s="708" t="str">
        <f>+IF(OCTUBRE!T34=0,"",OCTUBRE!T34)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+IF(OCTUBRE!A35=0,"",OCTUBRE!A35)</f>
        <v>1130103-3</v>
      </c>
      <c r="B35" s="655" t="str">
        <f>+IF(OCTUBRE!B35=0,"",OCTUBRE!B35)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+IF(OCTUBRE!S35=0,"",OCTUBRE!S35)</f>
        <v>1010200</v>
      </c>
      <c r="T35" s="692" t="str">
        <f>+IF(OCTUBRE!T35=0,"",OCTUBRE!T35)</f>
        <v>Servicios Personales Indirectos</v>
      </c>
      <c r="U35" s="135">
        <f t="shared" ref="U35:AJ35" si="34">SUM(U36:U41)</f>
        <v>215072393</v>
      </c>
      <c r="V35" s="124">
        <f t="shared" si="34"/>
        <v>0</v>
      </c>
      <c r="W35" s="124">
        <f t="shared" si="34"/>
        <v>27070478</v>
      </c>
      <c r="X35" s="132">
        <f t="shared" si="34"/>
        <v>242142871</v>
      </c>
      <c r="Y35" s="131">
        <f t="shared" si="34"/>
        <v>227940978</v>
      </c>
      <c r="Z35" s="124">
        <f t="shared" si="34"/>
        <v>0</v>
      </c>
      <c r="AA35" s="132">
        <f t="shared" si="34"/>
        <v>227940978</v>
      </c>
      <c r="AB35" s="131">
        <f t="shared" si="34"/>
        <v>172615368</v>
      </c>
      <c r="AC35" s="124">
        <f t="shared" si="34"/>
        <v>0</v>
      </c>
      <c r="AD35" s="132">
        <f t="shared" si="34"/>
        <v>172615368</v>
      </c>
      <c r="AE35" s="131">
        <f t="shared" si="34"/>
        <v>132114560</v>
      </c>
      <c r="AF35" s="124">
        <f t="shared" si="34"/>
        <v>0</v>
      </c>
      <c r="AG35" s="132">
        <f t="shared" si="34"/>
        <v>132114560</v>
      </c>
      <c r="AH35" s="131">
        <f t="shared" si="34"/>
        <v>14201893</v>
      </c>
      <c r="AI35" s="124">
        <f t="shared" si="34"/>
        <v>69527503</v>
      </c>
      <c r="AJ35" s="133">
        <f t="shared" si="34"/>
        <v>110028311</v>
      </c>
      <c r="AK35" s="9"/>
      <c r="AL35" s="131">
        <f>SUM(AL36:AL41)</f>
        <v>0</v>
      </c>
      <c r="AM35" s="133">
        <f>SUM(AM36:AM41)</f>
        <v>0</v>
      </c>
      <c r="AN35" s="9"/>
      <c r="AO35" s="352"/>
      <c r="AP35" s="453"/>
      <c r="AQ35" s="295"/>
      <c r="AR35" s="454"/>
      <c r="AS35" s="454"/>
      <c r="AT35" s="454"/>
      <c r="AU35" s="455">
        <f>AR17-AR32</f>
        <v>624588041</v>
      </c>
      <c r="AV35" s="456">
        <f>AS17-AR32</f>
        <v>-214970682</v>
      </c>
      <c r="AW35" s="456" t="s">
        <v>158</v>
      </c>
      <c r="AX35" s="457"/>
      <c r="AY35" s="456">
        <f>AY17+AY32</f>
        <v>-1476626290.136364</v>
      </c>
      <c r="AZ35" s="458">
        <f>AZ17+AY32</f>
        <v>-2399499802.227273</v>
      </c>
      <c r="BB35" s="425"/>
      <c r="BC35" s="425"/>
      <c r="BD35" s="425"/>
      <c r="BE35" s="425"/>
      <c r="BF35" s="425"/>
    </row>
    <row r="36" spans="1:70" s="385" customFormat="1" ht="24.95" customHeight="1" thickBot="1" x14ac:dyDescent="0.25">
      <c r="A36" s="618" t="str">
        <f>+IF(OCTUBRE!A36=0,"",OCTUBRE!A36)</f>
        <v>1130103-3-1</v>
      </c>
      <c r="B36" s="654" t="str">
        <f>+CONCATENATE("Vigencia ",INSTRUCCIONES!$F$3)</f>
        <v>Vigencia 2015</v>
      </c>
      <c r="C36" s="375">
        <f>+ENERO!C36</f>
        <v>0</v>
      </c>
      <c r="D36" s="376">
        <f>OCTUBRE!D36+NOVIEMBRE!P36</f>
        <v>0</v>
      </c>
      <c r="E36" s="376">
        <f>OCTUBRE!E36+NOVIEMBRE!Q36</f>
        <v>0</v>
      </c>
      <c r="F36" s="376">
        <f t="shared" ref="F36:F41" si="35">SUM(C36:E36)</f>
        <v>0</v>
      </c>
      <c r="G36" s="376">
        <f>OCTUBRE!I36</f>
        <v>0</v>
      </c>
      <c r="H36" s="377">
        <v>0</v>
      </c>
      <c r="I36" s="376">
        <f t="shared" ref="I36:I41" si="36">SUM(G36:H36)</f>
        <v>0</v>
      </c>
      <c r="J36" s="376">
        <f>OCTUBRE!L36</f>
        <v>0</v>
      </c>
      <c r="K36" s="377">
        <v>0</v>
      </c>
      <c r="L36" s="376">
        <f t="shared" ref="L36:L41" si="37">SUM(J36:K36)</f>
        <v>0</v>
      </c>
      <c r="M36" s="376">
        <f t="shared" ref="M36:M41" si="38">F36-I36</f>
        <v>0</v>
      </c>
      <c r="N36" s="146">
        <f t="shared" ref="N36:N41" si="39">F36-L36</f>
        <v>0</v>
      </c>
      <c r="O36" s="9"/>
      <c r="P36" s="375">
        <v>0</v>
      </c>
      <c r="Q36" s="378">
        <v>0</v>
      </c>
      <c r="R36" s="9"/>
      <c r="S36" s="719" t="str">
        <f>+IF(OCTUBRE!S36=0,"",OCTUBRE!S36)</f>
        <v>1010200-1</v>
      </c>
      <c r="T36" s="693" t="str">
        <f>+IF(OCTUBRE!T36=0,"",OCTUBRE!T36)</f>
        <v>Remuneración y Honorarios por Servicios Técnicos y Profesionales</v>
      </c>
      <c r="U36" s="27">
        <f>+ENERO!U36</f>
        <v>213224393</v>
      </c>
      <c r="V36" s="15">
        <f>OCTUBRE!V36+NOVIEMBRE!AL36</f>
        <v>0</v>
      </c>
      <c r="W36" s="15">
        <f>OCTUBRE!W36+NOVIEMBRE!AM36</f>
        <v>0</v>
      </c>
      <c r="X36" s="18">
        <f t="shared" ref="X36:X41" si="40">SUM(U36:W36)</f>
        <v>213224393</v>
      </c>
      <c r="Y36" s="19">
        <f>OCTUBRE!AA36</f>
        <v>200870500</v>
      </c>
      <c r="Z36" s="377">
        <v>0</v>
      </c>
      <c r="AA36" s="18">
        <f t="shared" ref="AA36:AA41" si="41">SUM(Y36:Z36)</f>
        <v>200870500</v>
      </c>
      <c r="AB36" s="19">
        <f>OCTUBRE!AD36</f>
        <v>145544890</v>
      </c>
      <c r="AC36" s="377">
        <v>0</v>
      </c>
      <c r="AD36" s="18">
        <f t="shared" ref="AD36:AD41" si="42">SUM(AB36:AC36)</f>
        <v>145544890</v>
      </c>
      <c r="AE36" s="19">
        <f>OCTUBRE!AG36</f>
        <v>111993936</v>
      </c>
      <c r="AF36" s="377">
        <v>0</v>
      </c>
      <c r="AG36" s="18">
        <f t="shared" ref="AG36:AG41" si="43">SUM(AE36:AF36)</f>
        <v>111993936</v>
      </c>
      <c r="AH36" s="19">
        <f t="shared" ref="AH36:AH41" si="44">X36-AA36</f>
        <v>12353893</v>
      </c>
      <c r="AI36" s="15">
        <f t="shared" ref="AI36:AI41" si="45">X36-AD36</f>
        <v>67679503</v>
      </c>
      <c r="AJ36" s="16">
        <f t="shared" ref="AJ36:AJ41" si="46">X36-AG36</f>
        <v>101230457</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+IF(OCTUBRE!A37=0,"",OCTUBRE!A37)</f>
        <v>1130103-3-2</v>
      </c>
      <c r="B37" s="654" t="str">
        <f>+IF(OCTUBRE!B37=0,"",OCTUBRE!B37)</f>
        <v>Vigencia Anterior</v>
      </c>
      <c r="C37" s="375">
        <f>+ENERO!C37</f>
        <v>0</v>
      </c>
      <c r="D37" s="376">
        <f>OCTUBRE!D37+NOVIEMBRE!P37</f>
        <v>0</v>
      </c>
      <c r="E37" s="376">
        <f>OCTUBRE!E37+NOVIEMBRE!Q37</f>
        <v>0</v>
      </c>
      <c r="F37" s="376">
        <f t="shared" si="35"/>
        <v>0</v>
      </c>
      <c r="G37" s="376">
        <f>OCTUBRE!I37</f>
        <v>0</v>
      </c>
      <c r="H37" s="377">
        <v>0</v>
      </c>
      <c r="I37" s="376">
        <f t="shared" si="36"/>
        <v>0</v>
      </c>
      <c r="J37" s="376">
        <f>OCTUBRE!L37</f>
        <v>0</v>
      </c>
      <c r="K37" s="377">
        <v>0</v>
      </c>
      <c r="L37" s="376">
        <f t="shared" si="37"/>
        <v>0</v>
      </c>
      <c r="M37" s="376">
        <f t="shared" si="38"/>
        <v>0</v>
      </c>
      <c r="N37" s="146">
        <f t="shared" si="39"/>
        <v>0</v>
      </c>
      <c r="P37" s="375">
        <v>0</v>
      </c>
      <c r="Q37" s="378">
        <v>0</v>
      </c>
      <c r="R37" s="9"/>
      <c r="S37" s="719" t="str">
        <f>+IF(OCTUBRE!S37=0,"",OCTUBRE!S37)</f>
        <v>1010200-2</v>
      </c>
      <c r="T37" s="693" t="str">
        <f>+IF(OCTUBRE!T37=0,"",OCTUBRE!T37)</f>
        <v>Personal Supernumerario</v>
      </c>
      <c r="U37" s="27">
        <f>+ENERO!U37</f>
        <v>0</v>
      </c>
      <c r="V37" s="15">
        <f>OCTUBRE!V37+NOVIEMBRE!AL37</f>
        <v>0</v>
      </c>
      <c r="W37" s="15">
        <f>OCTUBRE!W37+NOVIEMBRE!AM37</f>
        <v>0</v>
      </c>
      <c r="X37" s="18">
        <f t="shared" si="40"/>
        <v>0</v>
      </c>
      <c r="Y37" s="19">
        <f>OCTUBRE!AA37</f>
        <v>0</v>
      </c>
      <c r="Z37" s="377">
        <v>0</v>
      </c>
      <c r="AA37" s="18">
        <f t="shared" si="41"/>
        <v>0</v>
      </c>
      <c r="AB37" s="19">
        <f>OCTUBRE!AD37</f>
        <v>0</v>
      </c>
      <c r="AC37" s="377">
        <v>0</v>
      </c>
      <c r="AD37" s="18">
        <f t="shared" si="42"/>
        <v>0</v>
      </c>
      <c r="AE37" s="19">
        <f>OCTUBRE!AG37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+IF(OCTUBRE!A38=0,"",OCTUBRE!A38)</f>
        <v>1130103-4</v>
      </c>
      <c r="B38" s="656" t="str">
        <f>+IF(OCTUBRE!B38=0,"",OCTUBRE!B38)</f>
        <v xml:space="preserve"> Aportes Patronales  1o. Nivel</v>
      </c>
      <c r="C38" s="375">
        <f>+ENERO!C38</f>
        <v>326631000</v>
      </c>
      <c r="D38" s="376">
        <f>OCTUBRE!D38+NOVIEMBRE!P38</f>
        <v>0</v>
      </c>
      <c r="E38" s="376">
        <f>OCTUBRE!E38+NOVIEMBRE!Q38</f>
        <v>0</v>
      </c>
      <c r="F38" s="376">
        <f t="shared" si="35"/>
        <v>326631000</v>
      </c>
      <c r="G38" s="376">
        <f>OCTUBRE!I38</f>
        <v>235750638</v>
      </c>
      <c r="H38" s="377">
        <v>0</v>
      </c>
      <c r="I38" s="376">
        <f t="shared" si="36"/>
        <v>235750638</v>
      </c>
      <c r="J38" s="376">
        <f>OCTUBRE!L38</f>
        <v>232031822</v>
      </c>
      <c r="K38" s="377">
        <v>0</v>
      </c>
      <c r="L38" s="376">
        <f t="shared" si="37"/>
        <v>232031822</v>
      </c>
      <c r="M38" s="376">
        <f t="shared" si="38"/>
        <v>90880362</v>
      </c>
      <c r="N38" s="146">
        <f t="shared" si="39"/>
        <v>94599178</v>
      </c>
      <c r="O38" s="533"/>
      <c r="P38" s="375">
        <v>0</v>
      </c>
      <c r="Q38" s="378">
        <v>0</v>
      </c>
      <c r="R38" s="9"/>
      <c r="S38" s="719" t="str">
        <f>+IF(OCTUBRE!S38=0,"",OCTUBRE!S38)</f>
        <v>1010200-3</v>
      </c>
      <c r="T38" s="693" t="str">
        <f>+IF(OCTUBRE!T38=0,"",OCTUBRE!T38)</f>
        <v>Honorarios de la Junta Directiva</v>
      </c>
      <c r="U38" s="27">
        <f>+ENERO!U38</f>
        <v>1848000</v>
      </c>
      <c r="V38" s="15">
        <f>OCTUBRE!V38+NOVIEMBRE!AL38</f>
        <v>0</v>
      </c>
      <c r="W38" s="15">
        <f>OCTUBRE!W38+NOVIEMBRE!AM38</f>
        <v>0</v>
      </c>
      <c r="X38" s="18">
        <f t="shared" si="40"/>
        <v>1848000</v>
      </c>
      <c r="Y38" s="19">
        <f>OCTUBRE!AA38</f>
        <v>0</v>
      </c>
      <c r="Z38" s="377">
        <v>0</v>
      </c>
      <c r="AA38" s="18">
        <f t="shared" si="41"/>
        <v>0</v>
      </c>
      <c r="AB38" s="19">
        <f>OCTUBRE!AD38</f>
        <v>0</v>
      </c>
      <c r="AC38" s="377">
        <v>0</v>
      </c>
      <c r="AD38" s="18">
        <f t="shared" si="42"/>
        <v>0</v>
      </c>
      <c r="AE38" s="19">
        <f>OCTUBRE!AG38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+IF(OCTUBRE!A39=0,"",OCTUBRE!A39)</f>
        <v>1130103-5</v>
      </c>
      <c r="B39" s="656" t="str">
        <f>+IF(OCTUBRE!B39=0,"",OCTUBRE!B39)</f>
        <v xml:space="preserve"> Aportes Patronales  2o. Nivel</v>
      </c>
      <c r="C39" s="375">
        <f>+ENERO!C39</f>
        <v>0</v>
      </c>
      <c r="D39" s="376">
        <f>OCTUBRE!D39+NOVIEMBRE!P39</f>
        <v>0</v>
      </c>
      <c r="E39" s="376">
        <f>OCTUBRE!E39+NOVIEMBRE!Q39</f>
        <v>0</v>
      </c>
      <c r="F39" s="376">
        <f t="shared" si="35"/>
        <v>0</v>
      </c>
      <c r="G39" s="376">
        <f>OCTUBRE!I39</f>
        <v>0</v>
      </c>
      <c r="H39" s="377">
        <v>0</v>
      </c>
      <c r="I39" s="376">
        <f t="shared" si="36"/>
        <v>0</v>
      </c>
      <c r="J39" s="376">
        <f>OCTUBRE!L39</f>
        <v>0</v>
      </c>
      <c r="K39" s="377">
        <v>0</v>
      </c>
      <c r="L39" s="376">
        <f t="shared" si="37"/>
        <v>0</v>
      </c>
      <c r="M39" s="376">
        <f t="shared" si="38"/>
        <v>0</v>
      </c>
      <c r="N39" s="146">
        <f t="shared" si="39"/>
        <v>0</v>
      </c>
      <c r="O39" s="533"/>
      <c r="P39" s="375">
        <v>0</v>
      </c>
      <c r="Q39" s="378">
        <v>0</v>
      </c>
      <c r="R39" s="9"/>
      <c r="S39" s="719" t="str">
        <f>+IF(OCTUBRE!S39=0,"",OCTUBRE!S39)</f>
        <v>1010200-4</v>
      </c>
      <c r="T39" s="693" t="str">
        <f>+IF(OCTUBRE!T39=0,"",OCTUBRE!T39)</f>
        <v>Otros Honorarios (Servicios de Cooperativa)</v>
      </c>
      <c r="U39" s="27">
        <f>+ENERO!U39</f>
        <v>0</v>
      </c>
      <c r="V39" s="15">
        <f>OCTUBRE!V39+NOVIEMBRE!AL39</f>
        <v>0</v>
      </c>
      <c r="W39" s="15">
        <f>OCTUBRE!W39+NOVIEMBRE!AM39</f>
        <v>0</v>
      </c>
      <c r="X39" s="18">
        <f t="shared" si="40"/>
        <v>0</v>
      </c>
      <c r="Y39" s="19">
        <f>OCTUBRE!AA39</f>
        <v>0</v>
      </c>
      <c r="Z39" s="377">
        <v>0</v>
      </c>
      <c r="AA39" s="18">
        <f t="shared" si="41"/>
        <v>0</v>
      </c>
      <c r="AB39" s="19">
        <f>OCTUBRE!AD39</f>
        <v>0</v>
      </c>
      <c r="AC39" s="377">
        <v>0</v>
      </c>
      <c r="AD39" s="18">
        <f t="shared" si="42"/>
        <v>0</v>
      </c>
      <c r="AE39" s="19">
        <f>OCTUBRE!AG39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+IF(OCTUBRE!A40=0,"",OCTUBRE!A40)</f>
        <v>1130103-6</v>
      </c>
      <c r="B40" s="656" t="str">
        <f>+IF(OCTUBRE!B40=0,"",OCTUBRE!B40)</f>
        <v xml:space="preserve"> Aportes Patronales  3er. Nivel</v>
      </c>
      <c r="C40" s="375">
        <f>+ENERO!C40</f>
        <v>0</v>
      </c>
      <c r="D40" s="376">
        <f>OCTUBRE!D40+NOVIEMBRE!P40</f>
        <v>0</v>
      </c>
      <c r="E40" s="376">
        <f>OCTUBRE!E40+NOVIEMBRE!Q40</f>
        <v>0</v>
      </c>
      <c r="F40" s="376">
        <f t="shared" si="35"/>
        <v>0</v>
      </c>
      <c r="G40" s="376">
        <f>OCTUBRE!I40</f>
        <v>0</v>
      </c>
      <c r="H40" s="377">
        <v>0</v>
      </c>
      <c r="I40" s="376">
        <f t="shared" si="36"/>
        <v>0</v>
      </c>
      <c r="J40" s="376">
        <f>OCTUBRE!L40</f>
        <v>0</v>
      </c>
      <c r="K40" s="377">
        <v>0</v>
      </c>
      <c r="L40" s="376">
        <f t="shared" si="37"/>
        <v>0</v>
      </c>
      <c r="M40" s="376">
        <f t="shared" si="38"/>
        <v>0</v>
      </c>
      <c r="N40" s="146">
        <f t="shared" si="39"/>
        <v>0</v>
      </c>
      <c r="O40" s="533"/>
      <c r="P40" s="375">
        <v>0</v>
      </c>
      <c r="Q40" s="378">
        <v>0</v>
      </c>
      <c r="R40" s="9"/>
      <c r="S40" s="719" t="str">
        <f>+IF(OCTUBRE!S40=0,"",OCTUBRE!S40)</f>
        <v>1010200-6</v>
      </c>
      <c r="T40" s="693" t="str">
        <f>+IF(OCTUBRE!T40=0,"",OCTUBRE!T40)</f>
        <v>Certificación, Habilitación y Acreditación</v>
      </c>
      <c r="U40" s="27">
        <f>+ENERO!U40</f>
        <v>0</v>
      </c>
      <c r="V40" s="15">
        <f>OCTUBRE!V40+NOVIEMBRE!AL40</f>
        <v>0</v>
      </c>
      <c r="W40" s="15">
        <f>OCTUBRE!W40+NOVIEMBRE!AM40</f>
        <v>0</v>
      </c>
      <c r="X40" s="18">
        <f t="shared" si="40"/>
        <v>0</v>
      </c>
      <c r="Y40" s="19">
        <f>OCTUBRE!AA40</f>
        <v>0</v>
      </c>
      <c r="Z40" s="377">
        <v>0</v>
      </c>
      <c r="AA40" s="18">
        <f t="shared" si="41"/>
        <v>0</v>
      </c>
      <c r="AB40" s="19">
        <f>OCTUBRE!AD40</f>
        <v>0</v>
      </c>
      <c r="AC40" s="377">
        <v>0</v>
      </c>
      <c r="AD40" s="18">
        <f t="shared" si="42"/>
        <v>0</v>
      </c>
      <c r="AE40" s="19">
        <f>OCTUBRE!AG40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+IF(OCTUBRE!A41=0,"",OCTUBRE!A41)</f>
        <v>1130104</v>
      </c>
      <c r="B41" s="653" t="str">
        <f>+IF(OCTUBRE!B41=0,"",OCTUBRE!B41)</f>
        <v>SUBSIDIO A LA OFERTA- ACTIVIDADES NO POS-S</v>
      </c>
      <c r="C41" s="375">
        <f>+ENERO!C41</f>
        <v>0</v>
      </c>
      <c r="D41" s="124">
        <f>OCTUBRE!D41+NOVIEMBRE!P41</f>
        <v>0</v>
      </c>
      <c r="E41" s="124">
        <f>OCTUBRE!E41+NOVIEMBRE!Q41</f>
        <v>0</v>
      </c>
      <c r="F41" s="124">
        <f t="shared" si="35"/>
        <v>0</v>
      </c>
      <c r="G41" s="124">
        <f>OCTUBRE!I41</f>
        <v>0</v>
      </c>
      <c r="H41" s="377">
        <v>0</v>
      </c>
      <c r="I41" s="124">
        <f t="shared" si="36"/>
        <v>0</v>
      </c>
      <c r="J41" s="124">
        <f>OCTUBRE!L41</f>
        <v>0</v>
      </c>
      <c r="K41" s="377">
        <v>0</v>
      </c>
      <c r="L41" s="124">
        <f t="shared" si="37"/>
        <v>0</v>
      </c>
      <c r="M41" s="124">
        <f t="shared" si="38"/>
        <v>0</v>
      </c>
      <c r="N41" s="133">
        <f t="shared" si="39"/>
        <v>0</v>
      </c>
      <c r="O41" s="385"/>
      <c r="P41" s="377">
        <v>0</v>
      </c>
      <c r="Q41" s="378">
        <v>0</v>
      </c>
      <c r="R41" s="9"/>
      <c r="S41" s="719">
        <f>+IF(OCTUBRE!S41=0,"",OCTUBRE!S41)</f>
        <v>1010299</v>
      </c>
      <c r="T41" s="693" t="str">
        <f>+IF(OCTUBRE!T41=0,"",OCTUBRE!T41)</f>
        <v>Vigencias Anteriores</v>
      </c>
      <c r="U41" s="27">
        <f>+ENERO!U41</f>
        <v>0</v>
      </c>
      <c r="V41" s="15">
        <f>OCTUBRE!V41+NOVIEMBRE!AL41</f>
        <v>0</v>
      </c>
      <c r="W41" s="15">
        <f>OCTUBRE!W41+NOVIEMBRE!AM41</f>
        <v>27070478</v>
      </c>
      <c r="X41" s="18">
        <f t="shared" si="40"/>
        <v>27070478</v>
      </c>
      <c r="Y41" s="19">
        <f>OCTUBRE!AA41</f>
        <v>27070478</v>
      </c>
      <c r="Z41" s="377">
        <v>0</v>
      </c>
      <c r="AA41" s="18">
        <f t="shared" si="41"/>
        <v>27070478</v>
      </c>
      <c r="AB41" s="19">
        <f>OCTUBRE!AD41</f>
        <v>27070478</v>
      </c>
      <c r="AC41" s="377">
        <v>0</v>
      </c>
      <c r="AD41" s="18">
        <f t="shared" si="42"/>
        <v>27070478</v>
      </c>
      <c r="AE41" s="19">
        <f>OCTUBRE!AG41</f>
        <v>20120624</v>
      </c>
      <c r="AF41" s="377">
        <v>0</v>
      </c>
      <c r="AG41" s="18">
        <f t="shared" si="43"/>
        <v>20120624</v>
      </c>
      <c r="AH41" s="19">
        <f t="shared" si="44"/>
        <v>0</v>
      </c>
      <c r="AI41" s="15">
        <f t="shared" si="45"/>
        <v>0</v>
      </c>
      <c r="AJ41" s="16">
        <f t="shared" si="46"/>
        <v>6949854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+IF(OCTUBRE!A42=0,"",OCTUBRE!A42)</f>
        <v>1130106</v>
      </c>
      <c r="B42" s="653" t="str">
        <f>+IF(OCTUBRE!B42=0,"",OCTUBRE!B42)</f>
        <v>SALUD PUBLICA - PLAN DE INTERVENCIONES COLECTIVAS</v>
      </c>
      <c r="C42" s="43">
        <f t="shared" ref="C42:N42" si="47">SUM(C43:C44)</f>
        <v>94000000</v>
      </c>
      <c r="D42" s="44">
        <f t="shared" si="47"/>
        <v>0</v>
      </c>
      <c r="E42" s="44">
        <f t="shared" si="47"/>
        <v>17280673</v>
      </c>
      <c r="F42" s="44">
        <f t="shared" si="47"/>
        <v>111280673</v>
      </c>
      <c r="G42" s="44">
        <f t="shared" si="47"/>
        <v>67464121</v>
      </c>
      <c r="H42" s="44">
        <f t="shared" si="47"/>
        <v>0</v>
      </c>
      <c r="I42" s="44">
        <f t="shared" si="47"/>
        <v>67464121</v>
      </c>
      <c r="J42" s="44">
        <f t="shared" si="47"/>
        <v>65005392</v>
      </c>
      <c r="K42" s="44">
        <f t="shared" si="47"/>
        <v>0</v>
      </c>
      <c r="L42" s="44">
        <f t="shared" si="47"/>
        <v>65005392</v>
      </c>
      <c r="M42" s="44">
        <f t="shared" si="47"/>
        <v>43816552</v>
      </c>
      <c r="N42" s="45">
        <f t="shared" si="47"/>
        <v>46275281</v>
      </c>
      <c r="P42" s="43">
        <f>SUM(P43:P44)</f>
        <v>0</v>
      </c>
      <c r="Q42" s="45">
        <f>SUM(Q43:Q44)</f>
        <v>0</v>
      </c>
      <c r="R42" s="9"/>
      <c r="S42" s="369" t="str">
        <f>+IF(OCTUBRE!S42=0,"",OCTUBRE!S42)</f>
        <v/>
      </c>
      <c r="T42" s="708" t="str">
        <f>+IF(OCTUBRE!T42=0,"",OCTUBRE!T42)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+IF(OCTUBRE!A43=0,"",OCTUBRE!A43)</f>
        <v>1130106-1</v>
      </c>
      <c r="B43" s="654" t="str">
        <f>+CONCATENATE("Vigencia ",INSTRUCCIONES!$F$3)</f>
        <v>Vigencia 2015</v>
      </c>
      <c r="C43" s="375">
        <f>+ENERO!C43</f>
        <v>94000000</v>
      </c>
      <c r="D43" s="376">
        <f>OCTUBRE!D43+NOVIEMBRE!P43</f>
        <v>0</v>
      </c>
      <c r="E43" s="376">
        <f>OCTUBRE!E43+NOVIEMBRE!Q43</f>
        <v>17280673</v>
      </c>
      <c r="F43" s="376">
        <f>SUM(C43:E43)</f>
        <v>111280673</v>
      </c>
      <c r="G43" s="376">
        <f>OCTUBRE!I43</f>
        <v>67464121</v>
      </c>
      <c r="H43" s="377">
        <v>0</v>
      </c>
      <c r="I43" s="376">
        <f>SUM(G43:H43)</f>
        <v>67464121</v>
      </c>
      <c r="J43" s="376">
        <f>OCTUBRE!L43</f>
        <v>65005392</v>
      </c>
      <c r="K43" s="377">
        <v>0</v>
      </c>
      <c r="L43" s="376">
        <f>SUM(J43:K43)</f>
        <v>65005392</v>
      </c>
      <c r="M43" s="376">
        <f>F43-I43</f>
        <v>43816552</v>
      </c>
      <c r="N43" s="146">
        <f>F43-L43</f>
        <v>46275281</v>
      </c>
      <c r="O43" s="385"/>
      <c r="P43" s="375">
        <v>0</v>
      </c>
      <c r="Q43" s="378">
        <v>0</v>
      </c>
      <c r="R43" s="9"/>
      <c r="S43" s="718">
        <f>+IF(OCTUBRE!S43=0,"",OCTUBRE!S43)</f>
        <v>1010300</v>
      </c>
      <c r="T43" s="692" t="str">
        <f>+IF(OCTUBRE!T43=0,"",OCTUBRE!T43)</f>
        <v>Contribuciones Inherentes nómina al Sector Privado</v>
      </c>
      <c r="U43" s="135">
        <f t="shared" ref="U43:AJ43" si="48">U44+U49+U55</f>
        <v>111328187</v>
      </c>
      <c r="V43" s="124">
        <f t="shared" si="48"/>
        <v>0</v>
      </c>
      <c r="W43" s="124">
        <f t="shared" si="48"/>
        <v>43373015</v>
      </c>
      <c r="X43" s="132">
        <f t="shared" si="48"/>
        <v>154701202</v>
      </c>
      <c r="Y43" s="131">
        <f t="shared" si="48"/>
        <v>102418545</v>
      </c>
      <c r="Z43" s="124">
        <f t="shared" si="48"/>
        <v>0</v>
      </c>
      <c r="AA43" s="132">
        <f t="shared" si="48"/>
        <v>102418545</v>
      </c>
      <c r="AB43" s="131">
        <f t="shared" si="48"/>
        <v>102418545</v>
      </c>
      <c r="AC43" s="124">
        <f t="shared" si="48"/>
        <v>0</v>
      </c>
      <c r="AD43" s="132">
        <f t="shared" si="48"/>
        <v>102418545</v>
      </c>
      <c r="AE43" s="131">
        <f t="shared" si="48"/>
        <v>86453036</v>
      </c>
      <c r="AF43" s="124">
        <f t="shared" si="48"/>
        <v>0</v>
      </c>
      <c r="AG43" s="132">
        <f t="shared" si="48"/>
        <v>86453036</v>
      </c>
      <c r="AH43" s="131">
        <f t="shared" si="48"/>
        <v>52282657</v>
      </c>
      <c r="AI43" s="124">
        <f t="shared" si="48"/>
        <v>52282657</v>
      </c>
      <c r="AJ43" s="133">
        <f t="shared" si="48"/>
        <v>68248166</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+IF(OCTUBRE!A44=0,"",OCTUBRE!A44)</f>
        <v>1130106-2</v>
      </c>
      <c r="B44" s="654" t="str">
        <f>+IF(OCTUBRE!B44=0,"",OCTUBRE!B44)</f>
        <v>Vigencia Anterior</v>
      </c>
      <c r="C44" s="375">
        <f>+ENERO!C44</f>
        <v>0</v>
      </c>
      <c r="D44" s="376">
        <f>OCTUBRE!D44+NOVIEMBRE!P44</f>
        <v>0</v>
      </c>
      <c r="E44" s="376">
        <f>OCTUBRE!E44+NOVIEMBRE!Q44</f>
        <v>0</v>
      </c>
      <c r="F44" s="376">
        <f>SUM(C44:E44)</f>
        <v>0</v>
      </c>
      <c r="G44" s="376">
        <f>OCTUBRE!I44</f>
        <v>0</v>
      </c>
      <c r="H44" s="377">
        <v>0</v>
      </c>
      <c r="I44" s="376">
        <f>SUM(G44:H44)</f>
        <v>0</v>
      </c>
      <c r="J44" s="376">
        <f>OCTUBRE!L44</f>
        <v>0</v>
      </c>
      <c r="K44" s="377">
        <v>0</v>
      </c>
      <c r="L44" s="376">
        <f>SUM(J44:K44)</f>
        <v>0</v>
      </c>
      <c r="M44" s="376">
        <f>F44-I44</f>
        <v>0</v>
      </c>
      <c r="N44" s="146">
        <f>F44-L44</f>
        <v>0</v>
      </c>
      <c r="O44" s="385"/>
      <c r="P44" s="375">
        <v>0</v>
      </c>
      <c r="Q44" s="378">
        <v>0</v>
      </c>
      <c r="R44" s="9"/>
      <c r="S44" s="719">
        <f>+IF(OCTUBRE!S44=0,"",OCTUBRE!S44)</f>
        <v>1010301</v>
      </c>
      <c r="T44" s="693" t="str">
        <f>+IF(OCTUBRE!T44=0,"",OCTUBRE!T44)</f>
        <v>Contribuciones - Sin Situación de Fondos</v>
      </c>
      <c r="U44" s="27">
        <f t="shared" ref="U44:AJ44" si="49">SUM(U45:U48)</f>
        <v>96536264</v>
      </c>
      <c r="V44" s="15">
        <f t="shared" si="49"/>
        <v>0</v>
      </c>
      <c r="W44" s="15">
        <f t="shared" si="49"/>
        <v>0</v>
      </c>
      <c r="X44" s="18">
        <f t="shared" si="49"/>
        <v>96536264</v>
      </c>
      <c r="Y44" s="19">
        <f t="shared" si="49"/>
        <v>50222830</v>
      </c>
      <c r="Z44" s="145">
        <f t="shared" si="49"/>
        <v>0</v>
      </c>
      <c r="AA44" s="18">
        <f t="shared" si="49"/>
        <v>50222830</v>
      </c>
      <c r="AB44" s="19">
        <f t="shared" si="49"/>
        <v>50222830</v>
      </c>
      <c r="AC44" s="145">
        <f t="shared" si="49"/>
        <v>0</v>
      </c>
      <c r="AD44" s="18">
        <f t="shared" si="49"/>
        <v>50222830</v>
      </c>
      <c r="AE44" s="19">
        <f t="shared" si="49"/>
        <v>48937576</v>
      </c>
      <c r="AF44" s="145">
        <f t="shared" si="49"/>
        <v>0</v>
      </c>
      <c r="AG44" s="18">
        <f t="shared" si="49"/>
        <v>48937576</v>
      </c>
      <c r="AH44" s="19">
        <f t="shared" si="49"/>
        <v>46313434</v>
      </c>
      <c r="AI44" s="15">
        <f t="shared" si="49"/>
        <v>46313434</v>
      </c>
      <c r="AJ44" s="16">
        <f t="shared" si="49"/>
        <v>47598688</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+IF(OCTUBRE!A45=0,"",OCTUBRE!A45)</f>
        <v>1130107</v>
      </c>
      <c r="B45" s="653" t="str">
        <f>+IF(OCTUBRE!B45=0,"",OCTUBRE!B45)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+IF(OCTUBRE!S45=0,"",OCTUBRE!S45)</f>
        <v>1010301-1</v>
      </c>
      <c r="T45" s="694" t="str">
        <f>+IF(OCTUBRE!T45=0,"",OCTUBRE!T45)</f>
        <v>Aportes a E.P.S.- Sin sit. Fondos</v>
      </c>
      <c r="U45" s="27">
        <f>+ENERO!U45</f>
        <v>26843256</v>
      </c>
      <c r="V45" s="15">
        <f>OCTUBRE!V45+NOVIEMBRE!AL45</f>
        <v>0</v>
      </c>
      <c r="W45" s="15">
        <f>OCTUBRE!W45+NOVIEMBRE!AM45</f>
        <v>0</v>
      </c>
      <c r="X45" s="18">
        <f>SUM(U45:W45)</f>
        <v>26843256</v>
      </c>
      <c r="Y45" s="19">
        <f>OCTUBRE!AA45</f>
        <v>20327463</v>
      </c>
      <c r="Z45" s="377">
        <v>0</v>
      </c>
      <c r="AA45" s="18">
        <f>SUM(Y45:Z45)</f>
        <v>20327463</v>
      </c>
      <c r="AB45" s="19">
        <f>OCTUBRE!AD45</f>
        <v>20327463</v>
      </c>
      <c r="AC45" s="377">
        <v>0</v>
      </c>
      <c r="AD45" s="18">
        <f>SUM(AB45:AC45)</f>
        <v>20327463</v>
      </c>
      <c r="AE45" s="19">
        <f>OCTUBRE!AG45</f>
        <v>20327463</v>
      </c>
      <c r="AF45" s="377">
        <v>0</v>
      </c>
      <c r="AG45" s="18">
        <f>SUM(AE45:AF45)</f>
        <v>20327463</v>
      </c>
      <c r="AH45" s="19">
        <f>X45-AA45</f>
        <v>6515793</v>
      </c>
      <c r="AI45" s="15">
        <f>X45-AD45</f>
        <v>6515793</v>
      </c>
      <c r="AJ45" s="16">
        <f>X45-AG45</f>
        <v>6515793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+IF(OCTUBRE!A46=0,"",OCTUBRE!A46)</f>
        <v>1130107-1</v>
      </c>
      <c r="B46" s="654" t="str">
        <f>+CONCATENATE("Vigencia ",INSTRUCCIONES!$F$3)</f>
        <v>Vigencia 2015</v>
      </c>
      <c r="C46" s="375">
        <f>+ENERO!C46</f>
        <v>0</v>
      </c>
      <c r="D46" s="376">
        <f>OCTUBRE!D46+NOVIEMBRE!P46</f>
        <v>0</v>
      </c>
      <c r="E46" s="376">
        <f>OCTUBRE!E46+NOVIEMBRE!Q46</f>
        <v>0</v>
      </c>
      <c r="F46" s="376">
        <f>SUM(C46:E46)</f>
        <v>0</v>
      </c>
      <c r="G46" s="376">
        <f>OCTUBRE!I46</f>
        <v>0</v>
      </c>
      <c r="H46" s="377">
        <v>0</v>
      </c>
      <c r="I46" s="376">
        <f>SUM(G46:H46)</f>
        <v>0</v>
      </c>
      <c r="J46" s="376">
        <f>OCTUBRE!L46</f>
        <v>0</v>
      </c>
      <c r="K46" s="377">
        <v>0</v>
      </c>
      <c r="L46" s="376">
        <f>SUM(J46:K46)</f>
        <v>0</v>
      </c>
      <c r="M46" s="376">
        <f>F46-I46</f>
        <v>0</v>
      </c>
      <c r="N46" s="146">
        <f>F46-L46</f>
        <v>0</v>
      </c>
      <c r="O46" s="385"/>
      <c r="P46" s="375">
        <v>0</v>
      </c>
      <c r="Q46" s="378">
        <v>0</v>
      </c>
      <c r="R46" s="9"/>
      <c r="S46" s="720" t="str">
        <f>+IF(OCTUBRE!S46=0,"",OCTUBRE!S46)</f>
        <v>1010301-2</v>
      </c>
      <c r="T46" s="694" t="str">
        <f>+IF(OCTUBRE!T46=0,"",OCTUBRE!T46)</f>
        <v>Aportes Fondos Pensionales - Sin Sit. Fondos</v>
      </c>
      <c r="U46" s="27">
        <f>+ENERO!U46</f>
        <v>37896396</v>
      </c>
      <c r="V46" s="15">
        <f>OCTUBRE!V46+NOVIEMBRE!AL46</f>
        <v>0</v>
      </c>
      <c r="W46" s="15">
        <f>OCTUBRE!W46+NOVIEMBRE!AM46</f>
        <v>0</v>
      </c>
      <c r="X46" s="18">
        <f>SUM(U46:W46)</f>
        <v>37896396</v>
      </c>
      <c r="Y46" s="19">
        <f>OCTUBRE!AA46</f>
        <v>28697600</v>
      </c>
      <c r="Z46" s="377">
        <v>0</v>
      </c>
      <c r="AA46" s="18">
        <f>SUM(Y46:Z46)</f>
        <v>28697600</v>
      </c>
      <c r="AB46" s="19">
        <f>OCTUBRE!AD46</f>
        <v>28697600</v>
      </c>
      <c r="AC46" s="377">
        <v>0</v>
      </c>
      <c r="AD46" s="18">
        <f>SUM(AB46:AC46)</f>
        <v>28697600</v>
      </c>
      <c r="AE46" s="19">
        <f>OCTUBRE!AG46</f>
        <v>27412346</v>
      </c>
      <c r="AF46" s="377">
        <v>0</v>
      </c>
      <c r="AG46" s="18">
        <f>SUM(AE46:AF46)</f>
        <v>27412346</v>
      </c>
      <c r="AH46" s="19">
        <f>X46-AA46</f>
        <v>9198796</v>
      </c>
      <c r="AI46" s="15">
        <f>X46-AD46</f>
        <v>9198796</v>
      </c>
      <c r="AJ46" s="16">
        <f>X46-AG46</f>
        <v>10484050</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+IF(OCTUBRE!A47=0,"",OCTUBRE!A47)</f>
        <v>1130107-2</v>
      </c>
      <c r="B47" s="654" t="str">
        <f>+IF(OCTUBRE!B47=0,"",OCTUBRE!B47)</f>
        <v>Vigencia Anterior</v>
      </c>
      <c r="C47" s="375">
        <f>+ENERO!C47</f>
        <v>0</v>
      </c>
      <c r="D47" s="376">
        <f>OCTUBRE!D47+NOVIEMBRE!P47</f>
        <v>0</v>
      </c>
      <c r="E47" s="376">
        <f>OCTUBRE!E47+NOVIEMBRE!Q47</f>
        <v>0</v>
      </c>
      <c r="F47" s="376">
        <f>SUM(C47:E47)</f>
        <v>0</v>
      </c>
      <c r="G47" s="376">
        <f>OCTUBRE!I47</f>
        <v>0</v>
      </c>
      <c r="H47" s="377">
        <v>0</v>
      </c>
      <c r="I47" s="376">
        <f>SUM(G47:H47)</f>
        <v>0</v>
      </c>
      <c r="J47" s="376">
        <f>OCTUBRE!L47</f>
        <v>0</v>
      </c>
      <c r="K47" s="377">
        <v>0</v>
      </c>
      <c r="L47" s="376">
        <f>SUM(J47:K47)</f>
        <v>0</v>
      </c>
      <c r="M47" s="376">
        <f>F47-I47</f>
        <v>0</v>
      </c>
      <c r="N47" s="146">
        <f>F47-L47</f>
        <v>0</v>
      </c>
      <c r="O47" s="385"/>
      <c r="P47" s="375">
        <v>0</v>
      </c>
      <c r="Q47" s="378">
        <v>0</v>
      </c>
      <c r="R47" s="9"/>
      <c r="S47" s="720" t="str">
        <f>+IF(OCTUBRE!S47=0,"",OCTUBRE!S47)</f>
        <v>1010301-3</v>
      </c>
      <c r="T47" s="694" t="str">
        <f>+IF(OCTUBRE!T47=0,"",OCTUBRE!T47)</f>
        <v xml:space="preserve">Aportes a Fondos de Cesantia - Sin Sit. de Fondos </v>
      </c>
      <c r="U47" s="27">
        <f>+ENERO!U47</f>
        <v>30148119</v>
      </c>
      <c r="V47" s="15">
        <f>OCTUBRE!V47+NOVIEMBRE!AL47</f>
        <v>0</v>
      </c>
      <c r="W47" s="15">
        <f>OCTUBRE!W47+NOVIEMBRE!AM47</f>
        <v>0</v>
      </c>
      <c r="X47" s="18">
        <f>SUM(U47:W47)</f>
        <v>30148119</v>
      </c>
      <c r="Y47" s="19">
        <f>OCTUBRE!AA47</f>
        <v>0</v>
      </c>
      <c r="Z47" s="377">
        <v>0</v>
      </c>
      <c r="AA47" s="18">
        <f>SUM(Y47:Z47)</f>
        <v>0</v>
      </c>
      <c r="AB47" s="19">
        <f>OCTUBRE!AD47</f>
        <v>0</v>
      </c>
      <c r="AC47" s="377">
        <v>0</v>
      </c>
      <c r="AD47" s="18">
        <f>SUM(AB47:AC47)</f>
        <v>0</v>
      </c>
      <c r="AE47" s="19">
        <f>OCTUBRE!AG47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+IF(OCTUBRE!A48=0,"",OCTUBRE!A48)</f>
        <v>1130108</v>
      </c>
      <c r="B48" s="653" t="str">
        <f>+IF(OCTUBRE!B48=0,"",OCTUBRE!B48)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+IF(OCTUBRE!S48=0,"",OCTUBRE!S48)</f>
        <v>1010301-4</v>
      </c>
      <c r="T48" s="694" t="str">
        <f>+IF(OCTUBRE!T48=0,"",OCTUBRE!T48)</f>
        <v xml:space="preserve">Aporte a ARL. - Sin Sit. de Fondos </v>
      </c>
      <c r="U48" s="27">
        <f>+ENERO!U48</f>
        <v>1648493</v>
      </c>
      <c r="V48" s="15">
        <f>OCTUBRE!V48+NOVIEMBRE!AL48</f>
        <v>0</v>
      </c>
      <c r="W48" s="15">
        <f>OCTUBRE!W48+NOVIEMBRE!AM48</f>
        <v>0</v>
      </c>
      <c r="X48" s="18">
        <f>SUM(U48:W48)</f>
        <v>1648493</v>
      </c>
      <c r="Y48" s="19">
        <f>OCTUBRE!AA48</f>
        <v>1197767</v>
      </c>
      <c r="Z48" s="377">
        <v>0</v>
      </c>
      <c r="AA48" s="18">
        <f>SUM(Y48:Z48)</f>
        <v>1197767</v>
      </c>
      <c r="AB48" s="19">
        <f>OCTUBRE!AD48</f>
        <v>1197767</v>
      </c>
      <c r="AC48" s="377">
        <v>0</v>
      </c>
      <c r="AD48" s="18">
        <f>SUM(AB48:AC48)</f>
        <v>1197767</v>
      </c>
      <c r="AE48" s="19">
        <f>OCTUBRE!AG48</f>
        <v>1197767</v>
      </c>
      <c r="AF48" s="377">
        <v>0</v>
      </c>
      <c r="AG48" s="18">
        <f>SUM(AE48:AF48)</f>
        <v>1197767</v>
      </c>
      <c r="AH48" s="19">
        <f>X48-AA48</f>
        <v>450726</v>
      </c>
      <c r="AI48" s="15">
        <f>X48-AD48</f>
        <v>450726</v>
      </c>
      <c r="AJ48" s="16">
        <f>X48-AG48</f>
        <v>450726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+IF(OCTUBRE!A49=0,"",OCTUBRE!A49)</f>
        <v>1130108-1</v>
      </c>
      <c r="B49" s="654" t="str">
        <f>+CONCATENATE("Vigencia ",INSTRUCCIONES!$F$3)</f>
        <v>Vigencia 2015</v>
      </c>
      <c r="C49" s="375">
        <f>+ENERO!C49</f>
        <v>0</v>
      </c>
      <c r="D49" s="376">
        <f>OCTUBRE!D49+NOVIEMBRE!P49</f>
        <v>0</v>
      </c>
      <c r="E49" s="376">
        <f>OCTUBRE!E49+NOVIEMBRE!Q49</f>
        <v>0</v>
      </c>
      <c r="F49" s="376">
        <f>SUM(C49:E49)</f>
        <v>0</v>
      </c>
      <c r="G49" s="376">
        <f>OCTUBRE!I49</f>
        <v>0</v>
      </c>
      <c r="H49" s="377">
        <v>0</v>
      </c>
      <c r="I49" s="376">
        <f>SUM(G49:H49)</f>
        <v>0</v>
      </c>
      <c r="J49" s="376">
        <f>OCTUBRE!L49</f>
        <v>0</v>
      </c>
      <c r="K49" s="377">
        <v>0</v>
      </c>
      <c r="L49" s="376">
        <f>SUM(J49:K49)</f>
        <v>0</v>
      </c>
      <c r="M49" s="376">
        <f>F49-I49</f>
        <v>0</v>
      </c>
      <c r="N49" s="146">
        <f>F49-L49</f>
        <v>0</v>
      </c>
      <c r="O49" s="385"/>
      <c r="P49" s="375">
        <v>0</v>
      </c>
      <c r="Q49" s="378">
        <v>0</v>
      </c>
      <c r="R49" s="9"/>
      <c r="S49" s="719">
        <f>+IF(OCTUBRE!S49=0,"",OCTUBRE!S49)</f>
        <v>1010302</v>
      </c>
      <c r="T49" s="693" t="str">
        <f>+IF(OCTUBRE!T49=0,"",OCTUBRE!T49)</f>
        <v>Contribuciones - Otros</v>
      </c>
      <c r="U49" s="27">
        <f t="shared" ref="U49:AJ49" si="52">SUM(U50:U54)</f>
        <v>14791923</v>
      </c>
      <c r="V49" s="15">
        <f t="shared" si="52"/>
        <v>0</v>
      </c>
      <c r="W49" s="15">
        <f t="shared" si="52"/>
        <v>13408841</v>
      </c>
      <c r="X49" s="18">
        <f t="shared" si="52"/>
        <v>28200764</v>
      </c>
      <c r="Y49" s="19">
        <f t="shared" si="52"/>
        <v>22231541</v>
      </c>
      <c r="Z49" s="145">
        <f t="shared" si="52"/>
        <v>0</v>
      </c>
      <c r="AA49" s="18">
        <f t="shared" si="52"/>
        <v>22231541</v>
      </c>
      <c r="AB49" s="19">
        <f t="shared" si="52"/>
        <v>22231541</v>
      </c>
      <c r="AC49" s="145">
        <f t="shared" si="52"/>
        <v>0</v>
      </c>
      <c r="AD49" s="18">
        <f t="shared" si="52"/>
        <v>22231541</v>
      </c>
      <c r="AE49" s="19">
        <f t="shared" si="52"/>
        <v>7744400</v>
      </c>
      <c r="AF49" s="145">
        <f t="shared" si="52"/>
        <v>0</v>
      </c>
      <c r="AG49" s="18">
        <f t="shared" si="52"/>
        <v>7744400</v>
      </c>
      <c r="AH49" s="19">
        <f t="shared" si="52"/>
        <v>5969223</v>
      </c>
      <c r="AI49" s="15">
        <f t="shared" si="52"/>
        <v>5969223</v>
      </c>
      <c r="AJ49" s="16">
        <f t="shared" si="52"/>
        <v>20456364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+IF(OCTUBRE!A50=0,"",OCTUBRE!A50)</f>
        <v>1130108-2</v>
      </c>
      <c r="B50" s="654" t="str">
        <f>+IF(OCTUBRE!B50=0,"",OCTUBRE!B50)</f>
        <v>Vigencia Anterior</v>
      </c>
      <c r="C50" s="375">
        <f>+ENERO!C50</f>
        <v>0</v>
      </c>
      <c r="D50" s="376">
        <f>OCTUBRE!D50+NOVIEMBRE!P50</f>
        <v>0</v>
      </c>
      <c r="E50" s="376">
        <f>OCTUBRE!E50+NOVIEMBRE!Q50</f>
        <v>0</v>
      </c>
      <c r="F50" s="376">
        <f>SUM(C50:E50)</f>
        <v>0</v>
      </c>
      <c r="G50" s="376">
        <f>OCTUBRE!I50</f>
        <v>0</v>
      </c>
      <c r="H50" s="377">
        <v>0</v>
      </c>
      <c r="I50" s="376">
        <f>SUM(G50:H50)</f>
        <v>0</v>
      </c>
      <c r="J50" s="376">
        <f>OCTUBRE!L50</f>
        <v>0</v>
      </c>
      <c r="K50" s="377">
        <v>0</v>
      </c>
      <c r="L50" s="376">
        <f>SUM(J50:K50)</f>
        <v>0</v>
      </c>
      <c r="M50" s="376">
        <f>F50-I50</f>
        <v>0</v>
      </c>
      <c r="N50" s="146">
        <f>F50-L50</f>
        <v>0</v>
      </c>
      <c r="O50" s="385"/>
      <c r="P50" s="375">
        <v>0</v>
      </c>
      <c r="Q50" s="378">
        <v>0</v>
      </c>
      <c r="R50" s="9"/>
      <c r="S50" s="720" t="str">
        <f>+IF(OCTUBRE!S50=0,"",OCTUBRE!S50)</f>
        <v>1010302-1</v>
      </c>
      <c r="T50" s="694" t="str">
        <f>+IF(OCTUBRE!T50=0,"",OCTUBRE!T50)</f>
        <v>Aportes a E.P.S.- Con sit. Fondos</v>
      </c>
      <c r="U50" s="27">
        <f>+ENERO!U50</f>
        <v>0</v>
      </c>
      <c r="V50" s="15">
        <f>OCTUBRE!V50+NOVIEMBRE!AL50</f>
        <v>0</v>
      </c>
      <c r="W50" s="15">
        <f>OCTUBRE!W50+NOVIEMBRE!AM50</f>
        <v>13408841</v>
      </c>
      <c r="X50" s="18">
        <f t="shared" ref="X50:X55" si="53">SUM(U50:W50)</f>
        <v>13408841</v>
      </c>
      <c r="Y50" s="19">
        <f>OCTUBRE!AA50</f>
        <v>13408841</v>
      </c>
      <c r="Z50" s="377">
        <v>0</v>
      </c>
      <c r="AA50" s="18">
        <f t="shared" ref="AA50:AA55" si="54">SUM(Y50:Z50)</f>
        <v>13408841</v>
      </c>
      <c r="AB50" s="19">
        <f>OCTUBRE!AD50</f>
        <v>13408841</v>
      </c>
      <c r="AC50" s="377">
        <v>0</v>
      </c>
      <c r="AD50" s="18">
        <f t="shared" ref="AD50:AD55" si="55">SUM(AB50:AC50)</f>
        <v>13408841</v>
      </c>
      <c r="AE50" s="19">
        <f>OCTUBRE!AG50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+IF(OCTUBRE!A51=0,"",OCTUBRE!A51)</f>
        <v>1130109</v>
      </c>
      <c r="B51" s="653" t="str">
        <f>+IF(OCTUBRE!B51=0,"",OCTUBRE!B51)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+IF(OCTUBRE!S51=0,"",OCTUBRE!S51)</f>
        <v>1010302-2</v>
      </c>
      <c r="T51" s="694" t="str">
        <f>+IF(OCTUBRE!T51=0,"",OCTUBRE!T51)</f>
        <v>Aportes Fondos Pensionales - Con Sit. Fondos</v>
      </c>
      <c r="U51" s="27">
        <f>+ENERO!U51</f>
        <v>0</v>
      </c>
      <c r="V51" s="15">
        <f>OCTUBRE!V51+NOVIEMBRE!AL51</f>
        <v>0</v>
      </c>
      <c r="W51" s="15">
        <f>OCTUBRE!W51+NOVIEMBRE!AM51</f>
        <v>0</v>
      </c>
      <c r="X51" s="18">
        <f t="shared" si="53"/>
        <v>0</v>
      </c>
      <c r="Y51" s="19">
        <f>OCTUBRE!AA51</f>
        <v>0</v>
      </c>
      <c r="Z51" s="377">
        <v>0</v>
      </c>
      <c r="AA51" s="18">
        <f t="shared" si="54"/>
        <v>0</v>
      </c>
      <c r="AB51" s="19">
        <f>OCTUBRE!AD51</f>
        <v>0</v>
      </c>
      <c r="AC51" s="377">
        <v>0</v>
      </c>
      <c r="AD51" s="18">
        <f t="shared" si="55"/>
        <v>0</v>
      </c>
      <c r="AE51" s="19">
        <f>OCTUBRE!AG51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+IF(OCTUBRE!A52=0,"",OCTUBRE!A52)</f>
        <v>1130109-1</v>
      </c>
      <c r="B52" s="654" t="str">
        <f>+CONCATENATE("Vigencia ",INSTRUCCIONES!$F$3)</f>
        <v>Vigencia 2015</v>
      </c>
      <c r="C52" s="375">
        <f>+ENERO!C52</f>
        <v>0</v>
      </c>
      <c r="D52" s="376">
        <f>OCTUBRE!D52+NOVIEMBRE!P52</f>
        <v>0</v>
      </c>
      <c r="E52" s="376">
        <f>OCTUBRE!E52+NOVIEMBRE!Q52</f>
        <v>0</v>
      </c>
      <c r="F52" s="376">
        <f>SUM(C52:E52)</f>
        <v>0</v>
      </c>
      <c r="G52" s="376">
        <f>OCTUBRE!I52</f>
        <v>0</v>
      </c>
      <c r="H52" s="377">
        <v>0</v>
      </c>
      <c r="I52" s="376">
        <f>SUM(G52:H52)</f>
        <v>0</v>
      </c>
      <c r="J52" s="376">
        <f>OCTUBRE!L52</f>
        <v>0</v>
      </c>
      <c r="K52" s="377">
        <v>0</v>
      </c>
      <c r="L52" s="376">
        <f>SUM(J52:K52)</f>
        <v>0</v>
      </c>
      <c r="M52" s="376">
        <f>F52-I52</f>
        <v>0</v>
      </c>
      <c r="N52" s="146">
        <f>F52-L52</f>
        <v>0</v>
      </c>
      <c r="O52" s="385"/>
      <c r="P52" s="375">
        <v>0</v>
      </c>
      <c r="Q52" s="378">
        <v>0</v>
      </c>
      <c r="R52" s="9"/>
      <c r="S52" s="720" t="str">
        <f>+IF(OCTUBRE!S52=0,"",OCTUBRE!S52)</f>
        <v>1010302-3</v>
      </c>
      <c r="T52" s="694" t="str">
        <f>+IF(OCTUBRE!T52=0,"",OCTUBRE!T52)</f>
        <v xml:space="preserve">Aportes a Fondos de Cesantia - Con Sit. de Fondos </v>
      </c>
      <c r="U52" s="27">
        <f>+ENERO!U52</f>
        <v>0</v>
      </c>
      <c r="V52" s="15">
        <f>OCTUBRE!V52+NOVIEMBRE!AL52</f>
        <v>0</v>
      </c>
      <c r="W52" s="15">
        <f>OCTUBRE!W52+NOVIEMBRE!AM52</f>
        <v>0</v>
      </c>
      <c r="X52" s="18">
        <f t="shared" si="53"/>
        <v>0</v>
      </c>
      <c r="Y52" s="19">
        <f>OCTUBRE!AA52</f>
        <v>0</v>
      </c>
      <c r="Z52" s="377">
        <v>0</v>
      </c>
      <c r="AA52" s="18">
        <f t="shared" si="54"/>
        <v>0</v>
      </c>
      <c r="AB52" s="19">
        <f>OCTUBRE!AD52</f>
        <v>0</v>
      </c>
      <c r="AC52" s="377">
        <v>0</v>
      </c>
      <c r="AD52" s="18">
        <f t="shared" si="55"/>
        <v>0</v>
      </c>
      <c r="AE52" s="19">
        <f>OCTUBRE!AG52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+IF(OCTUBRE!A53=0,"",OCTUBRE!A53)</f>
        <v>1130109-2</v>
      </c>
      <c r="B53" s="654" t="str">
        <f>+IF(OCTUBRE!B53=0,"",OCTUBRE!B53)</f>
        <v>Vigencia Anterior</v>
      </c>
      <c r="C53" s="375">
        <f>+ENERO!C53</f>
        <v>0</v>
      </c>
      <c r="D53" s="376">
        <f>OCTUBRE!D53+NOVIEMBRE!P53</f>
        <v>0</v>
      </c>
      <c r="E53" s="376">
        <f>OCTUBRE!E53+NOVIEMBRE!Q53</f>
        <v>0</v>
      </c>
      <c r="F53" s="376">
        <f>SUM(C53:E53)</f>
        <v>0</v>
      </c>
      <c r="G53" s="376">
        <f>OCTUBRE!I53</f>
        <v>0</v>
      </c>
      <c r="H53" s="377">
        <v>0</v>
      </c>
      <c r="I53" s="376">
        <f>SUM(G53:H53)</f>
        <v>0</v>
      </c>
      <c r="J53" s="376">
        <f>OCTUBRE!L53</f>
        <v>0</v>
      </c>
      <c r="K53" s="377">
        <v>0</v>
      </c>
      <c r="L53" s="376">
        <f>SUM(J53:K53)</f>
        <v>0</v>
      </c>
      <c r="M53" s="376">
        <f>F53-I53</f>
        <v>0</v>
      </c>
      <c r="N53" s="146">
        <f>F53-L53</f>
        <v>0</v>
      </c>
      <c r="O53" s="385"/>
      <c r="P53" s="375">
        <v>0</v>
      </c>
      <c r="Q53" s="378">
        <v>0</v>
      </c>
      <c r="R53" s="9"/>
      <c r="S53" s="720" t="str">
        <f>+IF(OCTUBRE!S53=0,"",OCTUBRE!S53)</f>
        <v>1010302-4</v>
      </c>
      <c r="T53" s="694" t="str">
        <f>+IF(OCTUBRE!T53=0,"",OCTUBRE!T53)</f>
        <v>Aporte a ARL. - Con Sit. de Fondos</v>
      </c>
      <c r="U53" s="27">
        <f>+ENERO!U53</f>
        <v>0</v>
      </c>
      <c r="V53" s="15">
        <f>OCTUBRE!V53+NOVIEMBRE!AL53</f>
        <v>0</v>
      </c>
      <c r="W53" s="15">
        <f>OCTUBRE!W53+NOVIEMBRE!AM53</f>
        <v>0</v>
      </c>
      <c r="X53" s="18">
        <f t="shared" si="53"/>
        <v>0</v>
      </c>
      <c r="Y53" s="19">
        <f>OCTUBRE!AA53</f>
        <v>0</v>
      </c>
      <c r="Z53" s="377">
        <v>0</v>
      </c>
      <c r="AA53" s="18">
        <f t="shared" si="54"/>
        <v>0</v>
      </c>
      <c r="AB53" s="19">
        <f>OCTUBRE!AD53</f>
        <v>0</v>
      </c>
      <c r="AC53" s="377">
        <v>0</v>
      </c>
      <c r="AD53" s="18">
        <f t="shared" si="55"/>
        <v>0</v>
      </c>
      <c r="AE53" s="19">
        <f>OCTUBRE!AG53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+IF(OCTUBRE!A54=0,"",OCTUBRE!A54)</f>
        <v>1130110</v>
      </c>
      <c r="B54" s="653" t="str">
        <f>+IF(OCTUBRE!B54=0,"",OCTUBRE!B54)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+IF(OCTUBRE!S54=0,"",OCTUBRE!S54)</f>
        <v>1010302-5</v>
      </c>
      <c r="T54" s="694" t="str">
        <f>+IF(OCTUBRE!T54=0,"",OCTUBRE!T54)</f>
        <v>Aporte a Caja Compensación Familiar</v>
      </c>
      <c r="U54" s="27">
        <f>+ENERO!U54</f>
        <v>14791923</v>
      </c>
      <c r="V54" s="15">
        <f>OCTUBRE!V54+NOVIEMBRE!AL54</f>
        <v>0</v>
      </c>
      <c r="W54" s="15">
        <f>OCTUBRE!W54+NOVIEMBRE!AM54</f>
        <v>0</v>
      </c>
      <c r="X54" s="18">
        <f t="shared" si="53"/>
        <v>14791923</v>
      </c>
      <c r="Y54" s="19">
        <f>OCTUBRE!AA54</f>
        <v>8822700</v>
      </c>
      <c r="Z54" s="377">
        <v>0</v>
      </c>
      <c r="AA54" s="18">
        <f t="shared" si="54"/>
        <v>8822700</v>
      </c>
      <c r="AB54" s="19">
        <f>OCTUBRE!AD54</f>
        <v>8822700</v>
      </c>
      <c r="AC54" s="377">
        <v>0</v>
      </c>
      <c r="AD54" s="18">
        <f t="shared" si="55"/>
        <v>8822700</v>
      </c>
      <c r="AE54" s="19">
        <f>OCTUBRE!AG54</f>
        <v>7744400</v>
      </c>
      <c r="AF54" s="377">
        <v>0</v>
      </c>
      <c r="AG54" s="18">
        <f t="shared" si="56"/>
        <v>7744400</v>
      </c>
      <c r="AH54" s="19">
        <f t="shared" si="57"/>
        <v>5969223</v>
      </c>
      <c r="AI54" s="15">
        <f t="shared" si="58"/>
        <v>5969223</v>
      </c>
      <c r="AJ54" s="16">
        <f t="shared" si="59"/>
        <v>7047523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+IF(OCTUBRE!A55=0,"",OCTUBRE!A55)</f>
        <v>1130110-1</v>
      </c>
      <c r="B55" s="654" t="str">
        <f>+CONCATENATE("Vigencia ",INSTRUCCIONES!$F$3)</f>
        <v>Vigencia 2015</v>
      </c>
      <c r="C55" s="375">
        <f>+ENERO!C55</f>
        <v>0</v>
      </c>
      <c r="D55" s="376">
        <f>OCTUBRE!D55+NOVIEMBRE!P55</f>
        <v>0</v>
      </c>
      <c r="E55" s="376">
        <f>OCTUBRE!E55+NOVIEMBRE!Q55</f>
        <v>0</v>
      </c>
      <c r="F55" s="376">
        <f>SUM(C55:E55)</f>
        <v>0</v>
      </c>
      <c r="G55" s="376">
        <f>OCTUBRE!I55</f>
        <v>0</v>
      </c>
      <c r="H55" s="377">
        <v>0</v>
      </c>
      <c r="I55" s="376">
        <f>SUM(G55:H55)</f>
        <v>0</v>
      </c>
      <c r="J55" s="376">
        <f>OCTUBRE!L55</f>
        <v>0</v>
      </c>
      <c r="K55" s="377">
        <v>0</v>
      </c>
      <c r="L55" s="376">
        <f>SUM(J55:K55)</f>
        <v>0</v>
      </c>
      <c r="M55" s="376">
        <f>F55-I55</f>
        <v>0</v>
      </c>
      <c r="N55" s="146">
        <f>F55-L55</f>
        <v>0</v>
      </c>
      <c r="O55" s="385"/>
      <c r="P55" s="375">
        <v>0</v>
      </c>
      <c r="Q55" s="378">
        <v>0</v>
      </c>
      <c r="R55" s="9"/>
      <c r="S55" s="719">
        <f>+IF(OCTUBRE!S55=0,"",OCTUBRE!S55)</f>
        <v>1010399</v>
      </c>
      <c r="T55" s="693" t="str">
        <f>+IF(OCTUBRE!T55=0,"",OCTUBRE!T55)</f>
        <v>Vigencias Anteriores</v>
      </c>
      <c r="U55" s="27">
        <f>+ENERO!U55</f>
        <v>0</v>
      </c>
      <c r="V55" s="15">
        <f>OCTUBRE!V55+NOVIEMBRE!AL55</f>
        <v>0</v>
      </c>
      <c r="W55" s="15">
        <f>OCTUBRE!W55+NOVIEMBRE!AM55</f>
        <v>29964174</v>
      </c>
      <c r="X55" s="18">
        <f t="shared" si="53"/>
        <v>29964174</v>
      </c>
      <c r="Y55" s="19">
        <f>OCTUBRE!AA55</f>
        <v>29964174</v>
      </c>
      <c r="Z55" s="377">
        <v>0</v>
      </c>
      <c r="AA55" s="18">
        <f t="shared" si="54"/>
        <v>29964174</v>
      </c>
      <c r="AB55" s="19">
        <f>OCTUBRE!AD55</f>
        <v>29964174</v>
      </c>
      <c r="AC55" s="377">
        <v>0</v>
      </c>
      <c r="AD55" s="18">
        <f t="shared" si="55"/>
        <v>29964174</v>
      </c>
      <c r="AE55" s="19">
        <f>OCTUBRE!AG55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+IF(OCTUBRE!A56=0,"",OCTUBRE!A56)</f>
        <v>1130110-2</v>
      </c>
      <c r="B56" s="654" t="str">
        <f>+IF(OCTUBRE!B56=0,"",OCTUBRE!B56)</f>
        <v>Vigencia Anterior</v>
      </c>
      <c r="C56" s="375">
        <f>+ENERO!C56</f>
        <v>0</v>
      </c>
      <c r="D56" s="376">
        <f>OCTUBRE!D56+NOVIEMBRE!P56</f>
        <v>0</v>
      </c>
      <c r="E56" s="376">
        <f>OCTUBRE!E56+NOVIEMBRE!Q56</f>
        <v>0</v>
      </c>
      <c r="F56" s="376">
        <f>SUM(C56:E56)</f>
        <v>0</v>
      </c>
      <c r="G56" s="376">
        <f>OCTUBRE!I56</f>
        <v>0</v>
      </c>
      <c r="H56" s="377">
        <v>0</v>
      </c>
      <c r="I56" s="376">
        <f>SUM(G56:H56)</f>
        <v>0</v>
      </c>
      <c r="J56" s="376">
        <f>OCTUBRE!L56</f>
        <v>0</v>
      </c>
      <c r="K56" s="377">
        <v>0</v>
      </c>
      <c r="L56" s="376">
        <f>SUM(J56:K56)</f>
        <v>0</v>
      </c>
      <c r="M56" s="376">
        <f>F56-I56</f>
        <v>0</v>
      </c>
      <c r="N56" s="146">
        <f>F56-L56</f>
        <v>0</v>
      </c>
      <c r="O56" s="385"/>
      <c r="P56" s="375">
        <v>0</v>
      </c>
      <c r="Q56" s="378">
        <v>0</v>
      </c>
      <c r="R56" s="9"/>
      <c r="S56" s="369" t="str">
        <f>+IF(OCTUBRE!S56=0,"",OCTUBRE!S56)</f>
        <v/>
      </c>
      <c r="T56" s="708" t="str">
        <f>+IF(OCTUBRE!T56=0,"",OCTUBRE!T56)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+IF(OCTUBRE!A57=0,"",OCTUBRE!A57)</f>
        <v>1130111</v>
      </c>
      <c r="B57" s="653" t="str">
        <f>+IF(OCTUBRE!B57=0,"",OCTUBRE!B57)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+IF(OCTUBRE!S57=0,"",OCTUBRE!S57)</f>
        <v>1010400</v>
      </c>
      <c r="T57" s="692" t="str">
        <f>+IF(OCTUBRE!T57=0,"",OCTUBRE!T57)</f>
        <v>Contribuciones Inherentes nómina del Sector Publico</v>
      </c>
      <c r="U57" s="135">
        <f t="shared" ref="U57:AJ57" si="63">U58+U61</f>
        <v>18489903</v>
      </c>
      <c r="V57" s="124">
        <f t="shared" si="63"/>
        <v>0</v>
      </c>
      <c r="W57" s="124">
        <f t="shared" si="63"/>
        <v>1280600</v>
      </c>
      <c r="X57" s="132">
        <f t="shared" si="63"/>
        <v>19770503</v>
      </c>
      <c r="Y57" s="131">
        <f t="shared" si="63"/>
        <v>13480900</v>
      </c>
      <c r="Z57" s="124">
        <f t="shared" si="63"/>
        <v>0</v>
      </c>
      <c r="AA57" s="132">
        <f t="shared" si="63"/>
        <v>13480900</v>
      </c>
      <c r="AB57" s="131">
        <f t="shared" si="63"/>
        <v>13480900</v>
      </c>
      <c r="AC57" s="124">
        <f t="shared" si="63"/>
        <v>0</v>
      </c>
      <c r="AD57" s="132">
        <f t="shared" si="63"/>
        <v>13480900</v>
      </c>
      <c r="AE57" s="131">
        <f t="shared" si="63"/>
        <v>12132600</v>
      </c>
      <c r="AF57" s="124">
        <f t="shared" si="63"/>
        <v>0</v>
      </c>
      <c r="AG57" s="132">
        <f t="shared" si="63"/>
        <v>12132600</v>
      </c>
      <c r="AH57" s="131">
        <f t="shared" si="63"/>
        <v>6289603</v>
      </c>
      <c r="AI57" s="124">
        <f t="shared" si="63"/>
        <v>6289603</v>
      </c>
      <c r="AJ57" s="133">
        <f t="shared" si="63"/>
        <v>7637903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+IF(OCTUBRE!A58=0,"",OCTUBRE!A58)</f>
        <v>1130111-1</v>
      </c>
      <c r="B58" s="654" t="str">
        <f>+CONCATENATE("Vigencia ",INSTRUCCIONES!$F$3)</f>
        <v>Vigencia 2015</v>
      </c>
      <c r="C58" s="375">
        <f>+ENERO!C58</f>
        <v>0</v>
      </c>
      <c r="D58" s="376">
        <f>OCTUBRE!D58+NOVIEMBRE!P58</f>
        <v>0</v>
      </c>
      <c r="E58" s="376">
        <f>OCTUBRE!E58+NOVIEMBRE!Q58</f>
        <v>0</v>
      </c>
      <c r="F58" s="376">
        <f>SUM(C58:E58)</f>
        <v>0</v>
      </c>
      <c r="G58" s="376">
        <f>OCTUBRE!I58</f>
        <v>0</v>
      </c>
      <c r="H58" s="377">
        <v>0</v>
      </c>
      <c r="I58" s="376">
        <f>SUM(G58:H58)</f>
        <v>0</v>
      </c>
      <c r="J58" s="376">
        <f>OCTUBRE!L58</f>
        <v>0</v>
      </c>
      <c r="K58" s="377">
        <v>0</v>
      </c>
      <c r="L58" s="376">
        <f>SUM(J58:K58)</f>
        <v>0</v>
      </c>
      <c r="M58" s="376">
        <f>F58-I58</f>
        <v>0</v>
      </c>
      <c r="N58" s="146">
        <f>F58-L58</f>
        <v>0</v>
      </c>
      <c r="O58" s="385"/>
      <c r="P58" s="375">
        <v>0</v>
      </c>
      <c r="Q58" s="378">
        <v>0</v>
      </c>
      <c r="R58" s="9"/>
      <c r="S58" s="719">
        <f>+IF(OCTUBRE!S58=0,"",OCTUBRE!S58)</f>
        <v>1010402</v>
      </c>
      <c r="T58" s="693" t="str">
        <f>+IF(OCTUBRE!T58=0,"",OCTUBRE!T58)</f>
        <v>Contribuciones - Otros</v>
      </c>
      <c r="U58" s="27">
        <f t="shared" ref="U58:AJ58" si="64">SUM(U59:U60)</f>
        <v>18489903</v>
      </c>
      <c r="V58" s="15">
        <f t="shared" si="64"/>
        <v>0</v>
      </c>
      <c r="W58" s="15">
        <f t="shared" si="64"/>
        <v>0</v>
      </c>
      <c r="X58" s="18">
        <f t="shared" si="64"/>
        <v>18489903</v>
      </c>
      <c r="Y58" s="19">
        <f t="shared" si="64"/>
        <v>12200300</v>
      </c>
      <c r="Z58" s="145">
        <f t="shared" si="64"/>
        <v>0</v>
      </c>
      <c r="AA58" s="18">
        <f t="shared" si="64"/>
        <v>12200300</v>
      </c>
      <c r="AB58" s="19">
        <f t="shared" si="64"/>
        <v>12200300</v>
      </c>
      <c r="AC58" s="145">
        <f t="shared" si="64"/>
        <v>0</v>
      </c>
      <c r="AD58" s="18">
        <f t="shared" si="64"/>
        <v>12200300</v>
      </c>
      <c r="AE58" s="19">
        <f t="shared" si="64"/>
        <v>10852000</v>
      </c>
      <c r="AF58" s="145">
        <f t="shared" si="64"/>
        <v>0</v>
      </c>
      <c r="AG58" s="18">
        <f t="shared" si="64"/>
        <v>10852000</v>
      </c>
      <c r="AH58" s="19">
        <f t="shared" si="64"/>
        <v>6289603</v>
      </c>
      <c r="AI58" s="15">
        <f t="shared" si="64"/>
        <v>6289603</v>
      </c>
      <c r="AJ58" s="16">
        <f t="shared" si="64"/>
        <v>7637903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+IF(OCTUBRE!A59=0,"",OCTUBRE!A59)</f>
        <v>1130111-2</v>
      </c>
      <c r="B59" s="654" t="str">
        <f>+IF(OCTUBRE!B59=0,"",OCTUBRE!B59)</f>
        <v>Vigencia Anterior</v>
      </c>
      <c r="C59" s="375">
        <f>+ENERO!C59</f>
        <v>0</v>
      </c>
      <c r="D59" s="376">
        <f>OCTUBRE!D59+NOVIEMBRE!P59</f>
        <v>0</v>
      </c>
      <c r="E59" s="376">
        <f>OCTUBRE!E59+NOVIEMBRE!Q59</f>
        <v>0</v>
      </c>
      <c r="F59" s="376">
        <f>SUM(C59:E59)</f>
        <v>0</v>
      </c>
      <c r="G59" s="376">
        <f>OCTUBRE!I59</f>
        <v>0</v>
      </c>
      <c r="H59" s="377">
        <v>0</v>
      </c>
      <c r="I59" s="376">
        <f>SUM(G59:H59)</f>
        <v>0</v>
      </c>
      <c r="J59" s="376">
        <f>OCTUBRE!L59</f>
        <v>0</v>
      </c>
      <c r="K59" s="377">
        <v>0</v>
      </c>
      <c r="L59" s="376">
        <f>SUM(J59:K59)</f>
        <v>0</v>
      </c>
      <c r="M59" s="376">
        <f>F59-I59</f>
        <v>0</v>
      </c>
      <c r="N59" s="146">
        <f>F59-L59</f>
        <v>0</v>
      </c>
      <c r="O59" s="385"/>
      <c r="P59" s="375">
        <v>0</v>
      </c>
      <c r="Q59" s="378">
        <v>0</v>
      </c>
      <c r="R59" s="9"/>
      <c r="S59" s="720" t="str">
        <f>+IF(OCTUBRE!S59=0,"",OCTUBRE!S59)</f>
        <v>1010402-1</v>
      </c>
      <c r="T59" s="694" t="str">
        <f>+IF(OCTUBRE!T59=0,"",OCTUBRE!T59)</f>
        <v>S.E.N.A.</v>
      </c>
      <c r="U59" s="27">
        <f>+ENERO!U59</f>
        <v>7395961</v>
      </c>
      <c r="V59" s="15">
        <f>OCTUBRE!V59+NOVIEMBRE!AL59</f>
        <v>0</v>
      </c>
      <c r="W59" s="15">
        <f>OCTUBRE!W59+NOVIEMBRE!AM59</f>
        <v>0</v>
      </c>
      <c r="X59" s="18">
        <f>SUM(U59:W59)</f>
        <v>7395961</v>
      </c>
      <c r="Y59" s="19">
        <f>OCTUBRE!AA59</f>
        <v>4923900</v>
      </c>
      <c r="Z59" s="377">
        <v>0</v>
      </c>
      <c r="AA59" s="18">
        <f>SUM(Y59:Z59)</f>
        <v>4923900</v>
      </c>
      <c r="AB59" s="19">
        <f>OCTUBRE!AD59</f>
        <v>4923900</v>
      </c>
      <c r="AC59" s="377">
        <v>0</v>
      </c>
      <c r="AD59" s="18">
        <f>SUM(AB59:AC59)</f>
        <v>4923900</v>
      </c>
      <c r="AE59" s="19">
        <f>OCTUBRE!AG59</f>
        <v>4384400</v>
      </c>
      <c r="AF59" s="377">
        <v>0</v>
      </c>
      <c r="AG59" s="18">
        <f>SUM(AE59:AF59)</f>
        <v>4384400</v>
      </c>
      <c r="AH59" s="19">
        <f>X59-AA59</f>
        <v>2472061</v>
      </c>
      <c r="AI59" s="15">
        <f>X59-AD59</f>
        <v>2472061</v>
      </c>
      <c r="AJ59" s="16">
        <f>X59-AG59</f>
        <v>3011561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+IF(OCTUBRE!A60=0,"",OCTUBRE!A60)</f>
        <v>1130112</v>
      </c>
      <c r="B60" s="653" t="str">
        <f>+IF(OCTUBRE!B60=0,"",OCTUBRE!B60)</f>
        <v>IPS PUBLICAS</v>
      </c>
      <c r="C60" s="43">
        <f t="shared" ref="C60:N60" si="65">SUM(C61:C62)</f>
        <v>3473660</v>
      </c>
      <c r="D60" s="44">
        <f t="shared" si="65"/>
        <v>0</v>
      </c>
      <c r="E60" s="44">
        <f t="shared" si="65"/>
        <v>0</v>
      </c>
      <c r="F60" s="44">
        <f t="shared" si="65"/>
        <v>3473660</v>
      </c>
      <c r="G60" s="44">
        <f t="shared" si="65"/>
        <v>4629460</v>
      </c>
      <c r="H60" s="44">
        <f t="shared" si="65"/>
        <v>0</v>
      </c>
      <c r="I60" s="44">
        <f t="shared" si="65"/>
        <v>4629460</v>
      </c>
      <c r="J60" s="44">
        <f t="shared" si="65"/>
        <v>1870182</v>
      </c>
      <c r="K60" s="44">
        <f t="shared" si="65"/>
        <v>0</v>
      </c>
      <c r="L60" s="44">
        <f t="shared" si="65"/>
        <v>1870182</v>
      </c>
      <c r="M60" s="44">
        <f t="shared" si="65"/>
        <v>-1155800</v>
      </c>
      <c r="N60" s="45">
        <f t="shared" si="65"/>
        <v>1603478</v>
      </c>
      <c r="P60" s="43">
        <f>SUM(P61:P62)</f>
        <v>0</v>
      </c>
      <c r="Q60" s="45">
        <f>SUM(Q61:Q62)</f>
        <v>0</v>
      </c>
      <c r="R60" s="9"/>
      <c r="S60" s="720" t="str">
        <f>+IF(OCTUBRE!S60=0,"",OCTUBRE!S60)</f>
        <v>1010402-2</v>
      </c>
      <c r="T60" s="694" t="str">
        <f>+IF(OCTUBRE!T60=0,"",OCTUBRE!T60)</f>
        <v>I.C.B.F.</v>
      </c>
      <c r="U60" s="27">
        <f>+ENERO!U60</f>
        <v>11093942</v>
      </c>
      <c r="V60" s="15">
        <f>OCTUBRE!V60+NOVIEMBRE!AL60</f>
        <v>0</v>
      </c>
      <c r="W60" s="15">
        <f>OCTUBRE!W60+NOVIEMBRE!AM60</f>
        <v>0</v>
      </c>
      <c r="X60" s="18">
        <f>SUM(U60:W60)</f>
        <v>11093942</v>
      </c>
      <c r="Y60" s="19">
        <f>OCTUBRE!AA60</f>
        <v>7276400</v>
      </c>
      <c r="Z60" s="377">
        <v>0</v>
      </c>
      <c r="AA60" s="18">
        <f>SUM(Y60:Z60)</f>
        <v>7276400</v>
      </c>
      <c r="AB60" s="19">
        <f>OCTUBRE!AD60</f>
        <v>7276400</v>
      </c>
      <c r="AC60" s="377">
        <v>0</v>
      </c>
      <c r="AD60" s="18">
        <f>SUM(AB60:AC60)</f>
        <v>7276400</v>
      </c>
      <c r="AE60" s="19">
        <f>OCTUBRE!AG60</f>
        <v>6467600</v>
      </c>
      <c r="AF60" s="377">
        <v>0</v>
      </c>
      <c r="AG60" s="18">
        <f>SUM(AE60:AF60)</f>
        <v>6467600</v>
      </c>
      <c r="AH60" s="19">
        <f>X60-AA60</f>
        <v>3817542</v>
      </c>
      <c r="AI60" s="15">
        <f>X60-AD60</f>
        <v>3817542</v>
      </c>
      <c r="AJ60" s="16">
        <f>X60-AG60</f>
        <v>4626342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+IF(OCTUBRE!A61=0,"",OCTUBRE!A61)</f>
        <v>1130112-1</v>
      </c>
      <c r="B61" s="654" t="str">
        <f>+CONCATENATE("Vigencia ",INSTRUCCIONES!$F$3)</f>
        <v>Vigencia 2015</v>
      </c>
      <c r="C61" s="375">
        <f>+ENERO!C61</f>
        <v>3473660</v>
      </c>
      <c r="D61" s="376">
        <f>OCTUBRE!D61+NOVIEMBRE!P61</f>
        <v>0</v>
      </c>
      <c r="E61" s="376">
        <f>OCTUBRE!E61+NOVIEMBRE!Q61</f>
        <v>0</v>
      </c>
      <c r="F61" s="376">
        <f>SUM(C61:E61)</f>
        <v>3473660</v>
      </c>
      <c r="G61" s="376">
        <f>OCTUBRE!I61</f>
        <v>4252920</v>
      </c>
      <c r="H61" s="377">
        <v>0</v>
      </c>
      <c r="I61" s="376">
        <f>SUM(G61:H61)</f>
        <v>4252920</v>
      </c>
      <c r="J61" s="376">
        <f>OCTUBRE!L61</f>
        <v>1493642</v>
      </c>
      <c r="K61" s="377">
        <v>0</v>
      </c>
      <c r="L61" s="376">
        <f>SUM(J61:K61)</f>
        <v>1493642</v>
      </c>
      <c r="M61" s="376">
        <f>F61-I61</f>
        <v>-779260</v>
      </c>
      <c r="N61" s="146">
        <f>F61-L61</f>
        <v>1980018</v>
      </c>
      <c r="O61" s="385"/>
      <c r="P61" s="375">
        <v>0</v>
      </c>
      <c r="Q61" s="378">
        <v>0</v>
      </c>
      <c r="R61" s="9"/>
      <c r="S61" s="719">
        <f>+IF(OCTUBRE!S61=0,"",OCTUBRE!S61)</f>
        <v>1010499</v>
      </c>
      <c r="T61" s="693" t="str">
        <f>+IF(OCTUBRE!T61=0,"",OCTUBRE!T61)</f>
        <v>Vigencias Anteriores</v>
      </c>
      <c r="U61" s="27">
        <f>+ENERO!U61</f>
        <v>0</v>
      </c>
      <c r="V61" s="15">
        <f>OCTUBRE!V61+NOVIEMBRE!AL61</f>
        <v>0</v>
      </c>
      <c r="W61" s="15">
        <f>OCTUBRE!W61+NOVIEMBRE!AM61</f>
        <v>1280600</v>
      </c>
      <c r="X61" s="18">
        <f>SUM(U61:W61)</f>
        <v>1280600</v>
      </c>
      <c r="Y61" s="19">
        <f>OCTUBRE!AA61</f>
        <v>1280600</v>
      </c>
      <c r="Z61" s="377">
        <v>0</v>
      </c>
      <c r="AA61" s="18">
        <f>SUM(Y61:Z61)</f>
        <v>1280600</v>
      </c>
      <c r="AB61" s="19">
        <f>OCTUBRE!AD61</f>
        <v>1280600</v>
      </c>
      <c r="AC61" s="377">
        <v>0</v>
      </c>
      <c r="AD61" s="18">
        <f>SUM(AB61:AC61)</f>
        <v>1280600</v>
      </c>
      <c r="AE61" s="19">
        <f>OCTUBRE!AG61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+IF(OCTUBRE!A62=0,"",OCTUBRE!A62)</f>
        <v>1130112-2</v>
      </c>
      <c r="B62" s="654" t="str">
        <f>+IF(OCTUBRE!B62=0,"",OCTUBRE!B62)</f>
        <v>Vigencia Anterior</v>
      </c>
      <c r="C62" s="375">
        <f>+ENERO!C62</f>
        <v>0</v>
      </c>
      <c r="D62" s="376">
        <f>OCTUBRE!D62+NOVIEMBRE!P62</f>
        <v>0</v>
      </c>
      <c r="E62" s="376">
        <f>OCTUBRE!E62+NOVIEMBRE!Q62</f>
        <v>0</v>
      </c>
      <c r="F62" s="376">
        <f>SUM(C62:E62)</f>
        <v>0</v>
      </c>
      <c r="G62" s="376">
        <f>OCTUBRE!I62</f>
        <v>376540</v>
      </c>
      <c r="H62" s="377">
        <v>0</v>
      </c>
      <c r="I62" s="376">
        <f>SUM(G62:H62)</f>
        <v>376540</v>
      </c>
      <c r="J62" s="376">
        <f>OCTUBRE!L62</f>
        <v>376540</v>
      </c>
      <c r="K62" s="377">
        <v>0</v>
      </c>
      <c r="L62" s="376">
        <f>SUM(J62:K62)</f>
        <v>376540</v>
      </c>
      <c r="M62" s="376">
        <f>F62-I62</f>
        <v>-376540</v>
      </c>
      <c r="N62" s="146">
        <f>F62-L62</f>
        <v>-376540</v>
      </c>
      <c r="O62" s="385"/>
      <c r="P62" s="375">
        <v>0</v>
      </c>
      <c r="Q62" s="378">
        <v>0</v>
      </c>
      <c r="R62" s="9"/>
      <c r="S62" s="369" t="str">
        <f>+IF(OCTUBRE!S62=0,"",OCTUBRE!S62)</f>
        <v/>
      </c>
      <c r="T62" s="708" t="str">
        <f>+IF(OCTUBRE!T62=0,"",OCTUBRE!T62)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+IF(OCTUBRE!A63=0,"",OCTUBRE!A63)</f>
        <v>1130113</v>
      </c>
      <c r="B63" s="653" t="str">
        <f>+IF(OCTUBRE!B63=0,"",OCTUBRE!B63)</f>
        <v>COMPAÑIAS DE SEGUROS  - ACCIDENTES DE TRANSITO (SOAT)</v>
      </c>
      <c r="C63" s="43">
        <f t="shared" ref="C63:N63" si="66">SUM(C64:C65)</f>
        <v>22951026</v>
      </c>
      <c r="D63" s="44">
        <f t="shared" si="66"/>
        <v>0</v>
      </c>
      <c r="E63" s="44">
        <f t="shared" si="66"/>
        <v>2940835</v>
      </c>
      <c r="F63" s="44">
        <f t="shared" si="66"/>
        <v>25891861</v>
      </c>
      <c r="G63" s="44">
        <f t="shared" si="66"/>
        <v>25429005</v>
      </c>
      <c r="H63" s="44">
        <f t="shared" si="66"/>
        <v>0</v>
      </c>
      <c r="I63" s="44">
        <f t="shared" si="66"/>
        <v>25429005</v>
      </c>
      <c r="J63" s="44">
        <f t="shared" si="66"/>
        <v>15070963</v>
      </c>
      <c r="K63" s="44">
        <f t="shared" si="66"/>
        <v>0</v>
      </c>
      <c r="L63" s="44">
        <f t="shared" si="66"/>
        <v>15070963</v>
      </c>
      <c r="M63" s="44">
        <f t="shared" si="66"/>
        <v>462856</v>
      </c>
      <c r="N63" s="45">
        <f t="shared" si="66"/>
        <v>10820898</v>
      </c>
      <c r="P63" s="43">
        <f>SUM(P64:P65)</f>
        <v>0</v>
      </c>
      <c r="Q63" s="45">
        <f>SUM(Q64:Q65)</f>
        <v>0</v>
      </c>
      <c r="R63" s="9"/>
      <c r="S63" s="717">
        <f>+IF(OCTUBRE!S63=0,"",OCTUBRE!S63)</f>
        <v>1020010</v>
      </c>
      <c r="T63" s="691" t="str">
        <f>+IF(OCTUBRE!T63=0,"",OCTUBRE!T63)</f>
        <v>Gastos de Operación</v>
      </c>
      <c r="U63" s="135">
        <f t="shared" ref="U63:AJ63" si="67">U65+U83+U90+U104</f>
        <v>1276921669</v>
      </c>
      <c r="V63" s="124">
        <f t="shared" si="67"/>
        <v>87300000</v>
      </c>
      <c r="W63" s="124">
        <f t="shared" si="67"/>
        <v>78294418</v>
      </c>
      <c r="X63" s="132">
        <f t="shared" si="67"/>
        <v>1442516087</v>
      </c>
      <c r="Y63" s="131">
        <f t="shared" si="67"/>
        <v>1066392468</v>
      </c>
      <c r="Z63" s="124">
        <f t="shared" si="67"/>
        <v>0</v>
      </c>
      <c r="AA63" s="132">
        <f t="shared" si="67"/>
        <v>1066392468</v>
      </c>
      <c r="AB63" s="131">
        <f t="shared" si="67"/>
        <v>1025792468</v>
      </c>
      <c r="AC63" s="124">
        <f t="shared" si="67"/>
        <v>0</v>
      </c>
      <c r="AD63" s="132">
        <f t="shared" si="67"/>
        <v>1025792468</v>
      </c>
      <c r="AE63" s="131">
        <f t="shared" si="67"/>
        <v>917649774</v>
      </c>
      <c r="AF63" s="124">
        <f t="shared" si="67"/>
        <v>0</v>
      </c>
      <c r="AG63" s="132">
        <f t="shared" si="67"/>
        <v>917649774</v>
      </c>
      <c r="AH63" s="131">
        <f t="shared" si="67"/>
        <v>376123619</v>
      </c>
      <c r="AI63" s="124">
        <f t="shared" si="67"/>
        <v>416723619</v>
      </c>
      <c r="AJ63" s="133">
        <f t="shared" si="67"/>
        <v>524866313</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+IF(OCTUBRE!A64=0,"",OCTUBRE!A64)</f>
        <v>1130113-1</v>
      </c>
      <c r="B64" s="654" t="str">
        <f>+CONCATENATE("Vigencia ",INSTRUCCIONES!$F$3)</f>
        <v>Vigencia 2015</v>
      </c>
      <c r="C64" s="375">
        <f>+ENERO!C64</f>
        <v>22951026</v>
      </c>
      <c r="D64" s="376">
        <f>OCTUBRE!D64+NOVIEMBRE!P64</f>
        <v>0</v>
      </c>
      <c r="E64" s="376">
        <f>OCTUBRE!E64+NOVIEMBRE!Q64</f>
        <v>0</v>
      </c>
      <c r="F64" s="376">
        <f>SUM(C64:E64)</f>
        <v>22951026</v>
      </c>
      <c r="G64" s="376">
        <f>OCTUBRE!I64</f>
        <v>22121153</v>
      </c>
      <c r="H64" s="377">
        <v>0</v>
      </c>
      <c r="I64" s="376">
        <f>SUM(G64:H64)</f>
        <v>22121153</v>
      </c>
      <c r="J64" s="376">
        <f>OCTUBRE!L64</f>
        <v>11763111</v>
      </c>
      <c r="K64" s="377">
        <v>0</v>
      </c>
      <c r="L64" s="376">
        <f>SUM(J64:K64)</f>
        <v>11763111</v>
      </c>
      <c r="M64" s="376">
        <f>F64-I64</f>
        <v>829873</v>
      </c>
      <c r="N64" s="146">
        <f>F64-L64</f>
        <v>11187915</v>
      </c>
      <c r="O64" s="385"/>
      <c r="P64" s="375">
        <v>0</v>
      </c>
      <c r="Q64" s="378">
        <v>0</v>
      </c>
      <c r="R64" s="9"/>
      <c r="S64" s="369" t="str">
        <f>+IF(OCTUBRE!S64=0,"",OCTUBRE!S64)</f>
        <v/>
      </c>
      <c r="T64" s="708" t="str">
        <f>+IF(OCTUBRE!T64=0,"",OCTUBRE!T64)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+IF(OCTUBRE!A65=0,"",OCTUBRE!A65)</f>
        <v>1130113-2</v>
      </c>
      <c r="B65" s="654" t="str">
        <f>+IF(OCTUBRE!B65=0,"",OCTUBRE!B65)</f>
        <v>Vigencia Anterior</v>
      </c>
      <c r="C65" s="375">
        <f>+ENERO!C65</f>
        <v>0</v>
      </c>
      <c r="D65" s="376">
        <f>OCTUBRE!D65+NOVIEMBRE!P65</f>
        <v>0</v>
      </c>
      <c r="E65" s="376">
        <f>OCTUBRE!E65+NOVIEMBRE!Q65</f>
        <v>2940835</v>
      </c>
      <c r="F65" s="376">
        <f>SUM(C65:E65)</f>
        <v>2940835</v>
      </c>
      <c r="G65" s="376">
        <f>OCTUBRE!I65</f>
        <v>3307852</v>
      </c>
      <c r="H65" s="377">
        <v>0</v>
      </c>
      <c r="I65" s="376">
        <f>SUM(G65:H65)</f>
        <v>3307852</v>
      </c>
      <c r="J65" s="376">
        <f>OCTUBRE!L65</f>
        <v>3307852</v>
      </c>
      <c r="K65" s="377">
        <v>0</v>
      </c>
      <c r="L65" s="376">
        <f>SUM(J65:K65)</f>
        <v>3307852</v>
      </c>
      <c r="M65" s="376">
        <f>F65-I65</f>
        <v>-367017</v>
      </c>
      <c r="N65" s="146">
        <f>F65-L65</f>
        <v>-367017</v>
      </c>
      <c r="O65" s="385"/>
      <c r="P65" s="375">
        <v>0</v>
      </c>
      <c r="Q65" s="378">
        <v>0</v>
      </c>
      <c r="R65" s="9"/>
      <c r="S65" s="718">
        <f>+IF(OCTUBRE!S65=0,"",OCTUBRE!S65)</f>
        <v>1020100</v>
      </c>
      <c r="T65" s="692" t="str">
        <f>+IF(OCTUBRE!T65=0,"",OCTUBRE!T65)</f>
        <v>Servicios Personales Asociados a Nómina</v>
      </c>
      <c r="U65" s="135">
        <f t="shared" ref="U65:AJ65" si="68">SUM(U66:U69)+U81</f>
        <v>815343813</v>
      </c>
      <c r="V65" s="124">
        <f t="shared" si="68"/>
        <v>63300000</v>
      </c>
      <c r="W65" s="124">
        <f t="shared" si="68"/>
        <v>13655677</v>
      </c>
      <c r="X65" s="132">
        <f t="shared" si="68"/>
        <v>892299490</v>
      </c>
      <c r="Y65" s="131">
        <f t="shared" si="68"/>
        <v>629540833</v>
      </c>
      <c r="Z65" s="124">
        <f t="shared" si="68"/>
        <v>0</v>
      </c>
      <c r="AA65" s="132">
        <f t="shared" si="68"/>
        <v>629540833</v>
      </c>
      <c r="AB65" s="131">
        <f t="shared" si="68"/>
        <v>629540833</v>
      </c>
      <c r="AC65" s="124">
        <f t="shared" si="68"/>
        <v>0</v>
      </c>
      <c r="AD65" s="132">
        <f t="shared" si="68"/>
        <v>629540833</v>
      </c>
      <c r="AE65" s="131">
        <f t="shared" si="68"/>
        <v>573305329</v>
      </c>
      <c r="AF65" s="124">
        <f t="shared" si="68"/>
        <v>0</v>
      </c>
      <c r="AG65" s="132">
        <f t="shared" si="68"/>
        <v>573305329</v>
      </c>
      <c r="AH65" s="131">
        <f t="shared" si="68"/>
        <v>262758657</v>
      </c>
      <c r="AI65" s="124">
        <f t="shared" si="68"/>
        <v>262758657</v>
      </c>
      <c r="AJ65" s="133">
        <f t="shared" si="68"/>
        <v>318994161</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+IF(OCTUBRE!A66=0,"",OCTUBRE!A66)</f>
        <v>1130114</v>
      </c>
      <c r="B66" s="653" t="str">
        <f>+IF(OCTUBRE!B66=0,"",OCTUBRE!B66)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+IF(OCTUBRE!S66=0,"",OCTUBRE!S66)</f>
        <v>1020101</v>
      </c>
      <c r="T66" s="693" t="str">
        <f>+IF(OCTUBRE!T66=0,"",OCTUBRE!T66)</f>
        <v>Sueldos del Personal de nómina</v>
      </c>
      <c r="U66" s="27">
        <f>+ENERO!U66</f>
        <v>641065344</v>
      </c>
      <c r="V66" s="15">
        <f>OCTUBRE!V66+NOVIEMBRE!AL66</f>
        <v>-2300000</v>
      </c>
      <c r="W66" s="15">
        <f>OCTUBRE!W66+NOVIEMBRE!AM66</f>
        <v>0</v>
      </c>
      <c r="X66" s="18">
        <f>SUM(U66:W66)</f>
        <v>638765344</v>
      </c>
      <c r="Y66" s="19">
        <f>OCTUBRE!AA66</f>
        <v>475745151</v>
      </c>
      <c r="Z66" s="377">
        <v>0</v>
      </c>
      <c r="AA66" s="18">
        <f>SUM(Y66:Z66)</f>
        <v>475745151</v>
      </c>
      <c r="AB66" s="19">
        <f>OCTUBRE!AD66</f>
        <v>475745151</v>
      </c>
      <c r="AC66" s="377">
        <v>0</v>
      </c>
      <c r="AD66" s="18">
        <f>SUM(AB66:AC66)</f>
        <v>475745151</v>
      </c>
      <c r="AE66" s="19">
        <f>OCTUBRE!AG66</f>
        <v>445741736</v>
      </c>
      <c r="AF66" s="377">
        <v>0</v>
      </c>
      <c r="AG66" s="18">
        <f>SUM(AE66:AF66)</f>
        <v>445741736</v>
      </c>
      <c r="AH66" s="19">
        <f>X66-AA66</f>
        <v>163020193</v>
      </c>
      <c r="AI66" s="15">
        <f>X66-AD66</f>
        <v>163020193</v>
      </c>
      <c r="AJ66" s="16">
        <f>X66-AG66</f>
        <v>193023608</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+IF(OCTUBRE!A67=0,"",OCTUBRE!A67)</f>
        <v>1130114-1</v>
      </c>
      <c r="B67" s="654" t="str">
        <f>+CONCATENATE("Vigencia ",INSTRUCCIONES!$F$3)</f>
        <v>Vigencia 2015</v>
      </c>
      <c r="C67" s="375">
        <f>+ENERO!C67</f>
        <v>338898</v>
      </c>
      <c r="D67" s="376">
        <f>OCTUBRE!D67+NOVIEMBRE!P67</f>
        <v>0</v>
      </c>
      <c r="E67" s="376">
        <f>OCTUBRE!E67+NOVIEMBRE!Q67</f>
        <v>0</v>
      </c>
      <c r="F67" s="376">
        <f>SUM(C67:E67)</f>
        <v>338898</v>
      </c>
      <c r="G67" s="376">
        <f>OCTUBRE!I67</f>
        <v>0</v>
      </c>
      <c r="H67" s="377">
        <v>0</v>
      </c>
      <c r="I67" s="376">
        <f>SUM(G67:H67)</f>
        <v>0</v>
      </c>
      <c r="J67" s="376">
        <f>OCTUBRE!L67</f>
        <v>0</v>
      </c>
      <c r="K67" s="377">
        <v>0</v>
      </c>
      <c r="L67" s="376">
        <f>SUM(J67:K67)</f>
        <v>0</v>
      </c>
      <c r="M67" s="376">
        <f>F67-I67</f>
        <v>338898</v>
      </c>
      <c r="N67" s="146">
        <f>F67-L67</f>
        <v>338898</v>
      </c>
      <c r="O67" s="385"/>
      <c r="P67" s="375">
        <v>0</v>
      </c>
      <c r="Q67" s="378">
        <v>0</v>
      </c>
      <c r="R67" s="9"/>
      <c r="S67" s="719">
        <f>+IF(OCTUBRE!S67=0,"",OCTUBRE!S67)</f>
        <v>1020102</v>
      </c>
      <c r="T67" s="693" t="str">
        <f>+IF(OCTUBRE!T67=0,"",OCTUBRE!T67)</f>
        <v>Horas Extras,Dominic.,Festivos y Rec. Nocturnos</v>
      </c>
      <c r="U67" s="27">
        <f>+ENERO!U67</f>
        <v>57949728</v>
      </c>
      <c r="V67" s="15">
        <f>OCTUBRE!V67+NOVIEMBRE!AL67</f>
        <v>65600000</v>
      </c>
      <c r="W67" s="15">
        <f>OCTUBRE!W67+NOVIEMBRE!AM67</f>
        <v>0</v>
      </c>
      <c r="X67" s="18">
        <f>SUM(U67:W67)</f>
        <v>123549728</v>
      </c>
      <c r="Y67" s="19">
        <f>OCTUBRE!AA67</f>
        <v>105802013</v>
      </c>
      <c r="Z67" s="377">
        <v>0</v>
      </c>
      <c r="AA67" s="18">
        <f>SUM(Y67:Z67)</f>
        <v>105802013</v>
      </c>
      <c r="AB67" s="19">
        <f>OCTUBRE!AD67</f>
        <v>105802013</v>
      </c>
      <c r="AC67" s="377">
        <v>0</v>
      </c>
      <c r="AD67" s="18">
        <f>SUM(AB67:AC67)</f>
        <v>105802013</v>
      </c>
      <c r="AE67" s="19">
        <f>OCTUBRE!AG67</f>
        <v>100265887</v>
      </c>
      <c r="AF67" s="377">
        <v>0</v>
      </c>
      <c r="AG67" s="18">
        <f>SUM(AE67:AF67)</f>
        <v>100265887</v>
      </c>
      <c r="AH67" s="19">
        <f>X67-AA67</f>
        <v>17747715</v>
      </c>
      <c r="AI67" s="15">
        <f>X67-AD67</f>
        <v>17747715</v>
      </c>
      <c r="AJ67" s="16">
        <f>X67-AG67</f>
        <v>23283841</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+IF(OCTUBRE!A68=0,"",OCTUBRE!A68)</f>
        <v>1130114-2</v>
      </c>
      <c r="B68" s="654" t="str">
        <f>+IF(OCTUBRE!B68=0,"",OCTUBRE!B68)</f>
        <v>Vigencia Anterior</v>
      </c>
      <c r="C68" s="375">
        <f>+ENERO!C68</f>
        <v>0</v>
      </c>
      <c r="D68" s="376">
        <f>OCTUBRE!D68+NOVIEMBRE!P68</f>
        <v>0</v>
      </c>
      <c r="E68" s="376">
        <f>OCTUBRE!E68+NOVIEMBRE!Q68</f>
        <v>0</v>
      </c>
      <c r="F68" s="376">
        <f>SUM(C68:E68)</f>
        <v>0</v>
      </c>
      <c r="G68" s="376">
        <f>OCTUBRE!I68</f>
        <v>78500</v>
      </c>
      <c r="H68" s="377">
        <v>0</v>
      </c>
      <c r="I68" s="376">
        <f>SUM(G68:H68)</f>
        <v>78500</v>
      </c>
      <c r="J68" s="376">
        <f>OCTUBRE!L68</f>
        <v>78500</v>
      </c>
      <c r="K68" s="377">
        <v>0</v>
      </c>
      <c r="L68" s="376">
        <f>SUM(J68:K68)</f>
        <v>78500</v>
      </c>
      <c r="M68" s="376">
        <f>F68-I68</f>
        <v>-78500</v>
      </c>
      <c r="N68" s="146">
        <f>F68-L68</f>
        <v>-78500</v>
      </c>
      <c r="O68" s="385"/>
      <c r="P68" s="375">
        <v>0</v>
      </c>
      <c r="Q68" s="378">
        <v>0</v>
      </c>
      <c r="R68" s="9"/>
      <c r="S68" s="719">
        <f>+IF(OCTUBRE!S68=0,"",OCTUBRE!S68)</f>
        <v>1020103</v>
      </c>
      <c r="T68" s="693" t="str">
        <f>+IF(OCTUBRE!T68=0,"",OCTUBRE!T68)</f>
        <v>Prima Técnica</v>
      </c>
      <c r="U68" s="27">
        <f>+ENERO!U68</f>
        <v>0</v>
      </c>
      <c r="V68" s="15">
        <f>OCTUBRE!V68+NOVIEMBRE!AL68</f>
        <v>0</v>
      </c>
      <c r="W68" s="15">
        <f>OCTUBRE!W68+NOVIEMBRE!AM68</f>
        <v>0</v>
      </c>
      <c r="X68" s="18">
        <f>SUM(U68:W68)</f>
        <v>0</v>
      </c>
      <c r="Y68" s="19">
        <f>OCTUBRE!AA68</f>
        <v>0</v>
      </c>
      <c r="Z68" s="377">
        <v>0</v>
      </c>
      <c r="AA68" s="18">
        <f>SUM(Y68:Z68)</f>
        <v>0</v>
      </c>
      <c r="AB68" s="19">
        <f>OCTUBRE!AD68</f>
        <v>0</v>
      </c>
      <c r="AC68" s="377">
        <v>0</v>
      </c>
      <c r="AD68" s="18">
        <f>SUM(AB68:AC68)</f>
        <v>0</v>
      </c>
      <c r="AE68" s="19">
        <f>OCTUBRE!AG68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+IF(OCTUBRE!A69=0,"",OCTUBRE!A69)</f>
        <v>1130115</v>
      </c>
      <c r="B69" s="653" t="str">
        <f>+IF(OCTUBRE!B69=0,"",OCTUBRE!B69)</f>
        <v>ENTIDADES DE REGIMEN ESPECIAL (Magisterio, Fuerza Pca.)</v>
      </c>
      <c r="C69" s="43">
        <f t="shared" ref="C69:N69" si="70">SUM(C70:C71)</f>
        <v>53468516</v>
      </c>
      <c r="D69" s="44">
        <f t="shared" si="70"/>
        <v>0</v>
      </c>
      <c r="E69" s="44">
        <f t="shared" si="70"/>
        <v>27541841</v>
      </c>
      <c r="F69" s="44">
        <f t="shared" si="70"/>
        <v>81010357</v>
      </c>
      <c r="G69" s="44">
        <f t="shared" si="70"/>
        <v>66778556</v>
      </c>
      <c r="H69" s="44">
        <f t="shared" si="70"/>
        <v>0</v>
      </c>
      <c r="I69" s="44">
        <f t="shared" si="70"/>
        <v>66778556</v>
      </c>
      <c r="J69" s="44">
        <f t="shared" si="70"/>
        <v>37904074</v>
      </c>
      <c r="K69" s="44">
        <f t="shared" si="70"/>
        <v>0</v>
      </c>
      <c r="L69" s="44">
        <f t="shared" si="70"/>
        <v>37904074</v>
      </c>
      <c r="M69" s="44">
        <f t="shared" si="70"/>
        <v>14231801</v>
      </c>
      <c r="N69" s="45">
        <f t="shared" si="70"/>
        <v>43106283</v>
      </c>
      <c r="P69" s="43">
        <f>SUM(P70:P71)</f>
        <v>0</v>
      </c>
      <c r="Q69" s="45">
        <f>SUM(Q70:Q71)</f>
        <v>0</v>
      </c>
      <c r="R69" s="9"/>
      <c r="S69" s="719">
        <f>+IF(OCTUBRE!S69=0,"",OCTUBRE!S69)</f>
        <v>1020104</v>
      </c>
      <c r="T69" s="693" t="str">
        <f>+IF(OCTUBRE!T69=0,"",OCTUBRE!T69)</f>
        <v>Otros</v>
      </c>
      <c r="U69" s="27">
        <f t="shared" ref="U69:AJ69" si="71">SUM(U70:U80)</f>
        <v>116328741</v>
      </c>
      <c r="V69" s="15">
        <f t="shared" si="71"/>
        <v>0</v>
      </c>
      <c r="W69" s="15">
        <f t="shared" si="71"/>
        <v>0</v>
      </c>
      <c r="X69" s="18">
        <f t="shared" si="71"/>
        <v>116328741</v>
      </c>
      <c r="Y69" s="19">
        <f t="shared" si="71"/>
        <v>34337992</v>
      </c>
      <c r="Z69" s="145">
        <f t="shared" si="71"/>
        <v>0</v>
      </c>
      <c r="AA69" s="18">
        <f t="shared" si="71"/>
        <v>34337992</v>
      </c>
      <c r="AB69" s="19">
        <f t="shared" si="71"/>
        <v>34337992</v>
      </c>
      <c r="AC69" s="145">
        <f t="shared" si="71"/>
        <v>0</v>
      </c>
      <c r="AD69" s="18">
        <f t="shared" si="71"/>
        <v>34337992</v>
      </c>
      <c r="AE69" s="19">
        <f t="shared" si="71"/>
        <v>20167208</v>
      </c>
      <c r="AF69" s="145">
        <f t="shared" si="71"/>
        <v>0</v>
      </c>
      <c r="AG69" s="18">
        <f t="shared" si="71"/>
        <v>20167208</v>
      </c>
      <c r="AH69" s="19">
        <f t="shared" si="71"/>
        <v>81990749</v>
      </c>
      <c r="AI69" s="15">
        <f t="shared" si="71"/>
        <v>81990749</v>
      </c>
      <c r="AJ69" s="16">
        <f t="shared" si="71"/>
        <v>96161533</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+IF(OCTUBRE!A70=0,"",OCTUBRE!A70)</f>
        <v>1130115-1</v>
      </c>
      <c r="B70" s="654" t="str">
        <f>+CONCATENATE("Vigencia ",INSTRUCCIONES!$F$3)</f>
        <v>Vigencia 2015</v>
      </c>
      <c r="C70" s="375">
        <f>+ENERO!C70</f>
        <v>53468516</v>
      </c>
      <c r="D70" s="376">
        <f>OCTUBRE!D70+NOVIEMBRE!P70</f>
        <v>0</v>
      </c>
      <c r="E70" s="376">
        <f>OCTUBRE!E70+NOVIEMBRE!Q70</f>
        <v>0</v>
      </c>
      <c r="F70" s="376">
        <f>SUM(C70:E70)</f>
        <v>53468516</v>
      </c>
      <c r="G70" s="376">
        <f>OCTUBRE!I70</f>
        <v>42397459</v>
      </c>
      <c r="H70" s="377">
        <v>0</v>
      </c>
      <c r="I70" s="376">
        <f>SUM(G70:H70)</f>
        <v>42397459</v>
      </c>
      <c r="J70" s="376">
        <f>OCTUBRE!L70</f>
        <v>13522977</v>
      </c>
      <c r="K70" s="377">
        <v>0</v>
      </c>
      <c r="L70" s="376">
        <f>SUM(J70:K70)</f>
        <v>13522977</v>
      </c>
      <c r="M70" s="376">
        <f>F70-I70</f>
        <v>11071057</v>
      </c>
      <c r="N70" s="146">
        <f>F70-L70</f>
        <v>39945539</v>
      </c>
      <c r="O70" s="385"/>
      <c r="P70" s="375">
        <v>0</v>
      </c>
      <c r="Q70" s="378">
        <v>0</v>
      </c>
      <c r="R70" s="9"/>
      <c r="S70" s="720" t="str">
        <f>+IF(OCTUBRE!S70=0,"",OCTUBRE!S70)</f>
        <v>1020104-1</v>
      </c>
      <c r="T70" s="694" t="str">
        <f>+IF(OCTUBRE!T70=0,"",OCTUBRE!T70)</f>
        <v xml:space="preserve">Prima de Navidad </v>
      </c>
      <c r="U70" s="27">
        <f>+ENERO!U70</f>
        <v>57873955</v>
      </c>
      <c r="V70" s="15">
        <f>OCTUBRE!V70+NOVIEMBRE!AL70</f>
        <v>0</v>
      </c>
      <c r="W70" s="15">
        <f>OCTUBRE!W70+NOVIEMBRE!AM70</f>
        <v>0</v>
      </c>
      <c r="X70" s="18">
        <f t="shared" ref="X70:X81" si="72">SUM(U70:W70)</f>
        <v>57873955</v>
      </c>
      <c r="Y70" s="19">
        <f>OCTUBRE!AA70</f>
        <v>11237469</v>
      </c>
      <c r="Z70" s="377">
        <v>0</v>
      </c>
      <c r="AA70" s="18">
        <f t="shared" ref="AA70:AA81" si="73">SUM(Y70:Z70)</f>
        <v>11237469</v>
      </c>
      <c r="AB70" s="19">
        <f>OCTUBRE!AD70</f>
        <v>11237469</v>
      </c>
      <c r="AC70" s="377">
        <v>0</v>
      </c>
      <c r="AD70" s="18">
        <f t="shared" ref="AD70:AD81" si="74">SUM(AB70:AC70)</f>
        <v>11237469</v>
      </c>
      <c r="AE70" s="19">
        <f>OCTUBRE!AG70</f>
        <v>4223171</v>
      </c>
      <c r="AF70" s="377">
        <v>0</v>
      </c>
      <c r="AG70" s="18">
        <f t="shared" ref="AG70:AG81" si="75">SUM(AE70:AF70)</f>
        <v>4223171</v>
      </c>
      <c r="AH70" s="19">
        <f t="shared" ref="AH70:AH81" si="76">X70-AA70</f>
        <v>46636486</v>
      </c>
      <c r="AI70" s="15">
        <f t="shared" ref="AI70:AI81" si="77">X70-AD70</f>
        <v>46636486</v>
      </c>
      <c r="AJ70" s="16">
        <f t="shared" ref="AJ70:AJ81" si="78">X70-AG70</f>
        <v>53650784</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+IF(OCTUBRE!A71=0,"",OCTUBRE!A71)</f>
        <v>1130115-2</v>
      </c>
      <c r="B71" s="654" t="str">
        <f>+IF(OCTUBRE!B71=0,"",OCTUBRE!B71)</f>
        <v>Vigencia Anterior</v>
      </c>
      <c r="C71" s="375">
        <f>+ENERO!C71</f>
        <v>0</v>
      </c>
      <c r="D71" s="376">
        <f>OCTUBRE!D71+NOVIEMBRE!P71</f>
        <v>0</v>
      </c>
      <c r="E71" s="376">
        <f>OCTUBRE!E71+NOVIEMBRE!Q71</f>
        <v>27541841</v>
      </c>
      <c r="F71" s="376">
        <f>SUM(C71:E71)</f>
        <v>27541841</v>
      </c>
      <c r="G71" s="376">
        <f>OCTUBRE!I71</f>
        <v>24381097</v>
      </c>
      <c r="H71" s="377">
        <v>0</v>
      </c>
      <c r="I71" s="376">
        <f>SUM(G71:H71)</f>
        <v>24381097</v>
      </c>
      <c r="J71" s="376">
        <f>OCTUBRE!L71</f>
        <v>24381097</v>
      </c>
      <c r="K71" s="377">
        <v>0</v>
      </c>
      <c r="L71" s="376">
        <f>SUM(J71:K71)</f>
        <v>24381097</v>
      </c>
      <c r="M71" s="376">
        <f>F71-I71</f>
        <v>3160744</v>
      </c>
      <c r="N71" s="146">
        <f>F71-L71</f>
        <v>3160744</v>
      </c>
      <c r="O71" s="385"/>
      <c r="P71" s="375">
        <v>0</v>
      </c>
      <c r="Q71" s="378">
        <v>0</v>
      </c>
      <c r="R71" s="9"/>
      <c r="S71" s="720" t="str">
        <f>+IF(OCTUBRE!S71=0,"",OCTUBRE!S71)</f>
        <v>1020104-2</v>
      </c>
      <c r="T71" s="694" t="str">
        <f>+IF(OCTUBRE!T71=0,"",OCTUBRE!T71)</f>
        <v>Prima Vida Cara</v>
      </c>
      <c r="U71" s="27">
        <f>+ENERO!U71</f>
        <v>0</v>
      </c>
      <c r="V71" s="15">
        <f>OCTUBRE!V71+NOVIEMBRE!AL71</f>
        <v>0</v>
      </c>
      <c r="W71" s="15">
        <f>OCTUBRE!W71+NOVIEMBRE!AM71</f>
        <v>0</v>
      </c>
      <c r="X71" s="18">
        <f t="shared" si="72"/>
        <v>0</v>
      </c>
      <c r="Y71" s="19">
        <f>OCTUBRE!AA71</f>
        <v>0</v>
      </c>
      <c r="Z71" s="377">
        <v>0</v>
      </c>
      <c r="AA71" s="18">
        <f t="shared" si="73"/>
        <v>0</v>
      </c>
      <c r="AB71" s="19">
        <f>OCTUBRE!AD71</f>
        <v>0</v>
      </c>
      <c r="AC71" s="377">
        <v>0</v>
      </c>
      <c r="AD71" s="18">
        <f t="shared" si="74"/>
        <v>0</v>
      </c>
      <c r="AE71" s="19">
        <f>OCTUBRE!AG71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+IF(OCTUBRE!A72=0,"",OCTUBRE!A72)</f>
        <v>1130116</v>
      </c>
      <c r="B72" s="653" t="str">
        <f>+IF(OCTUBRE!B72=0,"",OCTUBRE!B72)</f>
        <v>ADMINISTRADORAS DE RIESGOS PROFESIONALES</v>
      </c>
      <c r="C72" s="43">
        <f t="shared" ref="C72:N72" si="79">SUM(C73:C74)</f>
        <v>47982534</v>
      </c>
      <c r="D72" s="44">
        <f t="shared" si="79"/>
        <v>0</v>
      </c>
      <c r="E72" s="44">
        <f t="shared" si="79"/>
        <v>7739704</v>
      </c>
      <c r="F72" s="44">
        <f t="shared" si="79"/>
        <v>55722238</v>
      </c>
      <c r="G72" s="44">
        <f t="shared" si="79"/>
        <v>39367403</v>
      </c>
      <c r="H72" s="44">
        <f t="shared" si="79"/>
        <v>0</v>
      </c>
      <c r="I72" s="44">
        <f t="shared" si="79"/>
        <v>39367403</v>
      </c>
      <c r="J72" s="44">
        <f t="shared" si="79"/>
        <v>31763035</v>
      </c>
      <c r="K72" s="44">
        <f t="shared" si="79"/>
        <v>0</v>
      </c>
      <c r="L72" s="44">
        <f t="shared" si="79"/>
        <v>31763035</v>
      </c>
      <c r="M72" s="44">
        <f t="shared" si="79"/>
        <v>16354835</v>
      </c>
      <c r="N72" s="45">
        <f t="shared" si="79"/>
        <v>23959203</v>
      </c>
      <c r="P72" s="43">
        <f>SUM(P73:P74)</f>
        <v>0</v>
      </c>
      <c r="Q72" s="45">
        <f>SUM(Q73:Q74)</f>
        <v>0</v>
      </c>
      <c r="R72" s="9"/>
      <c r="S72" s="720" t="str">
        <f>+IF(OCTUBRE!S72=0,"",OCTUBRE!S72)</f>
        <v>1020104-3</v>
      </c>
      <c r="T72" s="694" t="str">
        <f>+IF(OCTUBRE!T72=0,"",OCTUBRE!T72)</f>
        <v>Prima de Vacaciones</v>
      </c>
      <c r="U72" s="27">
        <f>+ENERO!U72</f>
        <v>26711056</v>
      </c>
      <c r="V72" s="15">
        <f>OCTUBRE!V72+NOVIEMBRE!AL72</f>
        <v>0</v>
      </c>
      <c r="W72" s="15">
        <f>OCTUBRE!W72+NOVIEMBRE!AM72</f>
        <v>0</v>
      </c>
      <c r="X72" s="18">
        <f t="shared" si="72"/>
        <v>26711056</v>
      </c>
      <c r="Y72" s="19">
        <f>OCTUBRE!AA72</f>
        <v>20223199</v>
      </c>
      <c r="Z72" s="377">
        <v>0</v>
      </c>
      <c r="AA72" s="18">
        <f t="shared" si="73"/>
        <v>20223199</v>
      </c>
      <c r="AB72" s="19">
        <f>OCTUBRE!AD72</f>
        <v>20223199</v>
      </c>
      <c r="AC72" s="377">
        <v>0</v>
      </c>
      <c r="AD72" s="18">
        <f t="shared" si="74"/>
        <v>20223199</v>
      </c>
      <c r="AE72" s="19">
        <f>OCTUBRE!AG72</f>
        <v>13913841</v>
      </c>
      <c r="AF72" s="377">
        <v>0</v>
      </c>
      <c r="AG72" s="18">
        <f t="shared" si="75"/>
        <v>13913841</v>
      </c>
      <c r="AH72" s="19">
        <f t="shared" si="76"/>
        <v>6487857</v>
      </c>
      <c r="AI72" s="15">
        <f t="shared" si="77"/>
        <v>6487857</v>
      </c>
      <c r="AJ72" s="16">
        <f t="shared" si="78"/>
        <v>12797215</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+IF(OCTUBRE!A73=0,"",OCTUBRE!A73)</f>
        <v>1130116-1</v>
      </c>
      <c r="B73" s="654" t="str">
        <f>+CONCATENATE("Vigencia ",INSTRUCCIONES!$F$3)</f>
        <v>Vigencia 2015</v>
      </c>
      <c r="C73" s="375">
        <f>+ENERO!C73</f>
        <v>47982534</v>
      </c>
      <c r="D73" s="376">
        <f>OCTUBRE!D73+NOVIEMBRE!P73</f>
        <v>0</v>
      </c>
      <c r="E73" s="376">
        <f>OCTUBRE!E73+NOVIEMBRE!Q73</f>
        <v>0</v>
      </c>
      <c r="F73" s="376">
        <f>SUM(C73:E73)</f>
        <v>47982534</v>
      </c>
      <c r="G73" s="376">
        <f>OCTUBRE!I73</f>
        <v>32095383</v>
      </c>
      <c r="H73" s="377">
        <v>0</v>
      </c>
      <c r="I73" s="376">
        <f>SUM(G73:H73)</f>
        <v>32095383</v>
      </c>
      <c r="J73" s="376">
        <f>OCTUBRE!L73</f>
        <v>24491015</v>
      </c>
      <c r="K73" s="377">
        <v>0</v>
      </c>
      <c r="L73" s="376">
        <f>SUM(J73:K73)</f>
        <v>24491015</v>
      </c>
      <c r="M73" s="376">
        <f>F73-I73</f>
        <v>15887151</v>
      </c>
      <c r="N73" s="146">
        <f>F73-L73</f>
        <v>23491519</v>
      </c>
      <c r="O73" s="385"/>
      <c r="P73" s="375">
        <v>0</v>
      </c>
      <c r="Q73" s="378">
        <v>0</v>
      </c>
      <c r="R73" s="9"/>
      <c r="S73" s="720" t="str">
        <f>+IF(OCTUBRE!S73=0,"",OCTUBRE!S73)</f>
        <v>1020104-4</v>
      </c>
      <c r="T73" s="694" t="str">
        <f>+IF(OCTUBRE!T73=0,"",OCTUBRE!T73)</f>
        <v>Prima Clima</v>
      </c>
      <c r="U73" s="27">
        <f>+ENERO!U73</f>
        <v>0</v>
      </c>
      <c r="V73" s="15">
        <f>OCTUBRE!V73+NOVIEMBRE!AL73</f>
        <v>0</v>
      </c>
      <c r="W73" s="15">
        <f>OCTUBRE!W73+NOVIEMBRE!AM73</f>
        <v>0</v>
      </c>
      <c r="X73" s="18">
        <f t="shared" si="72"/>
        <v>0</v>
      </c>
      <c r="Y73" s="19">
        <f>OCTUBRE!AA73</f>
        <v>0</v>
      </c>
      <c r="Z73" s="377">
        <v>0</v>
      </c>
      <c r="AA73" s="18">
        <f t="shared" si="73"/>
        <v>0</v>
      </c>
      <c r="AB73" s="19">
        <f>OCTUBRE!AD73</f>
        <v>0</v>
      </c>
      <c r="AC73" s="377">
        <v>0</v>
      </c>
      <c r="AD73" s="18">
        <f t="shared" si="74"/>
        <v>0</v>
      </c>
      <c r="AE73" s="19">
        <f>OCTUBRE!AG73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+IF(OCTUBRE!A74=0,"",OCTUBRE!A74)</f>
        <v>1130116-2</v>
      </c>
      <c r="B74" s="654" t="str">
        <f>+IF(OCTUBRE!B74=0,"",OCTUBRE!B74)</f>
        <v>Vigencia Anterior</v>
      </c>
      <c r="C74" s="375">
        <f>+ENERO!C74</f>
        <v>0</v>
      </c>
      <c r="D74" s="376">
        <f>OCTUBRE!D74+NOVIEMBRE!P74</f>
        <v>0</v>
      </c>
      <c r="E74" s="376">
        <f>OCTUBRE!E74+NOVIEMBRE!Q74</f>
        <v>7739704</v>
      </c>
      <c r="F74" s="376">
        <f>SUM(C74:E74)</f>
        <v>7739704</v>
      </c>
      <c r="G74" s="376">
        <f>OCTUBRE!I74</f>
        <v>7272020</v>
      </c>
      <c r="H74" s="377">
        <v>0</v>
      </c>
      <c r="I74" s="376">
        <f>SUM(G74:H74)</f>
        <v>7272020</v>
      </c>
      <c r="J74" s="376">
        <f>OCTUBRE!L74</f>
        <v>7272020</v>
      </c>
      <c r="K74" s="377">
        <v>0</v>
      </c>
      <c r="L74" s="376">
        <f>SUM(J74:K74)</f>
        <v>7272020</v>
      </c>
      <c r="M74" s="376">
        <f>F74-I74</f>
        <v>467684</v>
      </c>
      <c r="N74" s="146">
        <f>F74-L74</f>
        <v>467684</v>
      </c>
      <c r="O74" s="385"/>
      <c r="P74" s="375">
        <v>0</v>
      </c>
      <c r="Q74" s="378">
        <v>0</v>
      </c>
      <c r="R74" s="9"/>
      <c r="S74" s="720" t="str">
        <f>+IF(OCTUBRE!S74=0,"",OCTUBRE!S74)</f>
        <v>1020104-5</v>
      </c>
      <c r="T74" s="694" t="str">
        <f>+IF(OCTUBRE!T74=0,"",OCTUBRE!T74)</f>
        <v>Prima de Servicios</v>
      </c>
      <c r="U74" s="27">
        <f>+ENERO!U74</f>
        <v>26711056</v>
      </c>
      <c r="V74" s="15">
        <f>OCTUBRE!V74+NOVIEMBRE!AL74</f>
        <v>0</v>
      </c>
      <c r="W74" s="15">
        <f>OCTUBRE!W74+NOVIEMBRE!AM74</f>
        <v>0</v>
      </c>
      <c r="X74" s="18">
        <f t="shared" si="72"/>
        <v>26711056</v>
      </c>
      <c r="Y74" s="19">
        <f>OCTUBRE!AA74</f>
        <v>0</v>
      </c>
      <c r="Z74" s="377">
        <v>0</v>
      </c>
      <c r="AA74" s="18">
        <f t="shared" si="73"/>
        <v>0</v>
      </c>
      <c r="AB74" s="19">
        <f>OCTUBRE!AD74</f>
        <v>0</v>
      </c>
      <c r="AC74" s="377">
        <v>0</v>
      </c>
      <c r="AD74" s="18">
        <f t="shared" si="74"/>
        <v>0</v>
      </c>
      <c r="AE74" s="19">
        <f>OCTUBRE!AG74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+IF(OCTUBRE!A75=0,"",OCTUBRE!A75)</f>
        <v>1130117</v>
      </c>
      <c r="B75" s="653" t="str">
        <f>+IF(OCTUBRE!B75=0,"",OCTUBRE!B75)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+IF(OCTUBRE!S75=0,"",OCTUBRE!S75)</f>
        <v>1020104-8</v>
      </c>
      <c r="T75" s="694" t="str">
        <f>+IF(OCTUBRE!T75=0,"",OCTUBRE!T75)</f>
        <v>Bonific. por Servicios Prestados (Convencional)</v>
      </c>
      <c r="U75" s="27">
        <f>+ENERO!U75</f>
        <v>0</v>
      </c>
      <c r="V75" s="15">
        <f>OCTUBRE!V75+NOVIEMBRE!AL75</f>
        <v>0</v>
      </c>
      <c r="W75" s="15">
        <f>OCTUBRE!W75+NOVIEMBRE!AM75</f>
        <v>0</v>
      </c>
      <c r="X75" s="18">
        <f t="shared" si="72"/>
        <v>0</v>
      </c>
      <c r="Y75" s="19">
        <f>OCTUBRE!AA75</f>
        <v>0</v>
      </c>
      <c r="Z75" s="377">
        <v>0</v>
      </c>
      <c r="AA75" s="18">
        <f t="shared" si="73"/>
        <v>0</v>
      </c>
      <c r="AB75" s="19">
        <f>OCTUBRE!AD75</f>
        <v>0</v>
      </c>
      <c r="AC75" s="377">
        <v>0</v>
      </c>
      <c r="AD75" s="18">
        <f t="shared" si="74"/>
        <v>0</v>
      </c>
      <c r="AE75" s="19">
        <f>OCTUBRE!AG75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+IF(OCTUBRE!A76=0,"",OCTUBRE!A76)</f>
        <v>1130117-1</v>
      </c>
      <c r="B76" s="654" t="str">
        <f>+CONCATENATE("Vigencia ",INSTRUCCIONES!$F$3)</f>
        <v>Vigencia 2015</v>
      </c>
      <c r="C76" s="375">
        <f>+ENERO!C76</f>
        <v>0</v>
      </c>
      <c r="D76" s="376">
        <f>OCTUBRE!D76+NOVIEMBRE!P76</f>
        <v>0</v>
      </c>
      <c r="E76" s="376">
        <f>OCTUBRE!E76+NOVIEMBRE!Q76</f>
        <v>0</v>
      </c>
      <c r="F76" s="376">
        <f t="shared" ref="F76:F83" si="81">SUM(C76:E76)</f>
        <v>0</v>
      </c>
      <c r="G76" s="376">
        <f>OCTUBRE!I76</f>
        <v>0</v>
      </c>
      <c r="H76" s="377">
        <v>0</v>
      </c>
      <c r="I76" s="376">
        <f t="shared" ref="I76:I83" si="82">SUM(G76:H76)</f>
        <v>0</v>
      </c>
      <c r="J76" s="376">
        <f>OCTUBRE!L76</f>
        <v>0</v>
      </c>
      <c r="K76" s="377">
        <v>0</v>
      </c>
      <c r="L76" s="376">
        <f t="shared" ref="L76:L83" si="83">SUM(J76:K76)</f>
        <v>0</v>
      </c>
      <c r="M76" s="376">
        <f t="shared" ref="M76:M83" si="84">F76-I76</f>
        <v>0</v>
      </c>
      <c r="N76" s="146">
        <f t="shared" ref="N76:N83" si="85">F76-L76</f>
        <v>0</v>
      </c>
      <c r="O76" s="385"/>
      <c r="P76" s="375">
        <v>0</v>
      </c>
      <c r="Q76" s="378">
        <v>0</v>
      </c>
      <c r="R76" s="9"/>
      <c r="S76" s="720" t="str">
        <f>+IF(OCTUBRE!S76=0,"",OCTUBRE!S76)</f>
        <v>1020104-9</v>
      </c>
      <c r="T76" s="694" t="str">
        <f>+IF(OCTUBRE!T76=0,"",OCTUBRE!T76)</f>
        <v>Auxilio de Transporte</v>
      </c>
      <c r="U76" s="27">
        <f>+ENERO!U76</f>
        <v>1471200</v>
      </c>
      <c r="V76" s="15">
        <f>OCTUBRE!V76+NOVIEMBRE!AL76</f>
        <v>0</v>
      </c>
      <c r="W76" s="15">
        <f>OCTUBRE!W76+NOVIEMBRE!AM76</f>
        <v>0</v>
      </c>
      <c r="X76" s="18">
        <f t="shared" si="72"/>
        <v>1471200</v>
      </c>
      <c r="Y76" s="19">
        <f>OCTUBRE!AA76</f>
        <v>146000</v>
      </c>
      <c r="Z76" s="377">
        <v>0</v>
      </c>
      <c r="AA76" s="18">
        <f t="shared" si="73"/>
        <v>146000</v>
      </c>
      <c r="AB76" s="19">
        <f>OCTUBRE!AD76</f>
        <v>146000</v>
      </c>
      <c r="AC76" s="377">
        <v>0</v>
      </c>
      <c r="AD76" s="18">
        <f t="shared" si="74"/>
        <v>146000</v>
      </c>
      <c r="AE76" s="19">
        <f>OCTUBRE!AG76</f>
        <v>140121</v>
      </c>
      <c r="AF76" s="377">
        <v>0</v>
      </c>
      <c r="AG76" s="18">
        <f t="shared" si="75"/>
        <v>140121</v>
      </c>
      <c r="AH76" s="19">
        <f t="shared" si="76"/>
        <v>1325200</v>
      </c>
      <c r="AI76" s="15">
        <f t="shared" si="77"/>
        <v>1325200</v>
      </c>
      <c r="AJ76" s="16">
        <f t="shared" si="78"/>
        <v>1331079</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+IF(OCTUBRE!A77=0,"",OCTUBRE!A77)</f>
        <v>1130117-2</v>
      </c>
      <c r="B77" s="654" t="str">
        <f>+IF(OCTUBRE!B77=0,"",OCTUBRE!B77)</f>
        <v>Vigencia Anterior</v>
      </c>
      <c r="C77" s="375">
        <f>+ENERO!C77</f>
        <v>0</v>
      </c>
      <c r="D77" s="376">
        <f>OCTUBRE!D77+NOVIEMBRE!P77</f>
        <v>0</v>
      </c>
      <c r="E77" s="376">
        <f>OCTUBRE!E77+NOVIEMBRE!Q77</f>
        <v>0</v>
      </c>
      <c r="F77" s="376">
        <f t="shared" si="81"/>
        <v>0</v>
      </c>
      <c r="G77" s="376">
        <f>OCTUBRE!I77</f>
        <v>0</v>
      </c>
      <c r="H77" s="377">
        <v>0</v>
      </c>
      <c r="I77" s="376">
        <f t="shared" si="82"/>
        <v>0</v>
      </c>
      <c r="J77" s="376">
        <f>OCTUBRE!L77</f>
        <v>0</v>
      </c>
      <c r="K77" s="377">
        <v>0</v>
      </c>
      <c r="L77" s="376">
        <f t="shared" si="83"/>
        <v>0</v>
      </c>
      <c r="M77" s="376">
        <f t="shared" si="84"/>
        <v>0</v>
      </c>
      <c r="N77" s="146">
        <f t="shared" si="85"/>
        <v>0</v>
      </c>
      <c r="O77" s="385"/>
      <c r="P77" s="375">
        <v>0</v>
      </c>
      <c r="Q77" s="378">
        <v>0</v>
      </c>
      <c r="R77" s="9"/>
      <c r="S77" s="720" t="str">
        <f>+IF(OCTUBRE!S77=0,"",OCTUBRE!S77)</f>
        <v>1020104-10</v>
      </c>
      <c r="T77" s="694" t="str">
        <f>+IF(OCTUBRE!T77=0,"",OCTUBRE!T77)</f>
        <v>Subsidio de Alimentación</v>
      </c>
      <c r="U77" s="27">
        <f>+ENERO!U77</f>
        <v>0</v>
      </c>
      <c r="V77" s="15">
        <f>OCTUBRE!V77+NOVIEMBRE!AL77</f>
        <v>0</v>
      </c>
      <c r="W77" s="15">
        <f>OCTUBRE!W77+NOVIEMBRE!AM77</f>
        <v>0</v>
      </c>
      <c r="X77" s="18">
        <f t="shared" si="72"/>
        <v>0</v>
      </c>
      <c r="Y77" s="19">
        <f>OCTUBRE!AA77</f>
        <v>0</v>
      </c>
      <c r="Z77" s="377">
        <v>0</v>
      </c>
      <c r="AA77" s="18">
        <f t="shared" si="73"/>
        <v>0</v>
      </c>
      <c r="AB77" s="19">
        <f>OCTUBRE!AD77</f>
        <v>0</v>
      </c>
      <c r="AC77" s="377">
        <v>0</v>
      </c>
      <c r="AD77" s="18">
        <f t="shared" si="74"/>
        <v>0</v>
      </c>
      <c r="AE77" s="19">
        <f>OCTUBRE!AG77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+IF(OCTUBRE!A78=0,"",OCTUBRE!A78)</f>
        <v>1130118</v>
      </c>
      <c r="B78" s="653" t="str">
        <f>+IF(OCTUBRE!B78=0,"",OCTUBRE!B78)</f>
        <v>PARTICULARES   (Venta de Contado)</v>
      </c>
      <c r="C78" s="43">
        <f>SUM(C79:C80)</f>
        <v>151788162</v>
      </c>
      <c r="D78" s="44">
        <f>SUM(D79:D80)</f>
        <v>0</v>
      </c>
      <c r="E78" s="44">
        <f>SUM(E79:E80)</f>
        <v>0</v>
      </c>
      <c r="F78" s="44">
        <f t="shared" si="81"/>
        <v>151788162</v>
      </c>
      <c r="G78" s="44">
        <f>SUM(G79:G80)</f>
        <v>100784494</v>
      </c>
      <c r="H78" s="44">
        <f>SUM(H79:H80)</f>
        <v>0</v>
      </c>
      <c r="I78" s="44">
        <f t="shared" si="82"/>
        <v>100784494</v>
      </c>
      <c r="J78" s="44">
        <f>SUM(J79:J80)</f>
        <v>100784494</v>
      </c>
      <c r="K78" s="44">
        <f>SUM(K79:K80)</f>
        <v>0</v>
      </c>
      <c r="L78" s="44">
        <f t="shared" si="83"/>
        <v>100784494</v>
      </c>
      <c r="M78" s="44">
        <f t="shared" si="84"/>
        <v>51003668</v>
      </c>
      <c r="N78" s="45">
        <f t="shared" si="85"/>
        <v>51003668</v>
      </c>
      <c r="O78" s="385"/>
      <c r="P78" s="43">
        <f>SUM(P79:P80)</f>
        <v>0</v>
      </c>
      <c r="Q78" s="45">
        <f>SUM(Q79:Q80)</f>
        <v>0</v>
      </c>
      <c r="R78" s="9"/>
      <c r="S78" s="720" t="str">
        <f>+IF(OCTUBRE!S78=0,"",OCTUBRE!S78)</f>
        <v>1020104-12</v>
      </c>
      <c r="T78" s="694" t="str">
        <f>+IF(OCTUBRE!T78=0,"",OCTUBRE!T78)</f>
        <v>Indemnizaciones por Vacaciones o Supresión de Cargos por Reestructuración</v>
      </c>
      <c r="U78" s="27">
        <f>+ENERO!U78</f>
        <v>0</v>
      </c>
      <c r="V78" s="15">
        <f>OCTUBRE!V78+NOVIEMBRE!AL78</f>
        <v>0</v>
      </c>
      <c r="W78" s="15">
        <f>OCTUBRE!W78+NOVIEMBRE!AM78</f>
        <v>0</v>
      </c>
      <c r="X78" s="18">
        <f t="shared" si="72"/>
        <v>0</v>
      </c>
      <c r="Y78" s="19">
        <f>OCTUBRE!AA78</f>
        <v>0</v>
      </c>
      <c r="Z78" s="377">
        <v>0</v>
      </c>
      <c r="AA78" s="18">
        <f t="shared" si="73"/>
        <v>0</v>
      </c>
      <c r="AB78" s="19">
        <f>OCTUBRE!AD78</f>
        <v>0</v>
      </c>
      <c r="AC78" s="377">
        <v>0</v>
      </c>
      <c r="AD78" s="18">
        <f t="shared" si="74"/>
        <v>0</v>
      </c>
      <c r="AE78" s="19">
        <f>OCTUBRE!AG78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+IF(OCTUBRE!A79=0,"",OCTUBRE!A79)</f>
        <v>1130118-1</v>
      </c>
      <c r="B79" s="654" t="str">
        <f>+CONCATENATE("Vigencia ",INSTRUCCIONES!$F$3)</f>
        <v>Vigencia 2015</v>
      </c>
      <c r="C79" s="375">
        <f>+ENERO!C79</f>
        <v>151788162</v>
      </c>
      <c r="D79" s="376">
        <f>OCTUBRE!D79+NOVIEMBRE!P79</f>
        <v>0</v>
      </c>
      <c r="E79" s="376">
        <f>OCTUBRE!E79+NOVIEMBRE!Q79</f>
        <v>0</v>
      </c>
      <c r="F79" s="376">
        <f t="shared" si="81"/>
        <v>151788162</v>
      </c>
      <c r="G79" s="376">
        <f>OCTUBRE!I79</f>
        <v>100784494</v>
      </c>
      <c r="H79" s="377">
        <v>0</v>
      </c>
      <c r="I79" s="376">
        <f t="shared" si="82"/>
        <v>100784494</v>
      </c>
      <c r="J79" s="376">
        <f>OCTUBRE!L79</f>
        <v>100784494</v>
      </c>
      <c r="K79" s="377">
        <v>0</v>
      </c>
      <c r="L79" s="376">
        <f t="shared" si="83"/>
        <v>100784494</v>
      </c>
      <c r="M79" s="376">
        <f t="shared" si="84"/>
        <v>51003668</v>
      </c>
      <c r="N79" s="146">
        <f t="shared" si="85"/>
        <v>51003668</v>
      </c>
      <c r="P79" s="375">
        <v>0</v>
      </c>
      <c r="Q79" s="378">
        <v>0</v>
      </c>
      <c r="R79" s="9"/>
      <c r="S79" s="720" t="str">
        <f>+IF(OCTUBRE!S79=0,"",OCTUBRE!S79)</f>
        <v>1020104-13</v>
      </c>
      <c r="T79" s="694" t="str">
        <f>+IF(OCTUBRE!T79=0,"",OCTUBRE!T79)</f>
        <v>Bonificación Especial por Recreación</v>
      </c>
      <c r="U79" s="27">
        <f>+ENERO!U79</f>
        <v>3561474</v>
      </c>
      <c r="V79" s="15">
        <f>OCTUBRE!V79+NOVIEMBRE!AL79</f>
        <v>0</v>
      </c>
      <c r="W79" s="15">
        <f>OCTUBRE!W79+NOVIEMBRE!AM79</f>
        <v>0</v>
      </c>
      <c r="X79" s="18">
        <f t="shared" si="72"/>
        <v>3561474</v>
      </c>
      <c r="Y79" s="19">
        <f>OCTUBRE!AA79</f>
        <v>2731324</v>
      </c>
      <c r="Z79" s="377">
        <v>0</v>
      </c>
      <c r="AA79" s="18">
        <f t="shared" si="73"/>
        <v>2731324</v>
      </c>
      <c r="AB79" s="19">
        <f>OCTUBRE!AD79</f>
        <v>2731324</v>
      </c>
      <c r="AC79" s="377">
        <v>0</v>
      </c>
      <c r="AD79" s="18">
        <f t="shared" si="74"/>
        <v>2731324</v>
      </c>
      <c r="AE79" s="19">
        <f>OCTUBRE!AG79</f>
        <v>1890075</v>
      </c>
      <c r="AF79" s="377">
        <v>0</v>
      </c>
      <c r="AG79" s="18">
        <f t="shared" si="75"/>
        <v>1890075</v>
      </c>
      <c r="AH79" s="19">
        <f t="shared" si="76"/>
        <v>830150</v>
      </c>
      <c r="AI79" s="15">
        <f t="shared" si="77"/>
        <v>830150</v>
      </c>
      <c r="AJ79" s="16">
        <f t="shared" si="78"/>
        <v>1671399</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+IF(OCTUBRE!A80=0,"",OCTUBRE!A80)</f>
        <v>1130118-2</v>
      </c>
      <c r="B80" s="654" t="str">
        <f>+IF(OCTUBRE!B80=0,"",OCTUBRE!B80)</f>
        <v>Vigencia Anterior</v>
      </c>
      <c r="C80" s="375">
        <f>+ENERO!C80</f>
        <v>0</v>
      </c>
      <c r="D80" s="376">
        <f>OCTUBRE!D80+NOVIEMBRE!P80</f>
        <v>0</v>
      </c>
      <c r="E80" s="376">
        <f>OCTUBRE!E80+NOVIEMBRE!Q80</f>
        <v>0</v>
      </c>
      <c r="F80" s="376">
        <f t="shared" si="81"/>
        <v>0</v>
      </c>
      <c r="G80" s="376">
        <f>OCTUBRE!I80</f>
        <v>0</v>
      </c>
      <c r="H80" s="377">
        <v>0</v>
      </c>
      <c r="I80" s="376">
        <f t="shared" si="82"/>
        <v>0</v>
      </c>
      <c r="J80" s="376">
        <f>OCTUBRE!L80</f>
        <v>0</v>
      </c>
      <c r="K80" s="377">
        <v>0</v>
      </c>
      <c r="L80" s="376">
        <f t="shared" si="83"/>
        <v>0</v>
      </c>
      <c r="M80" s="376">
        <f t="shared" si="84"/>
        <v>0</v>
      </c>
      <c r="N80" s="146">
        <f t="shared" si="85"/>
        <v>0</v>
      </c>
      <c r="O80" s="385"/>
      <c r="P80" s="375">
        <v>0</v>
      </c>
      <c r="Q80" s="378">
        <v>0</v>
      </c>
      <c r="S80" s="720" t="str">
        <f>+IF(OCTUBRE!S80=0,"",OCTUBRE!S80)</f>
        <v>1020104-14</v>
      </c>
      <c r="T80" s="694" t="str">
        <f>+IF(OCTUBRE!T80=0,"",OCTUBRE!T80)</f>
        <v/>
      </c>
      <c r="U80" s="27">
        <f>+ENERO!U80</f>
        <v>0</v>
      </c>
      <c r="V80" s="15">
        <f>OCTUBRE!V80+NOVIEMBRE!AL80</f>
        <v>0</v>
      </c>
      <c r="W80" s="15">
        <f>OCTUBRE!W80+NOVIEMBRE!AM80</f>
        <v>0</v>
      </c>
      <c r="X80" s="18">
        <f t="shared" si="72"/>
        <v>0</v>
      </c>
      <c r="Y80" s="19">
        <f>OCTUBRE!AA80</f>
        <v>0</v>
      </c>
      <c r="Z80" s="377">
        <v>0</v>
      </c>
      <c r="AA80" s="18">
        <f t="shared" si="73"/>
        <v>0</v>
      </c>
      <c r="AB80" s="19">
        <f>OCTUBRE!AD80</f>
        <v>0</v>
      </c>
      <c r="AC80" s="377">
        <v>0</v>
      </c>
      <c r="AD80" s="18">
        <f t="shared" si="74"/>
        <v>0</v>
      </c>
      <c r="AE80" s="19">
        <f>OCTUBRE!AG80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+IF(OCTUBRE!A81=0,"",OCTUBRE!A81)</f>
        <v>1130119</v>
      </c>
      <c r="B81" s="657" t="str">
        <f>+IF(OCTUBRE!B81=0,"",OCTUBRE!B81)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+IF(OCTUBRE!S81=0,"",OCTUBRE!S81)</f>
        <v>1020199</v>
      </c>
      <c r="T81" s="693" t="str">
        <f>+IF(OCTUBRE!T81=0,"",OCTUBRE!T81)</f>
        <v>Vigencias Anteriores</v>
      </c>
      <c r="U81" s="27">
        <f>+ENERO!U81</f>
        <v>0</v>
      </c>
      <c r="V81" s="15">
        <f>OCTUBRE!V81+NOVIEMBRE!AL81</f>
        <v>0</v>
      </c>
      <c r="W81" s="15">
        <f>OCTUBRE!W81+NOVIEMBRE!AM81</f>
        <v>13655677</v>
      </c>
      <c r="X81" s="18">
        <f t="shared" si="72"/>
        <v>13655677</v>
      </c>
      <c r="Y81" s="19">
        <f>OCTUBRE!AA81</f>
        <v>13655677</v>
      </c>
      <c r="Z81" s="377">
        <v>0</v>
      </c>
      <c r="AA81" s="18">
        <f t="shared" si="73"/>
        <v>13655677</v>
      </c>
      <c r="AB81" s="19">
        <f>OCTUBRE!AD81</f>
        <v>13655677</v>
      </c>
      <c r="AC81" s="377">
        <v>0</v>
      </c>
      <c r="AD81" s="18">
        <f t="shared" si="74"/>
        <v>13655677</v>
      </c>
      <c r="AE81" s="19">
        <f>OCTUBRE!AG81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+IF(OCTUBRE!A82=0,"",OCTUBRE!A82)</f>
        <v>1130119-1</v>
      </c>
      <c r="B82" s="654" t="str">
        <f>+CONCATENATE("Vigencia ",INSTRUCCIONES!$F$3)</f>
        <v>Vigencia 2015</v>
      </c>
      <c r="C82" s="375">
        <f>+ENERO!C82</f>
        <v>0</v>
      </c>
      <c r="D82" s="376">
        <f>OCTUBRE!D82+NOVIEMBRE!P82</f>
        <v>0</v>
      </c>
      <c r="E82" s="376">
        <f>OCTUBRE!E82+NOVIEMBRE!Q82</f>
        <v>0</v>
      </c>
      <c r="F82" s="376">
        <f t="shared" si="81"/>
        <v>0</v>
      </c>
      <c r="G82" s="376">
        <f>OCTUBRE!I82</f>
        <v>0</v>
      </c>
      <c r="H82" s="377">
        <v>0</v>
      </c>
      <c r="I82" s="376">
        <f t="shared" si="82"/>
        <v>0</v>
      </c>
      <c r="J82" s="376">
        <f>OCTUBRE!L82</f>
        <v>0</v>
      </c>
      <c r="K82" s="377">
        <v>0</v>
      </c>
      <c r="L82" s="376">
        <f t="shared" si="83"/>
        <v>0</v>
      </c>
      <c r="M82" s="376">
        <f t="shared" si="84"/>
        <v>0</v>
      </c>
      <c r="N82" s="146">
        <f t="shared" si="85"/>
        <v>0</v>
      </c>
      <c r="P82" s="375">
        <v>0</v>
      </c>
      <c r="Q82" s="378">
        <v>0</v>
      </c>
      <c r="R82" s="9"/>
      <c r="S82" s="369" t="str">
        <f>+IF(OCTUBRE!S82=0,"",OCTUBRE!S82)</f>
        <v/>
      </c>
      <c r="T82" s="708" t="str">
        <f>+IF(OCTUBRE!T82=0,"",OCTUBRE!T82)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+IF(OCTUBRE!A83=0,"",OCTUBRE!A83)</f>
        <v>1130119-2</v>
      </c>
      <c r="B83" s="658" t="str">
        <f>+IF(OCTUBRE!B83=0,"",OCTUBRE!B83)</f>
        <v>Vigencia Anterior</v>
      </c>
      <c r="C83" s="387">
        <f>+ENERO!C83</f>
        <v>0</v>
      </c>
      <c r="D83" s="388">
        <f>OCTUBRE!D83+NOVIEMBRE!P83</f>
        <v>0</v>
      </c>
      <c r="E83" s="388">
        <f>OCTUBRE!E83+NOVIEMBRE!Q83</f>
        <v>0</v>
      </c>
      <c r="F83" s="388">
        <f t="shared" si="81"/>
        <v>0</v>
      </c>
      <c r="G83" s="388">
        <f>OCTUBRE!I83</f>
        <v>0</v>
      </c>
      <c r="H83" s="391">
        <v>0</v>
      </c>
      <c r="I83" s="388">
        <f t="shared" si="82"/>
        <v>0</v>
      </c>
      <c r="J83" s="388">
        <f>OCTUBRE!L83</f>
        <v>0</v>
      </c>
      <c r="K83" s="391">
        <v>0</v>
      </c>
      <c r="L83" s="388">
        <f t="shared" si="83"/>
        <v>0</v>
      </c>
      <c r="M83" s="388">
        <f t="shared" si="84"/>
        <v>0</v>
      </c>
      <c r="N83" s="389">
        <f t="shared" si="85"/>
        <v>0</v>
      </c>
      <c r="P83" s="375">
        <v>0</v>
      </c>
      <c r="Q83" s="378">
        <v>0</v>
      </c>
      <c r="R83" s="9"/>
      <c r="S83" s="718">
        <f>+IF(OCTUBRE!S83=0,"",OCTUBRE!S83)</f>
        <v>1020200</v>
      </c>
      <c r="T83" s="692" t="str">
        <f>+IF(OCTUBRE!T83=0,"",OCTUBRE!T83)</f>
        <v>Servicios Personales Indirectos</v>
      </c>
      <c r="U83" s="135">
        <f t="shared" ref="U83:AJ83" si="87">SUM(U84:U88)</f>
        <v>151257124</v>
      </c>
      <c r="V83" s="124">
        <f t="shared" si="87"/>
        <v>24000000</v>
      </c>
      <c r="W83" s="124">
        <f t="shared" si="87"/>
        <v>6884000</v>
      </c>
      <c r="X83" s="132">
        <f t="shared" si="87"/>
        <v>182141124</v>
      </c>
      <c r="Y83" s="131">
        <f t="shared" si="87"/>
        <v>163262000</v>
      </c>
      <c r="Z83" s="124">
        <f t="shared" si="87"/>
        <v>0</v>
      </c>
      <c r="AA83" s="132">
        <f t="shared" si="87"/>
        <v>163262000</v>
      </c>
      <c r="AB83" s="131">
        <f t="shared" si="87"/>
        <v>122662000</v>
      </c>
      <c r="AC83" s="124">
        <f t="shared" si="87"/>
        <v>0</v>
      </c>
      <c r="AD83" s="132">
        <f t="shared" si="87"/>
        <v>122662000</v>
      </c>
      <c r="AE83" s="131">
        <f t="shared" si="87"/>
        <v>115924500</v>
      </c>
      <c r="AF83" s="124">
        <f t="shared" si="87"/>
        <v>0</v>
      </c>
      <c r="AG83" s="132">
        <f t="shared" si="87"/>
        <v>115924500</v>
      </c>
      <c r="AH83" s="131">
        <f t="shared" si="87"/>
        <v>18879124</v>
      </c>
      <c r="AI83" s="124">
        <f t="shared" si="87"/>
        <v>59479124</v>
      </c>
      <c r="AJ83" s="133">
        <f t="shared" si="87"/>
        <v>66216624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+IF(OCTUBRE!A84=0,"",OCTUBRE!A84)</f>
        <v/>
      </c>
      <c r="B84" s="659" t="str">
        <f>+IF(OCTUBRE!B84=0,"",OCTUBRE!B84)</f>
        <v/>
      </c>
      <c r="C84" s="297"/>
      <c r="D84" s="297"/>
      <c r="E84" s="297"/>
      <c r="F84" s="297"/>
      <c r="G84" s="297"/>
      <c r="H84" s="297"/>
      <c r="I84" s="297"/>
      <c r="J84" s="297"/>
      <c r="K84" s="297"/>
      <c r="L84" s="297"/>
      <c r="M84" s="297"/>
      <c r="N84" s="466"/>
      <c r="O84" s="464"/>
      <c r="P84" s="470"/>
      <c r="Q84" s="394"/>
      <c r="R84" s="9"/>
      <c r="S84" s="719" t="str">
        <f>+IF(OCTUBRE!S84=0,"",OCTUBRE!S84)</f>
        <v>1020200-1</v>
      </c>
      <c r="T84" s="693" t="str">
        <f>+IF(OCTUBRE!T84=0,"",OCTUBRE!T84)</f>
        <v>Remuneración y Honorarios por Servicios Técnicos y Profesionales</v>
      </c>
      <c r="U84" s="27">
        <f>+ENERO!U84</f>
        <v>151257124</v>
      </c>
      <c r="V84" s="15">
        <f>OCTUBRE!V84+NOVIEMBRE!AL84</f>
        <v>24000000</v>
      </c>
      <c r="W84" s="15">
        <f>OCTUBRE!W84+NOVIEMBRE!AM84</f>
        <v>0</v>
      </c>
      <c r="X84" s="18">
        <f>SUM(U84:W84)</f>
        <v>175257124</v>
      </c>
      <c r="Y84" s="19">
        <f>OCTUBRE!AA84</f>
        <v>156378000</v>
      </c>
      <c r="Z84" s="377">
        <v>0</v>
      </c>
      <c r="AA84" s="18">
        <f>SUM(Y84:Z84)</f>
        <v>156378000</v>
      </c>
      <c r="AB84" s="19">
        <f>OCTUBRE!AD84</f>
        <v>115778000</v>
      </c>
      <c r="AC84" s="377">
        <v>0</v>
      </c>
      <c r="AD84" s="18">
        <f>SUM(AB84:AC84)</f>
        <v>115778000</v>
      </c>
      <c r="AE84" s="19">
        <f>OCTUBRE!AG84</f>
        <v>109040500</v>
      </c>
      <c r="AF84" s="377">
        <v>0</v>
      </c>
      <c r="AG84" s="18">
        <f>SUM(AE84:AF84)</f>
        <v>109040500</v>
      </c>
      <c r="AH84" s="19">
        <f>X84-AA84</f>
        <v>18879124</v>
      </c>
      <c r="AI84" s="15">
        <f>X84-AD84</f>
        <v>59479124</v>
      </c>
      <c r="AJ84" s="16">
        <f>X84-AG84</f>
        <v>66216624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+IF(OCTUBRE!A85=0,"",OCTUBRE!A85)</f>
        <v>11302</v>
      </c>
      <c r="B85" s="660" t="str">
        <f>+IF(OCTUBRE!B85=0,"",OCTUBRE!B85)</f>
        <v>Otras Ventas de Servicios de Salud</v>
      </c>
      <c r="C85" s="625">
        <f t="shared" ref="C85:N85" si="88">SUM(C86:C92)</f>
        <v>74000000</v>
      </c>
      <c r="D85" s="623">
        <f t="shared" si="88"/>
        <v>0</v>
      </c>
      <c r="E85" s="623">
        <f t="shared" si="88"/>
        <v>0</v>
      </c>
      <c r="F85" s="623">
        <f t="shared" si="88"/>
        <v>74000000</v>
      </c>
      <c r="G85" s="623">
        <f t="shared" si="88"/>
        <v>39258686</v>
      </c>
      <c r="H85" s="623">
        <f t="shared" si="88"/>
        <v>0</v>
      </c>
      <c r="I85" s="623">
        <f t="shared" si="88"/>
        <v>39258686</v>
      </c>
      <c r="J85" s="623">
        <f t="shared" si="88"/>
        <v>31929343</v>
      </c>
      <c r="K85" s="623">
        <f t="shared" si="88"/>
        <v>0</v>
      </c>
      <c r="L85" s="623">
        <f t="shared" si="88"/>
        <v>31929343</v>
      </c>
      <c r="M85" s="623">
        <f t="shared" si="88"/>
        <v>34741314</v>
      </c>
      <c r="N85" s="624">
        <f t="shared" si="88"/>
        <v>42070657</v>
      </c>
      <c r="P85" s="43">
        <f>SUM(P86:P92)</f>
        <v>0</v>
      </c>
      <c r="Q85" s="45">
        <f>SUM(Q86:Q92)</f>
        <v>0</v>
      </c>
      <c r="R85" s="9"/>
      <c r="S85" s="719" t="str">
        <f>+IF(OCTUBRE!S85=0,"",OCTUBRE!S85)</f>
        <v>1020200-2</v>
      </c>
      <c r="T85" s="693" t="str">
        <f>+IF(OCTUBRE!T85=0,"",OCTUBRE!T85)</f>
        <v>Personal Supernumerario</v>
      </c>
      <c r="U85" s="27">
        <f>+ENERO!U85</f>
        <v>0</v>
      </c>
      <c r="V85" s="15">
        <f>OCTUBRE!V85+NOVIEMBRE!AL85</f>
        <v>0</v>
      </c>
      <c r="W85" s="15">
        <f>OCTUBRE!W85+NOVIEMBRE!AM85</f>
        <v>0</v>
      </c>
      <c r="X85" s="18">
        <f>SUM(U85:W85)</f>
        <v>0</v>
      </c>
      <c r="Y85" s="19">
        <f>OCTUBRE!AA85</f>
        <v>0</v>
      </c>
      <c r="Z85" s="377">
        <v>0</v>
      </c>
      <c r="AA85" s="18">
        <f>SUM(Y85:Z85)</f>
        <v>0</v>
      </c>
      <c r="AB85" s="19">
        <f>OCTUBRE!AD85</f>
        <v>0</v>
      </c>
      <c r="AC85" s="377">
        <v>0</v>
      </c>
      <c r="AD85" s="18">
        <f>SUM(AB85:AC85)</f>
        <v>0</v>
      </c>
      <c r="AE85" s="19">
        <f>OCTUBRE!AG85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+IF(OCTUBRE!A86=0,"",OCTUBRE!A86)</f>
        <v>1130201</v>
      </c>
      <c r="B86" s="634" t="str">
        <f>+IF(OCTUBRE!B86=0,"",OCTUBRE!B86)</f>
        <v/>
      </c>
      <c r="C86" s="401">
        <f>+ENERO!C86</f>
        <v>0</v>
      </c>
      <c r="D86" s="376">
        <f>OCTUBRE!D86+NOVIEMBRE!P86</f>
        <v>0</v>
      </c>
      <c r="E86" s="376">
        <f>OCTUBRE!E86+NOVIEMBRE!Q86</f>
        <v>0</v>
      </c>
      <c r="F86" s="376">
        <f t="shared" ref="F86:F92" si="89">SUM(C86:E86)</f>
        <v>0</v>
      </c>
      <c r="G86" s="376">
        <f>OCTUBRE!I86</f>
        <v>0</v>
      </c>
      <c r="H86" s="377">
        <v>0</v>
      </c>
      <c r="I86" s="376">
        <f t="shared" ref="I86:I92" si="90">SUM(G86:H86)</f>
        <v>0</v>
      </c>
      <c r="J86" s="376">
        <f>OCTUBRE!L86</f>
        <v>0</v>
      </c>
      <c r="K86" s="377">
        <v>0</v>
      </c>
      <c r="L86" s="376">
        <f t="shared" ref="L86:L92" si="91">SUM(J86:K86)</f>
        <v>0</v>
      </c>
      <c r="M86" s="376">
        <f t="shared" ref="M86:M92" si="92">F86-I86</f>
        <v>0</v>
      </c>
      <c r="N86" s="146">
        <f t="shared" ref="N86:N92" si="93">F86-L86</f>
        <v>0</v>
      </c>
      <c r="O86" s="385"/>
      <c r="P86" s="375">
        <v>0</v>
      </c>
      <c r="Q86" s="378">
        <v>0</v>
      </c>
      <c r="S86" s="719" t="str">
        <f>+IF(OCTUBRE!S86=0,"",OCTUBRE!S86)</f>
        <v>1020200-4</v>
      </c>
      <c r="T86" s="693" t="str">
        <f>+IF(OCTUBRE!T86=0,"",OCTUBRE!T86)</f>
        <v>Otros Honorarios (Servicios de Cooperativa)</v>
      </c>
      <c r="U86" s="27">
        <f>+ENERO!U86</f>
        <v>0</v>
      </c>
      <c r="V86" s="15">
        <f>OCTUBRE!V86+NOVIEMBRE!AL86</f>
        <v>0</v>
      </c>
      <c r="W86" s="15">
        <f>OCTUBRE!W86+NOVIEMBRE!AM86</f>
        <v>0</v>
      </c>
      <c r="X86" s="18">
        <f>SUM(U86:W86)</f>
        <v>0</v>
      </c>
      <c r="Y86" s="19">
        <f>OCTUBRE!AA86</f>
        <v>0</v>
      </c>
      <c r="Z86" s="377">
        <v>0</v>
      </c>
      <c r="AA86" s="18">
        <f>SUM(Y86:Z86)</f>
        <v>0</v>
      </c>
      <c r="AB86" s="19">
        <f>OCTUBRE!AD86</f>
        <v>0</v>
      </c>
      <c r="AC86" s="377">
        <v>0</v>
      </c>
      <c r="AD86" s="18">
        <f>SUM(AB86:AC86)</f>
        <v>0</v>
      </c>
      <c r="AE86" s="19">
        <f>OCTUBRE!AG86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+IF(OCTUBRE!A87=0,"",OCTUBRE!A87)</f>
        <v>1130202</v>
      </c>
      <c r="B87" s="634" t="str">
        <f>+IF(OCTUBRE!B87=0,"",OCTUBRE!B87)</f>
        <v/>
      </c>
      <c r="C87" s="401">
        <f>+ENERO!C87</f>
        <v>0</v>
      </c>
      <c r="D87" s="376">
        <f>OCTUBRE!D87+NOVIEMBRE!P87</f>
        <v>0</v>
      </c>
      <c r="E87" s="376">
        <f>OCTUBRE!E87+NOVIEMBRE!Q87</f>
        <v>0</v>
      </c>
      <c r="F87" s="376">
        <f t="shared" si="89"/>
        <v>0</v>
      </c>
      <c r="G87" s="376">
        <f>OCTUBRE!I87</f>
        <v>0</v>
      </c>
      <c r="H87" s="377">
        <v>0</v>
      </c>
      <c r="I87" s="376">
        <f t="shared" si="90"/>
        <v>0</v>
      </c>
      <c r="J87" s="376">
        <f>OCTUBRE!L87</f>
        <v>0</v>
      </c>
      <c r="K87" s="377">
        <v>0</v>
      </c>
      <c r="L87" s="376">
        <f t="shared" si="91"/>
        <v>0</v>
      </c>
      <c r="M87" s="376">
        <f t="shared" si="92"/>
        <v>0</v>
      </c>
      <c r="N87" s="146">
        <f t="shared" si="93"/>
        <v>0</v>
      </c>
      <c r="P87" s="375">
        <v>0</v>
      </c>
      <c r="Q87" s="378">
        <v>0</v>
      </c>
      <c r="R87" s="9"/>
      <c r="S87" s="719" t="str">
        <f>+IF(OCTUBRE!S87=0,"",OCTUBRE!S87)</f>
        <v/>
      </c>
      <c r="T87" s="693" t="str">
        <f>+IF(OCTUBRE!T87=0,"",OCTUBRE!T87)</f>
        <v/>
      </c>
      <c r="U87" s="27">
        <f>+ENERO!U87</f>
        <v>0</v>
      </c>
      <c r="V87" s="15">
        <f>OCTUBRE!V87+NOVIEMBRE!AL87</f>
        <v>0</v>
      </c>
      <c r="W87" s="15">
        <f>OCTUBRE!W87+NOVIEMBRE!AM87</f>
        <v>0</v>
      </c>
      <c r="X87" s="18">
        <f>SUM(U87:W87)</f>
        <v>0</v>
      </c>
      <c r="Y87" s="19">
        <f>OCTUBRE!AA87</f>
        <v>0</v>
      </c>
      <c r="Z87" s="377">
        <v>0</v>
      </c>
      <c r="AA87" s="18">
        <f>SUM(Y87:Z87)</f>
        <v>0</v>
      </c>
      <c r="AB87" s="19">
        <f>OCTUBRE!AD87</f>
        <v>0</v>
      </c>
      <c r="AC87" s="377">
        <v>0</v>
      </c>
      <c r="AD87" s="18">
        <f>SUM(AB87:AC87)</f>
        <v>0</v>
      </c>
      <c r="AE87" s="19">
        <f>OCTUBRE!AG87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+IF(OCTUBRE!A88=0,"",OCTUBRE!A88)</f>
        <v>1130203</v>
      </c>
      <c r="B88" s="635" t="str">
        <f>+IF(OCTUBRE!B88=0,"",OCTUBRE!B88)</f>
        <v>CONVENIOS CON LA NACION LIGADOS A LA VENTA DE SERVICIOS</v>
      </c>
      <c r="C88" s="401">
        <f>+ENERO!C88</f>
        <v>0</v>
      </c>
      <c r="D88" s="376">
        <f>OCTUBRE!D88+NOVIEMBRE!P88</f>
        <v>0</v>
      </c>
      <c r="E88" s="376">
        <f>OCTUBRE!E88+NOVIEMBRE!Q88</f>
        <v>0</v>
      </c>
      <c r="F88" s="376">
        <f t="shared" si="89"/>
        <v>0</v>
      </c>
      <c r="G88" s="376">
        <f>OCTUBRE!I88</f>
        <v>0</v>
      </c>
      <c r="H88" s="377">
        <v>0</v>
      </c>
      <c r="I88" s="376">
        <f t="shared" si="90"/>
        <v>0</v>
      </c>
      <c r="J88" s="376">
        <f>OCTUBRE!L88</f>
        <v>0</v>
      </c>
      <c r="K88" s="377">
        <v>0</v>
      </c>
      <c r="L88" s="376">
        <f t="shared" si="91"/>
        <v>0</v>
      </c>
      <c r="M88" s="376">
        <f t="shared" si="92"/>
        <v>0</v>
      </c>
      <c r="N88" s="146">
        <f t="shared" si="93"/>
        <v>0</v>
      </c>
      <c r="P88" s="375">
        <v>0</v>
      </c>
      <c r="Q88" s="378">
        <v>0</v>
      </c>
      <c r="R88" s="9"/>
      <c r="S88" s="719">
        <f>+IF(OCTUBRE!S88=0,"",OCTUBRE!S88)</f>
        <v>1020299</v>
      </c>
      <c r="T88" s="693" t="str">
        <f>+IF(OCTUBRE!T88=0,"",OCTUBRE!T88)</f>
        <v>Vigencias Anteriores</v>
      </c>
      <c r="U88" s="27">
        <f>+ENERO!U88</f>
        <v>0</v>
      </c>
      <c r="V88" s="15">
        <f>OCTUBRE!V88+NOVIEMBRE!AL88</f>
        <v>0</v>
      </c>
      <c r="W88" s="15">
        <f>OCTUBRE!W88+NOVIEMBRE!AM88</f>
        <v>6884000</v>
      </c>
      <c r="X88" s="18">
        <f>SUM(U88:W88)</f>
        <v>6884000</v>
      </c>
      <c r="Y88" s="19">
        <f>OCTUBRE!AA88</f>
        <v>6884000</v>
      </c>
      <c r="Z88" s="377">
        <v>0</v>
      </c>
      <c r="AA88" s="18">
        <f>SUM(Y88:Z88)</f>
        <v>6884000</v>
      </c>
      <c r="AB88" s="19">
        <f>OCTUBRE!AD88</f>
        <v>6884000</v>
      </c>
      <c r="AC88" s="377">
        <v>0</v>
      </c>
      <c r="AD88" s="18">
        <f>SUM(AB88:AC88)</f>
        <v>6884000</v>
      </c>
      <c r="AE88" s="19">
        <f>OCTUBRE!AG88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+IF(OCTUBRE!A89=0,"",OCTUBRE!A89)</f>
        <v>1130204</v>
      </c>
      <c r="B89" s="635" t="str">
        <f>+IF(OCTUBRE!B89=0,"",OCTUBRE!B89)</f>
        <v>CONVENIOS CON EL DEPARTAMENTO LIGADOS A LA VENTA SERVICIOS</v>
      </c>
      <c r="C89" s="401">
        <f>+ENERO!C89</f>
        <v>50000000</v>
      </c>
      <c r="D89" s="376">
        <f>OCTUBRE!D89+NOVIEMBRE!P89</f>
        <v>0</v>
      </c>
      <c r="E89" s="376">
        <f>OCTUBRE!E89+NOVIEMBRE!Q89</f>
        <v>0</v>
      </c>
      <c r="F89" s="376">
        <f t="shared" si="89"/>
        <v>50000000</v>
      </c>
      <c r="G89" s="376">
        <f>OCTUBRE!I89</f>
        <v>29658686</v>
      </c>
      <c r="H89" s="377">
        <v>0</v>
      </c>
      <c r="I89" s="376">
        <f t="shared" si="90"/>
        <v>29658686</v>
      </c>
      <c r="J89" s="376">
        <f>OCTUBRE!L89</f>
        <v>22329343</v>
      </c>
      <c r="K89" s="377">
        <v>0</v>
      </c>
      <c r="L89" s="376">
        <f t="shared" si="91"/>
        <v>22329343</v>
      </c>
      <c r="M89" s="376">
        <f t="shared" si="92"/>
        <v>20341314</v>
      </c>
      <c r="N89" s="146">
        <f t="shared" si="93"/>
        <v>27670657</v>
      </c>
      <c r="P89" s="375">
        <v>0</v>
      </c>
      <c r="Q89" s="378">
        <v>0</v>
      </c>
      <c r="R89" s="9"/>
      <c r="S89" s="369" t="str">
        <f>+IF(OCTUBRE!S89=0,"",OCTUBRE!S89)</f>
        <v/>
      </c>
      <c r="T89" s="708" t="str">
        <f>+IF(OCTUBRE!T89=0,"",OCTUBRE!T89)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+IF(OCTUBRE!A90=0,"",OCTUBRE!A90)</f>
        <v>1130205</v>
      </c>
      <c r="B90" s="635" t="str">
        <f>+IF(OCTUBRE!B90=0,"",OCTUBRE!B90)</f>
        <v>CONVENIOS CON EL MUNICIPIO LIGADOS A LA VENTA DE SERVICIOS</v>
      </c>
      <c r="C90" s="401">
        <f>+ENERO!C90</f>
        <v>24000000</v>
      </c>
      <c r="D90" s="376">
        <f>OCTUBRE!D90+NOVIEMBRE!P90</f>
        <v>0</v>
      </c>
      <c r="E90" s="376">
        <f>OCTUBRE!E90+NOVIEMBRE!Q90</f>
        <v>0</v>
      </c>
      <c r="F90" s="376">
        <f t="shared" si="89"/>
        <v>24000000</v>
      </c>
      <c r="G90" s="376">
        <f>OCTUBRE!I90</f>
        <v>9600000</v>
      </c>
      <c r="H90" s="377">
        <v>0</v>
      </c>
      <c r="I90" s="376">
        <f t="shared" si="90"/>
        <v>9600000</v>
      </c>
      <c r="J90" s="376">
        <f>OCTUBRE!L90</f>
        <v>9600000</v>
      </c>
      <c r="K90" s="377">
        <v>0</v>
      </c>
      <c r="L90" s="376">
        <f t="shared" si="91"/>
        <v>9600000</v>
      </c>
      <c r="M90" s="376">
        <f t="shared" si="92"/>
        <v>14400000</v>
      </c>
      <c r="N90" s="146">
        <f t="shared" si="93"/>
        <v>14400000</v>
      </c>
      <c r="O90" s="385"/>
      <c r="P90" s="375">
        <v>0</v>
      </c>
      <c r="Q90" s="378">
        <v>0</v>
      </c>
      <c r="R90" s="30"/>
      <c r="S90" s="718">
        <f>+IF(OCTUBRE!S90=0,"",OCTUBRE!S90)</f>
        <v>1020300</v>
      </c>
      <c r="T90" s="692" t="str">
        <f>+IF(OCTUBRE!T90=0,"",OCTUBRE!T90)</f>
        <v>Contribuciones Inherentes nómina al Sector Privado</v>
      </c>
      <c r="U90" s="135">
        <f t="shared" ref="U90:AJ90" si="94">U91+U96+U102</f>
        <v>269700847</v>
      </c>
      <c r="V90" s="124">
        <f t="shared" si="94"/>
        <v>0</v>
      </c>
      <c r="W90" s="124">
        <f t="shared" si="94"/>
        <v>54740941</v>
      </c>
      <c r="X90" s="132">
        <f t="shared" si="94"/>
        <v>324441788</v>
      </c>
      <c r="Y90" s="131">
        <f t="shared" si="94"/>
        <v>242285035</v>
      </c>
      <c r="Z90" s="124">
        <f t="shared" si="94"/>
        <v>0</v>
      </c>
      <c r="AA90" s="132">
        <f t="shared" si="94"/>
        <v>242285035</v>
      </c>
      <c r="AB90" s="131">
        <f t="shared" si="94"/>
        <v>242285035</v>
      </c>
      <c r="AC90" s="124">
        <f t="shared" si="94"/>
        <v>0</v>
      </c>
      <c r="AD90" s="132">
        <f t="shared" si="94"/>
        <v>242285035</v>
      </c>
      <c r="AE90" s="131">
        <f t="shared" si="94"/>
        <v>200069145</v>
      </c>
      <c r="AF90" s="124">
        <f t="shared" si="94"/>
        <v>0</v>
      </c>
      <c r="AG90" s="132">
        <f t="shared" si="94"/>
        <v>200069145</v>
      </c>
      <c r="AH90" s="131">
        <f t="shared" si="94"/>
        <v>82156753</v>
      </c>
      <c r="AI90" s="124">
        <f t="shared" si="94"/>
        <v>82156753</v>
      </c>
      <c r="AJ90" s="133">
        <f t="shared" si="94"/>
        <v>124372643</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+IF(OCTUBRE!A91=0,"",OCTUBRE!A91)</f>
        <v>1130206</v>
      </c>
      <c r="B91" s="635" t="str">
        <f>+IF(OCTUBRE!B91=0,"",OCTUBRE!B91)</f>
        <v>OTROS CONVENIOS LIGADOS A LA VENTA DE SERVICIOS</v>
      </c>
      <c r="C91" s="401">
        <f>+ENERO!C91</f>
        <v>0</v>
      </c>
      <c r="D91" s="376">
        <f>OCTUBRE!D91+NOVIEMBRE!P91</f>
        <v>0</v>
      </c>
      <c r="E91" s="376">
        <f>OCTUBRE!E91+NOVIEMBRE!Q91</f>
        <v>0</v>
      </c>
      <c r="F91" s="376">
        <f t="shared" si="89"/>
        <v>0</v>
      </c>
      <c r="G91" s="376">
        <f>OCTUBRE!I91</f>
        <v>0</v>
      </c>
      <c r="H91" s="377">
        <v>0</v>
      </c>
      <c r="I91" s="376">
        <f t="shared" si="90"/>
        <v>0</v>
      </c>
      <c r="J91" s="376">
        <f>OCTUBRE!L91</f>
        <v>0</v>
      </c>
      <c r="K91" s="377">
        <v>0</v>
      </c>
      <c r="L91" s="376">
        <f t="shared" si="91"/>
        <v>0</v>
      </c>
      <c r="M91" s="376">
        <f t="shared" si="92"/>
        <v>0</v>
      </c>
      <c r="N91" s="146">
        <f t="shared" si="93"/>
        <v>0</v>
      </c>
      <c r="O91" s="385"/>
      <c r="P91" s="375">
        <v>0</v>
      </c>
      <c r="Q91" s="378">
        <v>0</v>
      </c>
      <c r="R91" s="30"/>
      <c r="S91" s="719">
        <f>+IF(OCTUBRE!S91=0,"",OCTUBRE!S91)</f>
        <v>1020301</v>
      </c>
      <c r="T91" s="693" t="str">
        <f>+IF(OCTUBRE!T91=0,"",OCTUBRE!T91)</f>
        <v>Contribuciones - Sin Situación de Fondos</v>
      </c>
      <c r="U91" s="27">
        <f t="shared" ref="U91:AJ91" si="95">SUM(U92:U95)</f>
        <v>230094736</v>
      </c>
      <c r="V91" s="15">
        <f t="shared" si="95"/>
        <v>0</v>
      </c>
      <c r="W91" s="15">
        <f t="shared" si="95"/>
        <v>0</v>
      </c>
      <c r="X91" s="18">
        <f t="shared" si="95"/>
        <v>230094736</v>
      </c>
      <c r="Y91" s="19">
        <f t="shared" si="95"/>
        <v>164137494</v>
      </c>
      <c r="Z91" s="145">
        <f t="shared" si="95"/>
        <v>0</v>
      </c>
      <c r="AA91" s="18">
        <f t="shared" si="95"/>
        <v>164137494</v>
      </c>
      <c r="AB91" s="19">
        <f t="shared" si="95"/>
        <v>164137494</v>
      </c>
      <c r="AC91" s="145">
        <f t="shared" si="95"/>
        <v>0</v>
      </c>
      <c r="AD91" s="18">
        <f t="shared" si="95"/>
        <v>164137494</v>
      </c>
      <c r="AE91" s="19">
        <f t="shared" si="95"/>
        <v>126064609</v>
      </c>
      <c r="AF91" s="145">
        <f t="shared" si="95"/>
        <v>0</v>
      </c>
      <c r="AG91" s="18">
        <f t="shared" si="95"/>
        <v>126064609</v>
      </c>
      <c r="AH91" s="19">
        <f t="shared" si="95"/>
        <v>65957242</v>
      </c>
      <c r="AI91" s="15">
        <f t="shared" si="95"/>
        <v>65957242</v>
      </c>
      <c r="AJ91" s="16">
        <f t="shared" si="95"/>
        <v>104030127</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+IF(OCTUBRE!A92=0,"",OCTUBRE!A92)</f>
        <v>1130207</v>
      </c>
      <c r="B92" s="636" t="str">
        <f>+IF(OCTUBRE!B92=0,"",OCTUBRE!B92)</f>
        <v>Vigencia Anterior</v>
      </c>
      <c r="C92" s="491">
        <f>+ENERO!C92</f>
        <v>0</v>
      </c>
      <c r="D92" s="388">
        <f>OCTUBRE!D92+NOVIEMBRE!P92</f>
        <v>0</v>
      </c>
      <c r="E92" s="388">
        <f>OCTUBRE!E92+NOVIEMBRE!Q92</f>
        <v>0</v>
      </c>
      <c r="F92" s="388">
        <f t="shared" si="89"/>
        <v>0</v>
      </c>
      <c r="G92" s="388">
        <f>OCTUBRE!I92</f>
        <v>0</v>
      </c>
      <c r="H92" s="391">
        <v>0</v>
      </c>
      <c r="I92" s="388">
        <f t="shared" si="90"/>
        <v>0</v>
      </c>
      <c r="J92" s="388">
        <f>OCTUBRE!L92</f>
        <v>0</v>
      </c>
      <c r="K92" s="391">
        <v>0</v>
      </c>
      <c r="L92" s="388">
        <f t="shared" si="91"/>
        <v>0</v>
      </c>
      <c r="M92" s="388">
        <f t="shared" si="92"/>
        <v>0</v>
      </c>
      <c r="N92" s="389">
        <f t="shared" si="93"/>
        <v>0</v>
      </c>
      <c r="O92" s="385"/>
      <c r="P92" s="375">
        <v>0</v>
      </c>
      <c r="Q92" s="378">
        <v>0</v>
      </c>
      <c r="R92" s="30"/>
      <c r="S92" s="720" t="str">
        <f>+IF(OCTUBRE!S92=0,"",OCTUBRE!S92)</f>
        <v>1020301-1</v>
      </c>
      <c r="T92" s="694" t="str">
        <f>+IF(OCTUBRE!T92=0,"",OCTUBRE!T92)</f>
        <v>Aportes a E.P.S.- Sin sit. Fondos</v>
      </c>
      <c r="U92" s="27">
        <f>+ENERO!U92</f>
        <v>59416260</v>
      </c>
      <c r="V92" s="15">
        <f>OCTUBRE!V92+NOVIEMBRE!AL92</f>
        <v>0</v>
      </c>
      <c r="W92" s="15">
        <f>OCTUBRE!W92+NOVIEMBRE!AM92</f>
        <v>0</v>
      </c>
      <c r="X92" s="18">
        <f>SUM(U92:W92)</f>
        <v>59416260</v>
      </c>
      <c r="Y92" s="19">
        <f>OCTUBRE!AA92</f>
        <v>47924897</v>
      </c>
      <c r="Z92" s="377">
        <v>0</v>
      </c>
      <c r="AA92" s="18">
        <f>SUM(Y92:Z92)</f>
        <v>47924897</v>
      </c>
      <c r="AB92" s="19">
        <f>OCTUBRE!AD92</f>
        <v>47924897</v>
      </c>
      <c r="AC92" s="377">
        <v>0</v>
      </c>
      <c r="AD92" s="18">
        <f>SUM(AB92:AC92)</f>
        <v>47924897</v>
      </c>
      <c r="AE92" s="19">
        <f>OCTUBRE!AG92</f>
        <v>47924897</v>
      </c>
      <c r="AF92" s="377">
        <v>0</v>
      </c>
      <c r="AG92" s="18">
        <f>SUM(AE92:AF92)</f>
        <v>47924897</v>
      </c>
      <c r="AH92" s="19">
        <f>X92-AA92</f>
        <v>11491363</v>
      </c>
      <c r="AI92" s="15">
        <f>X92-AD92</f>
        <v>11491363</v>
      </c>
      <c r="AJ92" s="16">
        <f>X92-AG92</f>
        <v>11491363</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+IF(OCTUBRE!A93=0,"",OCTUBRE!A93)</f>
        <v/>
      </c>
      <c r="B93" s="659" t="str">
        <f>+IF(OCTUBRE!B93=0,"",OCTUBRE!B93)</f>
        <v/>
      </c>
      <c r="C93" s="297"/>
      <c r="D93" s="297"/>
      <c r="E93" s="297"/>
      <c r="F93" s="297"/>
      <c r="G93" s="297"/>
      <c r="H93" s="297"/>
      <c r="I93" s="297"/>
      <c r="J93" s="297"/>
      <c r="K93" s="297"/>
      <c r="L93" s="297"/>
      <c r="M93" s="297"/>
      <c r="N93" s="466"/>
      <c r="P93" s="470"/>
      <c r="Q93" s="394"/>
      <c r="R93" s="30"/>
      <c r="S93" s="720" t="str">
        <f>+IF(OCTUBRE!S93=0,"",OCTUBRE!S93)</f>
        <v>1020301-2</v>
      </c>
      <c r="T93" s="694" t="str">
        <f>+IF(OCTUBRE!T93=0,"",OCTUBRE!T93)</f>
        <v>Aportes Fondos Pensionales - Sin Sit. Fondos</v>
      </c>
      <c r="U93" s="27">
        <f>+ENERO!U93</f>
        <v>81857136</v>
      </c>
      <c r="V93" s="15">
        <f>OCTUBRE!V93+NOVIEMBRE!AL93</f>
        <v>0</v>
      </c>
      <c r="W93" s="15">
        <f>OCTUBRE!W93+NOVIEMBRE!AM93</f>
        <v>0</v>
      </c>
      <c r="X93" s="18">
        <f>SUM(U93:W93)</f>
        <v>81857136</v>
      </c>
      <c r="Y93" s="19">
        <f>OCTUBRE!AA93</f>
        <v>68463183</v>
      </c>
      <c r="Z93" s="377">
        <v>0</v>
      </c>
      <c r="AA93" s="18">
        <f>SUM(Y93:Z93)</f>
        <v>68463183</v>
      </c>
      <c r="AB93" s="19">
        <f>OCTUBRE!AD93</f>
        <v>68463183</v>
      </c>
      <c r="AC93" s="377">
        <v>0</v>
      </c>
      <c r="AD93" s="18">
        <f>SUM(AB93:AC93)</f>
        <v>68463183</v>
      </c>
      <c r="AE93" s="19">
        <f>OCTUBRE!AG93</f>
        <v>63364539</v>
      </c>
      <c r="AF93" s="377">
        <v>0</v>
      </c>
      <c r="AG93" s="18">
        <f>SUM(AE93:AF93)</f>
        <v>63364539</v>
      </c>
      <c r="AH93" s="19">
        <f>X93-AA93</f>
        <v>13393953</v>
      </c>
      <c r="AI93" s="15">
        <f>X93-AD93</f>
        <v>13393953</v>
      </c>
      <c r="AJ93" s="16">
        <f>X93-AG93</f>
        <v>18492597</v>
      </c>
      <c r="AK93" s="9"/>
      <c r="AL93" s="375">
        <v>0</v>
      </c>
      <c r="AM93" s="378">
        <v>0</v>
      </c>
      <c r="AN93" s="30"/>
      <c r="AO93" s="463"/>
      <c r="AP93" s="463"/>
      <c r="AQ93" s="463"/>
      <c r="AR93" s="463"/>
      <c r="AS93" s="463"/>
      <c r="AT93" s="463"/>
      <c r="AU93" s="463"/>
      <c r="AV93" s="463"/>
      <c r="AW93" s="463"/>
      <c r="AX93" s="463"/>
      <c r="AY93" s="463"/>
      <c r="AZ93" s="463"/>
      <c r="BL93" s="30"/>
    </row>
    <row r="94" spans="1:70" s="464" customFormat="1" ht="31.5" customHeight="1" x14ac:dyDescent="0.2">
      <c r="A94" s="753">
        <f>+IF(OCTUBRE!A94=0,"",OCTUBRE!A94)</f>
        <v>11303</v>
      </c>
      <c r="B94" s="626" t="str">
        <f>+IF(OCTUBRE!B94=0,"",OCTUBRE!B94)</f>
        <v>Aportes (No ligados a la venta de servicios de salud)</v>
      </c>
      <c r="C94" s="625">
        <f>SUM(C95:C102)</f>
        <v>0</v>
      </c>
      <c r="D94" s="623">
        <f t="shared" ref="D94:N94" si="96">SUM(D95:D102)</f>
        <v>0</v>
      </c>
      <c r="E94" s="623">
        <f t="shared" si="96"/>
        <v>74713971</v>
      </c>
      <c r="F94" s="623">
        <f t="shared" si="96"/>
        <v>74713971</v>
      </c>
      <c r="G94" s="623">
        <f t="shared" si="96"/>
        <v>137871796</v>
      </c>
      <c r="H94" s="623">
        <f t="shared" si="96"/>
        <v>0</v>
      </c>
      <c r="I94" s="623">
        <f t="shared" si="96"/>
        <v>137871796</v>
      </c>
      <c r="J94" s="623">
        <f t="shared" si="96"/>
        <v>137871796</v>
      </c>
      <c r="K94" s="623">
        <f t="shared" si="96"/>
        <v>0</v>
      </c>
      <c r="L94" s="623">
        <f t="shared" si="96"/>
        <v>137871796</v>
      </c>
      <c r="M94" s="623">
        <f t="shared" si="96"/>
        <v>-63157825</v>
      </c>
      <c r="N94" s="624">
        <f t="shared" si="96"/>
        <v>-63157825</v>
      </c>
      <c r="O94" s="385"/>
      <c r="P94" s="43">
        <f>SUM(P95:P102)</f>
        <v>0</v>
      </c>
      <c r="Q94" s="45">
        <f>SUM(Q95:Q102)</f>
        <v>0</v>
      </c>
      <c r="R94" s="30"/>
      <c r="S94" s="720" t="str">
        <f>+IF(OCTUBRE!S94=0,"",OCTUBRE!S94)</f>
        <v>1020301-3</v>
      </c>
      <c r="T94" s="694" t="str">
        <f>+IF(OCTUBRE!T94=0,"",OCTUBRE!T94)</f>
        <v xml:space="preserve">Aportes a Fondos de Cesantia - Sin Sit. de Fondos </v>
      </c>
      <c r="U94" s="27">
        <f>+ENERO!U94</f>
        <v>71793333</v>
      </c>
      <c r="V94" s="15">
        <f>OCTUBRE!V94+NOVIEMBRE!AL94</f>
        <v>0</v>
      </c>
      <c r="W94" s="15">
        <f>OCTUBRE!W94+NOVIEMBRE!AM94</f>
        <v>0</v>
      </c>
      <c r="X94" s="18">
        <f>SUM(U94:W94)</f>
        <v>71793333</v>
      </c>
      <c r="Y94" s="19">
        <f>OCTUBRE!AA94</f>
        <v>34253599</v>
      </c>
      <c r="Z94" s="377">
        <v>0</v>
      </c>
      <c r="AA94" s="18">
        <f>SUM(Y94:Z94)</f>
        <v>34253599</v>
      </c>
      <c r="AB94" s="19">
        <f>OCTUBRE!AD94</f>
        <v>34253599</v>
      </c>
      <c r="AC94" s="377">
        <v>0</v>
      </c>
      <c r="AD94" s="18">
        <f>SUM(AB94:AC94)</f>
        <v>34253599</v>
      </c>
      <c r="AE94" s="19">
        <f>OCTUBRE!AG94</f>
        <v>1279358</v>
      </c>
      <c r="AF94" s="377">
        <v>0</v>
      </c>
      <c r="AG94" s="18">
        <f>SUM(AE94:AF94)</f>
        <v>1279358</v>
      </c>
      <c r="AH94" s="19">
        <f>X94-AA94</f>
        <v>37539734</v>
      </c>
      <c r="AI94" s="15">
        <f>X94-AD94</f>
        <v>37539734</v>
      </c>
      <c r="AJ94" s="16">
        <f>X94-AG94</f>
        <v>70513975</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+IF(OCTUBRE!A95=0,"",OCTUBRE!A95)</f>
        <v>11303-1</v>
      </c>
      <c r="B95" s="627" t="str">
        <f>+IF(OCTUBRE!B95=0,"",OCTUBRE!B95)</f>
        <v>NACION</v>
      </c>
      <c r="C95" s="401">
        <f>+ENERO!C95</f>
        <v>0</v>
      </c>
      <c r="D95" s="376">
        <f>OCTUBRE!D95+NOVIEMBRE!P95</f>
        <v>0</v>
      </c>
      <c r="E95" s="376">
        <f>OCTUBRE!E95+NOVIEMBRE!Q95</f>
        <v>0</v>
      </c>
      <c r="F95" s="376">
        <f t="shared" ref="F95:F102" si="97">SUM(C95:E95)</f>
        <v>0</v>
      </c>
      <c r="G95" s="376">
        <f>OCTUBRE!I95</f>
        <v>0</v>
      </c>
      <c r="H95" s="377">
        <v>0</v>
      </c>
      <c r="I95" s="376">
        <f t="shared" ref="I95:I102" si="98">SUM(G95:H95)</f>
        <v>0</v>
      </c>
      <c r="J95" s="376">
        <f>OCTUBRE!L95</f>
        <v>0</v>
      </c>
      <c r="K95" s="377">
        <v>0</v>
      </c>
      <c r="L95" s="376">
        <f t="shared" ref="L95:L102" si="99">SUM(J95:K95)</f>
        <v>0</v>
      </c>
      <c r="M95" s="376">
        <f t="shared" ref="M95:M102" si="100">F95-I95</f>
        <v>0</v>
      </c>
      <c r="N95" s="146">
        <f t="shared" ref="N95:N102" si="101">F95-L95</f>
        <v>0</v>
      </c>
      <c r="O95" s="385"/>
      <c r="P95" s="375">
        <v>0</v>
      </c>
      <c r="Q95" s="378">
        <v>0</v>
      </c>
      <c r="R95" s="30"/>
      <c r="S95" s="720" t="str">
        <f>+IF(OCTUBRE!S95=0,"",OCTUBRE!S95)</f>
        <v>1020301-4</v>
      </c>
      <c r="T95" s="694" t="str">
        <f>+IF(OCTUBRE!T95=0,"",OCTUBRE!T95)</f>
        <v>Aporte a ARL. - Sin Sit. de Fondos</v>
      </c>
      <c r="U95" s="27">
        <f>+ENERO!U95</f>
        <v>17028007</v>
      </c>
      <c r="V95" s="15">
        <f>OCTUBRE!V95+NOVIEMBRE!AL95</f>
        <v>0</v>
      </c>
      <c r="W95" s="15">
        <f>OCTUBRE!W95+NOVIEMBRE!AM95</f>
        <v>0</v>
      </c>
      <c r="X95" s="18">
        <f>SUM(U95:W95)</f>
        <v>17028007</v>
      </c>
      <c r="Y95" s="19">
        <f>OCTUBRE!AA95</f>
        <v>13495815</v>
      </c>
      <c r="Z95" s="377">
        <v>0</v>
      </c>
      <c r="AA95" s="18">
        <f>SUM(Y95:Z95)</f>
        <v>13495815</v>
      </c>
      <c r="AB95" s="19">
        <f>OCTUBRE!AD95</f>
        <v>13495815</v>
      </c>
      <c r="AC95" s="377">
        <v>0</v>
      </c>
      <c r="AD95" s="18">
        <f>SUM(AB95:AC95)</f>
        <v>13495815</v>
      </c>
      <c r="AE95" s="19">
        <f>OCTUBRE!AG95</f>
        <v>13495815</v>
      </c>
      <c r="AF95" s="377">
        <v>0</v>
      </c>
      <c r="AG95" s="18">
        <f>SUM(AE95:AF95)</f>
        <v>13495815</v>
      </c>
      <c r="AH95" s="19">
        <f>X95-AA95</f>
        <v>3532192</v>
      </c>
      <c r="AI95" s="15">
        <f>X95-AD95</f>
        <v>3532192</v>
      </c>
      <c r="AJ95" s="16">
        <f>X95-AG95</f>
        <v>3532192</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+IF(OCTUBRE!A96=0,"",OCTUBRE!A96)</f>
        <v>11303-2</v>
      </c>
      <c r="B96" s="627" t="str">
        <f>+IF(OCTUBRE!B96=0,"",OCTUBRE!B96)</f>
        <v>DEPARTAMENTO</v>
      </c>
      <c r="C96" s="401">
        <f>+ENERO!C96</f>
        <v>0</v>
      </c>
      <c r="D96" s="376">
        <f>OCTUBRE!D96+NOVIEMBRE!P96</f>
        <v>0</v>
      </c>
      <c r="E96" s="376">
        <f>OCTUBRE!E96+NOVIEMBRE!Q96</f>
        <v>61305130</v>
      </c>
      <c r="F96" s="376">
        <f t="shared" si="97"/>
        <v>61305130</v>
      </c>
      <c r="G96" s="376">
        <f>OCTUBRE!I96</f>
        <v>137871796</v>
      </c>
      <c r="H96" s="377">
        <v>0</v>
      </c>
      <c r="I96" s="376">
        <f t="shared" si="98"/>
        <v>137871796</v>
      </c>
      <c r="J96" s="376">
        <f>OCTUBRE!L96</f>
        <v>137871796</v>
      </c>
      <c r="K96" s="377">
        <v>0</v>
      </c>
      <c r="L96" s="376">
        <f t="shared" si="99"/>
        <v>137871796</v>
      </c>
      <c r="M96" s="376">
        <f t="shared" si="100"/>
        <v>-76566666</v>
      </c>
      <c r="N96" s="146">
        <f t="shared" si="101"/>
        <v>-76566666</v>
      </c>
      <c r="O96" s="385"/>
      <c r="P96" s="375">
        <v>0</v>
      </c>
      <c r="Q96" s="378">
        <v>0</v>
      </c>
      <c r="S96" s="719">
        <f>+IF(OCTUBRE!S96=0,"",OCTUBRE!S96)</f>
        <v>1020302</v>
      </c>
      <c r="T96" s="693" t="str">
        <f>+IF(OCTUBRE!T96=0,"",OCTUBRE!T96)</f>
        <v>Contribuciones - Otros</v>
      </c>
      <c r="U96" s="27">
        <f t="shared" ref="U96:AJ96" si="102">SUM(U97:U101)</f>
        <v>39606111</v>
      </c>
      <c r="V96" s="15">
        <f t="shared" si="102"/>
        <v>0</v>
      </c>
      <c r="W96" s="15">
        <f t="shared" si="102"/>
        <v>0</v>
      </c>
      <c r="X96" s="18">
        <f t="shared" si="102"/>
        <v>39606111</v>
      </c>
      <c r="Y96" s="19">
        <f t="shared" si="102"/>
        <v>23406600</v>
      </c>
      <c r="Z96" s="145">
        <f t="shared" si="102"/>
        <v>0</v>
      </c>
      <c r="AA96" s="18">
        <f t="shared" si="102"/>
        <v>23406600</v>
      </c>
      <c r="AB96" s="19">
        <f t="shared" si="102"/>
        <v>23406600</v>
      </c>
      <c r="AC96" s="145">
        <f t="shared" si="102"/>
        <v>0</v>
      </c>
      <c r="AD96" s="18">
        <f t="shared" si="102"/>
        <v>23406600</v>
      </c>
      <c r="AE96" s="19">
        <f t="shared" si="102"/>
        <v>21043400</v>
      </c>
      <c r="AF96" s="145">
        <f t="shared" si="102"/>
        <v>0</v>
      </c>
      <c r="AG96" s="18">
        <f t="shared" si="102"/>
        <v>21043400</v>
      </c>
      <c r="AH96" s="19">
        <f t="shared" si="102"/>
        <v>16199511</v>
      </c>
      <c r="AI96" s="15">
        <f t="shared" si="102"/>
        <v>16199511</v>
      </c>
      <c r="AJ96" s="16">
        <f t="shared" si="102"/>
        <v>18562711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+IF(OCTUBRE!A97=0,"",OCTUBRE!A97)</f>
        <v>11303-3</v>
      </c>
      <c r="B97" s="627" t="str">
        <f>+IF(OCTUBRE!B97=0,"",OCTUBRE!B97)</f>
        <v>MUNICIPIO</v>
      </c>
      <c r="C97" s="401">
        <f>+ENERO!C97</f>
        <v>0</v>
      </c>
      <c r="D97" s="376">
        <f>OCTUBRE!D97+NOVIEMBRE!P97</f>
        <v>0</v>
      </c>
      <c r="E97" s="376">
        <f>OCTUBRE!E97+NOVIEMBRE!Q97</f>
        <v>0</v>
      </c>
      <c r="F97" s="376">
        <f t="shared" si="97"/>
        <v>0</v>
      </c>
      <c r="G97" s="376">
        <f>OCTUBRE!I97</f>
        <v>0</v>
      </c>
      <c r="H97" s="377">
        <v>0</v>
      </c>
      <c r="I97" s="376">
        <f t="shared" si="98"/>
        <v>0</v>
      </c>
      <c r="J97" s="376">
        <f>OCTUBRE!L97</f>
        <v>0</v>
      </c>
      <c r="K97" s="377">
        <v>0</v>
      </c>
      <c r="L97" s="376">
        <f t="shared" si="99"/>
        <v>0</v>
      </c>
      <c r="M97" s="376">
        <f t="shared" si="100"/>
        <v>0</v>
      </c>
      <c r="N97" s="146">
        <f t="shared" si="101"/>
        <v>0</v>
      </c>
      <c r="O97" s="385"/>
      <c r="P97" s="375">
        <v>0</v>
      </c>
      <c r="Q97" s="378">
        <v>0</v>
      </c>
      <c r="R97" s="30"/>
      <c r="S97" s="720" t="str">
        <f>+IF(OCTUBRE!S97=0,"",OCTUBRE!S97)</f>
        <v>1020302-1</v>
      </c>
      <c r="T97" s="694" t="str">
        <f>+IF(OCTUBRE!T97=0,"",OCTUBRE!T97)</f>
        <v>Aportes a E.P.S.- Con sit. Fondos</v>
      </c>
      <c r="U97" s="27">
        <f>+ENERO!U97</f>
        <v>1005165</v>
      </c>
      <c r="V97" s="15">
        <f>OCTUBRE!V97+NOVIEMBRE!AL97</f>
        <v>0</v>
      </c>
      <c r="W97" s="15">
        <f>OCTUBRE!W97+NOVIEMBRE!AM97</f>
        <v>0</v>
      </c>
      <c r="X97" s="18">
        <f t="shared" ref="X97:X102" si="103">SUM(U97:W97)</f>
        <v>1005165</v>
      </c>
      <c r="Y97" s="19">
        <f>OCTUBRE!AA97</f>
        <v>773500</v>
      </c>
      <c r="Z97" s="377">
        <v>0</v>
      </c>
      <c r="AA97" s="18">
        <f t="shared" ref="AA97:AA102" si="104">SUM(Y97:Z97)</f>
        <v>773500</v>
      </c>
      <c r="AB97" s="19">
        <f>OCTUBRE!AD97</f>
        <v>773500</v>
      </c>
      <c r="AC97" s="377">
        <v>0</v>
      </c>
      <c r="AD97" s="18">
        <f t="shared" ref="AD97:AD102" si="105">SUM(AB97:AC97)</f>
        <v>773500</v>
      </c>
      <c r="AE97" s="19">
        <f>OCTUBRE!AG97</f>
        <v>773500</v>
      </c>
      <c r="AF97" s="377">
        <v>0</v>
      </c>
      <c r="AG97" s="18">
        <f t="shared" ref="AG97:AG102" si="106">SUM(AE97:AF97)</f>
        <v>773500</v>
      </c>
      <c r="AH97" s="19">
        <f t="shared" ref="AH97:AH102" si="107">X97-AA97</f>
        <v>231665</v>
      </c>
      <c r="AI97" s="15">
        <f t="shared" ref="AI97:AI102" si="108">X97-AD97</f>
        <v>231665</v>
      </c>
      <c r="AJ97" s="16">
        <f t="shared" ref="AJ97:AJ102" si="109">X97-AG97</f>
        <v>231665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+IF(OCTUBRE!A98=0,"",OCTUBRE!A98)</f>
        <v>11303-4</v>
      </c>
      <c r="B98" s="627" t="str">
        <f>+IF(OCTUBRE!B98=0,"",OCTUBRE!B98)</f>
        <v>CONVENIOS (EMPRESTITO)</v>
      </c>
      <c r="C98" s="401">
        <f>+ENERO!C98</f>
        <v>0</v>
      </c>
      <c r="D98" s="376">
        <f>OCTUBRE!D98+NOVIEMBRE!P98</f>
        <v>0</v>
      </c>
      <c r="E98" s="376">
        <f>OCTUBRE!E98+NOVIEMBRE!Q98</f>
        <v>0</v>
      </c>
      <c r="F98" s="376">
        <f t="shared" si="97"/>
        <v>0</v>
      </c>
      <c r="G98" s="376">
        <f>OCTUBRE!I98</f>
        <v>0</v>
      </c>
      <c r="H98" s="377">
        <v>0</v>
      </c>
      <c r="I98" s="376">
        <f t="shared" si="98"/>
        <v>0</v>
      </c>
      <c r="J98" s="376">
        <f>OCTUBRE!L98</f>
        <v>0</v>
      </c>
      <c r="K98" s="377">
        <v>0</v>
      </c>
      <c r="L98" s="376">
        <f t="shared" si="99"/>
        <v>0</v>
      </c>
      <c r="M98" s="376">
        <f t="shared" si="100"/>
        <v>0</v>
      </c>
      <c r="N98" s="146">
        <f t="shared" si="101"/>
        <v>0</v>
      </c>
      <c r="O98" s="385"/>
      <c r="P98" s="375">
        <v>0</v>
      </c>
      <c r="Q98" s="378">
        <v>0</v>
      </c>
      <c r="R98" s="30"/>
      <c r="S98" s="720" t="str">
        <f>+IF(OCTUBRE!S98=0,"",OCTUBRE!S98)</f>
        <v>1020302-2</v>
      </c>
      <c r="T98" s="694" t="str">
        <f>+IF(OCTUBRE!T98=0,"",OCTUBRE!T98)</f>
        <v>Aportes Fondos Pensionales - Con Sit. Fondos</v>
      </c>
      <c r="U98" s="27">
        <f>+ENERO!U98</f>
        <v>3635130</v>
      </c>
      <c r="V98" s="15">
        <f>OCTUBRE!V98+NOVIEMBRE!AL98</f>
        <v>0</v>
      </c>
      <c r="W98" s="15">
        <f>OCTUBRE!W98+NOVIEMBRE!AM98</f>
        <v>0</v>
      </c>
      <c r="X98" s="18">
        <f t="shared" si="103"/>
        <v>3635130</v>
      </c>
      <c r="Y98" s="19">
        <f>OCTUBRE!AA98</f>
        <v>0</v>
      </c>
      <c r="Z98" s="377">
        <v>0</v>
      </c>
      <c r="AA98" s="18">
        <f t="shared" si="104"/>
        <v>0</v>
      </c>
      <c r="AB98" s="19">
        <f>OCTUBRE!AD98</f>
        <v>0</v>
      </c>
      <c r="AC98" s="377">
        <v>0</v>
      </c>
      <c r="AD98" s="18">
        <f t="shared" si="105"/>
        <v>0</v>
      </c>
      <c r="AE98" s="19">
        <f>OCTUBRE!AG98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+IF(OCTUBRE!A99=0,"",OCTUBRE!A99)</f>
        <v>11303-5</v>
      </c>
      <c r="B99" s="627" t="str">
        <f>+IF(OCTUBRE!B99=0,"",OCTUBRE!B99)</f>
        <v>APORTES PATRONALES - MUNICIPIO / DEPARTAMENTO</v>
      </c>
      <c r="C99" s="681">
        <f>+ENERO!C99</f>
        <v>0</v>
      </c>
      <c r="D99" s="376">
        <f>OCTUBRE!D99+NOVIEMBRE!P99</f>
        <v>0</v>
      </c>
      <c r="E99" s="376">
        <f>OCTUBRE!E99+NOVIEMBRE!Q99</f>
        <v>0</v>
      </c>
      <c r="F99" s="376">
        <f t="shared" si="97"/>
        <v>0</v>
      </c>
      <c r="G99" s="376">
        <f>OCTUBRE!I99</f>
        <v>0</v>
      </c>
      <c r="H99" s="682">
        <v>0</v>
      </c>
      <c r="I99" s="376">
        <f t="shared" si="98"/>
        <v>0</v>
      </c>
      <c r="J99" s="376">
        <f>OCTUBRE!L99</f>
        <v>0</v>
      </c>
      <c r="K99" s="682">
        <v>0</v>
      </c>
      <c r="L99" s="376">
        <f t="shared" si="99"/>
        <v>0</v>
      </c>
      <c r="M99" s="376">
        <f t="shared" si="100"/>
        <v>0</v>
      </c>
      <c r="N99" s="146">
        <f t="shared" si="101"/>
        <v>0</v>
      </c>
      <c r="O99" s="385"/>
      <c r="P99" s="683">
        <v>0</v>
      </c>
      <c r="Q99" s="684">
        <v>0</v>
      </c>
      <c r="R99" s="30"/>
      <c r="S99" s="720" t="str">
        <f>+IF(OCTUBRE!S99=0,"",OCTUBRE!S99)</f>
        <v>1020302-3</v>
      </c>
      <c r="T99" s="694" t="str">
        <f>+IF(OCTUBRE!T99=0,"",OCTUBRE!T99)</f>
        <v xml:space="preserve">Aportes a Fondos de Cesantia - Con Sit. de Fondos </v>
      </c>
      <c r="U99" s="27">
        <f>+ENERO!U99</f>
        <v>2469908</v>
      </c>
      <c r="V99" s="15">
        <f>OCTUBRE!V99+NOVIEMBRE!AL99</f>
        <v>0</v>
      </c>
      <c r="W99" s="15">
        <f>OCTUBRE!W99+NOVIEMBRE!AM99</f>
        <v>0</v>
      </c>
      <c r="X99" s="18">
        <f t="shared" si="103"/>
        <v>2469908</v>
      </c>
      <c r="Y99" s="19">
        <f>OCTUBRE!AA99</f>
        <v>0</v>
      </c>
      <c r="Z99" s="377">
        <v>0</v>
      </c>
      <c r="AA99" s="18">
        <f t="shared" si="104"/>
        <v>0</v>
      </c>
      <c r="AB99" s="19">
        <f>OCTUBRE!AD99</f>
        <v>0</v>
      </c>
      <c r="AC99" s="377">
        <v>0</v>
      </c>
      <c r="AD99" s="18">
        <f t="shared" si="105"/>
        <v>0</v>
      </c>
      <c r="AE99" s="19">
        <f>OCTUBRE!AG99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+IF(OCTUBRE!A100=0,"",OCTUBRE!A100)</f>
        <v>11303-6</v>
      </c>
      <c r="B100" s="627" t="str">
        <f>+IF(OCTUBRE!B100=0,"",OCTUBRE!B100)</f>
        <v>RECURSOS PARA PROGRAMA DE SANEAMIENTO FINANCIERO</v>
      </c>
      <c r="C100" s="401">
        <f>+ENERO!C100</f>
        <v>0</v>
      </c>
      <c r="D100" s="376">
        <f>OCTUBRE!D100+NOVIEMBRE!P100</f>
        <v>0</v>
      </c>
      <c r="E100" s="376">
        <f>OCTUBRE!E100+NOVIEMBRE!Q100</f>
        <v>0</v>
      </c>
      <c r="F100" s="376">
        <f t="shared" si="97"/>
        <v>0</v>
      </c>
      <c r="G100" s="376">
        <f>OCTUBRE!I100</f>
        <v>0</v>
      </c>
      <c r="H100" s="377">
        <v>0</v>
      </c>
      <c r="I100" s="376">
        <f t="shared" si="98"/>
        <v>0</v>
      </c>
      <c r="J100" s="376">
        <f>OCTUBRE!L100</f>
        <v>0</v>
      </c>
      <c r="K100" s="377">
        <v>0</v>
      </c>
      <c r="L100" s="376">
        <f t="shared" si="99"/>
        <v>0</v>
      </c>
      <c r="M100" s="376">
        <f t="shared" si="100"/>
        <v>0</v>
      </c>
      <c r="N100" s="146">
        <f t="shared" si="101"/>
        <v>0</v>
      </c>
      <c r="P100" s="375">
        <v>0</v>
      </c>
      <c r="Q100" s="378">
        <v>0</v>
      </c>
      <c r="R100" s="9"/>
      <c r="S100" s="720" t="str">
        <f>+IF(OCTUBRE!S100=0,"",OCTUBRE!S100)</f>
        <v>1020302-4</v>
      </c>
      <c r="T100" s="694" t="str">
        <f>+IF(OCTUBRE!T100=0,"",OCTUBRE!T100)</f>
        <v>Aporte a ARL. - Con Sit. de Fondos</v>
      </c>
      <c r="U100" s="27">
        <f>+ENERO!U100</f>
        <v>0</v>
      </c>
      <c r="V100" s="15">
        <f>OCTUBRE!V100+NOVIEMBRE!AL100</f>
        <v>0</v>
      </c>
      <c r="W100" s="15">
        <f>OCTUBRE!W100+NOVIEMBRE!AM100</f>
        <v>0</v>
      </c>
      <c r="X100" s="18">
        <f t="shared" si="103"/>
        <v>0</v>
      </c>
      <c r="Y100" s="19">
        <f>OCTUBRE!AA100</f>
        <v>0</v>
      </c>
      <c r="Z100" s="377">
        <v>0</v>
      </c>
      <c r="AA100" s="18">
        <f t="shared" si="104"/>
        <v>0</v>
      </c>
      <c r="AB100" s="19">
        <f>OCTUBRE!AD100</f>
        <v>0</v>
      </c>
      <c r="AC100" s="377">
        <v>0</v>
      </c>
      <c r="AD100" s="18">
        <f t="shared" si="105"/>
        <v>0</v>
      </c>
      <c r="AE100" s="19">
        <f>OCTUBRE!AG100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+IF(OCTUBRE!A101=0,"",OCTUBRE!A101)</f>
        <v>11303-7</v>
      </c>
      <c r="B101" s="627" t="str">
        <f>+IF(OCTUBRE!B101=0,"",OCTUBRE!B101)</f>
        <v xml:space="preserve">SANEAMIENTO APORTES PATRONALES </v>
      </c>
      <c r="C101" s="401">
        <f>+ENERO!C101</f>
        <v>0</v>
      </c>
      <c r="D101" s="376">
        <f>OCTUBRE!D101+NOVIEMBRE!P101</f>
        <v>0</v>
      </c>
      <c r="E101" s="376">
        <f>OCTUBRE!E101+NOVIEMBRE!Q101</f>
        <v>13408841</v>
      </c>
      <c r="F101" s="376">
        <f t="shared" si="97"/>
        <v>13408841</v>
      </c>
      <c r="G101" s="376">
        <f>OCTUBRE!I101</f>
        <v>0</v>
      </c>
      <c r="H101" s="377">
        <v>0</v>
      </c>
      <c r="I101" s="376">
        <f t="shared" si="98"/>
        <v>0</v>
      </c>
      <c r="J101" s="376">
        <f>OCTUBRE!L101</f>
        <v>0</v>
      </c>
      <c r="K101" s="377">
        <v>0</v>
      </c>
      <c r="L101" s="376">
        <f t="shared" si="99"/>
        <v>0</v>
      </c>
      <c r="M101" s="376">
        <f t="shared" si="100"/>
        <v>13408841</v>
      </c>
      <c r="N101" s="146">
        <f t="shared" si="101"/>
        <v>13408841</v>
      </c>
      <c r="P101" s="375">
        <v>0</v>
      </c>
      <c r="Q101" s="378">
        <v>0</v>
      </c>
      <c r="R101" s="9"/>
      <c r="S101" s="720" t="str">
        <f>+IF(OCTUBRE!S101=0,"",OCTUBRE!S101)</f>
        <v>1020302-5</v>
      </c>
      <c r="T101" s="694" t="str">
        <f>+IF(OCTUBRE!T101=0,"",OCTUBRE!T101)</f>
        <v>Aporte a Caja Compensación Familiar</v>
      </c>
      <c r="U101" s="27">
        <f>+ENERO!U101</f>
        <v>32495908</v>
      </c>
      <c r="V101" s="15">
        <f>OCTUBRE!V101+NOVIEMBRE!AL101</f>
        <v>0</v>
      </c>
      <c r="W101" s="15">
        <f>OCTUBRE!W101+NOVIEMBRE!AM101</f>
        <v>0</v>
      </c>
      <c r="X101" s="18">
        <f t="shared" si="103"/>
        <v>32495908</v>
      </c>
      <c r="Y101" s="19">
        <f>OCTUBRE!AA101</f>
        <v>22633100</v>
      </c>
      <c r="Z101" s="377">
        <v>0</v>
      </c>
      <c r="AA101" s="18">
        <f t="shared" si="104"/>
        <v>22633100</v>
      </c>
      <c r="AB101" s="19">
        <f>OCTUBRE!AD101</f>
        <v>22633100</v>
      </c>
      <c r="AC101" s="377">
        <v>0</v>
      </c>
      <c r="AD101" s="18">
        <f t="shared" si="105"/>
        <v>22633100</v>
      </c>
      <c r="AE101" s="19">
        <f>OCTUBRE!AG101</f>
        <v>20269900</v>
      </c>
      <c r="AF101" s="377">
        <v>0</v>
      </c>
      <c r="AG101" s="18">
        <f t="shared" si="106"/>
        <v>20269900</v>
      </c>
      <c r="AH101" s="19">
        <f t="shared" si="107"/>
        <v>9862808</v>
      </c>
      <c r="AI101" s="15">
        <f t="shared" si="108"/>
        <v>9862808</v>
      </c>
      <c r="AJ101" s="16">
        <f t="shared" si="109"/>
        <v>12226008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+IF(OCTUBRE!A102=0,"",OCTUBRE!A102)</f>
        <v>11303-8</v>
      </c>
      <c r="B102" s="636" t="str">
        <f>+IF(OCTUBRE!B102=0,"",OCTUBRE!B102)</f>
        <v>Vigencia Anterior</v>
      </c>
      <c r="C102" s="491">
        <f>+ENERO!C102</f>
        <v>0</v>
      </c>
      <c r="D102" s="388">
        <f>OCTUBRE!D102+NOVIEMBRE!P102</f>
        <v>0</v>
      </c>
      <c r="E102" s="388">
        <f>OCTUBRE!E102+NOVIEMBRE!Q102</f>
        <v>0</v>
      </c>
      <c r="F102" s="388">
        <f t="shared" si="97"/>
        <v>0</v>
      </c>
      <c r="G102" s="388">
        <f>OCTUBRE!I102</f>
        <v>0</v>
      </c>
      <c r="H102" s="391">
        <v>0</v>
      </c>
      <c r="I102" s="388">
        <f t="shared" si="98"/>
        <v>0</v>
      </c>
      <c r="J102" s="388">
        <f>OCTUBRE!L102</f>
        <v>0</v>
      </c>
      <c r="K102" s="391">
        <v>0</v>
      </c>
      <c r="L102" s="388">
        <f t="shared" si="99"/>
        <v>0</v>
      </c>
      <c r="M102" s="388">
        <f t="shared" si="100"/>
        <v>0</v>
      </c>
      <c r="N102" s="389">
        <f t="shared" si="101"/>
        <v>0</v>
      </c>
      <c r="P102" s="375">
        <v>0</v>
      </c>
      <c r="Q102" s="378">
        <v>0</v>
      </c>
      <c r="R102" s="9"/>
      <c r="S102" s="719">
        <f>+IF(OCTUBRE!S102=0,"",OCTUBRE!S102)</f>
        <v>1020399</v>
      </c>
      <c r="T102" s="693" t="str">
        <f>+IF(OCTUBRE!T102=0,"",OCTUBRE!T102)</f>
        <v>Vigencias Anteriores</v>
      </c>
      <c r="U102" s="27">
        <f>+ENERO!U102</f>
        <v>0</v>
      </c>
      <c r="V102" s="15">
        <f>OCTUBRE!V102+NOVIEMBRE!AL102</f>
        <v>0</v>
      </c>
      <c r="W102" s="15">
        <f>OCTUBRE!W102+NOVIEMBRE!AM102</f>
        <v>54740941</v>
      </c>
      <c r="X102" s="18">
        <f t="shared" si="103"/>
        <v>54740941</v>
      </c>
      <c r="Y102" s="19">
        <f>OCTUBRE!AA102</f>
        <v>54740941</v>
      </c>
      <c r="Z102" s="377">
        <v>0</v>
      </c>
      <c r="AA102" s="18">
        <f t="shared" si="104"/>
        <v>54740941</v>
      </c>
      <c r="AB102" s="19">
        <f>OCTUBRE!AD102</f>
        <v>54740941</v>
      </c>
      <c r="AC102" s="377">
        <v>0</v>
      </c>
      <c r="AD102" s="18">
        <f t="shared" si="105"/>
        <v>54740941</v>
      </c>
      <c r="AE102" s="19">
        <f>OCTUBRE!AG102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+IF(OCTUBRE!A103=0,"",OCTUBRE!A103)</f>
        <v/>
      </c>
      <c r="B103" s="661" t="str">
        <f>+IF(OCTUBRE!B103=0,"",OCTUBRE!B103)</f>
        <v/>
      </c>
      <c r="C103" s="483"/>
      <c r="D103" s="483"/>
      <c r="E103" s="483"/>
      <c r="F103" s="483"/>
      <c r="G103" s="483"/>
      <c r="H103" s="483"/>
      <c r="I103" s="483"/>
      <c r="J103" s="483"/>
      <c r="K103" s="483"/>
      <c r="L103" s="483"/>
      <c r="M103" s="483"/>
      <c r="N103" s="484"/>
      <c r="P103" s="485"/>
      <c r="Q103" s="484"/>
      <c r="R103" s="9"/>
      <c r="S103" s="369" t="str">
        <f>+IF(OCTUBRE!S103=0,"",OCTUBRE!S103)</f>
        <v/>
      </c>
      <c r="T103" s="708" t="str">
        <f>+IF(OCTUBRE!T103=0,"",OCTUBRE!T103)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+IF(OCTUBRE!A104=0,"",OCTUBRE!A104)</f>
        <v>11304</v>
      </c>
      <c r="B104" s="626" t="str">
        <f>+IF(OCTUBRE!B104=0,"",OCTUBRE!B104)</f>
        <v>Otros ingresos corrientes</v>
      </c>
      <c r="C104" s="625">
        <f>SUM(C105:C111)</f>
        <v>107181679</v>
      </c>
      <c r="D104" s="623">
        <f t="shared" ref="D104:N104" si="110">SUM(D105:D111)</f>
        <v>0</v>
      </c>
      <c r="E104" s="623">
        <f t="shared" si="110"/>
        <v>0</v>
      </c>
      <c r="F104" s="623">
        <f t="shared" si="110"/>
        <v>107181679</v>
      </c>
      <c r="G104" s="623">
        <f t="shared" si="110"/>
        <v>77098886</v>
      </c>
      <c r="H104" s="623">
        <f t="shared" si="110"/>
        <v>0</v>
      </c>
      <c r="I104" s="623">
        <f t="shared" si="110"/>
        <v>77098886</v>
      </c>
      <c r="J104" s="623">
        <f t="shared" si="110"/>
        <v>77098886</v>
      </c>
      <c r="K104" s="623">
        <f t="shared" si="110"/>
        <v>0</v>
      </c>
      <c r="L104" s="623">
        <f t="shared" si="110"/>
        <v>77098886</v>
      </c>
      <c r="M104" s="623">
        <f t="shared" si="110"/>
        <v>30082793</v>
      </c>
      <c r="N104" s="624">
        <f t="shared" si="110"/>
        <v>30082793</v>
      </c>
      <c r="P104" s="43">
        <f>SUM(P105:P111)</f>
        <v>0</v>
      </c>
      <c r="Q104" s="45">
        <f>SUM(Q105:Q111)</f>
        <v>0</v>
      </c>
      <c r="R104" s="9"/>
      <c r="S104" s="718">
        <f>+IF(OCTUBRE!S104=0,"",OCTUBRE!S104)</f>
        <v>1020400</v>
      </c>
      <c r="T104" s="692" t="str">
        <f>+IF(OCTUBRE!T104=0,"",OCTUBRE!T104)</f>
        <v>Contribuciones Inherentes nómina del Sector Publico</v>
      </c>
      <c r="U104" s="135">
        <f t="shared" ref="U104:AJ104" si="111">U105+U108</f>
        <v>40619885</v>
      </c>
      <c r="V104" s="124">
        <f t="shared" si="111"/>
        <v>0</v>
      </c>
      <c r="W104" s="124">
        <f t="shared" si="111"/>
        <v>3013800</v>
      </c>
      <c r="X104" s="132">
        <f t="shared" si="111"/>
        <v>43633685</v>
      </c>
      <c r="Y104" s="131">
        <f t="shared" si="111"/>
        <v>31304600</v>
      </c>
      <c r="Z104" s="124">
        <f t="shared" si="111"/>
        <v>0</v>
      </c>
      <c r="AA104" s="132">
        <f t="shared" si="111"/>
        <v>31304600</v>
      </c>
      <c r="AB104" s="131">
        <f t="shared" si="111"/>
        <v>31304600</v>
      </c>
      <c r="AC104" s="124">
        <f t="shared" si="111"/>
        <v>0</v>
      </c>
      <c r="AD104" s="132">
        <f t="shared" si="111"/>
        <v>31304600</v>
      </c>
      <c r="AE104" s="131">
        <f t="shared" si="111"/>
        <v>28350800</v>
      </c>
      <c r="AF104" s="124">
        <f t="shared" si="111"/>
        <v>0</v>
      </c>
      <c r="AG104" s="132">
        <f t="shared" si="111"/>
        <v>28350800</v>
      </c>
      <c r="AH104" s="131">
        <f t="shared" si="111"/>
        <v>12329085</v>
      </c>
      <c r="AI104" s="124">
        <f t="shared" si="111"/>
        <v>12329085</v>
      </c>
      <c r="AJ104" s="133">
        <f t="shared" si="111"/>
        <v>15282885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+IF(OCTUBRE!A105=0,"",OCTUBRE!A105)</f>
        <v>11304-1</v>
      </c>
      <c r="B105" s="627" t="str">
        <f>+IF(OCTUBRE!B105=0,"",OCTUBRE!B105)</f>
        <v>ARRENDAMIENTO Y ALQUILER DE BIENES MUEBLES E INMUEBLES</v>
      </c>
      <c r="C105" s="401">
        <f>+ENERO!C105</f>
        <v>916364</v>
      </c>
      <c r="D105" s="376">
        <f>OCTUBRE!D105+NOVIEMBRE!P105</f>
        <v>0</v>
      </c>
      <c r="E105" s="376">
        <f>OCTUBRE!E105+NOVIEMBRE!Q105</f>
        <v>0</v>
      </c>
      <c r="F105" s="376">
        <f t="shared" ref="F105:F111" si="112">SUM(C105:E105)</f>
        <v>916364</v>
      </c>
      <c r="G105" s="376">
        <f>OCTUBRE!I105</f>
        <v>640000</v>
      </c>
      <c r="H105" s="377">
        <v>0</v>
      </c>
      <c r="I105" s="376">
        <f t="shared" ref="I105:I111" si="113">SUM(G105:H105)</f>
        <v>640000</v>
      </c>
      <c r="J105" s="376">
        <f>OCTUBRE!L105</f>
        <v>640000</v>
      </c>
      <c r="K105" s="377">
        <v>0</v>
      </c>
      <c r="L105" s="376">
        <f t="shared" ref="L105:L111" si="114">SUM(J105:K105)</f>
        <v>640000</v>
      </c>
      <c r="M105" s="376">
        <f t="shared" ref="M105:M111" si="115">F105-I105</f>
        <v>276364</v>
      </c>
      <c r="N105" s="146">
        <f t="shared" ref="N105:N111" si="116">F105-L105</f>
        <v>276364</v>
      </c>
      <c r="P105" s="375">
        <v>0</v>
      </c>
      <c r="Q105" s="378">
        <v>0</v>
      </c>
      <c r="R105" s="9"/>
      <c r="S105" s="719">
        <f>+IF(OCTUBRE!S105=0,"",OCTUBRE!S105)</f>
        <v>1020402</v>
      </c>
      <c r="T105" s="693" t="str">
        <f>+IF(OCTUBRE!T105=0,"",OCTUBRE!T105)</f>
        <v>Contribuciones - Otros</v>
      </c>
      <c r="U105" s="27">
        <f t="shared" ref="U105:AJ105" si="117">SUM(U106:U107)</f>
        <v>40619885</v>
      </c>
      <c r="V105" s="15">
        <f t="shared" si="117"/>
        <v>0</v>
      </c>
      <c r="W105" s="15">
        <f t="shared" si="117"/>
        <v>0</v>
      </c>
      <c r="X105" s="18">
        <f t="shared" si="117"/>
        <v>40619885</v>
      </c>
      <c r="Y105" s="19">
        <f t="shared" si="117"/>
        <v>28290800</v>
      </c>
      <c r="Z105" s="145">
        <f t="shared" si="117"/>
        <v>0</v>
      </c>
      <c r="AA105" s="18">
        <f t="shared" si="117"/>
        <v>28290800</v>
      </c>
      <c r="AB105" s="19">
        <f t="shared" si="117"/>
        <v>28290800</v>
      </c>
      <c r="AC105" s="145">
        <f t="shared" si="117"/>
        <v>0</v>
      </c>
      <c r="AD105" s="18">
        <f t="shared" si="117"/>
        <v>28290800</v>
      </c>
      <c r="AE105" s="19">
        <f t="shared" si="117"/>
        <v>25337000</v>
      </c>
      <c r="AF105" s="145">
        <f t="shared" si="117"/>
        <v>0</v>
      </c>
      <c r="AG105" s="18">
        <f t="shared" si="117"/>
        <v>25337000</v>
      </c>
      <c r="AH105" s="19">
        <f t="shared" si="117"/>
        <v>12329085</v>
      </c>
      <c r="AI105" s="15">
        <f t="shared" si="117"/>
        <v>12329085</v>
      </c>
      <c r="AJ105" s="16">
        <f t="shared" si="117"/>
        <v>15282885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+IF(OCTUBRE!A106=0,"",OCTUBRE!A106)</f>
        <v>11304-2</v>
      </c>
      <c r="B106" s="628" t="str">
        <f>+IF(OCTUBRE!B106=0,"",OCTUBRE!B106)</f>
        <v>COMERCIALIZACIÓN DE MERCANCÍAS</v>
      </c>
      <c r="C106" s="401">
        <f>+ENERO!C106</f>
        <v>105119431</v>
      </c>
      <c r="D106" s="376">
        <f>OCTUBRE!D106+NOVIEMBRE!P106</f>
        <v>0</v>
      </c>
      <c r="E106" s="376">
        <f>OCTUBRE!E106+NOVIEMBRE!Q106</f>
        <v>0</v>
      </c>
      <c r="F106" s="376">
        <f t="shared" si="112"/>
        <v>105119431</v>
      </c>
      <c r="G106" s="376">
        <f>OCTUBRE!I106</f>
        <v>71223447</v>
      </c>
      <c r="H106" s="377">
        <v>0</v>
      </c>
      <c r="I106" s="376">
        <f t="shared" si="113"/>
        <v>71223447</v>
      </c>
      <c r="J106" s="376">
        <f>OCTUBRE!L106</f>
        <v>71223447</v>
      </c>
      <c r="K106" s="377">
        <v>0</v>
      </c>
      <c r="L106" s="376">
        <f t="shared" si="114"/>
        <v>71223447</v>
      </c>
      <c r="M106" s="376">
        <f t="shared" si="115"/>
        <v>33895984</v>
      </c>
      <c r="N106" s="146">
        <f t="shared" si="116"/>
        <v>33895984</v>
      </c>
      <c r="P106" s="375">
        <v>0</v>
      </c>
      <c r="Q106" s="378">
        <v>0</v>
      </c>
      <c r="R106" s="9"/>
      <c r="S106" s="720" t="str">
        <f>+IF(OCTUBRE!S106=0,"",OCTUBRE!S106)</f>
        <v>1020402-1</v>
      </c>
      <c r="T106" s="694" t="str">
        <f>+IF(OCTUBRE!T106=0,"",OCTUBRE!T106)</f>
        <v>S.E.N.A.</v>
      </c>
      <c r="U106" s="27">
        <f>+ENERO!U106</f>
        <v>16247954</v>
      </c>
      <c r="V106" s="15">
        <f>OCTUBRE!V106+NOVIEMBRE!AL106</f>
        <v>0</v>
      </c>
      <c r="W106" s="15">
        <f>OCTUBRE!W106+NOVIEMBRE!AM106</f>
        <v>0</v>
      </c>
      <c r="X106" s="18">
        <f>SUM(U106:W106)</f>
        <v>16247954</v>
      </c>
      <c r="Y106" s="19">
        <f>OCTUBRE!AA106</f>
        <v>11317100</v>
      </c>
      <c r="Z106" s="377">
        <v>0</v>
      </c>
      <c r="AA106" s="18">
        <f>SUM(Y106:Z106)</f>
        <v>11317100</v>
      </c>
      <c r="AB106" s="19">
        <f>OCTUBRE!AD106</f>
        <v>11317100</v>
      </c>
      <c r="AC106" s="377">
        <v>0</v>
      </c>
      <c r="AD106" s="18">
        <f>SUM(AB106:AC106)</f>
        <v>11317100</v>
      </c>
      <c r="AE106" s="19">
        <f>OCTUBRE!AG106</f>
        <v>10135400</v>
      </c>
      <c r="AF106" s="377">
        <v>0</v>
      </c>
      <c r="AG106" s="18">
        <f>SUM(AE106:AF106)</f>
        <v>10135400</v>
      </c>
      <c r="AH106" s="19">
        <f>X106-AA106</f>
        <v>4930854</v>
      </c>
      <c r="AI106" s="15">
        <f>X106-AD106</f>
        <v>4930854</v>
      </c>
      <c r="AJ106" s="16">
        <f>X106-AG106</f>
        <v>6112554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+IF(OCTUBRE!A107=0,"",OCTUBRE!A107)</f>
        <v>11304-3</v>
      </c>
      <c r="B107" s="627" t="str">
        <f>+IF(OCTUBRE!B107=0,"",OCTUBRE!B107)</f>
        <v>Bienestar Social</v>
      </c>
      <c r="C107" s="401">
        <f>+ENERO!C107</f>
        <v>0</v>
      </c>
      <c r="D107" s="376">
        <f>OCTUBRE!D107+NOVIEMBRE!P107</f>
        <v>0</v>
      </c>
      <c r="E107" s="376">
        <f>OCTUBRE!E107+NOVIEMBRE!Q107</f>
        <v>0</v>
      </c>
      <c r="F107" s="376">
        <f t="shared" si="112"/>
        <v>0</v>
      </c>
      <c r="G107" s="376">
        <f>OCTUBRE!I107</f>
        <v>0</v>
      </c>
      <c r="H107" s="377">
        <v>0</v>
      </c>
      <c r="I107" s="376">
        <f t="shared" si="113"/>
        <v>0</v>
      </c>
      <c r="J107" s="376">
        <f>OCTUBRE!L107</f>
        <v>0</v>
      </c>
      <c r="K107" s="377">
        <v>0</v>
      </c>
      <c r="L107" s="376">
        <f t="shared" si="114"/>
        <v>0</v>
      </c>
      <c r="M107" s="376">
        <f t="shared" si="115"/>
        <v>0</v>
      </c>
      <c r="N107" s="146">
        <f t="shared" si="116"/>
        <v>0</v>
      </c>
      <c r="P107" s="375">
        <v>0</v>
      </c>
      <c r="Q107" s="378">
        <v>0</v>
      </c>
      <c r="R107" s="9"/>
      <c r="S107" s="720" t="str">
        <f>+IF(OCTUBRE!S107=0,"",OCTUBRE!S107)</f>
        <v>1020402-2</v>
      </c>
      <c r="T107" s="694" t="str">
        <f>+IF(OCTUBRE!T107=0,"",OCTUBRE!T107)</f>
        <v>I.C.B.F.</v>
      </c>
      <c r="U107" s="27">
        <f>+ENERO!U107</f>
        <v>24371931</v>
      </c>
      <c r="V107" s="15">
        <f>OCTUBRE!V107+NOVIEMBRE!AL107</f>
        <v>0</v>
      </c>
      <c r="W107" s="15">
        <f>OCTUBRE!W107+NOVIEMBRE!AM107</f>
        <v>0</v>
      </c>
      <c r="X107" s="18">
        <f>SUM(U107:W107)</f>
        <v>24371931</v>
      </c>
      <c r="Y107" s="19">
        <f>OCTUBRE!AA107</f>
        <v>16973700</v>
      </c>
      <c r="Z107" s="377">
        <v>0</v>
      </c>
      <c r="AA107" s="18">
        <f>SUM(Y107:Z107)</f>
        <v>16973700</v>
      </c>
      <c r="AB107" s="19">
        <f>OCTUBRE!AD107</f>
        <v>16973700</v>
      </c>
      <c r="AC107" s="377">
        <v>0</v>
      </c>
      <c r="AD107" s="18">
        <f>SUM(AB107:AC107)</f>
        <v>16973700</v>
      </c>
      <c r="AE107" s="19">
        <f>OCTUBRE!AG107</f>
        <v>15201600</v>
      </c>
      <c r="AF107" s="377">
        <v>0</v>
      </c>
      <c r="AG107" s="18">
        <f>SUM(AE107:AF107)</f>
        <v>15201600</v>
      </c>
      <c r="AH107" s="19">
        <f>X107-AA107</f>
        <v>7398231</v>
      </c>
      <c r="AI107" s="15">
        <f>X107-AD107</f>
        <v>7398231</v>
      </c>
      <c r="AJ107" s="16">
        <f>X107-AG107</f>
        <v>9170331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+IF(OCTUBRE!A108=0,"",OCTUBRE!A108)</f>
        <v>11304-4</v>
      </c>
      <c r="B108" s="627" t="str">
        <f>+IF(OCTUBRE!B108=0,"",OCTUBRE!B108)</f>
        <v>Fondo de la Vivienda</v>
      </c>
      <c r="C108" s="401">
        <f>+ENERO!C108</f>
        <v>0</v>
      </c>
      <c r="D108" s="376">
        <f>OCTUBRE!D108+NOVIEMBRE!P108</f>
        <v>0</v>
      </c>
      <c r="E108" s="376">
        <f>OCTUBRE!E108+NOVIEMBRE!Q108</f>
        <v>0</v>
      </c>
      <c r="F108" s="376">
        <f t="shared" si="112"/>
        <v>0</v>
      </c>
      <c r="G108" s="376">
        <f>OCTUBRE!I108</f>
        <v>0</v>
      </c>
      <c r="H108" s="377">
        <v>0</v>
      </c>
      <c r="I108" s="376">
        <f t="shared" si="113"/>
        <v>0</v>
      </c>
      <c r="J108" s="376">
        <f>OCTUBRE!L108</f>
        <v>0</v>
      </c>
      <c r="K108" s="377">
        <v>0</v>
      </c>
      <c r="L108" s="376">
        <f t="shared" si="114"/>
        <v>0</v>
      </c>
      <c r="M108" s="376">
        <f t="shared" si="115"/>
        <v>0</v>
      </c>
      <c r="N108" s="146">
        <f t="shared" si="116"/>
        <v>0</v>
      </c>
      <c r="P108" s="375">
        <v>0</v>
      </c>
      <c r="Q108" s="378">
        <v>0</v>
      </c>
      <c r="R108" s="9"/>
      <c r="S108" s="719">
        <f>+IF(OCTUBRE!S108=0,"",OCTUBRE!S108)</f>
        <v>1020499</v>
      </c>
      <c r="T108" s="693" t="str">
        <f>+IF(OCTUBRE!T108=0,"",OCTUBRE!T108)</f>
        <v>Vigencias Anteriores</v>
      </c>
      <c r="U108" s="27">
        <f>+ENERO!U108</f>
        <v>0</v>
      </c>
      <c r="V108" s="15">
        <f>OCTUBRE!V108+NOVIEMBRE!AL108</f>
        <v>0</v>
      </c>
      <c r="W108" s="15">
        <f>OCTUBRE!W108+NOVIEMBRE!AM108</f>
        <v>3013800</v>
      </c>
      <c r="X108" s="18">
        <f>SUM(U108:W108)</f>
        <v>3013800</v>
      </c>
      <c r="Y108" s="19">
        <f>OCTUBRE!AA108</f>
        <v>3013800</v>
      </c>
      <c r="Z108" s="377">
        <v>0</v>
      </c>
      <c r="AA108" s="18">
        <f>SUM(Y108:Z108)</f>
        <v>3013800</v>
      </c>
      <c r="AB108" s="19">
        <f>OCTUBRE!AD108</f>
        <v>3013800</v>
      </c>
      <c r="AC108" s="377">
        <v>0</v>
      </c>
      <c r="AD108" s="18">
        <f>SUM(AB108:AC108)</f>
        <v>3013800</v>
      </c>
      <c r="AE108" s="19">
        <f>OCTUBRE!AG108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+IF(OCTUBRE!A109=0,"",OCTUBRE!A109)</f>
        <v>11304-5</v>
      </c>
      <c r="B109" s="627" t="str">
        <f>+IF(OCTUBRE!B109=0,"",OCTUBRE!B109)</f>
        <v xml:space="preserve">Aprovechamientos </v>
      </c>
      <c r="C109" s="401">
        <f>+ENERO!C109</f>
        <v>1145884</v>
      </c>
      <c r="D109" s="376">
        <f>OCTUBRE!D109+NOVIEMBRE!P109</f>
        <v>0</v>
      </c>
      <c r="E109" s="376">
        <f>OCTUBRE!E109+NOVIEMBRE!Q109</f>
        <v>0</v>
      </c>
      <c r="F109" s="376">
        <f t="shared" si="112"/>
        <v>1145884</v>
      </c>
      <c r="G109" s="376">
        <f>OCTUBRE!I109</f>
        <v>2412454</v>
      </c>
      <c r="H109" s="377">
        <v>0</v>
      </c>
      <c r="I109" s="376">
        <f t="shared" si="113"/>
        <v>2412454</v>
      </c>
      <c r="J109" s="376">
        <f>OCTUBRE!L109</f>
        <v>2412454</v>
      </c>
      <c r="K109" s="377">
        <v>0</v>
      </c>
      <c r="L109" s="376">
        <f t="shared" si="114"/>
        <v>2412454</v>
      </c>
      <c r="M109" s="376">
        <f t="shared" si="115"/>
        <v>-1266570</v>
      </c>
      <c r="N109" s="146">
        <f t="shared" si="116"/>
        <v>-1266570</v>
      </c>
      <c r="P109" s="375">
        <v>0</v>
      </c>
      <c r="Q109" s="378">
        <v>0</v>
      </c>
      <c r="R109" s="9"/>
      <c r="S109" s="369" t="str">
        <f>+IF(OCTUBRE!S109=0,"",OCTUBRE!S109)</f>
        <v/>
      </c>
      <c r="T109" s="708" t="str">
        <f>+IF(OCTUBRE!T109=0,"",OCTUBRE!T109)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+IF(OCTUBRE!A110=0,"",OCTUBRE!A110)</f>
        <v>11304-6</v>
      </c>
      <c r="B110" s="627" t="str">
        <f>+IF(OCTUBRE!B110=0,"",OCTUBRE!B110)</f>
        <v>Otros</v>
      </c>
      <c r="C110" s="401">
        <f>+ENERO!C110</f>
        <v>0</v>
      </c>
      <c r="D110" s="376">
        <f>OCTUBRE!D110+NOVIEMBRE!P110</f>
        <v>0</v>
      </c>
      <c r="E110" s="376">
        <f>OCTUBRE!E110+NOVIEMBRE!Q110</f>
        <v>0</v>
      </c>
      <c r="F110" s="376">
        <f t="shared" si="112"/>
        <v>0</v>
      </c>
      <c r="G110" s="376">
        <f>OCTUBRE!I110</f>
        <v>2742985</v>
      </c>
      <c r="H110" s="377">
        <v>0</v>
      </c>
      <c r="I110" s="376">
        <f t="shared" si="113"/>
        <v>2742985</v>
      </c>
      <c r="J110" s="376">
        <f>OCTUBRE!L110</f>
        <v>2742985</v>
      </c>
      <c r="K110" s="377">
        <v>0</v>
      </c>
      <c r="L110" s="376">
        <f t="shared" si="114"/>
        <v>2742985</v>
      </c>
      <c r="M110" s="376">
        <f t="shared" si="115"/>
        <v>-2742985</v>
      </c>
      <c r="N110" s="146">
        <f t="shared" si="116"/>
        <v>-2742985</v>
      </c>
      <c r="P110" s="375">
        <v>0</v>
      </c>
      <c r="Q110" s="378">
        <v>0</v>
      </c>
      <c r="R110" s="9"/>
      <c r="S110" s="717">
        <f>+IF(OCTUBRE!S110=0,"",OCTUBRE!S110)</f>
        <v>2000000</v>
      </c>
      <c r="T110" s="697" t="str">
        <f>+IF(OCTUBRE!T110=0,"",OCTUBRE!T110)</f>
        <v>GASTOS GENERALES</v>
      </c>
      <c r="U110" s="473">
        <f t="shared" ref="U110:AJ110" si="118">U112+U145</f>
        <v>505626661</v>
      </c>
      <c r="V110" s="474">
        <f t="shared" si="118"/>
        <v>40600000</v>
      </c>
      <c r="W110" s="474">
        <f t="shared" si="118"/>
        <v>213332840</v>
      </c>
      <c r="X110" s="475">
        <f t="shared" si="118"/>
        <v>759559501</v>
      </c>
      <c r="Y110" s="382">
        <f t="shared" si="118"/>
        <v>553818751</v>
      </c>
      <c r="Z110" s="474">
        <f t="shared" si="118"/>
        <v>0</v>
      </c>
      <c r="AA110" s="475">
        <f t="shared" si="118"/>
        <v>553818751</v>
      </c>
      <c r="AB110" s="382">
        <f t="shared" si="118"/>
        <v>521134406</v>
      </c>
      <c r="AC110" s="474">
        <f t="shared" si="118"/>
        <v>0</v>
      </c>
      <c r="AD110" s="475">
        <f t="shared" si="118"/>
        <v>521134406</v>
      </c>
      <c r="AE110" s="382">
        <f t="shared" si="118"/>
        <v>385706058</v>
      </c>
      <c r="AF110" s="474">
        <f t="shared" si="118"/>
        <v>0</v>
      </c>
      <c r="AG110" s="475">
        <f t="shared" si="118"/>
        <v>385706058</v>
      </c>
      <c r="AH110" s="382">
        <f t="shared" si="118"/>
        <v>205740750</v>
      </c>
      <c r="AI110" s="474">
        <f t="shared" si="118"/>
        <v>238425095</v>
      </c>
      <c r="AJ110" s="383">
        <f t="shared" si="118"/>
        <v>373853443</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+IF(OCTUBRE!A111=0,"",OCTUBRE!A111)</f>
        <v>11304-7</v>
      </c>
      <c r="B111" s="662" t="str">
        <f>+IF(OCTUBRE!B111=0,"",OCTUBRE!B111)</f>
        <v>Vigencia Anterior</v>
      </c>
      <c r="C111" s="491">
        <f>+ENERO!C111</f>
        <v>0</v>
      </c>
      <c r="D111" s="388">
        <f>OCTUBRE!D111+NOVIEMBRE!P111</f>
        <v>0</v>
      </c>
      <c r="E111" s="388">
        <f>OCTUBRE!E111+NOVIEMBRE!Q111</f>
        <v>0</v>
      </c>
      <c r="F111" s="388">
        <f t="shared" si="112"/>
        <v>0</v>
      </c>
      <c r="G111" s="388">
        <f>OCTUBRE!I111</f>
        <v>80000</v>
      </c>
      <c r="H111" s="391">
        <v>0</v>
      </c>
      <c r="I111" s="388">
        <f t="shared" si="113"/>
        <v>80000</v>
      </c>
      <c r="J111" s="388">
        <f>OCTUBRE!L111</f>
        <v>80000</v>
      </c>
      <c r="K111" s="391">
        <v>0</v>
      </c>
      <c r="L111" s="388">
        <f t="shared" si="114"/>
        <v>80000</v>
      </c>
      <c r="M111" s="388">
        <f t="shared" si="115"/>
        <v>-80000</v>
      </c>
      <c r="N111" s="389">
        <f t="shared" si="116"/>
        <v>-80000</v>
      </c>
      <c r="P111" s="375">
        <v>0</v>
      </c>
      <c r="Q111" s="378">
        <v>0</v>
      </c>
      <c r="R111" s="9"/>
      <c r="S111" s="369" t="str">
        <f>+IF(OCTUBRE!S111=0,"",OCTUBRE!S111)</f>
        <v/>
      </c>
      <c r="T111" s="708" t="str">
        <f>+IF(OCTUBRE!T111=0,"",OCTUBRE!T111)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+IF(OCTUBRE!A112=0,"",OCTUBRE!A112)</f>
        <v/>
      </c>
      <c r="B112" s="661" t="str">
        <f>+IF(OCTUBRE!B112=0,"",OCTUBRE!B112)</f>
        <v/>
      </c>
      <c r="C112" s="483"/>
      <c r="D112" s="483"/>
      <c r="E112" s="483"/>
      <c r="F112" s="483"/>
      <c r="G112" s="483"/>
      <c r="H112" s="483"/>
      <c r="I112" s="483"/>
      <c r="J112" s="483"/>
      <c r="K112" s="483"/>
      <c r="L112" s="483"/>
      <c r="M112" s="483"/>
      <c r="N112" s="484"/>
      <c r="P112" s="485"/>
      <c r="Q112" s="484"/>
      <c r="R112" s="9"/>
      <c r="S112" s="717">
        <f>+IF(OCTUBRE!S112=0,"",OCTUBRE!S112)</f>
        <v>2010000</v>
      </c>
      <c r="T112" s="691" t="str">
        <f>+IF(OCTUBRE!T112=0,"",OCTUBRE!T112)</f>
        <v>Gastos de Administración</v>
      </c>
      <c r="U112" s="135">
        <f t="shared" ref="U112:AJ112" si="119">U114+U123+U141</f>
        <v>181650786</v>
      </c>
      <c r="V112" s="124">
        <f t="shared" si="119"/>
        <v>13561935</v>
      </c>
      <c r="W112" s="124">
        <f t="shared" si="119"/>
        <v>102233652</v>
      </c>
      <c r="X112" s="132">
        <f t="shared" si="119"/>
        <v>297446373</v>
      </c>
      <c r="Y112" s="131">
        <f t="shared" si="119"/>
        <v>209532522</v>
      </c>
      <c r="Z112" s="124">
        <f t="shared" si="119"/>
        <v>0</v>
      </c>
      <c r="AA112" s="132">
        <f t="shared" si="119"/>
        <v>209532522</v>
      </c>
      <c r="AB112" s="131">
        <f t="shared" si="119"/>
        <v>207057522</v>
      </c>
      <c r="AC112" s="124">
        <f t="shared" si="119"/>
        <v>0</v>
      </c>
      <c r="AD112" s="132">
        <f t="shared" si="119"/>
        <v>207057522</v>
      </c>
      <c r="AE112" s="131">
        <f t="shared" si="119"/>
        <v>164509397</v>
      </c>
      <c r="AF112" s="124">
        <f t="shared" si="119"/>
        <v>0</v>
      </c>
      <c r="AG112" s="132">
        <f t="shared" si="119"/>
        <v>164509397</v>
      </c>
      <c r="AH112" s="131">
        <f t="shared" si="119"/>
        <v>87913851</v>
      </c>
      <c r="AI112" s="124">
        <f t="shared" si="119"/>
        <v>90388851</v>
      </c>
      <c r="AJ112" s="133">
        <f t="shared" si="119"/>
        <v>132936976</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+IF(OCTUBRE!A113=0,"",OCTUBRE!A113)</f>
        <v>2000</v>
      </c>
      <c r="B113" s="648" t="str">
        <f>+IF(OCTUBRE!B113=0,"",OCTUBRE!B113)</f>
        <v>INGRESOS DE CAPITAL</v>
      </c>
      <c r="C113" s="631">
        <f>SUM(C115:C124)</f>
        <v>32659146</v>
      </c>
      <c r="D113" s="632">
        <f>SUM(D115:D124)</f>
        <v>0</v>
      </c>
      <c r="E113" s="632">
        <f t="shared" ref="E113:N113" si="120">SUM(E115:E124)</f>
        <v>27176600</v>
      </c>
      <c r="F113" s="632">
        <f t="shared" si="120"/>
        <v>59835746</v>
      </c>
      <c r="G113" s="632">
        <f t="shared" si="120"/>
        <v>51708770</v>
      </c>
      <c r="H113" s="632">
        <f t="shared" si="120"/>
        <v>0</v>
      </c>
      <c r="I113" s="632">
        <f t="shared" si="120"/>
        <v>51708770</v>
      </c>
      <c r="J113" s="632">
        <f t="shared" si="120"/>
        <v>51708770</v>
      </c>
      <c r="K113" s="632">
        <f t="shared" si="120"/>
        <v>0</v>
      </c>
      <c r="L113" s="632">
        <f t="shared" si="120"/>
        <v>51708770</v>
      </c>
      <c r="M113" s="632">
        <f t="shared" si="120"/>
        <v>8126976</v>
      </c>
      <c r="N113" s="633">
        <f t="shared" si="120"/>
        <v>8126976</v>
      </c>
      <c r="O113" s="464"/>
      <c r="P113" s="177">
        <f>SUM(P115:P124)</f>
        <v>0</v>
      </c>
      <c r="Q113" s="178">
        <f>SUM(Q115:Q124)</f>
        <v>0</v>
      </c>
      <c r="R113" s="9"/>
      <c r="S113" s="369" t="str">
        <f>+IF(OCTUBRE!S113=0,"",OCTUBRE!S113)</f>
        <v/>
      </c>
      <c r="T113" s="708" t="str">
        <f>+IF(OCTUBRE!T113=0,"",OCTUBRE!T113)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+IF(OCTUBRE!A114=0,"",OCTUBRE!A114)</f>
        <v/>
      </c>
      <c r="B114" s="661" t="str">
        <f>+IF(OCTUBRE!B114=0,"",OCTUBRE!B114)</f>
        <v/>
      </c>
      <c r="C114" s="483"/>
      <c r="D114" s="483"/>
      <c r="E114" s="483"/>
      <c r="F114" s="483"/>
      <c r="G114" s="483"/>
      <c r="H114" s="483"/>
      <c r="I114" s="483"/>
      <c r="J114" s="483"/>
      <c r="K114" s="483"/>
      <c r="L114" s="483"/>
      <c r="M114" s="483"/>
      <c r="N114" s="484"/>
      <c r="P114" s="485"/>
      <c r="Q114" s="484"/>
      <c r="R114" s="9"/>
      <c r="S114" s="718">
        <f>+IF(OCTUBRE!S114=0,"",OCTUBRE!S114)</f>
        <v>2010100</v>
      </c>
      <c r="T114" s="692" t="str">
        <f>+IF(OCTUBRE!T114=0,"",OCTUBRE!T114)</f>
        <v>Adquisición de bienes</v>
      </c>
      <c r="U114" s="135">
        <f t="shared" ref="U114:AJ114" si="121">SUM(U115:U121)</f>
        <v>29771433</v>
      </c>
      <c r="V114" s="124">
        <f t="shared" si="121"/>
        <v>0</v>
      </c>
      <c r="W114" s="124">
        <f t="shared" si="121"/>
        <v>69356464</v>
      </c>
      <c r="X114" s="132">
        <f t="shared" si="121"/>
        <v>99127897</v>
      </c>
      <c r="Y114" s="131">
        <f t="shared" si="121"/>
        <v>67762916</v>
      </c>
      <c r="Z114" s="124">
        <f t="shared" si="121"/>
        <v>0</v>
      </c>
      <c r="AA114" s="132">
        <f t="shared" si="121"/>
        <v>67762916</v>
      </c>
      <c r="AB114" s="131">
        <f t="shared" si="121"/>
        <v>67762916</v>
      </c>
      <c r="AC114" s="124">
        <f t="shared" si="121"/>
        <v>0</v>
      </c>
      <c r="AD114" s="132">
        <f t="shared" si="121"/>
        <v>67762916</v>
      </c>
      <c r="AE114" s="131">
        <f t="shared" si="121"/>
        <v>53502433</v>
      </c>
      <c r="AF114" s="124">
        <f t="shared" si="121"/>
        <v>0</v>
      </c>
      <c r="AG114" s="132">
        <f t="shared" si="121"/>
        <v>53502433</v>
      </c>
      <c r="AH114" s="131">
        <f t="shared" si="121"/>
        <v>31364981</v>
      </c>
      <c r="AI114" s="124">
        <f t="shared" si="121"/>
        <v>31364981</v>
      </c>
      <c r="AJ114" s="133">
        <f t="shared" si="121"/>
        <v>45625464</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+IF(OCTUBRE!A115=0,"",OCTUBRE!A115)</f>
        <v>2100</v>
      </c>
      <c r="B115" s="634" t="str">
        <f>+IF(OCTUBRE!B115=0,"",OCTUBRE!B115)</f>
        <v>CREDITO INTERNO</v>
      </c>
      <c r="C115" s="375">
        <f>+ENERO!C115</f>
        <v>0</v>
      </c>
      <c r="D115" s="467">
        <f>OCTUBRE!D115+NOVIEMBRE!P115</f>
        <v>0</v>
      </c>
      <c r="E115" s="467">
        <f>OCTUBRE!E115+NOVIEMBRE!Q115</f>
        <v>0</v>
      </c>
      <c r="F115" s="471">
        <f t="shared" ref="F115:F124" si="122">SUM(C115:E115)</f>
        <v>0</v>
      </c>
      <c r="G115" s="469">
        <f>OCTUBRE!I115</f>
        <v>0</v>
      </c>
      <c r="H115" s="377">
        <v>0</v>
      </c>
      <c r="I115" s="471">
        <f t="shared" ref="I115:I124" si="123">SUM(G115:H115)</f>
        <v>0</v>
      </c>
      <c r="J115" s="469">
        <f>OCTUBRE!L115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+IF(OCTUBRE!S115=0,"",OCTUBRE!S115)</f>
        <v>2010100-1</v>
      </c>
      <c r="T115" s="693" t="str">
        <f>+IF(OCTUBRE!T115=0,"",OCTUBRE!T115)</f>
        <v>Compra de Equipos</v>
      </c>
      <c r="U115" s="27">
        <f>+ENERO!U115</f>
        <v>0</v>
      </c>
      <c r="V115" s="15">
        <f>OCTUBRE!V115+NOVIEMBRE!AL115</f>
        <v>0</v>
      </c>
      <c r="W115" s="15">
        <f>OCTUBRE!W115+NOVIEMBRE!AM115</f>
        <v>57176600</v>
      </c>
      <c r="X115" s="18">
        <f t="shared" ref="X115:X121" si="127">SUM(U115:W115)</f>
        <v>57176600</v>
      </c>
      <c r="Y115" s="19">
        <f>OCTUBRE!AA115</f>
        <v>26998720</v>
      </c>
      <c r="Z115" s="377">
        <v>0</v>
      </c>
      <c r="AA115" s="18">
        <f t="shared" ref="AA115:AA121" si="128">SUM(Y115:Z115)</f>
        <v>26998720</v>
      </c>
      <c r="AB115" s="19">
        <f>OCTUBRE!AD115</f>
        <v>26998720</v>
      </c>
      <c r="AC115" s="377">
        <v>0</v>
      </c>
      <c r="AD115" s="18">
        <f t="shared" ref="AD115:AD121" si="129">SUM(AB115:AC115)</f>
        <v>26998720</v>
      </c>
      <c r="AE115" s="19">
        <f>OCTUBRE!AG115</f>
        <v>24785720</v>
      </c>
      <c r="AF115" s="377">
        <v>0</v>
      </c>
      <c r="AG115" s="18">
        <f t="shared" ref="AG115:AG121" si="130">SUM(AE115:AF115)</f>
        <v>24785720</v>
      </c>
      <c r="AH115" s="19">
        <f t="shared" ref="AH115:AH121" si="131">X115-AA115</f>
        <v>30177880</v>
      </c>
      <c r="AI115" s="15">
        <f t="shared" ref="AI115:AI121" si="132">X115-AD115</f>
        <v>30177880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+IF(OCTUBRE!A116=0,"",OCTUBRE!A116)</f>
        <v>2100-1</v>
      </c>
      <c r="B116" s="635" t="str">
        <f>+IF(OCTUBRE!B116=0,"",OCTUBRE!B116)</f>
        <v>Vigencia Anterior</v>
      </c>
      <c r="C116" s="375">
        <f>+ENERO!C116</f>
        <v>0</v>
      </c>
      <c r="D116" s="467">
        <f>OCTUBRE!D116+NOVIEMBRE!P116</f>
        <v>0</v>
      </c>
      <c r="E116" s="467">
        <f>OCTUBRE!E116+NOVIEMBRE!Q116</f>
        <v>0</v>
      </c>
      <c r="F116" s="471">
        <f t="shared" si="122"/>
        <v>0</v>
      </c>
      <c r="G116" s="469">
        <f>OCTUBRE!I116</f>
        <v>0</v>
      </c>
      <c r="H116" s="377">
        <v>0</v>
      </c>
      <c r="I116" s="471">
        <f t="shared" si="123"/>
        <v>0</v>
      </c>
      <c r="J116" s="469">
        <f>OCTUBRE!L116</f>
        <v>0</v>
      </c>
      <c r="K116" s="377">
        <v>0</v>
      </c>
      <c r="L116" s="468">
        <f t="shared" si="124"/>
        <v>0</v>
      </c>
      <c r="M116" s="472">
        <f t="shared" si="125"/>
        <v>0</v>
      </c>
      <c r="N116" s="468">
        <f t="shared" si="126"/>
        <v>0</v>
      </c>
      <c r="O116" s="464"/>
      <c r="P116" s="375">
        <v>0</v>
      </c>
      <c r="Q116" s="378">
        <v>0</v>
      </c>
      <c r="R116" s="9"/>
      <c r="S116" s="719" t="str">
        <f>+IF(OCTUBRE!S116=0,"",OCTUBRE!S116)</f>
        <v>2010100-2</v>
      </c>
      <c r="T116" s="693" t="str">
        <f>+IF(OCTUBRE!T116=0,"",OCTUBRE!T116)</f>
        <v>Materiales</v>
      </c>
      <c r="U116" s="27">
        <f>+ENERO!U116</f>
        <v>29771433</v>
      </c>
      <c r="V116" s="15">
        <f>OCTUBRE!V116+NOVIEMBRE!AL116</f>
        <v>0</v>
      </c>
      <c r="W116" s="15">
        <f>OCTUBRE!W116+NOVIEMBRE!AM116</f>
        <v>0</v>
      </c>
      <c r="X116" s="18">
        <f t="shared" si="127"/>
        <v>29771433</v>
      </c>
      <c r="Y116" s="19">
        <f>OCTUBRE!AA116</f>
        <v>28584332</v>
      </c>
      <c r="Z116" s="377">
        <v>0</v>
      </c>
      <c r="AA116" s="18">
        <f t="shared" si="128"/>
        <v>28584332</v>
      </c>
      <c r="AB116" s="19">
        <f>OCTUBRE!AD116</f>
        <v>28584332</v>
      </c>
      <c r="AC116" s="377">
        <v>0</v>
      </c>
      <c r="AD116" s="18">
        <f t="shared" si="129"/>
        <v>28584332</v>
      </c>
      <c r="AE116" s="19">
        <f>OCTUBRE!AG116</f>
        <v>16536849</v>
      </c>
      <c r="AF116" s="377">
        <v>0</v>
      </c>
      <c r="AG116" s="18">
        <f t="shared" si="130"/>
        <v>16536849</v>
      </c>
      <c r="AH116" s="19">
        <f t="shared" si="131"/>
        <v>1187101</v>
      </c>
      <c r="AI116" s="15">
        <f t="shared" si="132"/>
        <v>1187101</v>
      </c>
      <c r="AJ116" s="16">
        <f t="shared" si="133"/>
        <v>13234584</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+IF(OCTUBRE!A117=0,"",OCTUBRE!A117)</f>
        <v>2200</v>
      </c>
      <c r="B117" s="634" t="str">
        <f>+IF(OCTUBRE!B117=0,"",OCTUBRE!B117)</f>
        <v>CREDITO EXTERNO</v>
      </c>
      <c r="C117" s="375">
        <f>+ENERO!C117</f>
        <v>0</v>
      </c>
      <c r="D117" s="467">
        <f>OCTUBRE!D117+NOVIEMBRE!P117</f>
        <v>0</v>
      </c>
      <c r="E117" s="467">
        <f>OCTUBRE!E117+NOVIEMBRE!Q117</f>
        <v>0</v>
      </c>
      <c r="F117" s="471">
        <f t="shared" si="122"/>
        <v>0</v>
      </c>
      <c r="G117" s="469">
        <f>OCTUBRE!I117</f>
        <v>0</v>
      </c>
      <c r="H117" s="377">
        <v>0</v>
      </c>
      <c r="I117" s="471">
        <f t="shared" si="123"/>
        <v>0</v>
      </c>
      <c r="J117" s="469">
        <f>OCTUBRE!L117</f>
        <v>0</v>
      </c>
      <c r="K117" s="377">
        <v>0</v>
      </c>
      <c r="L117" s="468">
        <f t="shared" si="124"/>
        <v>0</v>
      </c>
      <c r="M117" s="472">
        <f t="shared" si="125"/>
        <v>0</v>
      </c>
      <c r="N117" s="468">
        <f t="shared" si="126"/>
        <v>0</v>
      </c>
      <c r="O117" s="464"/>
      <c r="P117" s="375">
        <v>0</v>
      </c>
      <c r="Q117" s="378">
        <v>0</v>
      </c>
      <c r="R117" s="9"/>
      <c r="S117" s="719" t="str">
        <f>+IF(OCTUBRE!S117=0,"",OCTUBRE!S117)</f>
        <v>2010100-3</v>
      </c>
      <c r="T117" s="693" t="str">
        <f>+IF(OCTUBRE!T117=0,"",OCTUBRE!T117)</f>
        <v>Salud Ocupacional</v>
      </c>
      <c r="U117" s="27">
        <f>+ENERO!U117</f>
        <v>0</v>
      </c>
      <c r="V117" s="15">
        <f>OCTUBRE!V117+NOVIEMBRE!AL117</f>
        <v>0</v>
      </c>
      <c r="W117" s="15">
        <f>OCTUBRE!W117+NOVIEMBRE!AM117</f>
        <v>0</v>
      </c>
      <c r="X117" s="18">
        <f t="shared" si="127"/>
        <v>0</v>
      </c>
      <c r="Y117" s="19">
        <f>OCTUBRE!AA117</f>
        <v>0</v>
      </c>
      <c r="Z117" s="377">
        <v>0</v>
      </c>
      <c r="AA117" s="18">
        <f t="shared" si="128"/>
        <v>0</v>
      </c>
      <c r="AB117" s="19">
        <f>OCTUBRE!AD117</f>
        <v>0</v>
      </c>
      <c r="AC117" s="377">
        <v>0</v>
      </c>
      <c r="AD117" s="18">
        <f t="shared" si="129"/>
        <v>0</v>
      </c>
      <c r="AE117" s="19">
        <f>OCTUBRE!AG117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+IF(OCTUBRE!A118=0,"",OCTUBRE!A118)</f>
        <v>2200-1</v>
      </c>
      <c r="B118" s="635" t="str">
        <f>+IF(OCTUBRE!B118=0,"",OCTUBRE!B118)</f>
        <v>Vigencia Anterior</v>
      </c>
      <c r="C118" s="375">
        <f>+ENERO!C118</f>
        <v>0</v>
      </c>
      <c r="D118" s="467">
        <f>OCTUBRE!D118+NOVIEMBRE!P118</f>
        <v>0</v>
      </c>
      <c r="E118" s="467">
        <f>OCTUBRE!E118+NOVIEMBRE!Q118</f>
        <v>0</v>
      </c>
      <c r="F118" s="471">
        <f t="shared" si="122"/>
        <v>0</v>
      </c>
      <c r="G118" s="469">
        <f>OCTUBRE!I118</f>
        <v>0</v>
      </c>
      <c r="H118" s="377">
        <v>0</v>
      </c>
      <c r="I118" s="471">
        <f t="shared" si="123"/>
        <v>0</v>
      </c>
      <c r="J118" s="469">
        <f>OCTUBRE!L118</f>
        <v>0</v>
      </c>
      <c r="K118" s="377">
        <v>0</v>
      </c>
      <c r="L118" s="468">
        <f t="shared" si="124"/>
        <v>0</v>
      </c>
      <c r="M118" s="472">
        <f t="shared" si="125"/>
        <v>0</v>
      </c>
      <c r="N118" s="468">
        <f t="shared" si="126"/>
        <v>0</v>
      </c>
      <c r="O118" s="464"/>
      <c r="P118" s="375">
        <v>0</v>
      </c>
      <c r="Q118" s="378">
        <v>0</v>
      </c>
      <c r="R118" s="9"/>
      <c r="S118" s="719" t="str">
        <f>+IF(OCTUBRE!S118=0,"",OCTUBRE!S118)</f>
        <v>2010100-4</v>
      </c>
      <c r="T118" s="693" t="str">
        <f>+IF(OCTUBRE!T118=0,"",OCTUBRE!T118)</f>
        <v/>
      </c>
      <c r="U118" s="27">
        <f>+ENERO!U118</f>
        <v>0</v>
      </c>
      <c r="V118" s="15">
        <f>OCTUBRE!V118+NOVIEMBRE!AL118</f>
        <v>0</v>
      </c>
      <c r="W118" s="15">
        <f>OCTUBRE!W118+NOVIEMBRE!AM118</f>
        <v>0</v>
      </c>
      <c r="X118" s="18">
        <f t="shared" si="127"/>
        <v>0</v>
      </c>
      <c r="Y118" s="19">
        <f>OCTUBRE!AA118</f>
        <v>0</v>
      </c>
      <c r="Z118" s="377">
        <v>0</v>
      </c>
      <c r="AA118" s="18">
        <f t="shared" si="128"/>
        <v>0</v>
      </c>
      <c r="AB118" s="19">
        <f>OCTUBRE!AD118</f>
        <v>0</v>
      </c>
      <c r="AC118" s="377">
        <v>0</v>
      </c>
      <c r="AD118" s="18">
        <f t="shared" si="129"/>
        <v>0</v>
      </c>
      <c r="AE118" s="19">
        <f>OCTUBRE!AG118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+IF(OCTUBRE!A119=0,"",OCTUBRE!A119)</f>
        <v>2300</v>
      </c>
      <c r="B119" s="634" t="str">
        <f>+IF(OCTUBRE!B119=0,"",OCTUBRE!B119)</f>
        <v>RENDIMIENTOS FINANCIEROS</v>
      </c>
      <c r="C119" s="375">
        <f>+ENERO!C119</f>
        <v>594347</v>
      </c>
      <c r="D119" s="467">
        <f>OCTUBRE!D119+NOVIEMBRE!P119</f>
        <v>0</v>
      </c>
      <c r="E119" s="467">
        <f>OCTUBRE!E119+NOVIEMBRE!Q119</f>
        <v>0</v>
      </c>
      <c r="F119" s="471">
        <f t="shared" si="122"/>
        <v>594347</v>
      </c>
      <c r="G119" s="222">
        <f>OCTUBRE!I119</f>
        <v>90423</v>
      </c>
      <c r="H119" s="377">
        <v>0</v>
      </c>
      <c r="I119" s="476">
        <f t="shared" si="123"/>
        <v>90423</v>
      </c>
      <c r="J119" s="222">
        <f>OCTUBRE!L119</f>
        <v>90423</v>
      </c>
      <c r="K119" s="377">
        <v>0</v>
      </c>
      <c r="L119" s="146">
        <f t="shared" si="124"/>
        <v>90423</v>
      </c>
      <c r="M119" s="441">
        <f t="shared" si="125"/>
        <v>503924</v>
      </c>
      <c r="N119" s="146">
        <f t="shared" si="126"/>
        <v>503924</v>
      </c>
      <c r="O119" s="464"/>
      <c r="P119" s="375">
        <v>0</v>
      </c>
      <c r="Q119" s="378">
        <v>0</v>
      </c>
      <c r="R119" s="9"/>
      <c r="S119" s="719" t="str">
        <f>+IF(OCTUBRE!S119=0,"",OCTUBRE!S119)</f>
        <v>2010100-5</v>
      </c>
      <c r="T119" s="693" t="str">
        <f>+IF(OCTUBRE!T119=0,"",OCTUBRE!T119)</f>
        <v/>
      </c>
      <c r="U119" s="27">
        <f>+ENERO!U119</f>
        <v>0</v>
      </c>
      <c r="V119" s="15">
        <f>OCTUBRE!V119+NOVIEMBRE!AL119</f>
        <v>0</v>
      </c>
      <c r="W119" s="15">
        <f>OCTUBRE!W119+NOVIEMBRE!AM119</f>
        <v>0</v>
      </c>
      <c r="X119" s="18">
        <f t="shared" si="127"/>
        <v>0</v>
      </c>
      <c r="Y119" s="19">
        <f>OCTUBRE!AA119</f>
        <v>0</v>
      </c>
      <c r="Z119" s="377">
        <v>0</v>
      </c>
      <c r="AA119" s="18">
        <f t="shared" si="128"/>
        <v>0</v>
      </c>
      <c r="AB119" s="19">
        <f>OCTUBRE!AD119</f>
        <v>0</v>
      </c>
      <c r="AC119" s="377">
        <v>0</v>
      </c>
      <c r="AD119" s="18">
        <f t="shared" si="129"/>
        <v>0</v>
      </c>
      <c r="AE119" s="19">
        <f>OCTUBRE!AG119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+IF(OCTUBRE!A120=0,"",OCTUBRE!A120)</f>
        <v>2400</v>
      </c>
      <c r="B120" s="635" t="str">
        <f>+IF(OCTUBRE!B120=0,"",OCTUBRE!B120)</f>
        <v>VENTA DE ACTIVOS</v>
      </c>
      <c r="C120" s="375">
        <f>+ENERO!C120</f>
        <v>0</v>
      </c>
      <c r="D120" s="467">
        <f>OCTUBRE!D120+NOVIEMBRE!P120</f>
        <v>0</v>
      </c>
      <c r="E120" s="467">
        <f>OCTUBRE!E120+NOVIEMBRE!Q120</f>
        <v>0</v>
      </c>
      <c r="F120" s="471">
        <f t="shared" si="122"/>
        <v>0</v>
      </c>
      <c r="G120" s="222">
        <f>OCTUBRE!I120</f>
        <v>0</v>
      </c>
      <c r="H120" s="377">
        <v>0</v>
      </c>
      <c r="I120" s="476">
        <f t="shared" si="123"/>
        <v>0</v>
      </c>
      <c r="J120" s="222">
        <f>OCTUBRE!L120</f>
        <v>0</v>
      </c>
      <c r="K120" s="377">
        <v>0</v>
      </c>
      <c r="L120" s="146">
        <f t="shared" si="124"/>
        <v>0</v>
      </c>
      <c r="M120" s="441">
        <f t="shared" si="125"/>
        <v>0</v>
      </c>
      <c r="N120" s="146">
        <f t="shared" si="126"/>
        <v>0</v>
      </c>
      <c r="P120" s="375">
        <v>0</v>
      </c>
      <c r="Q120" s="378">
        <v>0</v>
      </c>
      <c r="R120" s="9"/>
      <c r="S120" s="719" t="str">
        <f>+IF(OCTUBRE!S120=0,"",OCTUBRE!S120)</f>
        <v>2010100-6</v>
      </c>
      <c r="T120" s="693" t="str">
        <f>+IF(OCTUBRE!T120=0,"",OCTUBRE!T120)</f>
        <v/>
      </c>
      <c r="U120" s="27">
        <f>+ENERO!U120</f>
        <v>0</v>
      </c>
      <c r="V120" s="15">
        <f>OCTUBRE!V120+NOVIEMBRE!AL120</f>
        <v>0</v>
      </c>
      <c r="W120" s="15">
        <f>OCTUBRE!W120+NOVIEMBRE!AM120</f>
        <v>0</v>
      </c>
      <c r="X120" s="18">
        <f t="shared" si="127"/>
        <v>0</v>
      </c>
      <c r="Y120" s="19">
        <f>OCTUBRE!AA120</f>
        <v>0</v>
      </c>
      <c r="Z120" s="377">
        <v>0</v>
      </c>
      <c r="AA120" s="18">
        <f t="shared" si="128"/>
        <v>0</v>
      </c>
      <c r="AB120" s="19">
        <f>OCTUBRE!AD120</f>
        <v>0</v>
      </c>
      <c r="AC120" s="377">
        <v>0</v>
      </c>
      <c r="AD120" s="18">
        <f t="shared" si="129"/>
        <v>0</v>
      </c>
      <c r="AE120" s="19">
        <f>OCTUBRE!AG120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+IF(OCTUBRE!A121=0,"",OCTUBRE!A121)</f>
        <v>2500</v>
      </c>
      <c r="B121" s="635" t="str">
        <f>+IF(OCTUBRE!B121=0,"",OCTUBRE!B121)</f>
        <v>DONACIONES</v>
      </c>
      <c r="C121" s="375">
        <f>+ENERO!C121</f>
        <v>0</v>
      </c>
      <c r="D121" s="467">
        <f>OCTUBRE!D121+NOVIEMBRE!P121</f>
        <v>0</v>
      </c>
      <c r="E121" s="467">
        <f>OCTUBRE!E121+NOVIEMBRE!Q121</f>
        <v>0</v>
      </c>
      <c r="F121" s="471">
        <f t="shared" si="122"/>
        <v>0</v>
      </c>
      <c r="G121" s="222">
        <f>OCTUBRE!I121</f>
        <v>0</v>
      </c>
      <c r="H121" s="377">
        <v>0</v>
      </c>
      <c r="I121" s="476">
        <f t="shared" si="123"/>
        <v>0</v>
      </c>
      <c r="J121" s="222">
        <f>OCTUBRE!L121</f>
        <v>0</v>
      </c>
      <c r="K121" s="377">
        <v>0</v>
      </c>
      <c r="L121" s="146">
        <f t="shared" si="124"/>
        <v>0</v>
      </c>
      <c r="M121" s="441">
        <f t="shared" si="125"/>
        <v>0</v>
      </c>
      <c r="N121" s="146">
        <f t="shared" si="126"/>
        <v>0</v>
      </c>
      <c r="P121" s="375">
        <v>0</v>
      </c>
      <c r="Q121" s="378">
        <v>0</v>
      </c>
      <c r="R121" s="9"/>
      <c r="S121" s="719">
        <f>+IF(OCTUBRE!S121=0,"",OCTUBRE!S121)</f>
        <v>2010199</v>
      </c>
      <c r="T121" s="693" t="str">
        <f>+IF(OCTUBRE!T121=0,"",OCTUBRE!T121)</f>
        <v>Vigencias Anteriores</v>
      </c>
      <c r="U121" s="27">
        <f>+ENERO!U121</f>
        <v>0</v>
      </c>
      <c r="V121" s="15">
        <f>OCTUBRE!V121+NOVIEMBRE!AL121</f>
        <v>0</v>
      </c>
      <c r="W121" s="15">
        <f>OCTUBRE!W121+NOVIEMBRE!AM121</f>
        <v>12179864</v>
      </c>
      <c r="X121" s="18">
        <f t="shared" si="127"/>
        <v>12179864</v>
      </c>
      <c r="Y121" s="19">
        <f>OCTUBRE!AA121</f>
        <v>12179864</v>
      </c>
      <c r="Z121" s="377">
        <v>0</v>
      </c>
      <c r="AA121" s="18">
        <f t="shared" si="128"/>
        <v>12179864</v>
      </c>
      <c r="AB121" s="19">
        <f>OCTUBRE!AD121</f>
        <v>12179864</v>
      </c>
      <c r="AC121" s="377">
        <v>0</v>
      </c>
      <c r="AD121" s="18">
        <f t="shared" si="129"/>
        <v>12179864</v>
      </c>
      <c r="AE121" s="19">
        <f>OCTUBRE!AG121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+IF(OCTUBRE!A122=0,"",OCTUBRE!A122)</f>
        <v>2600</v>
      </c>
      <c r="B122" s="635" t="str">
        <f>+IF(OCTUBRE!B122=0,"",OCTUBRE!B122)</f>
        <v>RECUPERACIÓN DE CARTERA (AÑO 2013 Y ANTERIORES)</v>
      </c>
      <c r="C122" s="375">
        <f>+ENERO!C122</f>
        <v>32064799</v>
      </c>
      <c r="D122" s="467">
        <f>OCTUBRE!D122+NOVIEMBRE!P122</f>
        <v>0</v>
      </c>
      <c r="E122" s="467">
        <f>OCTUBRE!E122+NOVIEMBRE!Q122</f>
        <v>0</v>
      </c>
      <c r="F122" s="471">
        <f t="shared" si="122"/>
        <v>32064799</v>
      </c>
      <c r="G122" s="222">
        <f>OCTUBRE!I122</f>
        <v>10062134</v>
      </c>
      <c r="H122" s="377">
        <v>0</v>
      </c>
      <c r="I122" s="476">
        <f t="shared" si="123"/>
        <v>10062134</v>
      </c>
      <c r="J122" s="222">
        <f>OCTUBRE!L122</f>
        <v>10062134</v>
      </c>
      <c r="K122" s="377">
        <v>0</v>
      </c>
      <c r="L122" s="146">
        <f t="shared" si="124"/>
        <v>10062134</v>
      </c>
      <c r="M122" s="441">
        <f t="shared" si="125"/>
        <v>22002665</v>
      </c>
      <c r="N122" s="146">
        <f t="shared" si="126"/>
        <v>22002665</v>
      </c>
      <c r="P122" s="375">
        <v>0</v>
      </c>
      <c r="Q122" s="378">
        <v>0</v>
      </c>
      <c r="R122" s="9"/>
      <c r="S122" s="369" t="str">
        <f>+IF(OCTUBRE!S122=0,"",OCTUBRE!S122)</f>
        <v/>
      </c>
      <c r="T122" s="708" t="str">
        <f>+IF(OCTUBRE!T122=0,"",OCTUBRE!T122)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+IF(OCTUBRE!A123=0,"",OCTUBRE!A123)</f>
        <v>2700</v>
      </c>
      <c r="B123" s="635" t="str">
        <f>+IF(OCTUBRE!B123=0,"",OCTUBRE!B123)</f>
        <v>OTROS INGRESOS DE CAPITAL</v>
      </c>
      <c r="C123" s="375">
        <f>+ENERO!C123</f>
        <v>0</v>
      </c>
      <c r="D123" s="467">
        <f>OCTUBRE!D123+NOVIEMBRE!P123</f>
        <v>0</v>
      </c>
      <c r="E123" s="467">
        <f>OCTUBRE!E123+NOVIEMBRE!Q123</f>
        <v>27176600</v>
      </c>
      <c r="F123" s="471">
        <f t="shared" si="122"/>
        <v>27176600</v>
      </c>
      <c r="G123" s="222">
        <f>OCTUBRE!I123</f>
        <v>41556213</v>
      </c>
      <c r="H123" s="377">
        <v>0</v>
      </c>
      <c r="I123" s="476">
        <f t="shared" si="123"/>
        <v>41556213</v>
      </c>
      <c r="J123" s="222">
        <f>OCTUBRE!L123</f>
        <v>41556213</v>
      </c>
      <c r="K123" s="377">
        <v>0</v>
      </c>
      <c r="L123" s="146">
        <f t="shared" si="124"/>
        <v>41556213</v>
      </c>
      <c r="M123" s="441">
        <f t="shared" si="125"/>
        <v>-14379613</v>
      </c>
      <c r="N123" s="146">
        <f t="shared" si="126"/>
        <v>-14379613</v>
      </c>
      <c r="P123" s="375">
        <v>0</v>
      </c>
      <c r="Q123" s="378">
        <v>0</v>
      </c>
      <c r="R123" s="9"/>
      <c r="S123" s="718">
        <f>+IF(OCTUBRE!S123=0,"",OCTUBRE!S123)</f>
        <v>2010200</v>
      </c>
      <c r="T123" s="692" t="str">
        <f>+IF(OCTUBRE!T123=0,"",OCTUBRE!T123)</f>
        <v>Adquisición de Servicios</v>
      </c>
      <c r="U123" s="135">
        <f t="shared" ref="U123:AJ123" si="134">SUM(U124:U139)</f>
        <v>141098390</v>
      </c>
      <c r="V123" s="124">
        <f t="shared" si="134"/>
        <v>5900000</v>
      </c>
      <c r="W123" s="124">
        <f t="shared" si="134"/>
        <v>31389245</v>
      </c>
      <c r="X123" s="132">
        <f t="shared" si="134"/>
        <v>178387635</v>
      </c>
      <c r="Y123" s="131">
        <f t="shared" si="134"/>
        <v>126519531</v>
      </c>
      <c r="Z123" s="124">
        <f t="shared" si="134"/>
        <v>0</v>
      </c>
      <c r="AA123" s="132">
        <f t="shared" si="134"/>
        <v>126519531</v>
      </c>
      <c r="AB123" s="131">
        <f t="shared" si="134"/>
        <v>124044531</v>
      </c>
      <c r="AC123" s="124">
        <f t="shared" si="134"/>
        <v>0</v>
      </c>
      <c r="AD123" s="132">
        <f t="shared" si="134"/>
        <v>124044531</v>
      </c>
      <c r="AE123" s="131">
        <f t="shared" si="134"/>
        <v>103345029</v>
      </c>
      <c r="AF123" s="124">
        <f t="shared" si="134"/>
        <v>0</v>
      </c>
      <c r="AG123" s="132">
        <f t="shared" si="134"/>
        <v>103345029</v>
      </c>
      <c r="AH123" s="131">
        <f t="shared" si="134"/>
        <v>51868104</v>
      </c>
      <c r="AI123" s="124">
        <f t="shared" si="134"/>
        <v>54343104</v>
      </c>
      <c r="AJ123" s="133">
        <f t="shared" si="134"/>
        <v>75042606</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+IF(OCTUBRE!A124=0,"",OCTUBRE!A124)</f>
        <v>2800</v>
      </c>
      <c r="B124" s="663" t="str">
        <f>+IF(OCTUBRE!B124=0,"",OCTUBRE!B124)</f>
        <v/>
      </c>
      <c r="C124" s="387">
        <f>+ENERO!C124</f>
        <v>0</v>
      </c>
      <c r="D124" s="465">
        <f>OCTUBRE!D124+NOVIEMBRE!P124</f>
        <v>0</v>
      </c>
      <c r="E124" s="465">
        <f>OCTUBRE!E124+NOVIEMBRE!Q124</f>
        <v>0</v>
      </c>
      <c r="F124" s="477">
        <f t="shared" si="122"/>
        <v>0</v>
      </c>
      <c r="G124" s="390">
        <f>OCTUBRE!I124</f>
        <v>0</v>
      </c>
      <c r="H124" s="391">
        <v>0</v>
      </c>
      <c r="I124" s="478">
        <f t="shared" si="123"/>
        <v>0</v>
      </c>
      <c r="J124" s="390">
        <f>OCTUBRE!L124</f>
        <v>0</v>
      </c>
      <c r="K124" s="391">
        <v>0</v>
      </c>
      <c r="L124" s="389">
        <f t="shared" si="124"/>
        <v>0</v>
      </c>
      <c r="M124" s="479">
        <f t="shared" si="125"/>
        <v>0</v>
      </c>
      <c r="N124" s="389">
        <f t="shared" si="126"/>
        <v>0</v>
      </c>
      <c r="P124" s="387">
        <v>0</v>
      </c>
      <c r="Q124" s="392">
        <v>0</v>
      </c>
      <c r="R124" s="9"/>
      <c r="S124" s="719" t="str">
        <f>+IF(OCTUBRE!S124=0,"",OCTUBRE!S124)</f>
        <v>2010200-1</v>
      </c>
      <c r="T124" s="693" t="str">
        <f>+IF(OCTUBRE!T124=0,"",OCTUBRE!T124)</f>
        <v>Seguros</v>
      </c>
      <c r="U124" s="27">
        <f>+ENERO!U124</f>
        <v>17953987</v>
      </c>
      <c r="V124" s="15">
        <f>OCTUBRE!V124+NOVIEMBRE!AL124</f>
        <v>0</v>
      </c>
      <c r="W124" s="15">
        <f>OCTUBRE!W124+NOVIEMBRE!AM124</f>
        <v>5000000</v>
      </c>
      <c r="X124" s="18">
        <f t="shared" ref="X124:X139" si="135">SUM(U124:W124)</f>
        <v>22953987</v>
      </c>
      <c r="Y124" s="19">
        <f>OCTUBRE!AA124</f>
        <v>18778005</v>
      </c>
      <c r="Z124" s="377">
        <v>0</v>
      </c>
      <c r="AA124" s="18">
        <f t="shared" ref="AA124:AA139" si="136">SUM(Y124:Z124)</f>
        <v>18778005</v>
      </c>
      <c r="AB124" s="19">
        <f>OCTUBRE!AD124</f>
        <v>18778005</v>
      </c>
      <c r="AC124" s="377">
        <v>0</v>
      </c>
      <c r="AD124" s="18">
        <f t="shared" ref="AD124:AD139" si="137">SUM(AB124:AC124)</f>
        <v>18778005</v>
      </c>
      <c r="AE124" s="19">
        <f>OCTUBRE!AG124</f>
        <v>16918425</v>
      </c>
      <c r="AF124" s="377">
        <v>0</v>
      </c>
      <c r="AG124" s="18">
        <f t="shared" ref="AG124:AG139" si="138">SUM(AE124:AF124)</f>
        <v>16918425</v>
      </c>
      <c r="AH124" s="19">
        <f t="shared" ref="AH124:AH139" si="139">X124-AA124</f>
        <v>4175982</v>
      </c>
      <c r="AI124" s="15">
        <f t="shared" ref="AI124:AI139" si="140">X124-AD124</f>
        <v>4175982</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+IF(OCTUBRE!S125=0,"",OCTUBRE!S125)</f>
        <v>2010200-2</v>
      </c>
      <c r="T125" s="693" t="str">
        <f>+IF(OCTUBRE!T125=0,"",OCTUBRE!T125)</f>
        <v>Impresos y Publicaciones</v>
      </c>
      <c r="U125" s="27">
        <f>+ENERO!U125</f>
        <v>3151827</v>
      </c>
      <c r="V125" s="15">
        <f>OCTUBRE!V125+NOVIEMBRE!AL125</f>
        <v>0</v>
      </c>
      <c r="W125" s="15">
        <f>OCTUBRE!W125+NOVIEMBRE!AM125</f>
        <v>0</v>
      </c>
      <c r="X125" s="18">
        <f t="shared" si="135"/>
        <v>3151827</v>
      </c>
      <c r="Y125" s="19">
        <f>OCTUBRE!AA125</f>
        <v>195788</v>
      </c>
      <c r="Z125" s="377">
        <v>0</v>
      </c>
      <c r="AA125" s="18">
        <f t="shared" si="136"/>
        <v>195788</v>
      </c>
      <c r="AB125" s="19">
        <f>OCTUBRE!AD125</f>
        <v>195788</v>
      </c>
      <c r="AC125" s="377">
        <v>0</v>
      </c>
      <c r="AD125" s="18">
        <f t="shared" si="137"/>
        <v>195788</v>
      </c>
      <c r="AE125" s="19">
        <f>OCTUBRE!AG125</f>
        <v>195788</v>
      </c>
      <c r="AF125" s="377">
        <v>0</v>
      </c>
      <c r="AG125" s="18">
        <f t="shared" si="138"/>
        <v>195788</v>
      </c>
      <c r="AH125" s="19">
        <f t="shared" si="139"/>
        <v>2956039</v>
      </c>
      <c r="AI125" s="15">
        <f t="shared" si="140"/>
        <v>2956039</v>
      </c>
      <c r="AJ125" s="16">
        <f t="shared" si="141"/>
        <v>2956039</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2520218189</v>
      </c>
      <c r="H126" s="480">
        <f t="shared" si="142"/>
        <v>0</v>
      </c>
      <c r="I126" s="480">
        <f t="shared" si="142"/>
        <v>2520218189</v>
      </c>
      <c r="J126" s="480">
        <f t="shared" si="142"/>
        <v>1690721600</v>
      </c>
      <c r="K126" s="480">
        <f t="shared" si="142"/>
        <v>0</v>
      </c>
      <c r="L126" s="480">
        <f t="shared" si="142"/>
        <v>1680659466</v>
      </c>
      <c r="M126" s="480">
        <f t="shared" si="142"/>
        <v>814933996</v>
      </c>
      <c r="N126" s="621">
        <f t="shared" si="142"/>
        <v>1632490054</v>
      </c>
      <c r="P126" s="481">
        <f>P8-P128</f>
        <v>0</v>
      </c>
      <c r="Q126" s="482">
        <f>Q8-Q128</f>
        <v>0</v>
      </c>
      <c r="R126" s="9"/>
      <c r="S126" s="719" t="str">
        <f>+IF(OCTUBRE!S126=0,"",OCTUBRE!S126)</f>
        <v>2010200-3</v>
      </c>
      <c r="T126" s="693" t="str">
        <f>+IF(OCTUBRE!T126=0,"",OCTUBRE!T126)</f>
        <v xml:space="preserve">Servicios Públicos </v>
      </c>
      <c r="U126" s="27">
        <f>+ENERO!U126</f>
        <v>55492147</v>
      </c>
      <c r="V126" s="15">
        <f>OCTUBRE!V126+NOVIEMBRE!AL126</f>
        <v>0</v>
      </c>
      <c r="W126" s="15">
        <f>OCTUBRE!W126+NOVIEMBRE!AM126</f>
        <v>0</v>
      </c>
      <c r="X126" s="18">
        <f t="shared" si="135"/>
        <v>55492147</v>
      </c>
      <c r="Y126" s="19">
        <f>OCTUBRE!AA126</f>
        <v>42071130</v>
      </c>
      <c r="Z126" s="377">
        <v>0</v>
      </c>
      <c r="AA126" s="18">
        <f t="shared" si="136"/>
        <v>42071130</v>
      </c>
      <c r="AB126" s="19">
        <f>OCTUBRE!AD126</f>
        <v>42071130</v>
      </c>
      <c r="AC126" s="377">
        <v>0</v>
      </c>
      <c r="AD126" s="18">
        <f t="shared" si="137"/>
        <v>42071130</v>
      </c>
      <c r="AE126" s="19">
        <f>OCTUBRE!AG126</f>
        <v>40936099</v>
      </c>
      <c r="AF126" s="377">
        <v>0</v>
      </c>
      <c r="AG126" s="18">
        <f t="shared" si="138"/>
        <v>40936099</v>
      </c>
      <c r="AH126" s="19">
        <f t="shared" si="139"/>
        <v>13421017</v>
      </c>
      <c r="AI126" s="15">
        <f t="shared" si="140"/>
        <v>13421017</v>
      </c>
      <c r="AJ126" s="16">
        <f t="shared" si="141"/>
        <v>14556048</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+IF(OCTUBRE!S127=0,"",OCTUBRE!S127)</f>
        <v>2010200-4</v>
      </c>
      <c r="T127" s="693" t="str">
        <f>+IF(OCTUBRE!T127=0,"",OCTUBRE!T127)</f>
        <v>Comunicaciones y Transportes</v>
      </c>
      <c r="U127" s="27">
        <f>+ENERO!U127</f>
        <v>14481572</v>
      </c>
      <c r="V127" s="15">
        <f>OCTUBRE!V127+NOVIEMBRE!AL127</f>
        <v>0</v>
      </c>
      <c r="W127" s="15">
        <f>OCTUBRE!W127+NOVIEMBRE!AM127</f>
        <v>0</v>
      </c>
      <c r="X127" s="18">
        <f t="shared" si="135"/>
        <v>14481572</v>
      </c>
      <c r="Y127" s="19">
        <f>OCTUBRE!AA127</f>
        <v>9518819</v>
      </c>
      <c r="Z127" s="377">
        <v>0</v>
      </c>
      <c r="AA127" s="18">
        <f t="shared" si="136"/>
        <v>9518819</v>
      </c>
      <c r="AB127" s="19">
        <f>OCTUBRE!AD127</f>
        <v>8643819</v>
      </c>
      <c r="AC127" s="377">
        <v>0</v>
      </c>
      <c r="AD127" s="18">
        <f t="shared" si="137"/>
        <v>8643819</v>
      </c>
      <c r="AE127" s="19">
        <f>OCTUBRE!AG127</f>
        <v>7723819</v>
      </c>
      <c r="AF127" s="377">
        <v>0</v>
      </c>
      <c r="AG127" s="18">
        <f t="shared" si="138"/>
        <v>7723819</v>
      </c>
      <c r="AH127" s="19">
        <f t="shared" si="139"/>
        <v>4962753</v>
      </c>
      <c r="AI127" s="15">
        <f t="shared" si="140"/>
        <v>5837753</v>
      </c>
      <c r="AJ127" s="16">
        <f t="shared" si="141"/>
        <v>6757753</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505084119</v>
      </c>
      <c r="H128" s="486">
        <f>SUMIF($B8:$B$122,$B$24,H8:H122)+H122</f>
        <v>0</v>
      </c>
      <c r="I128" s="486">
        <f>SUMIF($B8:$B$122,$B$24,I8:I122)+I122</f>
        <v>505084119</v>
      </c>
      <c r="J128" s="486">
        <f>SUMIF($B8:$B$122,$B$24,J8:J122)+J1212</f>
        <v>495021985</v>
      </c>
      <c r="K128" s="486">
        <f>SUMIF($B8:$B$122,$B$24,K8:K122)+K122</f>
        <v>0</v>
      </c>
      <c r="L128" s="486">
        <f>SUMIF($B8:$B$122,$B$24,L8:L122)+L122</f>
        <v>505084119</v>
      </c>
      <c r="M128" s="486">
        <f>SUMIF($B8:$B$122,$B$24,M8:M122)+M12</f>
        <v>50364443</v>
      </c>
      <c r="N128" s="622">
        <f>SUMIF($B8:$B$122,$B$24,N8:N122)+N122</f>
        <v>72367108</v>
      </c>
      <c r="O128" s="464"/>
      <c r="P128" s="486">
        <f>SUMIF($B8:$B$122,$B$24,P8:P122)+P122</f>
        <v>0</v>
      </c>
      <c r="Q128" s="487">
        <f>SUMIF($B8:$B$122,$B$24,Q8:Q122)+Q122</f>
        <v>0</v>
      </c>
      <c r="R128" s="9"/>
      <c r="S128" s="719" t="str">
        <f>+IF(OCTUBRE!S128=0,"",OCTUBRE!S128)</f>
        <v>2010200-5</v>
      </c>
      <c r="T128" s="693" t="str">
        <f>+IF(OCTUBRE!T128=0,"",OCTUBRE!T128)</f>
        <v>Viáticos y Gastos de Viaje</v>
      </c>
      <c r="U128" s="27">
        <f>+ENERO!U128</f>
        <v>12695514</v>
      </c>
      <c r="V128" s="15">
        <f>OCTUBRE!V128+NOVIEMBRE!AL128</f>
        <v>4700000</v>
      </c>
      <c r="W128" s="15">
        <f>OCTUBRE!W128+NOVIEMBRE!AM128</f>
        <v>0</v>
      </c>
      <c r="X128" s="18">
        <f t="shared" si="135"/>
        <v>17395514</v>
      </c>
      <c r="Y128" s="19">
        <f>OCTUBRE!AA128</f>
        <v>14694863</v>
      </c>
      <c r="Z128" s="377">
        <v>0</v>
      </c>
      <c r="AA128" s="18">
        <f t="shared" si="136"/>
        <v>14694863</v>
      </c>
      <c r="AB128" s="19">
        <f>OCTUBRE!AD128</f>
        <v>14694863</v>
      </c>
      <c r="AC128" s="377">
        <v>0</v>
      </c>
      <c r="AD128" s="18">
        <f t="shared" si="137"/>
        <v>14694863</v>
      </c>
      <c r="AE128" s="19">
        <f>OCTUBRE!AG128</f>
        <v>14694863</v>
      </c>
      <c r="AF128" s="377">
        <v>0</v>
      </c>
      <c r="AG128" s="18">
        <f t="shared" si="138"/>
        <v>14694863</v>
      </c>
      <c r="AH128" s="19">
        <f t="shared" si="139"/>
        <v>2700651</v>
      </c>
      <c r="AI128" s="15">
        <f t="shared" si="140"/>
        <v>2700651</v>
      </c>
      <c r="AJ128" s="16">
        <f t="shared" si="141"/>
        <v>2700651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+IF(OCTUBRE!S129=0,"",OCTUBRE!S129)</f>
        <v>2010200-6</v>
      </c>
      <c r="T129" s="693" t="str">
        <f>+IF(OCTUBRE!T129=0,"",OCTUBRE!T129)</f>
        <v>Arrendamientos</v>
      </c>
      <c r="U129" s="27">
        <f>+ENERO!U129</f>
        <v>0</v>
      </c>
      <c r="V129" s="15">
        <f>OCTUBRE!V129+NOVIEMBRE!AL129</f>
        <v>0</v>
      </c>
      <c r="W129" s="15">
        <f>OCTUBRE!W129+NOVIEMBRE!AM129</f>
        <v>0</v>
      </c>
      <c r="X129" s="18">
        <f t="shared" si="135"/>
        <v>0</v>
      </c>
      <c r="Y129" s="19">
        <f>OCTUBRE!AA129</f>
        <v>0</v>
      </c>
      <c r="Z129" s="377">
        <v>0</v>
      </c>
      <c r="AA129" s="18">
        <f t="shared" si="136"/>
        <v>0</v>
      </c>
      <c r="AB129" s="19">
        <f>OCTUBRE!AD129</f>
        <v>0</v>
      </c>
      <c r="AC129" s="377">
        <v>0</v>
      </c>
      <c r="AD129" s="18">
        <f t="shared" si="137"/>
        <v>0</v>
      </c>
      <c r="AE129" s="19">
        <f>OCTUBRE!AG129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3025302308</v>
      </c>
      <c r="H130" s="489">
        <f t="shared" si="143"/>
        <v>0</v>
      </c>
      <c r="I130" s="490">
        <f t="shared" si="143"/>
        <v>3025302308</v>
      </c>
      <c r="J130" s="488">
        <f t="shared" si="143"/>
        <v>2185743585</v>
      </c>
      <c r="K130" s="489">
        <f t="shared" si="143"/>
        <v>0</v>
      </c>
      <c r="L130" s="490">
        <f t="shared" si="143"/>
        <v>2185743585</v>
      </c>
      <c r="M130" s="488">
        <f t="shared" si="143"/>
        <v>865298439</v>
      </c>
      <c r="N130" s="490">
        <f t="shared" si="143"/>
        <v>1704857162</v>
      </c>
      <c r="P130" s="481">
        <f>P128+P126</f>
        <v>0</v>
      </c>
      <c r="Q130" s="482">
        <f>Q128+Q126</f>
        <v>0</v>
      </c>
      <c r="R130" s="9"/>
      <c r="S130" s="719" t="str">
        <f>+IF(OCTUBRE!S130=0,"",OCTUBRE!S130)</f>
        <v>2010200-7</v>
      </c>
      <c r="T130" s="693" t="str">
        <f>+IF(OCTUBRE!T130=0,"",OCTUBRE!T130)</f>
        <v>Vigilancia y Aseo</v>
      </c>
      <c r="U130" s="27">
        <f>+ENERO!U130</f>
        <v>0</v>
      </c>
      <c r="V130" s="15">
        <f>OCTUBRE!V130+NOVIEMBRE!AL130</f>
        <v>0</v>
      </c>
      <c r="W130" s="15">
        <f>OCTUBRE!W130+NOVIEMBRE!AM130</f>
        <v>0</v>
      </c>
      <c r="X130" s="18">
        <f t="shared" si="135"/>
        <v>0</v>
      </c>
      <c r="Y130" s="19">
        <f>OCTUBRE!AA130</f>
        <v>0</v>
      </c>
      <c r="Z130" s="377">
        <v>0</v>
      </c>
      <c r="AA130" s="18">
        <f t="shared" si="136"/>
        <v>0</v>
      </c>
      <c r="AB130" s="19">
        <f>OCTUBRE!AD130</f>
        <v>0</v>
      </c>
      <c r="AC130" s="377">
        <v>0</v>
      </c>
      <c r="AD130" s="18">
        <f t="shared" si="137"/>
        <v>0</v>
      </c>
      <c r="AE130" s="19">
        <f>OCTUBRE!AG130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+IF(OCTUBRE!S131=0,"",OCTUBRE!S131)</f>
        <v>2010200-8</v>
      </c>
      <c r="T131" s="693" t="str">
        <f>+IF(OCTUBRE!T131=0,"",OCTUBRE!T131)</f>
        <v>Bienestar Social</v>
      </c>
      <c r="U131" s="27">
        <f>+ENERO!U131</f>
        <v>28364135</v>
      </c>
      <c r="V131" s="15">
        <f>OCTUBRE!V131+NOVIEMBRE!AL131</f>
        <v>0</v>
      </c>
      <c r="W131" s="15">
        <f>OCTUBRE!W131+NOVIEMBRE!AM131</f>
        <v>81553</v>
      </c>
      <c r="X131" s="18">
        <f t="shared" si="135"/>
        <v>28445688</v>
      </c>
      <c r="Y131" s="19">
        <f>OCTUBRE!AA131</f>
        <v>8908149</v>
      </c>
      <c r="Z131" s="377">
        <v>0</v>
      </c>
      <c r="AA131" s="18">
        <f t="shared" si="136"/>
        <v>8908149</v>
      </c>
      <c r="AB131" s="19">
        <f>OCTUBRE!AD131</f>
        <v>7308149</v>
      </c>
      <c r="AC131" s="377">
        <v>0</v>
      </c>
      <c r="AD131" s="18">
        <f t="shared" si="137"/>
        <v>7308149</v>
      </c>
      <c r="AE131" s="19">
        <f>OCTUBRE!AG131</f>
        <v>7022899</v>
      </c>
      <c r="AF131" s="377">
        <v>0</v>
      </c>
      <c r="AG131" s="18">
        <f t="shared" si="138"/>
        <v>7022899</v>
      </c>
      <c r="AH131" s="19">
        <f t="shared" si="139"/>
        <v>19537539</v>
      </c>
      <c r="AI131" s="15">
        <f t="shared" si="140"/>
        <v>21137539</v>
      </c>
      <c r="AJ131" s="16">
        <f t="shared" si="141"/>
        <v>21422789</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+IF(OCTUBRE!S132=0,"",OCTUBRE!S132)</f>
        <v>2010200-9</v>
      </c>
      <c r="T132" s="693" t="str">
        <f>+IF(OCTUBRE!T132=0,"",OCTUBRE!T132)</f>
        <v>Capacitación, estimulos, incentivos, programa de calidad</v>
      </c>
      <c r="U132" s="27">
        <f>+ENERO!U132</f>
        <v>3982443</v>
      </c>
      <c r="V132" s="15">
        <f>OCTUBRE!V132+NOVIEMBRE!AL132</f>
        <v>0</v>
      </c>
      <c r="W132" s="15">
        <f>OCTUBRE!W132+NOVIEMBRE!AM132</f>
        <v>0</v>
      </c>
      <c r="X132" s="18">
        <f t="shared" si="135"/>
        <v>3982443</v>
      </c>
      <c r="Y132" s="19">
        <f>OCTUBRE!AA132</f>
        <v>0</v>
      </c>
      <c r="Z132" s="377">
        <v>0</v>
      </c>
      <c r="AA132" s="18">
        <f t="shared" si="136"/>
        <v>0</v>
      </c>
      <c r="AB132" s="19">
        <f>OCTUBRE!AD132</f>
        <v>0</v>
      </c>
      <c r="AC132" s="377">
        <v>0</v>
      </c>
      <c r="AD132" s="18">
        <f t="shared" si="137"/>
        <v>0</v>
      </c>
      <c r="AE132" s="19">
        <f>OCTUBRE!AG132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+IF(OCTUBRE!S133=0,"",OCTUBRE!S133)</f>
        <v>2010200-10</v>
      </c>
      <c r="T133" s="693" t="str">
        <f>+IF(OCTUBRE!T133=0,"",OCTUBRE!T133)</f>
        <v>Pagos otras IPS</v>
      </c>
      <c r="U133" s="27">
        <f>+ENERO!U133</f>
        <v>0</v>
      </c>
      <c r="V133" s="15">
        <f>OCTUBRE!V133+NOVIEMBRE!AL133</f>
        <v>0</v>
      </c>
      <c r="W133" s="15">
        <f>OCTUBRE!W133+NOVIEMBRE!AM133</f>
        <v>0</v>
      </c>
      <c r="X133" s="18">
        <f t="shared" si="135"/>
        <v>0</v>
      </c>
      <c r="Y133" s="19">
        <f>OCTUBRE!AA133</f>
        <v>0</v>
      </c>
      <c r="Z133" s="377">
        <v>0</v>
      </c>
      <c r="AA133" s="18">
        <f t="shared" si="136"/>
        <v>0</v>
      </c>
      <c r="AB133" s="19">
        <f>OCTUBRE!AD133</f>
        <v>0</v>
      </c>
      <c r="AC133" s="377">
        <v>0</v>
      </c>
      <c r="AD133" s="18">
        <f t="shared" si="137"/>
        <v>0</v>
      </c>
      <c r="AE133" s="19">
        <f>OCTUBRE!AG133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+IF(OCTUBRE!S134=0,"",OCTUBRE!S134)</f>
        <v>2010200-11</v>
      </c>
      <c r="T134" s="693" t="str">
        <f>+IF(OCTUBRE!T134=0,"",OCTUBRE!T134)</f>
        <v>Gastos financieros</v>
      </c>
      <c r="U134" s="27">
        <f>+ENERO!U134</f>
        <v>4976765</v>
      </c>
      <c r="V134" s="15">
        <f>OCTUBRE!V134+NOVIEMBRE!AL134</f>
        <v>1200000</v>
      </c>
      <c r="W134" s="15">
        <f>OCTUBRE!W134+NOVIEMBRE!AM134</f>
        <v>0</v>
      </c>
      <c r="X134" s="18">
        <f t="shared" si="135"/>
        <v>6176765</v>
      </c>
      <c r="Y134" s="19">
        <f>OCTUBRE!AA134</f>
        <v>6045085</v>
      </c>
      <c r="Z134" s="377">
        <v>0</v>
      </c>
      <c r="AA134" s="18">
        <f t="shared" si="136"/>
        <v>6045085</v>
      </c>
      <c r="AB134" s="19">
        <f>OCTUBRE!AD134</f>
        <v>6045085</v>
      </c>
      <c r="AC134" s="377">
        <v>0</v>
      </c>
      <c r="AD134" s="18">
        <f t="shared" si="137"/>
        <v>6045085</v>
      </c>
      <c r="AE134" s="19">
        <f>OCTUBRE!AG134</f>
        <v>6045085</v>
      </c>
      <c r="AF134" s="377">
        <v>0</v>
      </c>
      <c r="AG134" s="18">
        <f t="shared" si="138"/>
        <v>6045085</v>
      </c>
      <c r="AH134" s="19">
        <f t="shared" si="139"/>
        <v>131680</v>
      </c>
      <c r="AI134" s="15">
        <f t="shared" si="140"/>
        <v>131680</v>
      </c>
      <c r="AJ134" s="16">
        <f t="shared" si="141"/>
        <v>131680</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+IF(OCTUBRE!S135=0,"",OCTUBRE!S135)</f>
        <v>2010200-12</v>
      </c>
      <c r="T135" s="693" t="str">
        <f>+IF(OCTUBRE!T135=0,"",OCTUBRE!T135)</f>
        <v/>
      </c>
      <c r="U135" s="27">
        <f>+ENERO!U135</f>
        <v>0</v>
      </c>
      <c r="V135" s="15">
        <f>OCTUBRE!V135+NOVIEMBRE!AL135</f>
        <v>0</v>
      </c>
      <c r="W135" s="15">
        <f>OCTUBRE!W135+NOVIEMBRE!AM135</f>
        <v>0</v>
      </c>
      <c r="X135" s="18">
        <f t="shared" si="135"/>
        <v>0</v>
      </c>
      <c r="Y135" s="19">
        <f>OCTUBRE!AA135</f>
        <v>0</v>
      </c>
      <c r="Z135" s="377">
        <v>0</v>
      </c>
      <c r="AA135" s="18">
        <f t="shared" si="136"/>
        <v>0</v>
      </c>
      <c r="AB135" s="19">
        <f>OCTUBRE!AD135</f>
        <v>0</v>
      </c>
      <c r="AC135" s="377">
        <v>0</v>
      </c>
      <c r="AD135" s="18">
        <f t="shared" si="137"/>
        <v>0</v>
      </c>
      <c r="AE135" s="19">
        <f>OCTUBRE!AG135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+IF(OCTUBRE!S136=0,"",OCTUBRE!S136)</f>
        <v>2010200-13</v>
      </c>
      <c r="T136" s="693" t="str">
        <f>+IF(OCTUBRE!T136=0,"",OCTUBRE!T136)</f>
        <v/>
      </c>
      <c r="U136" s="27">
        <f>+ENERO!U136</f>
        <v>0</v>
      </c>
      <c r="V136" s="15">
        <f>OCTUBRE!V136+NOVIEMBRE!AL136</f>
        <v>0</v>
      </c>
      <c r="W136" s="15">
        <f>OCTUBRE!W136+NOVIEMBRE!AM136</f>
        <v>0</v>
      </c>
      <c r="X136" s="18">
        <f t="shared" si="135"/>
        <v>0</v>
      </c>
      <c r="Y136" s="19">
        <f>OCTUBRE!AA136</f>
        <v>0</v>
      </c>
      <c r="Z136" s="377">
        <v>0</v>
      </c>
      <c r="AA136" s="18">
        <f t="shared" si="136"/>
        <v>0</v>
      </c>
      <c r="AB136" s="19">
        <f>OCTUBRE!AD136</f>
        <v>0</v>
      </c>
      <c r="AC136" s="377">
        <v>0</v>
      </c>
      <c r="AD136" s="18">
        <f t="shared" si="137"/>
        <v>0</v>
      </c>
      <c r="AE136" s="19">
        <f>OCTUBRE!AG136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+IF(OCTUBRE!S137=0,"",OCTUBRE!S137)</f>
        <v>2010020-14</v>
      </c>
      <c r="T137" s="693" t="str">
        <f>+IF(OCTUBRE!T137=0,"",OCTUBRE!T137)</f>
        <v/>
      </c>
      <c r="U137" s="27">
        <f>+ENERO!U137</f>
        <v>0</v>
      </c>
      <c r="V137" s="15">
        <f>OCTUBRE!V137+NOVIEMBRE!AL137</f>
        <v>0</v>
      </c>
      <c r="W137" s="15">
        <f>OCTUBRE!W137+NOVIEMBRE!AM137</f>
        <v>0</v>
      </c>
      <c r="X137" s="18">
        <f t="shared" si="135"/>
        <v>0</v>
      </c>
      <c r="Y137" s="19">
        <f>OCTUBRE!AA137</f>
        <v>0</v>
      </c>
      <c r="Z137" s="377">
        <v>0</v>
      </c>
      <c r="AA137" s="18">
        <f t="shared" si="136"/>
        <v>0</v>
      </c>
      <c r="AB137" s="19">
        <f>OCTUBRE!AD137</f>
        <v>0</v>
      </c>
      <c r="AC137" s="377">
        <v>0</v>
      </c>
      <c r="AD137" s="18">
        <f t="shared" si="137"/>
        <v>0</v>
      </c>
      <c r="AE137" s="19">
        <f>OCTUBRE!AG137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+IF(OCTUBRE!S138=0,"",OCTUBRE!S138)</f>
        <v>2010200-15</v>
      </c>
      <c r="T138" s="693" t="str">
        <f>+IF(OCTUBRE!T138=0,"",OCTUBRE!T138)</f>
        <v/>
      </c>
      <c r="U138" s="27">
        <f>+ENERO!U138</f>
        <v>0</v>
      </c>
      <c r="V138" s="15">
        <f>OCTUBRE!V138+NOVIEMBRE!AL138</f>
        <v>0</v>
      </c>
      <c r="W138" s="15">
        <f>OCTUBRE!W138+NOVIEMBRE!AM138</f>
        <v>0</v>
      </c>
      <c r="X138" s="18">
        <f t="shared" si="135"/>
        <v>0</v>
      </c>
      <c r="Y138" s="19">
        <f>OCTUBRE!AA138</f>
        <v>0</v>
      </c>
      <c r="Z138" s="377">
        <v>0</v>
      </c>
      <c r="AA138" s="18">
        <f t="shared" si="136"/>
        <v>0</v>
      </c>
      <c r="AB138" s="19">
        <f>OCTUBRE!AD138</f>
        <v>0</v>
      </c>
      <c r="AC138" s="377">
        <v>0</v>
      </c>
      <c r="AD138" s="18">
        <f t="shared" si="137"/>
        <v>0</v>
      </c>
      <c r="AE138" s="19">
        <f>OCTUBRE!AG138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+IF(OCTUBRE!S139=0,"",OCTUBRE!S139)</f>
        <v>2010299</v>
      </c>
      <c r="T139" s="693" t="str">
        <f>+IF(OCTUBRE!T139=0,"",OCTUBRE!T139)</f>
        <v>Vigencias Anteriores</v>
      </c>
      <c r="U139" s="27">
        <f>+ENERO!U139</f>
        <v>0</v>
      </c>
      <c r="V139" s="15">
        <f>OCTUBRE!V139+NOVIEMBRE!AL139</f>
        <v>0</v>
      </c>
      <c r="W139" s="15">
        <f>OCTUBRE!W139+NOVIEMBRE!AM139</f>
        <v>26307692</v>
      </c>
      <c r="X139" s="18">
        <f t="shared" si="135"/>
        <v>26307692</v>
      </c>
      <c r="Y139" s="19">
        <f>OCTUBRE!AA139</f>
        <v>26307692</v>
      </c>
      <c r="Z139" s="377">
        <v>0</v>
      </c>
      <c r="AA139" s="18">
        <f t="shared" si="136"/>
        <v>26307692</v>
      </c>
      <c r="AB139" s="19">
        <f>OCTUBRE!AD139</f>
        <v>26307692</v>
      </c>
      <c r="AC139" s="377">
        <v>0</v>
      </c>
      <c r="AD139" s="18">
        <f t="shared" si="137"/>
        <v>26307692</v>
      </c>
      <c r="AE139" s="19">
        <f>OCTUBRE!AG139</f>
        <v>9808051</v>
      </c>
      <c r="AF139" s="377">
        <v>0</v>
      </c>
      <c r="AG139" s="18">
        <f t="shared" si="138"/>
        <v>9808051</v>
      </c>
      <c r="AH139" s="19">
        <f t="shared" si="139"/>
        <v>0</v>
      </c>
      <c r="AI139" s="15">
        <f t="shared" si="140"/>
        <v>0</v>
      </c>
      <c r="AJ139" s="16">
        <f t="shared" si="141"/>
        <v>16499641</v>
      </c>
      <c r="AK139" s="9"/>
      <c r="AL139" s="375">
        <v>0</v>
      </c>
      <c r="AM139" s="378">
        <v>0</v>
      </c>
      <c r="AN139" s="9"/>
      <c r="AO139" s="297"/>
      <c r="AP139" s="297"/>
      <c r="AQ139" s="297"/>
    </row>
    <row r="140" spans="1:52" s="385" customFormat="1" ht="24.95" customHeight="1" x14ac:dyDescent="0.2">
      <c r="A140" s="767"/>
      <c r="B140" s="668"/>
      <c r="N140" s="9"/>
      <c r="R140" s="9"/>
      <c r="S140" s="369" t="str">
        <f>+IF(OCTUBRE!S140=0,"",OCTUBRE!S140)</f>
        <v/>
      </c>
      <c r="T140" s="708" t="str">
        <f>+IF(OCTUBRE!T140=0,"",OCTUBRE!T140)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+IF(OCTUBRE!S141=0,"",OCTUBRE!S141)</f>
        <v>2010300</v>
      </c>
      <c r="T141" s="692" t="str">
        <f>+IF(OCTUBRE!T141=0,"",OCTUBRE!T141)</f>
        <v>Impuestos y Multas</v>
      </c>
      <c r="U141" s="135">
        <f t="shared" ref="U141:AJ141" si="144">U142+U143</f>
        <v>10780963</v>
      </c>
      <c r="V141" s="124">
        <f t="shared" si="144"/>
        <v>7661935</v>
      </c>
      <c r="W141" s="124">
        <f t="shared" si="144"/>
        <v>1487943</v>
      </c>
      <c r="X141" s="132">
        <f t="shared" si="144"/>
        <v>19930841</v>
      </c>
      <c r="Y141" s="131">
        <f t="shared" si="144"/>
        <v>15250075</v>
      </c>
      <c r="Z141" s="124">
        <f t="shared" si="144"/>
        <v>0</v>
      </c>
      <c r="AA141" s="132">
        <f t="shared" si="144"/>
        <v>15250075</v>
      </c>
      <c r="AB141" s="131">
        <f t="shared" si="144"/>
        <v>15250075</v>
      </c>
      <c r="AC141" s="124">
        <f t="shared" si="144"/>
        <v>0</v>
      </c>
      <c r="AD141" s="132">
        <f t="shared" si="144"/>
        <v>15250075</v>
      </c>
      <c r="AE141" s="131">
        <f t="shared" si="144"/>
        <v>7661935</v>
      </c>
      <c r="AF141" s="124">
        <f t="shared" si="144"/>
        <v>0</v>
      </c>
      <c r="AG141" s="132">
        <f t="shared" si="144"/>
        <v>7661935</v>
      </c>
      <c r="AH141" s="131">
        <f t="shared" si="144"/>
        <v>4680766</v>
      </c>
      <c r="AI141" s="124">
        <f t="shared" si="144"/>
        <v>4680766</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+IF(OCTUBRE!S142=0,"",OCTUBRE!S142)</f>
        <v>2010300-1</v>
      </c>
      <c r="T142" s="693" t="str">
        <f>+IF(OCTUBRE!T142=0,"",OCTUBRE!T142)</f>
        <v>Impuestos (Predial, Vehiculos, Otros)</v>
      </c>
      <c r="U142" s="27">
        <f>+ENERO!U142</f>
        <v>10780963</v>
      </c>
      <c r="V142" s="15">
        <f>OCTUBRE!V142+NOVIEMBRE!AL142</f>
        <v>7661935</v>
      </c>
      <c r="W142" s="15">
        <f>OCTUBRE!W142+NOVIEMBRE!AM142</f>
        <v>0</v>
      </c>
      <c r="X142" s="18">
        <f>SUM(U142:W142)</f>
        <v>18442898</v>
      </c>
      <c r="Y142" s="19">
        <f>OCTUBRE!AA142</f>
        <v>13762132</v>
      </c>
      <c r="Z142" s="377">
        <v>0</v>
      </c>
      <c r="AA142" s="18">
        <f>SUM(Y142:Z142)</f>
        <v>13762132</v>
      </c>
      <c r="AB142" s="19">
        <f>OCTUBRE!AD142</f>
        <v>13762132</v>
      </c>
      <c r="AC142" s="377">
        <v>0</v>
      </c>
      <c r="AD142" s="18">
        <f>SUM(AB142:AC142)</f>
        <v>13762132</v>
      </c>
      <c r="AE142" s="19">
        <f>OCTUBRE!AG142</f>
        <v>7661935</v>
      </c>
      <c r="AF142" s="377">
        <v>0</v>
      </c>
      <c r="AG142" s="18">
        <f>SUM(AE142:AF142)</f>
        <v>7661935</v>
      </c>
      <c r="AH142" s="19">
        <f>X142-AA142</f>
        <v>4680766</v>
      </c>
      <c r="AI142" s="15">
        <f>X142-AD142</f>
        <v>4680766</v>
      </c>
      <c r="AJ142" s="16">
        <f>X142-AG142</f>
        <v>10780963</v>
      </c>
      <c r="AK142" s="9"/>
      <c r="AL142" s="375">
        <v>0</v>
      </c>
      <c r="AM142" s="378">
        <v>0</v>
      </c>
      <c r="AN142" s="9"/>
    </row>
    <row r="143" spans="1:52" s="385" customFormat="1" ht="24.95" customHeight="1" x14ac:dyDescent="0.2">
      <c r="A143" s="767"/>
      <c r="B143" s="668"/>
      <c r="N143" s="9"/>
      <c r="R143" s="9"/>
      <c r="S143" s="719">
        <f>+IF(OCTUBRE!S143=0,"",OCTUBRE!S143)</f>
        <v>2010399</v>
      </c>
      <c r="T143" s="693" t="str">
        <f>+IF(OCTUBRE!T143=0,"",OCTUBRE!T143)</f>
        <v>Vigencias Anteriores</v>
      </c>
      <c r="U143" s="27">
        <f>+ENERO!U143</f>
        <v>0</v>
      </c>
      <c r="V143" s="15">
        <f>OCTUBRE!V143+NOVIEMBRE!AL143</f>
        <v>0</v>
      </c>
      <c r="W143" s="15">
        <f>OCTUBRE!W143+NOVIEMBRE!AM143</f>
        <v>1487943</v>
      </c>
      <c r="X143" s="18">
        <f>SUM(U143:W143)</f>
        <v>1487943</v>
      </c>
      <c r="Y143" s="19">
        <f>OCTUBRE!AA143</f>
        <v>1487943</v>
      </c>
      <c r="Z143" s="377">
        <v>0</v>
      </c>
      <c r="AA143" s="18">
        <f>SUM(Y143:Z143)</f>
        <v>1487943</v>
      </c>
      <c r="AB143" s="19">
        <f>OCTUBRE!AD143</f>
        <v>1487943</v>
      </c>
      <c r="AC143" s="377">
        <v>0</v>
      </c>
      <c r="AD143" s="18">
        <f>SUM(AB143:AC143)</f>
        <v>1487943</v>
      </c>
      <c r="AE143" s="19">
        <f>OCTUBRE!AG143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+IF(OCTUBRE!S144=0,"",OCTUBRE!S144)</f>
        <v/>
      </c>
      <c r="T144" s="708" t="str">
        <f>+IF(OCTUBRE!T144=0,"",OCTUBRE!T144)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+IF(OCTUBRE!S145=0,"",OCTUBRE!S145)</f>
        <v>2020010</v>
      </c>
      <c r="T145" s="691" t="str">
        <f>+IF(OCTUBRE!T145=0,"",OCTUBRE!T145)</f>
        <v>Gastos de Operación</v>
      </c>
      <c r="U145" s="135">
        <f t="shared" ref="U145:AJ145" si="145">U147+U155</f>
        <v>323975875</v>
      </c>
      <c r="V145" s="124">
        <f t="shared" si="145"/>
        <v>27038065</v>
      </c>
      <c r="W145" s="124">
        <f t="shared" si="145"/>
        <v>111099188</v>
      </c>
      <c r="X145" s="132">
        <f t="shared" si="145"/>
        <v>462113128</v>
      </c>
      <c r="Y145" s="131">
        <f t="shared" si="145"/>
        <v>344286229</v>
      </c>
      <c r="Z145" s="124">
        <f t="shared" si="145"/>
        <v>0</v>
      </c>
      <c r="AA145" s="132">
        <f t="shared" si="145"/>
        <v>344286229</v>
      </c>
      <c r="AB145" s="131">
        <f t="shared" si="145"/>
        <v>314076884</v>
      </c>
      <c r="AC145" s="124">
        <f t="shared" si="145"/>
        <v>0</v>
      </c>
      <c r="AD145" s="132">
        <f t="shared" si="145"/>
        <v>314076884</v>
      </c>
      <c r="AE145" s="131">
        <f t="shared" si="145"/>
        <v>221196661</v>
      </c>
      <c r="AF145" s="124">
        <f t="shared" si="145"/>
        <v>0</v>
      </c>
      <c r="AG145" s="132">
        <f t="shared" si="145"/>
        <v>221196661</v>
      </c>
      <c r="AH145" s="131">
        <f t="shared" si="145"/>
        <v>117826899</v>
      </c>
      <c r="AI145" s="124">
        <f t="shared" si="145"/>
        <v>148036244</v>
      </c>
      <c r="AJ145" s="133">
        <f t="shared" si="145"/>
        <v>240916467</v>
      </c>
      <c r="AK145" s="10"/>
      <c r="AL145" s="131">
        <f>AL147+AL155</f>
        <v>0</v>
      </c>
      <c r="AM145" s="133">
        <f>AM147+AM155</f>
        <v>0</v>
      </c>
      <c r="AN145" s="9"/>
    </row>
    <row r="146" spans="1:40" s="385" customFormat="1" ht="24.95" customHeight="1" x14ac:dyDescent="0.2">
      <c r="A146" s="767"/>
      <c r="B146" s="668"/>
      <c r="N146" s="9"/>
      <c r="R146" s="9"/>
      <c r="S146" s="720" t="str">
        <f>+IF(OCTUBRE!S146=0,"",OCTUBRE!S146)</f>
        <v/>
      </c>
      <c r="T146" s="694" t="str">
        <f>+IF(OCTUBRE!T146=0,"",OCTUBRE!T146)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+IF(OCTUBRE!S147=0,"",OCTUBRE!S147)</f>
        <v>2020100</v>
      </c>
      <c r="T147" s="692" t="str">
        <f>+IF(OCTUBRE!T147=0,"",OCTUBRE!T147)</f>
        <v>Adquisición de bienes</v>
      </c>
      <c r="U147" s="135">
        <f t="shared" ref="U147:AJ147" si="146">SUM(U148:U149)+U153</f>
        <v>113248636</v>
      </c>
      <c r="V147" s="124">
        <f t="shared" si="146"/>
        <v>-5661935</v>
      </c>
      <c r="W147" s="124">
        <f t="shared" si="146"/>
        <v>75561517</v>
      </c>
      <c r="X147" s="132">
        <f t="shared" si="146"/>
        <v>183148218</v>
      </c>
      <c r="Y147" s="131">
        <f t="shared" si="146"/>
        <v>112521395</v>
      </c>
      <c r="Z147" s="124">
        <f t="shared" si="146"/>
        <v>0</v>
      </c>
      <c r="AA147" s="132">
        <f t="shared" si="146"/>
        <v>112521395</v>
      </c>
      <c r="AB147" s="131">
        <f t="shared" si="146"/>
        <v>112521395</v>
      </c>
      <c r="AC147" s="124">
        <f t="shared" si="146"/>
        <v>0</v>
      </c>
      <c r="AD147" s="132">
        <f t="shared" si="146"/>
        <v>112521395</v>
      </c>
      <c r="AE147" s="131">
        <f t="shared" si="146"/>
        <v>70437698</v>
      </c>
      <c r="AF147" s="124">
        <f t="shared" si="146"/>
        <v>0</v>
      </c>
      <c r="AG147" s="132">
        <f t="shared" si="146"/>
        <v>70437698</v>
      </c>
      <c r="AH147" s="131">
        <f t="shared" si="146"/>
        <v>70626823</v>
      </c>
      <c r="AI147" s="124">
        <f t="shared" si="146"/>
        <v>70626823</v>
      </c>
      <c r="AJ147" s="133">
        <f t="shared" si="146"/>
        <v>112710520</v>
      </c>
      <c r="AK147" s="9"/>
      <c r="AL147" s="131">
        <f>SUM(AL148:AL149)+AL153</f>
        <v>0</v>
      </c>
      <c r="AM147" s="133">
        <f>SUM(AM148:AM149)+AM153</f>
        <v>0</v>
      </c>
      <c r="AN147" s="9"/>
    </row>
    <row r="148" spans="1:40" s="385" customFormat="1" ht="24.95" customHeight="1" x14ac:dyDescent="0.2">
      <c r="A148" s="767"/>
      <c r="B148" s="668"/>
      <c r="N148" s="9"/>
      <c r="R148" s="9"/>
      <c r="S148" s="719">
        <f>+IF(OCTUBRE!S148=0,"",OCTUBRE!S148)</f>
        <v>2020101</v>
      </c>
      <c r="T148" s="693" t="str">
        <f>+IF(OCTUBRE!T148=0,"",OCTUBRE!T148)</f>
        <v>Mantenimiento Hospitalario</v>
      </c>
      <c r="U148" s="27">
        <f>+ENERO!U148</f>
        <v>74533223</v>
      </c>
      <c r="V148" s="15">
        <f>OCTUBRE!V148+NOVIEMBRE!AL148</f>
        <v>0</v>
      </c>
      <c r="W148" s="15">
        <f>OCTUBRE!W148+NOVIEMBRE!AM148</f>
        <v>0</v>
      </c>
      <c r="X148" s="18">
        <f>SUM(U148:W148)</f>
        <v>74533223</v>
      </c>
      <c r="Y148" s="19">
        <f>OCTUBRE!AA148</f>
        <v>35234897</v>
      </c>
      <c r="Z148" s="377">
        <v>0</v>
      </c>
      <c r="AA148" s="18">
        <f>SUM(Y148:Z148)</f>
        <v>35234897</v>
      </c>
      <c r="AB148" s="19">
        <f>OCTUBRE!AD148</f>
        <v>35234897</v>
      </c>
      <c r="AC148" s="377">
        <v>0</v>
      </c>
      <c r="AD148" s="18">
        <f>SUM(AB148:AC148)</f>
        <v>35234897</v>
      </c>
      <c r="AE148" s="19">
        <f>OCTUBRE!AG148</f>
        <v>28636860</v>
      </c>
      <c r="AF148" s="377">
        <v>0</v>
      </c>
      <c r="AG148" s="18">
        <f>SUM(AE148:AF148)</f>
        <v>28636860</v>
      </c>
      <c r="AH148" s="19">
        <f>X148-AA148</f>
        <v>39298326</v>
      </c>
      <c r="AI148" s="15">
        <f>X148-AD148</f>
        <v>39298326</v>
      </c>
      <c r="AJ148" s="16">
        <f>X148-AG148</f>
        <v>45896363</v>
      </c>
      <c r="AK148" s="9"/>
      <c r="AL148" s="375">
        <v>0</v>
      </c>
      <c r="AM148" s="378">
        <v>0</v>
      </c>
      <c r="AN148" s="9"/>
    </row>
    <row r="149" spans="1:40" s="385" customFormat="1" ht="24.95" customHeight="1" x14ac:dyDescent="0.2">
      <c r="A149" s="767"/>
      <c r="B149" s="668"/>
      <c r="N149" s="9"/>
      <c r="R149" s="9"/>
      <c r="S149" s="719">
        <f>+IF(OCTUBRE!S149=0,"",OCTUBRE!S149)</f>
        <v>2020102</v>
      </c>
      <c r="T149" s="693" t="str">
        <f>+IF(OCTUBRE!T149=0,"",OCTUBRE!T149)</f>
        <v>Otros</v>
      </c>
      <c r="U149" s="27">
        <f t="shared" ref="U149:AJ149" si="147">SUM(U150:U152)</f>
        <v>38715413</v>
      </c>
      <c r="V149" s="15">
        <f t="shared" si="147"/>
        <v>-5661935</v>
      </c>
      <c r="W149" s="15">
        <f t="shared" si="147"/>
        <v>41780673</v>
      </c>
      <c r="X149" s="18">
        <f t="shared" si="147"/>
        <v>74834151</v>
      </c>
      <c r="Y149" s="19">
        <f t="shared" si="147"/>
        <v>43505654</v>
      </c>
      <c r="Z149" s="145">
        <f t="shared" si="147"/>
        <v>0</v>
      </c>
      <c r="AA149" s="18">
        <f t="shared" si="147"/>
        <v>43505654</v>
      </c>
      <c r="AB149" s="19">
        <f t="shared" si="147"/>
        <v>43505654</v>
      </c>
      <c r="AC149" s="145">
        <f t="shared" si="147"/>
        <v>0</v>
      </c>
      <c r="AD149" s="18">
        <f t="shared" si="147"/>
        <v>43505654</v>
      </c>
      <c r="AE149" s="19">
        <f t="shared" si="147"/>
        <v>8019994</v>
      </c>
      <c r="AF149" s="145">
        <f t="shared" si="147"/>
        <v>0</v>
      </c>
      <c r="AG149" s="18">
        <f t="shared" si="147"/>
        <v>8019994</v>
      </c>
      <c r="AH149" s="19">
        <f t="shared" si="147"/>
        <v>31328497</v>
      </c>
      <c r="AI149" s="15">
        <f t="shared" si="147"/>
        <v>31328497</v>
      </c>
      <c r="AJ149" s="16">
        <f t="shared" si="147"/>
        <v>66814157</v>
      </c>
      <c r="AK149" s="9"/>
      <c r="AL149" s="29">
        <f>SUM(AL150:AL152)</f>
        <v>0</v>
      </c>
      <c r="AM149" s="26">
        <f>SUM(AM150:AM152)</f>
        <v>0</v>
      </c>
      <c r="AN149" s="9"/>
    </row>
    <row r="150" spans="1:40" s="385" customFormat="1" ht="24.95" customHeight="1" x14ac:dyDescent="0.2">
      <c r="A150" s="767"/>
      <c r="B150" s="668"/>
      <c r="N150" s="9"/>
      <c r="R150" s="9"/>
      <c r="S150" s="720" t="str">
        <f>+IF(OCTUBRE!S150=0,"",OCTUBRE!S150)</f>
        <v>2020102-1</v>
      </c>
      <c r="T150" s="693" t="str">
        <f>+IF(OCTUBRE!T150=0,"",OCTUBRE!T150)</f>
        <v>Compra de Equipo e Instr. Mco. y Laborat.</v>
      </c>
      <c r="U150" s="27">
        <f>+ENERO!U150</f>
        <v>0</v>
      </c>
      <c r="V150" s="15">
        <f>OCTUBRE!V150+NOVIEMBRE!AL150</f>
        <v>0</v>
      </c>
      <c r="W150" s="15">
        <f>OCTUBRE!W150+NOVIEMBRE!AM150</f>
        <v>40000000</v>
      </c>
      <c r="X150" s="18">
        <f>SUM(U150:W150)</f>
        <v>40000000</v>
      </c>
      <c r="Y150" s="19">
        <f>OCTUBRE!AA150</f>
        <v>15833188</v>
      </c>
      <c r="Z150" s="377">
        <v>0</v>
      </c>
      <c r="AA150" s="18">
        <f>SUM(Y150:Z150)</f>
        <v>15833188</v>
      </c>
      <c r="AB150" s="19">
        <f>OCTUBRE!AD150</f>
        <v>15833188</v>
      </c>
      <c r="AC150" s="377">
        <v>0</v>
      </c>
      <c r="AD150" s="18">
        <f>SUM(AB150:AC150)</f>
        <v>15833188</v>
      </c>
      <c r="AE150" s="19">
        <f>OCTUBRE!AG150</f>
        <v>1809600</v>
      </c>
      <c r="AF150" s="377">
        <v>0</v>
      </c>
      <c r="AG150" s="18">
        <f>SUM(AE150:AF150)</f>
        <v>1809600</v>
      </c>
      <c r="AH150" s="19">
        <f>X150-AA150</f>
        <v>24166812</v>
      </c>
      <c r="AI150" s="15">
        <f>X150-AD150</f>
        <v>24166812</v>
      </c>
      <c r="AJ150" s="16">
        <f>X150-AG150</f>
        <v>38190400</v>
      </c>
      <c r="AK150" s="9"/>
      <c r="AL150" s="375">
        <v>0</v>
      </c>
      <c r="AM150" s="378">
        <v>0</v>
      </c>
      <c r="AN150" s="9"/>
    </row>
    <row r="151" spans="1:40" s="385" customFormat="1" ht="24.95" customHeight="1" x14ac:dyDescent="0.2">
      <c r="A151" s="767"/>
      <c r="B151" s="668"/>
      <c r="N151" s="9"/>
      <c r="R151" s="9"/>
      <c r="S151" s="720" t="str">
        <f>+IF(OCTUBRE!S151=0,"",OCTUBRE!S151)</f>
        <v>2020102-2</v>
      </c>
      <c r="T151" s="693" t="str">
        <f>+IF(OCTUBRE!T151=0,"",OCTUBRE!T151)</f>
        <v>Materiales</v>
      </c>
      <c r="U151" s="27">
        <f>+ENERO!U151</f>
        <v>15288294</v>
      </c>
      <c r="V151" s="15">
        <f>OCTUBRE!V151+NOVIEMBRE!AL151</f>
        <v>-5661935</v>
      </c>
      <c r="W151" s="15">
        <f>OCTUBRE!W151+NOVIEMBRE!AM151</f>
        <v>1780673</v>
      </c>
      <c r="X151" s="18">
        <f>SUM(U151:W151)</f>
        <v>11407032</v>
      </c>
      <c r="Y151" s="19">
        <f>OCTUBRE!AA151</f>
        <v>8901568</v>
      </c>
      <c r="Z151" s="377">
        <v>0</v>
      </c>
      <c r="AA151" s="18">
        <f>SUM(Y151:Z151)</f>
        <v>8901568</v>
      </c>
      <c r="AB151" s="19">
        <f>OCTUBRE!AD151</f>
        <v>8901568</v>
      </c>
      <c r="AC151" s="377">
        <v>0</v>
      </c>
      <c r="AD151" s="18">
        <f>SUM(AB151:AC151)</f>
        <v>8901568</v>
      </c>
      <c r="AE151" s="19">
        <f>OCTUBRE!AG151</f>
        <v>2326880</v>
      </c>
      <c r="AF151" s="377">
        <v>0</v>
      </c>
      <c r="AG151" s="18">
        <f>SUM(AE151:AF151)</f>
        <v>2326880</v>
      </c>
      <c r="AH151" s="19">
        <f>X151-AA151</f>
        <v>2505464</v>
      </c>
      <c r="AI151" s="15">
        <f>X151-AD151</f>
        <v>2505464</v>
      </c>
      <c r="AJ151" s="16">
        <f>X151-AG151</f>
        <v>9080152</v>
      </c>
      <c r="AK151" s="9"/>
      <c r="AL151" s="375">
        <v>0</v>
      </c>
      <c r="AM151" s="378">
        <v>0</v>
      </c>
      <c r="AN151" s="9"/>
    </row>
    <row r="152" spans="1:40" s="385" customFormat="1" ht="24.95" customHeight="1" x14ac:dyDescent="0.2">
      <c r="A152" s="767"/>
      <c r="B152" s="668"/>
      <c r="N152" s="9"/>
      <c r="R152" s="9"/>
      <c r="S152" s="720" t="str">
        <f>+IF(OCTUBRE!S152=0,"",OCTUBRE!S152)</f>
        <v>2020102-3</v>
      </c>
      <c r="T152" s="693" t="str">
        <f>+IF(OCTUBRE!T152=0,"",OCTUBRE!T152)</f>
        <v>Combustible</v>
      </c>
      <c r="U152" s="27">
        <f>+ENERO!U152</f>
        <v>23427119</v>
      </c>
      <c r="V152" s="15">
        <f>OCTUBRE!V152+NOVIEMBRE!AL152</f>
        <v>0</v>
      </c>
      <c r="W152" s="15">
        <f>OCTUBRE!W152+NOVIEMBRE!AM152</f>
        <v>0</v>
      </c>
      <c r="X152" s="18">
        <f>SUM(U152:W152)</f>
        <v>23427119</v>
      </c>
      <c r="Y152" s="19">
        <f>OCTUBRE!AA152</f>
        <v>18770898</v>
      </c>
      <c r="Z152" s="377">
        <v>0</v>
      </c>
      <c r="AA152" s="18">
        <f>SUM(Y152:Z152)</f>
        <v>18770898</v>
      </c>
      <c r="AB152" s="19">
        <f>OCTUBRE!AD152</f>
        <v>18770898</v>
      </c>
      <c r="AC152" s="377">
        <v>0</v>
      </c>
      <c r="AD152" s="18">
        <f>SUM(AB152:AC152)</f>
        <v>18770898</v>
      </c>
      <c r="AE152" s="19">
        <f>OCTUBRE!AG152</f>
        <v>3883514</v>
      </c>
      <c r="AF152" s="377">
        <v>0</v>
      </c>
      <c r="AG152" s="18">
        <f>SUM(AE152:AF152)</f>
        <v>3883514</v>
      </c>
      <c r="AH152" s="19">
        <f>X152-AA152</f>
        <v>4656221</v>
      </c>
      <c r="AI152" s="15">
        <f>X152-AD152</f>
        <v>4656221</v>
      </c>
      <c r="AJ152" s="16">
        <f>X152-AG152</f>
        <v>19543605</v>
      </c>
      <c r="AK152" s="9"/>
      <c r="AL152" s="375">
        <v>0</v>
      </c>
      <c r="AM152" s="378">
        <v>0</v>
      </c>
      <c r="AN152" s="9"/>
    </row>
    <row r="153" spans="1:40" s="385" customFormat="1" ht="24.95" customHeight="1" x14ac:dyDescent="0.2">
      <c r="A153" s="767"/>
      <c r="B153" s="668"/>
      <c r="N153" s="9"/>
      <c r="R153" s="9"/>
      <c r="S153" s="719">
        <f>+IF(OCTUBRE!S153=0,"",OCTUBRE!S153)</f>
        <v>2020199</v>
      </c>
      <c r="T153" s="693" t="str">
        <f>+IF(OCTUBRE!T153=0,"",OCTUBRE!T153)</f>
        <v>Vigencias Anteriores</v>
      </c>
      <c r="U153" s="27">
        <f>+ENERO!U153</f>
        <v>0</v>
      </c>
      <c r="V153" s="15">
        <f>OCTUBRE!V153+NOVIEMBRE!AL153</f>
        <v>0</v>
      </c>
      <c r="W153" s="15">
        <f>OCTUBRE!W153+NOVIEMBRE!AM153</f>
        <v>33780844</v>
      </c>
      <c r="X153" s="18">
        <f>SUM(U153:W153)</f>
        <v>33780844</v>
      </c>
      <c r="Y153" s="19">
        <f>OCTUBRE!AA153</f>
        <v>33780844</v>
      </c>
      <c r="Z153" s="377">
        <v>0</v>
      </c>
      <c r="AA153" s="18">
        <f>SUM(Y153:Z153)</f>
        <v>33780844</v>
      </c>
      <c r="AB153" s="19">
        <f>OCTUBRE!AD153</f>
        <v>33780844</v>
      </c>
      <c r="AC153" s="377">
        <v>0</v>
      </c>
      <c r="AD153" s="18">
        <f>SUM(AB153:AC153)</f>
        <v>33780844</v>
      </c>
      <c r="AE153" s="19">
        <f>OCTUBRE!AG153</f>
        <v>33780844</v>
      </c>
      <c r="AF153" s="377">
        <v>0</v>
      </c>
      <c r="AG153" s="18">
        <f>SUM(AE153:AF153)</f>
        <v>33780844</v>
      </c>
      <c r="AH153" s="19">
        <f>X153-AA153</f>
        <v>0</v>
      </c>
      <c r="AI153" s="15">
        <f>X153-AD153</f>
        <v>0</v>
      </c>
      <c r="AJ153" s="16">
        <f>X153-AG153</f>
        <v>0</v>
      </c>
      <c r="AK153" s="9"/>
      <c r="AL153" s="375">
        <v>0</v>
      </c>
      <c r="AM153" s="378">
        <v>0</v>
      </c>
      <c r="AN153" s="9"/>
    </row>
    <row r="154" spans="1:40" s="385" customFormat="1" ht="24.95" customHeight="1" x14ac:dyDescent="0.2">
      <c r="A154" s="767"/>
      <c r="B154" s="668"/>
      <c r="N154" s="9"/>
      <c r="R154" s="9"/>
      <c r="S154" s="369" t="str">
        <f>+IF(OCTUBRE!S154=0,"",OCTUBRE!S154)</f>
        <v/>
      </c>
      <c r="T154" s="708" t="str">
        <f>+IF(OCTUBRE!T154=0,"",OCTUBRE!T154)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+IF(OCTUBRE!S155=0,"",OCTUBRE!S155)</f>
        <v>2020200</v>
      </c>
      <c r="T155" s="692" t="str">
        <f>+IF(OCTUBRE!T155=0,"",OCTUBRE!T155)</f>
        <v>Adquisición de Servicios</v>
      </c>
      <c r="U155" s="135">
        <f t="shared" ref="U155:AJ155" si="148">SUM(U156:U157)+U168</f>
        <v>210727239</v>
      </c>
      <c r="V155" s="124">
        <f t="shared" si="148"/>
        <v>32700000</v>
      </c>
      <c r="W155" s="124">
        <f t="shared" si="148"/>
        <v>35537671</v>
      </c>
      <c r="X155" s="132">
        <f t="shared" si="148"/>
        <v>278964910</v>
      </c>
      <c r="Y155" s="131">
        <f t="shared" si="148"/>
        <v>231764834</v>
      </c>
      <c r="Z155" s="124">
        <f t="shared" si="148"/>
        <v>0</v>
      </c>
      <c r="AA155" s="132">
        <f t="shared" si="148"/>
        <v>231764834</v>
      </c>
      <c r="AB155" s="131">
        <f t="shared" si="148"/>
        <v>201555489</v>
      </c>
      <c r="AC155" s="124">
        <f t="shared" si="148"/>
        <v>0</v>
      </c>
      <c r="AD155" s="132">
        <f t="shared" si="148"/>
        <v>201555489</v>
      </c>
      <c r="AE155" s="131">
        <f t="shared" si="148"/>
        <v>150758963</v>
      </c>
      <c r="AF155" s="124">
        <f t="shared" si="148"/>
        <v>0</v>
      </c>
      <c r="AG155" s="132">
        <f t="shared" si="148"/>
        <v>150758963</v>
      </c>
      <c r="AH155" s="131">
        <f t="shared" si="148"/>
        <v>47200076</v>
      </c>
      <c r="AI155" s="124">
        <f t="shared" si="148"/>
        <v>77409421</v>
      </c>
      <c r="AJ155" s="133">
        <f t="shared" si="148"/>
        <v>128205947</v>
      </c>
      <c r="AK155" s="9"/>
      <c r="AL155" s="131">
        <f>SUM(AL156:AL157)+AL168</f>
        <v>0</v>
      </c>
      <c r="AM155" s="133">
        <f>SUM(AM156:AM157)+AM168</f>
        <v>0</v>
      </c>
      <c r="AN155" s="9"/>
    </row>
    <row r="156" spans="1:40" s="385" customFormat="1" ht="24.95" customHeight="1" x14ac:dyDescent="0.2">
      <c r="A156" s="767"/>
      <c r="B156" s="668"/>
      <c r="N156" s="9"/>
      <c r="P156" s="9"/>
      <c r="Q156" s="9"/>
      <c r="R156" s="9"/>
      <c r="S156" s="719">
        <f>+IF(OCTUBRE!S156=0,"",OCTUBRE!S156)</f>
        <v>2020201</v>
      </c>
      <c r="T156" s="693" t="str">
        <f>+IF(OCTUBRE!T156=0,"",OCTUBRE!T156)</f>
        <v>Mantenimiento Hospitalario</v>
      </c>
      <c r="U156" s="27">
        <f>+ENERO!U156</f>
        <v>82251828</v>
      </c>
      <c r="V156" s="15">
        <f>OCTUBRE!V156+NOVIEMBRE!AL156</f>
        <v>0</v>
      </c>
      <c r="W156" s="15">
        <f>OCTUBRE!W156+NOVIEMBRE!AM156</f>
        <v>0</v>
      </c>
      <c r="X156" s="18">
        <f>SUM(U156:W156)</f>
        <v>82251828</v>
      </c>
      <c r="Y156" s="19">
        <f>OCTUBRE!AA156</f>
        <v>75063929</v>
      </c>
      <c r="Z156" s="377">
        <v>0</v>
      </c>
      <c r="AA156" s="18">
        <f>SUM(Y156:Z156)</f>
        <v>75063929</v>
      </c>
      <c r="AB156" s="19">
        <f>OCTUBRE!AD156</f>
        <v>65637083</v>
      </c>
      <c r="AC156" s="377">
        <v>0</v>
      </c>
      <c r="AD156" s="18">
        <f>SUM(AB156:AC156)</f>
        <v>65637083</v>
      </c>
      <c r="AE156" s="19">
        <f>OCTUBRE!AG156</f>
        <v>52084920</v>
      </c>
      <c r="AF156" s="377">
        <v>0</v>
      </c>
      <c r="AG156" s="18">
        <f>SUM(AE156:AF156)</f>
        <v>52084920</v>
      </c>
      <c r="AH156" s="19">
        <f>X156-AA156</f>
        <v>7187899</v>
      </c>
      <c r="AI156" s="15">
        <f>X156-AD156</f>
        <v>16614745</v>
      </c>
      <c r="AJ156" s="16">
        <f>X156-AG156</f>
        <v>30166908</v>
      </c>
      <c r="AK156" s="9"/>
      <c r="AL156" s="375">
        <v>0</v>
      </c>
      <c r="AM156" s="378">
        <v>0</v>
      </c>
      <c r="AN156" s="9"/>
    </row>
    <row r="157" spans="1:40" s="385" customFormat="1" ht="24.95" customHeight="1" x14ac:dyDescent="0.2">
      <c r="A157" s="767"/>
      <c r="B157" s="668"/>
      <c r="N157" s="9"/>
      <c r="P157" s="9"/>
      <c r="Q157" s="9"/>
      <c r="R157" s="9"/>
      <c r="S157" s="719">
        <f>+IF(OCTUBRE!S157=0,"",OCTUBRE!S157)</f>
        <v>2020202</v>
      </c>
      <c r="T157" s="693" t="str">
        <f>+IF(OCTUBRE!T157=0,"",OCTUBRE!T157)</f>
        <v>Otros</v>
      </c>
      <c r="U157" s="27">
        <f t="shared" ref="U157:AJ157" si="149">SUM(U158:U167)</f>
        <v>128475411</v>
      </c>
      <c r="V157" s="15">
        <f t="shared" si="149"/>
        <v>32700000</v>
      </c>
      <c r="W157" s="15">
        <f t="shared" si="149"/>
        <v>7000000</v>
      </c>
      <c r="X157" s="18">
        <f t="shared" si="149"/>
        <v>168175411</v>
      </c>
      <c r="Y157" s="19">
        <f t="shared" si="149"/>
        <v>128163234</v>
      </c>
      <c r="Z157" s="145">
        <f t="shared" si="149"/>
        <v>0</v>
      </c>
      <c r="AA157" s="18">
        <f t="shared" si="149"/>
        <v>128163234</v>
      </c>
      <c r="AB157" s="19">
        <f t="shared" si="149"/>
        <v>107380735</v>
      </c>
      <c r="AC157" s="145">
        <f t="shared" si="149"/>
        <v>0</v>
      </c>
      <c r="AD157" s="18">
        <f t="shared" si="149"/>
        <v>107380735</v>
      </c>
      <c r="AE157" s="19">
        <f t="shared" si="149"/>
        <v>74246631</v>
      </c>
      <c r="AF157" s="145">
        <f t="shared" si="149"/>
        <v>0</v>
      </c>
      <c r="AG157" s="18">
        <f t="shared" si="149"/>
        <v>74246631</v>
      </c>
      <c r="AH157" s="19">
        <f t="shared" si="149"/>
        <v>40012177</v>
      </c>
      <c r="AI157" s="15">
        <f t="shared" si="149"/>
        <v>60794676</v>
      </c>
      <c r="AJ157" s="16">
        <f t="shared" si="149"/>
        <v>93928780</v>
      </c>
      <c r="AK157" s="10"/>
      <c r="AL157" s="29">
        <f>SUM(AL158:AL167)</f>
        <v>0</v>
      </c>
      <c r="AM157" s="26">
        <f>SUM(AM158:AM167)</f>
        <v>0</v>
      </c>
      <c r="AN157" s="9"/>
    </row>
    <row r="158" spans="1:40" s="385" customFormat="1" ht="24.95" customHeight="1" x14ac:dyDescent="0.2">
      <c r="A158" s="767"/>
      <c r="B158" s="668"/>
      <c r="N158" s="9"/>
      <c r="P158" s="9"/>
      <c r="Q158" s="9"/>
      <c r="R158" s="9"/>
      <c r="S158" s="720" t="str">
        <f>+IF(OCTUBRE!S158=0,"",OCTUBRE!S158)</f>
        <v>2020202-1</v>
      </c>
      <c r="T158" s="694" t="str">
        <f>+IF(OCTUBRE!T158=0,"",OCTUBRE!T158)</f>
        <v>Seguros</v>
      </c>
      <c r="U158" s="27">
        <f>+ENERO!U158</f>
        <v>15745455</v>
      </c>
      <c r="V158" s="15">
        <f>OCTUBRE!V158+NOVIEMBRE!AL158</f>
        <v>0</v>
      </c>
      <c r="W158" s="15">
        <f>OCTUBRE!W158+NOVIEMBRE!AM158</f>
        <v>5000000</v>
      </c>
      <c r="X158" s="18">
        <f t="shared" ref="X158:X168" si="150">SUM(U158:W158)</f>
        <v>20745455</v>
      </c>
      <c r="Y158" s="19">
        <f>OCTUBRE!AA158</f>
        <v>18105539</v>
      </c>
      <c r="Z158" s="377">
        <v>0</v>
      </c>
      <c r="AA158" s="18">
        <f t="shared" ref="AA158:AA168" si="151">SUM(Y158:Z158)</f>
        <v>18105539</v>
      </c>
      <c r="AB158" s="19">
        <f>OCTUBRE!AD158</f>
        <v>18105539</v>
      </c>
      <c r="AC158" s="377">
        <v>0</v>
      </c>
      <c r="AD158" s="18">
        <f t="shared" ref="AD158:AD168" si="152">SUM(AB158:AC158)</f>
        <v>18105539</v>
      </c>
      <c r="AE158" s="19">
        <f>OCTUBRE!AG158</f>
        <v>15857681</v>
      </c>
      <c r="AF158" s="377">
        <v>0</v>
      </c>
      <c r="AG158" s="18">
        <f t="shared" ref="AG158:AG168" si="153">SUM(AE158:AF158)</f>
        <v>15857681</v>
      </c>
      <c r="AH158" s="19">
        <f t="shared" ref="AH158:AH168" si="154">X158-AA158</f>
        <v>2639916</v>
      </c>
      <c r="AI158" s="15">
        <f t="shared" ref="AI158:AI168" si="155">X158-AD158</f>
        <v>2639916</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+IF(OCTUBRE!S159=0,"",OCTUBRE!S159)</f>
        <v>2020202-2</v>
      </c>
      <c r="T159" s="694" t="str">
        <f>+IF(OCTUBRE!T159=0,"",OCTUBRE!T159)</f>
        <v>Impresos y Publicaciones</v>
      </c>
      <c r="U159" s="27">
        <f>+ENERO!U159</f>
        <v>0</v>
      </c>
      <c r="V159" s="15">
        <f>OCTUBRE!V159+NOVIEMBRE!AL159</f>
        <v>0</v>
      </c>
      <c r="W159" s="15">
        <f>OCTUBRE!W159+NOVIEMBRE!AM159</f>
        <v>0</v>
      </c>
      <c r="X159" s="18">
        <f t="shared" si="150"/>
        <v>0</v>
      </c>
      <c r="Y159" s="19">
        <f>OCTUBRE!AA159</f>
        <v>0</v>
      </c>
      <c r="Z159" s="377">
        <v>0</v>
      </c>
      <c r="AA159" s="18">
        <f t="shared" si="151"/>
        <v>0</v>
      </c>
      <c r="AB159" s="19">
        <f>OCTUBRE!AD159</f>
        <v>0</v>
      </c>
      <c r="AC159" s="377">
        <v>0</v>
      </c>
      <c r="AD159" s="18">
        <f t="shared" si="152"/>
        <v>0</v>
      </c>
      <c r="AE159" s="19">
        <f>OCTUBRE!AG159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+IF(OCTUBRE!S160=0,"",OCTUBRE!S160)</f>
        <v>2020202-3</v>
      </c>
      <c r="T160" s="694" t="str">
        <f>+IF(OCTUBRE!T160=0,"",OCTUBRE!T160)</f>
        <v>Pago a otras IPS</v>
      </c>
      <c r="U160" s="27">
        <f>+ENERO!U160</f>
        <v>893693</v>
      </c>
      <c r="V160" s="15">
        <f>OCTUBRE!V160+NOVIEMBRE!AL160</f>
        <v>23000000</v>
      </c>
      <c r="W160" s="15">
        <f>OCTUBRE!W160+NOVIEMBRE!AM160</f>
        <v>2000000</v>
      </c>
      <c r="X160" s="18">
        <f t="shared" si="150"/>
        <v>25893693</v>
      </c>
      <c r="Y160" s="19">
        <f>OCTUBRE!AA160</f>
        <v>3222593</v>
      </c>
      <c r="Z160" s="377">
        <v>0</v>
      </c>
      <c r="AA160" s="18">
        <f t="shared" si="151"/>
        <v>3222593</v>
      </c>
      <c r="AB160" s="19">
        <f>OCTUBRE!AD160</f>
        <v>3222593</v>
      </c>
      <c r="AC160" s="377">
        <v>0</v>
      </c>
      <c r="AD160" s="18">
        <f t="shared" si="152"/>
        <v>3222593</v>
      </c>
      <c r="AE160" s="19">
        <f>OCTUBRE!AG160</f>
        <v>55000</v>
      </c>
      <c r="AF160" s="377">
        <v>0</v>
      </c>
      <c r="AG160" s="18">
        <f t="shared" si="153"/>
        <v>55000</v>
      </c>
      <c r="AH160" s="19">
        <f t="shared" si="154"/>
        <v>22671100</v>
      </c>
      <c r="AI160" s="15">
        <f t="shared" si="155"/>
        <v>22671100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+IF(OCTUBRE!S161=0,"",OCTUBRE!S161)</f>
        <v>2020202-4</v>
      </c>
      <c r="T161" s="694" t="str">
        <f>+IF(OCTUBRE!T161=0,"",OCTUBRE!T161)</f>
        <v>Comunicaciones y Transportes</v>
      </c>
      <c r="U161" s="27">
        <f>+ENERO!U161</f>
        <v>9528246</v>
      </c>
      <c r="V161" s="15">
        <f>OCTUBRE!V161+NOVIEMBRE!AL161</f>
        <v>0</v>
      </c>
      <c r="W161" s="15">
        <f>OCTUBRE!W161+NOVIEMBRE!AM161</f>
        <v>0</v>
      </c>
      <c r="X161" s="18">
        <f t="shared" si="150"/>
        <v>9528246</v>
      </c>
      <c r="Y161" s="19">
        <f>OCTUBRE!AA161</f>
        <v>5856554</v>
      </c>
      <c r="Z161" s="377">
        <v>0</v>
      </c>
      <c r="AA161" s="18">
        <f t="shared" si="151"/>
        <v>5856554</v>
      </c>
      <c r="AB161" s="19">
        <f>OCTUBRE!AD161</f>
        <v>5856554</v>
      </c>
      <c r="AC161" s="377">
        <v>0</v>
      </c>
      <c r="AD161" s="18">
        <f t="shared" si="152"/>
        <v>5856554</v>
      </c>
      <c r="AE161" s="19">
        <f>OCTUBRE!AG161</f>
        <v>4865014</v>
      </c>
      <c r="AF161" s="377">
        <v>0</v>
      </c>
      <c r="AG161" s="18">
        <f t="shared" si="153"/>
        <v>4865014</v>
      </c>
      <c r="AH161" s="19">
        <f t="shared" si="154"/>
        <v>3671692</v>
      </c>
      <c r="AI161" s="15">
        <f t="shared" si="155"/>
        <v>3671692</v>
      </c>
      <c r="AJ161" s="16">
        <f t="shared" si="156"/>
        <v>4663232</v>
      </c>
      <c r="AK161" s="9"/>
      <c r="AL161" s="375">
        <v>0</v>
      </c>
      <c r="AM161" s="378">
        <v>0</v>
      </c>
      <c r="AN161" s="9"/>
    </row>
    <row r="162" spans="1:40" s="385" customFormat="1" ht="24.95" customHeight="1" x14ac:dyDescent="0.2">
      <c r="A162" s="767"/>
      <c r="B162" s="668"/>
      <c r="N162" s="9"/>
      <c r="P162" s="9"/>
      <c r="Q162" s="9"/>
      <c r="R162" s="9"/>
      <c r="S162" s="720" t="str">
        <f>+IF(OCTUBRE!S162=0,"",OCTUBRE!S162)</f>
        <v>2020202-5</v>
      </c>
      <c r="T162" s="694" t="str">
        <f>+IF(OCTUBRE!T162=0,"",OCTUBRE!T162)</f>
        <v>Viáticos y Gastos de Viaje</v>
      </c>
      <c r="U162" s="27">
        <f>+ENERO!U162</f>
        <v>3326745</v>
      </c>
      <c r="V162" s="15">
        <f>OCTUBRE!V162+NOVIEMBRE!AL162</f>
        <v>0</v>
      </c>
      <c r="W162" s="15">
        <f>OCTUBRE!W162+NOVIEMBRE!AM162</f>
        <v>0</v>
      </c>
      <c r="X162" s="18">
        <f t="shared" si="150"/>
        <v>3326745</v>
      </c>
      <c r="Y162" s="19">
        <f>OCTUBRE!AA162</f>
        <v>1189478</v>
      </c>
      <c r="Z162" s="377">
        <v>0</v>
      </c>
      <c r="AA162" s="18">
        <f t="shared" si="151"/>
        <v>1189478</v>
      </c>
      <c r="AB162" s="19">
        <f>OCTUBRE!AD162</f>
        <v>1189478</v>
      </c>
      <c r="AC162" s="377">
        <v>0</v>
      </c>
      <c r="AD162" s="18">
        <f t="shared" si="152"/>
        <v>1189478</v>
      </c>
      <c r="AE162" s="19">
        <f>OCTUBRE!AG162</f>
        <v>1114729</v>
      </c>
      <c r="AF162" s="377">
        <v>0</v>
      </c>
      <c r="AG162" s="18">
        <f t="shared" si="153"/>
        <v>1114729</v>
      </c>
      <c r="AH162" s="19">
        <f t="shared" si="154"/>
        <v>2137267</v>
      </c>
      <c r="AI162" s="15">
        <f t="shared" si="155"/>
        <v>2137267</v>
      </c>
      <c r="AJ162" s="16">
        <f t="shared" si="156"/>
        <v>2212016</v>
      </c>
      <c r="AK162" s="9"/>
      <c r="AL162" s="375">
        <v>0</v>
      </c>
      <c r="AM162" s="378">
        <v>0</v>
      </c>
      <c r="AN162" s="9"/>
    </row>
    <row r="163" spans="1:40" s="385" customFormat="1" ht="24.95" customHeight="1" x14ac:dyDescent="0.2">
      <c r="A163" s="767"/>
      <c r="B163" s="668"/>
      <c r="N163" s="9"/>
      <c r="P163" s="9"/>
      <c r="Q163" s="9"/>
      <c r="R163" s="9"/>
      <c r="S163" s="720" t="str">
        <f>+IF(OCTUBRE!S163=0,"",OCTUBRE!S163)</f>
        <v>2020202-6</v>
      </c>
      <c r="T163" s="694" t="str">
        <f>+IF(OCTUBRE!T163=0,"",OCTUBRE!T163)</f>
        <v>Plan Integral de Manejo de Residuos Sólidos Hospitalarios</v>
      </c>
      <c r="U163" s="27">
        <f>+ENERO!U163</f>
        <v>10511470</v>
      </c>
      <c r="V163" s="15">
        <f>OCTUBRE!V163+NOVIEMBRE!AL163</f>
        <v>0</v>
      </c>
      <c r="W163" s="15">
        <f>OCTUBRE!W163+NOVIEMBRE!AM163</f>
        <v>0</v>
      </c>
      <c r="X163" s="18">
        <f t="shared" si="150"/>
        <v>10511470</v>
      </c>
      <c r="Y163" s="19">
        <f>OCTUBRE!AA163</f>
        <v>10511470</v>
      </c>
      <c r="Z163" s="377">
        <v>0</v>
      </c>
      <c r="AA163" s="18">
        <f t="shared" si="151"/>
        <v>10511470</v>
      </c>
      <c r="AB163" s="19">
        <f>OCTUBRE!AD163</f>
        <v>4751953</v>
      </c>
      <c r="AC163" s="377">
        <v>0</v>
      </c>
      <c r="AD163" s="18">
        <f t="shared" si="152"/>
        <v>4751953</v>
      </c>
      <c r="AE163" s="19">
        <f>OCTUBRE!AG163</f>
        <v>2391035</v>
      </c>
      <c r="AF163" s="377">
        <v>0</v>
      </c>
      <c r="AG163" s="18">
        <f t="shared" si="153"/>
        <v>2391035</v>
      </c>
      <c r="AH163" s="19">
        <f t="shared" si="154"/>
        <v>0</v>
      </c>
      <c r="AI163" s="15">
        <f t="shared" si="155"/>
        <v>5759517</v>
      </c>
      <c r="AJ163" s="16">
        <f t="shared" si="156"/>
        <v>8120435</v>
      </c>
      <c r="AK163" s="9"/>
      <c r="AL163" s="375">
        <v>0</v>
      </c>
      <c r="AM163" s="378">
        <v>0</v>
      </c>
      <c r="AN163" s="9"/>
    </row>
    <row r="164" spans="1:40" s="385" customFormat="1" ht="24.95" customHeight="1" x14ac:dyDescent="0.2">
      <c r="A164" s="767"/>
      <c r="B164" s="668"/>
      <c r="N164" s="9"/>
      <c r="P164" s="9"/>
      <c r="Q164" s="9"/>
      <c r="R164" s="9"/>
      <c r="S164" s="720" t="str">
        <f>+IF(OCTUBRE!S164=0,"",OCTUBRE!S164)</f>
        <v>2020202-7</v>
      </c>
      <c r="T164" s="694" t="str">
        <f>+IF(OCTUBRE!T164=0,"",OCTUBRE!T164)</f>
        <v>Servicios de Laboratorio contratados con terceros</v>
      </c>
      <c r="U164" s="27">
        <f>+ENERO!U164</f>
        <v>21580478</v>
      </c>
      <c r="V164" s="15">
        <f>OCTUBRE!V164+NOVIEMBRE!AL164</f>
        <v>9700000</v>
      </c>
      <c r="W164" s="15">
        <f>OCTUBRE!W164+NOVIEMBRE!AM164</f>
        <v>0</v>
      </c>
      <c r="X164" s="18">
        <f t="shared" si="150"/>
        <v>31280478</v>
      </c>
      <c r="Y164" s="19">
        <f>OCTUBRE!AA164</f>
        <v>25657900</v>
      </c>
      <c r="Z164" s="377">
        <v>0</v>
      </c>
      <c r="AA164" s="18">
        <f t="shared" si="151"/>
        <v>25657900</v>
      </c>
      <c r="AB164" s="19">
        <f>OCTUBRE!AD164</f>
        <v>25657900</v>
      </c>
      <c r="AC164" s="377">
        <v>0</v>
      </c>
      <c r="AD164" s="18">
        <f t="shared" si="152"/>
        <v>25657900</v>
      </c>
      <c r="AE164" s="19">
        <f>OCTUBRE!AG164</f>
        <v>13060000</v>
      </c>
      <c r="AF164" s="377">
        <v>0</v>
      </c>
      <c r="AG164" s="18">
        <f t="shared" si="153"/>
        <v>13060000</v>
      </c>
      <c r="AH164" s="19">
        <f t="shared" si="154"/>
        <v>5622578</v>
      </c>
      <c r="AI164" s="15">
        <f t="shared" si="155"/>
        <v>5622578</v>
      </c>
      <c r="AJ164" s="16">
        <f t="shared" si="156"/>
        <v>18220478</v>
      </c>
      <c r="AK164" s="9"/>
      <c r="AL164" s="375">
        <v>0</v>
      </c>
      <c r="AM164" s="378">
        <v>0</v>
      </c>
      <c r="AN164" s="9"/>
    </row>
    <row r="165" spans="1:40" s="385" customFormat="1" ht="24.95" customHeight="1" x14ac:dyDescent="0.2">
      <c r="A165" s="767"/>
      <c r="B165" s="668"/>
      <c r="N165" s="9"/>
      <c r="P165" s="9"/>
      <c r="Q165" s="9"/>
      <c r="R165" s="9"/>
      <c r="S165" s="720" t="str">
        <f>+IF(OCTUBRE!S165=0,"",OCTUBRE!S165)</f>
        <v>2020202-8</v>
      </c>
      <c r="T165" s="694" t="str">
        <f>+IF(OCTUBRE!T165=0,"",OCTUBRE!T165)</f>
        <v>Servicios de Rayos X e Imaginología contratado con terceros</v>
      </c>
      <c r="U165" s="27">
        <f>+ENERO!U165</f>
        <v>0</v>
      </c>
      <c r="V165" s="15">
        <f>OCTUBRE!V165+NOVIEMBRE!AL165</f>
        <v>0</v>
      </c>
      <c r="W165" s="15">
        <f>OCTUBRE!W165+NOVIEMBRE!AM165</f>
        <v>0</v>
      </c>
      <c r="X165" s="18">
        <f t="shared" si="150"/>
        <v>0</v>
      </c>
      <c r="Y165" s="19">
        <f>OCTUBRE!AA165</f>
        <v>0</v>
      </c>
      <c r="Z165" s="377">
        <v>0</v>
      </c>
      <c r="AA165" s="18">
        <f t="shared" si="151"/>
        <v>0</v>
      </c>
      <c r="AB165" s="19">
        <f>OCTUBRE!AD165</f>
        <v>0</v>
      </c>
      <c r="AC165" s="377">
        <v>0</v>
      </c>
      <c r="AD165" s="18">
        <f t="shared" si="152"/>
        <v>0</v>
      </c>
      <c r="AE165" s="19">
        <f>OCTUBRE!AG165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+IF(OCTUBRE!S166=0,"",OCTUBRE!S166)</f>
        <v>2020202-9</v>
      </c>
      <c r="T166" s="694" t="str">
        <f>+IF(OCTUBRE!T166=0,"",OCTUBRE!T166)</f>
        <v>Arrendamientos</v>
      </c>
      <c r="U166" s="27">
        <f>+ENERO!U166</f>
        <v>66889324</v>
      </c>
      <c r="V166" s="15">
        <f>OCTUBRE!V166+NOVIEMBRE!AL166</f>
        <v>0</v>
      </c>
      <c r="W166" s="15">
        <f>OCTUBRE!W166+NOVIEMBRE!AM166</f>
        <v>0</v>
      </c>
      <c r="X166" s="18">
        <f t="shared" si="150"/>
        <v>66889324</v>
      </c>
      <c r="Y166" s="19">
        <f>OCTUBRE!AA166</f>
        <v>63619700</v>
      </c>
      <c r="Z166" s="377">
        <v>0</v>
      </c>
      <c r="AA166" s="18">
        <f t="shared" si="151"/>
        <v>63619700</v>
      </c>
      <c r="AB166" s="19">
        <f>OCTUBRE!AD166</f>
        <v>48596718</v>
      </c>
      <c r="AC166" s="377">
        <v>0</v>
      </c>
      <c r="AD166" s="18">
        <f t="shared" si="152"/>
        <v>48596718</v>
      </c>
      <c r="AE166" s="19">
        <f>OCTUBRE!AG166</f>
        <v>36903172</v>
      </c>
      <c r="AF166" s="377">
        <v>0</v>
      </c>
      <c r="AG166" s="18">
        <f t="shared" si="153"/>
        <v>36903172</v>
      </c>
      <c r="AH166" s="19">
        <f t="shared" si="154"/>
        <v>3269624</v>
      </c>
      <c r="AI166" s="15">
        <f t="shared" si="155"/>
        <v>18292606</v>
      </c>
      <c r="AJ166" s="16">
        <f t="shared" si="156"/>
        <v>29986152</v>
      </c>
      <c r="AK166" s="9"/>
      <c r="AL166" s="375">
        <v>0</v>
      </c>
      <c r="AM166" s="378">
        <v>0</v>
      </c>
      <c r="AN166" s="9"/>
    </row>
    <row r="167" spans="1:40" s="385" customFormat="1" ht="24.95" customHeight="1" x14ac:dyDescent="0.2">
      <c r="A167" s="767"/>
      <c r="B167" s="668"/>
      <c r="N167" s="9"/>
      <c r="P167" s="9"/>
      <c r="Q167" s="9"/>
      <c r="R167" s="9"/>
      <c r="S167" s="720" t="str">
        <f>+IF(OCTUBRE!S167=0,"",OCTUBRE!S167)</f>
        <v>2020202-10</v>
      </c>
      <c r="T167" s="694" t="str">
        <f>+IF(OCTUBRE!T167=0,"",OCTUBRE!T167)</f>
        <v>Servicios Públicos</v>
      </c>
      <c r="U167" s="27">
        <f>+ENERO!U167</f>
        <v>0</v>
      </c>
      <c r="V167" s="15">
        <f>OCTUBRE!V167+NOVIEMBRE!AL167</f>
        <v>0</v>
      </c>
      <c r="W167" s="15">
        <f>OCTUBRE!W167+NOVIEMBRE!AM167</f>
        <v>0</v>
      </c>
      <c r="X167" s="18">
        <f>SUM(U167:W167)</f>
        <v>0</v>
      </c>
      <c r="Y167" s="19">
        <f>OCTUBRE!AA167</f>
        <v>0</v>
      </c>
      <c r="Z167" s="377">
        <v>0</v>
      </c>
      <c r="AA167" s="18">
        <f>SUM(Y167:Z167)</f>
        <v>0</v>
      </c>
      <c r="AB167" s="19">
        <f>OCTUBRE!AD167</f>
        <v>0</v>
      </c>
      <c r="AC167" s="377">
        <v>0</v>
      </c>
      <c r="AD167" s="18">
        <f>SUM(AB167:AC167)</f>
        <v>0</v>
      </c>
      <c r="AE167" s="19">
        <f>OCTUBRE!AG167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+IF(OCTUBRE!S168=0,"",OCTUBRE!S168)</f>
        <v>2020299</v>
      </c>
      <c r="T168" s="693" t="str">
        <f>+IF(OCTUBRE!T168=0,"",OCTUBRE!T168)</f>
        <v>Vigencias Anteriores</v>
      </c>
      <c r="U168" s="27">
        <f>+ENERO!U168</f>
        <v>0</v>
      </c>
      <c r="V168" s="15">
        <f>OCTUBRE!V168+NOVIEMBRE!AL168</f>
        <v>0</v>
      </c>
      <c r="W168" s="15">
        <f>OCTUBRE!W168+NOVIEMBRE!AM168</f>
        <v>28537671</v>
      </c>
      <c r="X168" s="18">
        <f t="shared" si="150"/>
        <v>28537671</v>
      </c>
      <c r="Y168" s="19">
        <f>OCTUBRE!AA168</f>
        <v>28537671</v>
      </c>
      <c r="Z168" s="377">
        <v>0</v>
      </c>
      <c r="AA168" s="18">
        <f t="shared" si="151"/>
        <v>28537671</v>
      </c>
      <c r="AB168" s="19">
        <f>OCTUBRE!AD168</f>
        <v>28537671</v>
      </c>
      <c r="AC168" s="377">
        <v>0</v>
      </c>
      <c r="AD168" s="18">
        <f t="shared" si="152"/>
        <v>28537671</v>
      </c>
      <c r="AE168" s="19">
        <f>OCTUBRE!AG168</f>
        <v>24427412</v>
      </c>
      <c r="AF168" s="377">
        <v>0</v>
      </c>
      <c r="AG168" s="18">
        <f t="shared" si="153"/>
        <v>24427412</v>
      </c>
      <c r="AH168" s="19">
        <f t="shared" si="154"/>
        <v>0</v>
      </c>
      <c r="AI168" s="15">
        <f t="shared" si="155"/>
        <v>0</v>
      </c>
      <c r="AJ168" s="16">
        <f t="shared" si="156"/>
        <v>4110259</v>
      </c>
      <c r="AK168" s="9"/>
      <c r="AL168" s="375">
        <v>0</v>
      </c>
      <c r="AM168" s="378">
        <v>0</v>
      </c>
      <c r="AN168" s="9"/>
    </row>
    <row r="169" spans="1:40" s="385" customFormat="1" ht="24.95" customHeight="1" x14ac:dyDescent="0.2">
      <c r="A169" s="767"/>
      <c r="B169" s="668"/>
      <c r="N169" s="9"/>
      <c r="P169" s="9"/>
      <c r="Q169" s="9"/>
      <c r="R169" s="9"/>
      <c r="S169" s="369" t="str">
        <f>+IF(OCTUBRE!S169=0,"",OCTUBRE!S169)</f>
        <v/>
      </c>
      <c r="T169" s="708" t="str">
        <f>+IF(OCTUBRE!T169=0,"",OCTUBRE!T169)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+IF(OCTUBRE!S170=0,"",OCTUBRE!S170)</f>
        <v>3000000</v>
      </c>
      <c r="T170" s="697" t="str">
        <f>+IF(OCTUBRE!T170=0,"",OCTUBRE!T170)</f>
        <v>TRANSFERENCIAS CORRIENTES</v>
      </c>
      <c r="U170" s="473">
        <f t="shared" ref="U170:AJ170" si="157">U172+U176+U185</f>
        <v>60072284</v>
      </c>
      <c r="V170" s="474">
        <f t="shared" si="157"/>
        <v>0</v>
      </c>
      <c r="W170" s="474">
        <f t="shared" si="157"/>
        <v>14421810</v>
      </c>
      <c r="X170" s="475">
        <f t="shared" si="157"/>
        <v>74494094</v>
      </c>
      <c r="Y170" s="382">
        <f t="shared" si="157"/>
        <v>41093974</v>
      </c>
      <c r="Z170" s="474">
        <f t="shared" si="157"/>
        <v>0</v>
      </c>
      <c r="AA170" s="475">
        <f t="shared" si="157"/>
        <v>41093974</v>
      </c>
      <c r="AB170" s="382">
        <f t="shared" si="157"/>
        <v>41093974</v>
      </c>
      <c r="AC170" s="474">
        <f t="shared" si="157"/>
        <v>0</v>
      </c>
      <c r="AD170" s="475">
        <f t="shared" si="157"/>
        <v>41093974</v>
      </c>
      <c r="AE170" s="382">
        <f t="shared" si="157"/>
        <v>35009605</v>
      </c>
      <c r="AF170" s="474">
        <f t="shared" si="157"/>
        <v>0</v>
      </c>
      <c r="AG170" s="475">
        <f t="shared" si="157"/>
        <v>35009605</v>
      </c>
      <c r="AH170" s="382">
        <f t="shared" si="157"/>
        <v>33400120</v>
      </c>
      <c r="AI170" s="474">
        <f t="shared" si="157"/>
        <v>33400120</v>
      </c>
      <c r="AJ170" s="383">
        <f t="shared" si="157"/>
        <v>39484489</v>
      </c>
      <c r="AK170" s="9"/>
      <c r="AL170" s="131">
        <f>AL172+AL176+AL185</f>
        <v>0</v>
      </c>
      <c r="AM170" s="133">
        <f>AM172+AM176+AM185</f>
        <v>0</v>
      </c>
      <c r="AN170" s="9"/>
    </row>
    <row r="171" spans="1:40" s="385" customFormat="1" ht="24.95" customHeight="1" x14ac:dyDescent="0.2">
      <c r="A171" s="767"/>
      <c r="B171" s="668"/>
      <c r="N171" s="9"/>
      <c r="P171" s="9"/>
      <c r="Q171" s="9"/>
      <c r="R171" s="9"/>
      <c r="S171" s="369" t="str">
        <f>+IF(OCTUBRE!S171=0,"",OCTUBRE!S171)</f>
        <v/>
      </c>
      <c r="T171" s="708" t="str">
        <f>+IF(OCTUBRE!T171=0,"",OCTUBRE!T171)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+IF(OCTUBRE!S172=0,"",OCTUBRE!S172)</f>
        <v>3100000</v>
      </c>
      <c r="T172" s="692" t="str">
        <f>+IF(OCTUBRE!T172=0,"",OCTUBRE!T172)</f>
        <v>Transferencias al Sector Público</v>
      </c>
      <c r="U172" s="135">
        <f t="shared" ref="U172:AJ172" si="158">SUM(U173:U174)</f>
        <v>5285000</v>
      </c>
      <c r="V172" s="124">
        <f t="shared" si="158"/>
        <v>0</v>
      </c>
      <c r="W172" s="124">
        <f t="shared" si="158"/>
        <v>243136</v>
      </c>
      <c r="X172" s="132">
        <f t="shared" si="158"/>
        <v>5528136</v>
      </c>
      <c r="Y172" s="131">
        <f t="shared" si="158"/>
        <v>3154924</v>
      </c>
      <c r="Z172" s="124">
        <f t="shared" si="158"/>
        <v>0</v>
      </c>
      <c r="AA172" s="132">
        <f t="shared" si="158"/>
        <v>3154924</v>
      </c>
      <c r="AB172" s="131">
        <f t="shared" si="158"/>
        <v>3154924</v>
      </c>
      <c r="AC172" s="124">
        <f t="shared" si="158"/>
        <v>0</v>
      </c>
      <c r="AD172" s="132">
        <f t="shared" si="158"/>
        <v>3154924</v>
      </c>
      <c r="AE172" s="131">
        <f t="shared" si="158"/>
        <v>3154924</v>
      </c>
      <c r="AF172" s="124">
        <f t="shared" si="158"/>
        <v>0</v>
      </c>
      <c r="AG172" s="132">
        <f t="shared" si="158"/>
        <v>3154924</v>
      </c>
      <c r="AH172" s="131">
        <f t="shared" si="158"/>
        <v>2373212</v>
      </c>
      <c r="AI172" s="124">
        <f t="shared" si="158"/>
        <v>2373212</v>
      </c>
      <c r="AJ172" s="133">
        <f t="shared" si="158"/>
        <v>2373212</v>
      </c>
      <c r="AK172" s="9"/>
      <c r="AL172" s="131">
        <f>SUM(AL173:AL174)</f>
        <v>0</v>
      </c>
      <c r="AM172" s="133">
        <f>SUM(AM173:AM174)</f>
        <v>0</v>
      </c>
      <c r="AN172" s="9"/>
    </row>
    <row r="173" spans="1:40" s="385" customFormat="1" ht="24.95" customHeight="1" x14ac:dyDescent="0.2">
      <c r="A173" s="767"/>
      <c r="B173" s="668"/>
      <c r="N173" s="9"/>
      <c r="P173" s="9"/>
      <c r="Q173" s="9"/>
      <c r="R173" s="9"/>
      <c r="S173" s="719">
        <f>+IF(OCTUBRE!S173=0,"",OCTUBRE!S173)</f>
        <v>3100003</v>
      </c>
      <c r="T173" s="693" t="str">
        <f>+IF(OCTUBRE!T173=0,"",OCTUBRE!T173)</f>
        <v>Entidades Públicas (Contraloria, Supersalud,…)</v>
      </c>
      <c r="U173" s="27">
        <f>+ENERO!U173</f>
        <v>5285000</v>
      </c>
      <c r="V173" s="15">
        <f>OCTUBRE!V173+NOVIEMBRE!AL173</f>
        <v>0</v>
      </c>
      <c r="W173" s="15">
        <f>OCTUBRE!W173+NOVIEMBRE!AM173</f>
        <v>0</v>
      </c>
      <c r="X173" s="18">
        <f>SUM(U173:W173)</f>
        <v>5285000</v>
      </c>
      <c r="Y173" s="19">
        <f>OCTUBRE!AA173</f>
        <v>2911788</v>
      </c>
      <c r="Z173" s="377">
        <v>0</v>
      </c>
      <c r="AA173" s="18">
        <f>SUM(Y173:Z173)</f>
        <v>2911788</v>
      </c>
      <c r="AB173" s="19">
        <f>OCTUBRE!AD173</f>
        <v>2911788</v>
      </c>
      <c r="AC173" s="377">
        <v>0</v>
      </c>
      <c r="AD173" s="18">
        <f>SUM(AB173:AC173)</f>
        <v>2911788</v>
      </c>
      <c r="AE173" s="19">
        <f>OCTUBRE!AG173</f>
        <v>2911788</v>
      </c>
      <c r="AF173" s="377">
        <v>0</v>
      </c>
      <c r="AG173" s="18">
        <f>SUM(AE173:AF173)</f>
        <v>2911788</v>
      </c>
      <c r="AH173" s="19">
        <f>X173-AA173</f>
        <v>2373212</v>
      </c>
      <c r="AI173" s="15">
        <f>X173-AD173</f>
        <v>2373212</v>
      </c>
      <c r="AJ173" s="16">
        <f>X173-AG173</f>
        <v>2373212</v>
      </c>
      <c r="AK173" s="9"/>
      <c r="AL173" s="375">
        <v>0</v>
      </c>
      <c r="AM173" s="378">
        <v>0</v>
      </c>
      <c r="AN173" s="9"/>
    </row>
    <row r="174" spans="1:40" s="385" customFormat="1" ht="24.95" customHeight="1" x14ac:dyDescent="0.2">
      <c r="A174" s="767"/>
      <c r="B174" s="668"/>
      <c r="N174" s="9"/>
      <c r="P174" s="9"/>
      <c r="Q174" s="9"/>
      <c r="R174" s="9"/>
      <c r="S174" s="719">
        <f>+IF(OCTUBRE!S174=0,"",OCTUBRE!S174)</f>
        <v>3199999</v>
      </c>
      <c r="T174" s="693" t="str">
        <f>+IF(OCTUBRE!T174=0,"",OCTUBRE!T174)</f>
        <v>Vigencias Anteriores</v>
      </c>
      <c r="U174" s="27">
        <f>+ENERO!U174</f>
        <v>0</v>
      </c>
      <c r="V174" s="15">
        <f>OCTUBRE!V174+NOVIEMBRE!AL174</f>
        <v>0</v>
      </c>
      <c r="W174" s="15">
        <f>OCTUBRE!W174+NOVIEMBRE!AM174</f>
        <v>243136</v>
      </c>
      <c r="X174" s="18">
        <f>SUM(U174:W174)</f>
        <v>243136</v>
      </c>
      <c r="Y174" s="19">
        <f>OCTUBRE!AA174</f>
        <v>243136</v>
      </c>
      <c r="Z174" s="377">
        <v>0</v>
      </c>
      <c r="AA174" s="18">
        <f>SUM(Y174:Z174)</f>
        <v>243136</v>
      </c>
      <c r="AB174" s="19">
        <f>OCTUBRE!AD174</f>
        <v>243136</v>
      </c>
      <c r="AC174" s="377">
        <v>0</v>
      </c>
      <c r="AD174" s="18">
        <f>SUM(AB174:AC174)</f>
        <v>243136</v>
      </c>
      <c r="AE174" s="19">
        <f>OCTUBRE!AG174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+IF(OCTUBRE!S175=0,"",OCTUBRE!S175)</f>
        <v/>
      </c>
      <c r="T175" s="708" t="str">
        <f>+IF(OCTUBRE!T175=0,"",OCTUBRE!T175)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+IF(OCTUBRE!S176=0,"",OCTUBRE!S176)</f>
        <v>320000</v>
      </c>
      <c r="T176" s="692" t="str">
        <f>+IF(OCTUBRE!T176=0,"",OCTUBRE!T176)</f>
        <v>Transf. Previsión y Seguridad Social</v>
      </c>
      <c r="U176" s="135">
        <f t="shared" ref="U176:AJ176" si="159">SUM(U177:U183)</f>
        <v>51170820</v>
      </c>
      <c r="V176" s="124">
        <f t="shared" si="159"/>
        <v>0</v>
      </c>
      <c r="W176" s="124">
        <f t="shared" si="159"/>
        <v>8290292</v>
      </c>
      <c r="X176" s="132">
        <f t="shared" si="159"/>
        <v>59461112</v>
      </c>
      <c r="Y176" s="131">
        <f t="shared" si="159"/>
        <v>32181746</v>
      </c>
      <c r="Z176" s="124">
        <f t="shared" si="159"/>
        <v>0</v>
      </c>
      <c r="AA176" s="132">
        <f t="shared" si="159"/>
        <v>32181746</v>
      </c>
      <c r="AB176" s="131">
        <f t="shared" si="159"/>
        <v>32181746</v>
      </c>
      <c r="AC176" s="124">
        <f t="shared" si="159"/>
        <v>0</v>
      </c>
      <c r="AD176" s="132">
        <f t="shared" si="159"/>
        <v>32181746</v>
      </c>
      <c r="AE176" s="131">
        <f t="shared" si="159"/>
        <v>31407356</v>
      </c>
      <c r="AF176" s="124">
        <f t="shared" si="159"/>
        <v>0</v>
      </c>
      <c r="AG176" s="132">
        <f t="shared" si="159"/>
        <v>31407356</v>
      </c>
      <c r="AH176" s="131">
        <f t="shared" si="159"/>
        <v>27279366</v>
      </c>
      <c r="AI176" s="124">
        <f t="shared" si="159"/>
        <v>27279366</v>
      </c>
      <c r="AJ176" s="133">
        <f t="shared" si="159"/>
        <v>28053756</v>
      </c>
      <c r="AK176" s="9"/>
      <c r="AL176" s="131">
        <f>SUM(AL177:AL183)</f>
        <v>0</v>
      </c>
      <c r="AM176" s="133">
        <f>SUM(AM177:AM183)</f>
        <v>0</v>
      </c>
      <c r="AN176" s="9"/>
    </row>
    <row r="177" spans="1:40" s="385" customFormat="1" ht="24.95" customHeight="1" x14ac:dyDescent="0.2">
      <c r="A177" s="767"/>
      <c r="B177" s="668"/>
      <c r="N177" s="9"/>
      <c r="P177" s="9"/>
      <c r="Q177" s="9"/>
      <c r="R177" s="9"/>
      <c r="S177" s="719">
        <f>+IF(OCTUBRE!S177=0,"",OCTUBRE!S177)</f>
        <v>3200100</v>
      </c>
      <c r="T177" s="693" t="str">
        <f>+IF(OCTUBRE!T177=0,"",OCTUBRE!T177)</f>
        <v>Pensiones y Jubilaciones (Pago Directo)</v>
      </c>
      <c r="U177" s="27">
        <f>+ENERO!U177</f>
        <v>39279816</v>
      </c>
      <c r="V177" s="15">
        <f>OCTUBRE!V177+NOVIEMBRE!AL177</f>
        <v>0</v>
      </c>
      <c r="W177" s="15">
        <f>OCTUBRE!W177+NOVIEMBRE!AM177</f>
        <v>0</v>
      </c>
      <c r="X177" s="18">
        <f t="shared" ref="X177:X183" si="160">SUM(U177:W177)</f>
        <v>39279816</v>
      </c>
      <c r="Y177" s="19">
        <f>OCTUBRE!AA177</f>
        <v>22897362</v>
      </c>
      <c r="Z177" s="377">
        <v>0</v>
      </c>
      <c r="AA177" s="18">
        <f t="shared" ref="AA177:AA183" si="161">SUM(Y177:Z177)</f>
        <v>22897362</v>
      </c>
      <c r="AB177" s="19">
        <f>OCTUBRE!AD177</f>
        <v>22897362</v>
      </c>
      <c r="AC177" s="377">
        <v>0</v>
      </c>
      <c r="AD177" s="18">
        <f t="shared" ref="AD177:AD183" si="162">SUM(AB177:AC177)</f>
        <v>22897362</v>
      </c>
      <c r="AE177" s="19">
        <f>OCTUBRE!AG177</f>
        <v>22897362</v>
      </c>
      <c r="AF177" s="377">
        <v>0</v>
      </c>
      <c r="AG177" s="18">
        <f t="shared" ref="AG177:AG183" si="163">SUM(AE177:AF177)</f>
        <v>22897362</v>
      </c>
      <c r="AH177" s="19">
        <f t="shared" ref="AH177:AH183" si="164">X177-AA177</f>
        <v>16382454</v>
      </c>
      <c r="AI177" s="15">
        <f t="shared" ref="AI177:AI183" si="165">X177-AD177</f>
        <v>16382454</v>
      </c>
      <c r="AJ177" s="16">
        <f t="shared" ref="AJ177:AJ183" si="166">X177-AG177</f>
        <v>16382454</v>
      </c>
      <c r="AK177" s="9"/>
      <c r="AL177" s="375">
        <v>0</v>
      </c>
      <c r="AM177" s="378">
        <v>0</v>
      </c>
      <c r="AN177" s="9"/>
    </row>
    <row r="178" spans="1:40" s="385" customFormat="1" ht="24.95" customHeight="1" x14ac:dyDescent="0.2">
      <c r="A178" s="767"/>
      <c r="B178" s="668"/>
      <c r="N178" s="9"/>
      <c r="P178" s="9"/>
      <c r="Q178" s="9"/>
      <c r="R178" s="9"/>
      <c r="S178" s="719">
        <f>+IF(OCTUBRE!S178=0,"",OCTUBRE!S178)</f>
        <v>3200200</v>
      </c>
      <c r="T178" s="693" t="str">
        <f>+IF(OCTUBRE!T178=0,"",OCTUBRE!T178)</f>
        <v>Cesantías Pago Directo (Pago Directo)</v>
      </c>
      <c r="U178" s="27">
        <f>+ENERO!U178</f>
        <v>11891004</v>
      </c>
      <c r="V178" s="15">
        <f>OCTUBRE!V178+NOVIEMBRE!AL178</f>
        <v>-11891004</v>
      </c>
      <c r="W178" s="15">
        <f>OCTUBRE!W178+NOVIEMBRE!AM178</f>
        <v>0</v>
      </c>
      <c r="X178" s="18">
        <f t="shared" si="160"/>
        <v>0</v>
      </c>
      <c r="Y178" s="19">
        <f>OCTUBRE!AA178</f>
        <v>0</v>
      </c>
      <c r="Z178" s="377">
        <v>0</v>
      </c>
      <c r="AA178" s="18">
        <f t="shared" si="161"/>
        <v>0</v>
      </c>
      <c r="AB178" s="19">
        <f>OCTUBRE!AD178</f>
        <v>0</v>
      </c>
      <c r="AC178" s="377">
        <v>0</v>
      </c>
      <c r="AD178" s="18">
        <f t="shared" si="162"/>
        <v>0</v>
      </c>
      <c r="AE178" s="19">
        <f>OCTUBRE!AG178</f>
        <v>0</v>
      </c>
      <c r="AF178" s="377">
        <v>0</v>
      </c>
      <c r="AG178" s="18">
        <f t="shared" si="163"/>
        <v>0</v>
      </c>
      <c r="AH178" s="19">
        <f t="shared" si="164"/>
        <v>0</v>
      </c>
      <c r="AI178" s="15">
        <f t="shared" si="165"/>
        <v>0</v>
      </c>
      <c r="AJ178" s="16">
        <f t="shared" si="166"/>
        <v>0</v>
      </c>
      <c r="AK178" s="9"/>
      <c r="AL178" s="375">
        <v>0</v>
      </c>
      <c r="AM178" s="378">
        <v>0</v>
      </c>
      <c r="AN178" s="9"/>
    </row>
    <row r="179" spans="1:40" s="385" customFormat="1" ht="24.95" customHeight="1" x14ac:dyDescent="0.2">
      <c r="A179" s="767"/>
      <c r="B179" s="668"/>
      <c r="N179" s="9"/>
      <c r="P179" s="9"/>
      <c r="Q179" s="9"/>
      <c r="R179" s="9"/>
      <c r="S179" s="719">
        <f>+IF(OCTUBRE!S179=0,"",OCTUBRE!S179)</f>
        <v>3200300</v>
      </c>
      <c r="T179" s="693" t="str">
        <f>+IF(OCTUBRE!T179=0,"",OCTUBRE!T179)</f>
        <v>Bonos, Cuotas de Bonos y cuotas partes jubilatorias</v>
      </c>
      <c r="U179" s="27">
        <f>+ENERO!U179</f>
        <v>0</v>
      </c>
      <c r="V179" s="15">
        <f>OCTUBRE!V179+NOVIEMBRE!AL179</f>
        <v>0</v>
      </c>
      <c r="W179" s="15">
        <f>OCTUBRE!W179+NOVIEMBRE!AM179</f>
        <v>0</v>
      </c>
      <c r="X179" s="18">
        <f t="shared" si="160"/>
        <v>0</v>
      </c>
      <c r="Y179" s="19">
        <f>OCTUBRE!AA179</f>
        <v>0</v>
      </c>
      <c r="Z179" s="377">
        <v>0</v>
      </c>
      <c r="AA179" s="18">
        <f t="shared" si="161"/>
        <v>0</v>
      </c>
      <c r="AB179" s="19">
        <f>OCTUBRE!AD179</f>
        <v>0</v>
      </c>
      <c r="AC179" s="377">
        <v>0</v>
      </c>
      <c r="AD179" s="18">
        <f t="shared" si="162"/>
        <v>0</v>
      </c>
      <c r="AE179" s="19">
        <f>OCTUBRE!AG179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+IF(OCTUBRE!S180=0,"",OCTUBRE!S180)</f>
        <v>3200400</v>
      </c>
      <c r="T180" s="693" t="str">
        <f>+IF(OCTUBRE!T180=0,"",OCTUBRE!T180)</f>
        <v>Intereses a las cesantias</v>
      </c>
      <c r="U180" s="27">
        <f>+ENERO!U180</f>
        <v>0</v>
      </c>
      <c r="V180" s="15">
        <f>OCTUBRE!V180+NOVIEMBRE!AL180</f>
        <v>11891004</v>
      </c>
      <c r="W180" s="15">
        <f>OCTUBRE!W180+NOVIEMBRE!AM180</f>
        <v>0</v>
      </c>
      <c r="X180" s="18">
        <f t="shared" si="160"/>
        <v>11891004</v>
      </c>
      <c r="Y180" s="19">
        <f>OCTUBRE!AA180</f>
        <v>994092</v>
      </c>
      <c r="Z180" s="377">
        <v>0</v>
      </c>
      <c r="AA180" s="18">
        <f t="shared" si="161"/>
        <v>994092</v>
      </c>
      <c r="AB180" s="19">
        <f>OCTUBRE!AD180</f>
        <v>994092</v>
      </c>
      <c r="AC180" s="377">
        <v>0</v>
      </c>
      <c r="AD180" s="18">
        <f t="shared" si="162"/>
        <v>994092</v>
      </c>
      <c r="AE180" s="19">
        <f>OCTUBRE!AG180</f>
        <v>231803</v>
      </c>
      <c r="AF180" s="377">
        <v>0</v>
      </c>
      <c r="AG180" s="18">
        <f t="shared" si="163"/>
        <v>231803</v>
      </c>
      <c r="AH180" s="19">
        <f t="shared" si="164"/>
        <v>10896912</v>
      </c>
      <c r="AI180" s="15">
        <f t="shared" si="165"/>
        <v>10896912</v>
      </c>
      <c r="AJ180" s="16">
        <f t="shared" si="166"/>
        <v>11659201</v>
      </c>
      <c r="AK180" s="9"/>
      <c r="AL180" s="375">
        <v>0</v>
      </c>
      <c r="AM180" s="378">
        <v>0</v>
      </c>
      <c r="AN180" s="9"/>
    </row>
    <row r="181" spans="1:40" s="385" customFormat="1" ht="24.95" customHeight="1" x14ac:dyDescent="0.2">
      <c r="A181" s="767"/>
      <c r="B181" s="668"/>
      <c r="N181" s="9"/>
      <c r="P181" s="9"/>
      <c r="Q181" s="9"/>
      <c r="R181" s="9"/>
      <c r="S181" s="719" t="str">
        <f>+IF(OCTUBRE!S181=0,"",OCTUBRE!S181)</f>
        <v/>
      </c>
      <c r="T181" s="693" t="str">
        <f>+IF(OCTUBRE!T181=0,"",OCTUBRE!T181)</f>
        <v/>
      </c>
      <c r="U181" s="27">
        <f>+ENERO!U181</f>
        <v>0</v>
      </c>
      <c r="V181" s="15">
        <f>OCTUBRE!V181+NOVIEMBRE!AL181</f>
        <v>0</v>
      </c>
      <c r="W181" s="15">
        <f>OCTUBRE!W181+NOVIEMBRE!AM181</f>
        <v>0</v>
      </c>
      <c r="X181" s="18">
        <f t="shared" si="160"/>
        <v>0</v>
      </c>
      <c r="Y181" s="19">
        <f>OCTUBRE!AA181</f>
        <v>0</v>
      </c>
      <c r="Z181" s="377">
        <v>0</v>
      </c>
      <c r="AA181" s="18">
        <f t="shared" si="161"/>
        <v>0</v>
      </c>
      <c r="AB181" s="19">
        <f>OCTUBRE!AD181</f>
        <v>0</v>
      </c>
      <c r="AC181" s="377">
        <v>0</v>
      </c>
      <c r="AD181" s="18">
        <f t="shared" si="162"/>
        <v>0</v>
      </c>
      <c r="AE181" s="19">
        <f>OCTUBRE!AG181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+IF(OCTUBRE!S182=0,"",OCTUBRE!S182)</f>
        <v/>
      </c>
      <c r="T182" s="693" t="str">
        <f>+IF(OCTUBRE!T182=0,"",OCTUBRE!T182)</f>
        <v/>
      </c>
      <c r="U182" s="27">
        <f>+ENERO!U182</f>
        <v>0</v>
      </c>
      <c r="V182" s="15">
        <f>OCTUBRE!V182+NOVIEMBRE!AL182</f>
        <v>0</v>
      </c>
      <c r="W182" s="15">
        <f>OCTUBRE!W182+NOVIEMBRE!AM182</f>
        <v>0</v>
      </c>
      <c r="X182" s="18">
        <f t="shared" si="160"/>
        <v>0</v>
      </c>
      <c r="Y182" s="19">
        <f>OCTUBRE!AA182</f>
        <v>0</v>
      </c>
      <c r="Z182" s="377">
        <v>0</v>
      </c>
      <c r="AA182" s="18">
        <f t="shared" si="161"/>
        <v>0</v>
      </c>
      <c r="AB182" s="19">
        <f>OCTUBRE!AD182</f>
        <v>0</v>
      </c>
      <c r="AC182" s="377">
        <v>0</v>
      </c>
      <c r="AD182" s="18">
        <f t="shared" si="162"/>
        <v>0</v>
      </c>
      <c r="AE182" s="19">
        <f>OCTUBRE!AG182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+IF(OCTUBRE!S183=0,"",OCTUBRE!S183)</f>
        <v>3299999</v>
      </c>
      <c r="T183" s="693" t="str">
        <f>+IF(OCTUBRE!T183=0,"",OCTUBRE!T183)</f>
        <v>Vigencias Anteriores</v>
      </c>
      <c r="U183" s="27">
        <f>+ENERO!U183</f>
        <v>0</v>
      </c>
      <c r="V183" s="15">
        <f>OCTUBRE!V183+NOVIEMBRE!AL183</f>
        <v>0</v>
      </c>
      <c r="W183" s="15">
        <f>OCTUBRE!W183+NOVIEMBRE!AM183</f>
        <v>8290292</v>
      </c>
      <c r="X183" s="18">
        <f t="shared" si="160"/>
        <v>8290292</v>
      </c>
      <c r="Y183" s="19">
        <f>OCTUBRE!AA183</f>
        <v>8290292</v>
      </c>
      <c r="Z183" s="377">
        <v>0</v>
      </c>
      <c r="AA183" s="18">
        <f t="shared" si="161"/>
        <v>8290292</v>
      </c>
      <c r="AB183" s="19">
        <f>OCTUBRE!AD183</f>
        <v>8290292</v>
      </c>
      <c r="AC183" s="377">
        <v>0</v>
      </c>
      <c r="AD183" s="18">
        <f t="shared" si="162"/>
        <v>8290292</v>
      </c>
      <c r="AE183" s="19">
        <f>OCTUBRE!AG183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+IF(OCTUBRE!S184=0,"",OCTUBRE!S184)</f>
        <v/>
      </c>
      <c r="T184" s="708" t="str">
        <f>+IF(OCTUBRE!T184=0,"",OCTUBRE!T184)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+IF(OCTUBRE!S185=0,"",OCTUBRE!S185)</f>
        <v>3300000</v>
      </c>
      <c r="T185" s="692" t="str">
        <f>+IF(OCTUBRE!T185=0,"",OCTUBRE!T185)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447325</v>
      </c>
      <c r="AF185" s="124">
        <f t="shared" si="167"/>
        <v>0</v>
      </c>
      <c r="AG185" s="132">
        <f t="shared" si="167"/>
        <v>447325</v>
      </c>
      <c r="AH185" s="131">
        <f t="shared" si="167"/>
        <v>3747542</v>
      </c>
      <c r="AI185" s="124">
        <f t="shared" si="167"/>
        <v>3747542</v>
      </c>
      <c r="AJ185" s="133">
        <f t="shared" si="167"/>
        <v>9057521</v>
      </c>
      <c r="AK185" s="9"/>
      <c r="AL185" s="131">
        <f>AL186+AL187+AL191</f>
        <v>0</v>
      </c>
      <c r="AM185" s="133">
        <f>AM186+AM187+AM191</f>
        <v>0</v>
      </c>
      <c r="AN185" s="9"/>
    </row>
    <row r="186" spans="1:40" s="385" customFormat="1" ht="24.95" customHeight="1" x14ac:dyDescent="0.2">
      <c r="A186" s="767"/>
      <c r="B186" s="668"/>
      <c r="N186" s="9"/>
      <c r="P186" s="9"/>
      <c r="Q186" s="9"/>
      <c r="R186" s="9"/>
      <c r="S186" s="719">
        <f>+IF(OCTUBRE!S186=0,"",OCTUBRE!S186)</f>
        <v>3300100</v>
      </c>
      <c r="T186" s="693" t="str">
        <f>+IF(OCTUBRE!T186=0,"",OCTUBRE!T186)</f>
        <v>Sentencias y Conciliaciones</v>
      </c>
      <c r="U186" s="27">
        <f>+ENERO!U186</f>
        <v>0</v>
      </c>
      <c r="V186" s="15">
        <f>OCTUBRE!V186+NOVIEMBRE!AL186</f>
        <v>0</v>
      </c>
      <c r="W186" s="15">
        <f>OCTUBRE!W186+NOVIEMBRE!AM186</f>
        <v>0</v>
      </c>
      <c r="X186" s="18">
        <f>SUM(U186:W186)</f>
        <v>0</v>
      </c>
      <c r="Y186" s="19">
        <f>OCTUBRE!AA186</f>
        <v>0</v>
      </c>
      <c r="Z186" s="377">
        <v>0</v>
      </c>
      <c r="AA186" s="18">
        <f>SUM(Y186:Z186)</f>
        <v>0</v>
      </c>
      <c r="AB186" s="19">
        <f>OCTUBRE!AD186</f>
        <v>0</v>
      </c>
      <c r="AC186" s="377">
        <v>0</v>
      </c>
      <c r="AD186" s="18">
        <f>SUM(AB186:AC186)</f>
        <v>0</v>
      </c>
      <c r="AE186" s="19">
        <f>OCTUBRE!AG186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+IF(OCTUBRE!S187=0,"",OCTUBRE!S187)</f>
        <v>3300200</v>
      </c>
      <c r="T187" s="693" t="str">
        <f>+IF(OCTUBRE!T187=0,"",OCTUBRE!T187)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58943</v>
      </c>
      <c r="AF187" s="145">
        <f t="shared" si="168"/>
        <v>0</v>
      </c>
      <c r="AG187" s="18">
        <f t="shared" si="168"/>
        <v>58943</v>
      </c>
      <c r="AH187" s="19">
        <f t="shared" si="168"/>
        <v>3747542</v>
      </c>
      <c r="AI187" s="15">
        <f t="shared" si="168"/>
        <v>3747542</v>
      </c>
      <c r="AJ187" s="16">
        <f t="shared" si="168"/>
        <v>9057521</v>
      </c>
      <c r="AK187" s="9"/>
      <c r="AL187" s="29">
        <f t="shared" si="168"/>
        <v>0</v>
      </c>
      <c r="AM187" s="26">
        <f t="shared" si="168"/>
        <v>0</v>
      </c>
      <c r="AN187" s="9"/>
    </row>
    <row r="188" spans="1:40" s="385" customFormat="1" ht="24.95" customHeight="1" x14ac:dyDescent="0.2">
      <c r="A188" s="767"/>
      <c r="B188" s="669"/>
      <c r="N188" s="9"/>
      <c r="P188" s="9"/>
      <c r="Q188" s="9"/>
      <c r="R188" s="9"/>
      <c r="S188" s="720" t="str">
        <f>+IF(OCTUBRE!S188=0,"",OCTUBRE!S188)</f>
        <v>3300200-1</v>
      </c>
      <c r="T188" s="693" t="str">
        <f>+IF(OCTUBRE!T188=0,"",OCTUBRE!T188)</f>
        <v>COHAN</v>
      </c>
      <c r="U188" s="27">
        <f>+ENERO!U188</f>
        <v>793940</v>
      </c>
      <c r="V188" s="15">
        <f>OCTUBRE!V188+NOVIEMBRE!AL188</f>
        <v>0</v>
      </c>
      <c r="W188" s="15">
        <f>OCTUBRE!W188+NOVIEMBRE!AM188</f>
        <v>5500000</v>
      </c>
      <c r="X188" s="18">
        <f>SUM(U188:W188)</f>
        <v>6293940</v>
      </c>
      <c r="Y188" s="19">
        <f>OCTUBRE!AA188</f>
        <v>2791522</v>
      </c>
      <c r="Z188" s="377">
        <v>0</v>
      </c>
      <c r="AA188" s="18">
        <f>SUM(Y188:Z188)</f>
        <v>2791522</v>
      </c>
      <c r="AB188" s="19">
        <f>OCTUBRE!AD188</f>
        <v>2791522</v>
      </c>
      <c r="AC188" s="377">
        <v>0</v>
      </c>
      <c r="AD188" s="18">
        <f>SUM(AB188:AC188)</f>
        <v>2791522</v>
      </c>
      <c r="AE188" s="19">
        <f>OCTUBRE!AG188</f>
        <v>58943</v>
      </c>
      <c r="AF188" s="377">
        <v>0</v>
      </c>
      <c r="AG188" s="18">
        <f>SUM(AE188:AF188)</f>
        <v>58943</v>
      </c>
      <c r="AH188" s="19">
        <f>X188-AA188</f>
        <v>3502418</v>
      </c>
      <c r="AI188" s="15">
        <f>X188-AD188</f>
        <v>3502418</v>
      </c>
      <c r="AJ188" s="16">
        <f>X188-AG188</f>
        <v>6234997</v>
      </c>
      <c r="AK188" s="9"/>
      <c r="AL188" s="375">
        <v>0</v>
      </c>
      <c r="AM188" s="378">
        <v>0</v>
      </c>
      <c r="AN188" s="9"/>
    </row>
    <row r="189" spans="1:40" s="385" customFormat="1" ht="24.95" customHeight="1" x14ac:dyDescent="0.2">
      <c r="A189" s="767"/>
      <c r="B189" s="669"/>
      <c r="N189" s="9"/>
      <c r="P189" s="9"/>
      <c r="Q189" s="9"/>
      <c r="R189" s="9"/>
      <c r="S189" s="720" t="str">
        <f>+IF(OCTUBRE!S189=0,"",OCTUBRE!S189)</f>
        <v>3300200-2</v>
      </c>
      <c r="T189" s="693" t="str">
        <f>+IF(OCTUBRE!T189=0,"",OCTUBRE!T189)</f>
        <v>AESA</v>
      </c>
      <c r="U189" s="27">
        <f>+ENERO!U189</f>
        <v>2822524</v>
      </c>
      <c r="V189" s="15">
        <f>OCTUBRE!V189+NOVIEMBRE!AL189</f>
        <v>0</v>
      </c>
      <c r="W189" s="15">
        <f>OCTUBRE!W189+NOVIEMBRE!AM189</f>
        <v>0</v>
      </c>
      <c r="X189" s="18">
        <f>SUM(U189:W189)</f>
        <v>2822524</v>
      </c>
      <c r="Y189" s="19">
        <f>OCTUBRE!AA189</f>
        <v>2577400</v>
      </c>
      <c r="Z189" s="377">
        <v>0</v>
      </c>
      <c r="AA189" s="18">
        <f>SUM(Y189:Z189)</f>
        <v>2577400</v>
      </c>
      <c r="AB189" s="19">
        <f>OCTUBRE!AD189</f>
        <v>2577400</v>
      </c>
      <c r="AC189" s="377">
        <v>0</v>
      </c>
      <c r="AD189" s="18">
        <f>SUM(AB189:AC189)</f>
        <v>2577400</v>
      </c>
      <c r="AE189" s="19">
        <f>OCTUBRE!AG189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+IF(OCTUBRE!S190=0,"",OCTUBRE!S190)</f>
        <v>3300200-3</v>
      </c>
      <c r="T190" s="693" t="str">
        <f>+IF(OCTUBRE!T190=0,"",OCTUBRE!T190)</f>
        <v xml:space="preserve">OTRAS </v>
      </c>
      <c r="U190" s="27">
        <f>+ENERO!U190</f>
        <v>0</v>
      </c>
      <c r="V190" s="15">
        <f>OCTUBRE!V190+NOVIEMBRE!AL190</f>
        <v>0</v>
      </c>
      <c r="W190" s="15">
        <f>OCTUBRE!W190+NOVIEMBRE!AM190</f>
        <v>0</v>
      </c>
      <c r="X190" s="18">
        <f>SUM(U190:W190)</f>
        <v>0</v>
      </c>
      <c r="Y190" s="19">
        <f>OCTUBRE!AA190</f>
        <v>0</v>
      </c>
      <c r="Z190" s="377">
        <v>0</v>
      </c>
      <c r="AA190" s="18">
        <f>SUM(Y190:Z190)</f>
        <v>0</v>
      </c>
      <c r="AB190" s="19">
        <f>OCTUBRE!AD190</f>
        <v>0</v>
      </c>
      <c r="AC190" s="377">
        <v>0</v>
      </c>
      <c r="AD190" s="18">
        <f>SUM(AB190:AC190)</f>
        <v>0</v>
      </c>
      <c r="AE190" s="19">
        <f>OCTUBRE!AG190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+IF(OCTUBRE!S191=0,"",OCTUBRE!S191)</f>
        <v>3399999</v>
      </c>
      <c r="T191" s="693" t="str">
        <f>+IF(OCTUBRE!T191=0,"",OCTUBRE!T191)</f>
        <v>Vigencias Anteriores</v>
      </c>
      <c r="U191" s="27">
        <f>+ENERO!U191</f>
        <v>0</v>
      </c>
      <c r="V191" s="15">
        <f>OCTUBRE!V191+NOVIEMBRE!AL191</f>
        <v>0</v>
      </c>
      <c r="W191" s="15">
        <f>OCTUBRE!W191+NOVIEMBRE!AM191</f>
        <v>388382</v>
      </c>
      <c r="X191" s="18">
        <f>SUM(U191:W191)</f>
        <v>388382</v>
      </c>
      <c r="Y191" s="19">
        <f>OCTUBRE!AA191</f>
        <v>388382</v>
      </c>
      <c r="Z191" s="377">
        <v>0</v>
      </c>
      <c r="AA191" s="18">
        <f>SUM(Y191:Z191)</f>
        <v>388382</v>
      </c>
      <c r="AB191" s="19">
        <f>OCTUBRE!AD191</f>
        <v>388382</v>
      </c>
      <c r="AC191" s="377">
        <v>0</v>
      </c>
      <c r="AD191" s="18">
        <f>SUM(AB191:AC191)</f>
        <v>388382</v>
      </c>
      <c r="AE191" s="19">
        <f>OCTUBRE!AG191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+IF(OCTUBRE!S192=0,"",OCTUBRE!S192)</f>
        <v/>
      </c>
      <c r="T192" s="708" t="str">
        <f>+IF(OCTUBRE!T192=0,"",OCTUBRE!T192)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+IF(OCTUBRE!S193=0,"",OCTUBRE!S193)</f>
        <v>4000000</v>
      </c>
      <c r="T193" s="697" t="str">
        <f>+IF(OCTUBRE!T193=0,"",OCTUBRE!T193)</f>
        <v>GASTOS  DE PRESTACION DE SERVICIOS</v>
      </c>
      <c r="U193" s="473">
        <f t="shared" ref="U193:AJ193" si="169">U194</f>
        <v>272529328</v>
      </c>
      <c r="V193" s="474">
        <f t="shared" si="169"/>
        <v>-27900000</v>
      </c>
      <c r="W193" s="474">
        <f t="shared" si="169"/>
        <v>196423942</v>
      </c>
      <c r="X193" s="475">
        <f t="shared" si="169"/>
        <v>441053270</v>
      </c>
      <c r="Y193" s="382">
        <f t="shared" si="169"/>
        <v>354734932</v>
      </c>
      <c r="Z193" s="474">
        <f t="shared" si="169"/>
        <v>0</v>
      </c>
      <c r="AA193" s="475">
        <f t="shared" si="169"/>
        <v>354734932</v>
      </c>
      <c r="AB193" s="382">
        <f t="shared" si="169"/>
        <v>342925988</v>
      </c>
      <c r="AC193" s="474">
        <f t="shared" si="169"/>
        <v>0</v>
      </c>
      <c r="AD193" s="475">
        <f t="shared" si="169"/>
        <v>342925988</v>
      </c>
      <c r="AE193" s="382">
        <f t="shared" si="169"/>
        <v>177717142</v>
      </c>
      <c r="AF193" s="474">
        <f t="shared" si="169"/>
        <v>0</v>
      </c>
      <c r="AG193" s="475">
        <f t="shared" si="169"/>
        <v>177717142</v>
      </c>
      <c r="AH193" s="382">
        <f t="shared" si="169"/>
        <v>86318338</v>
      </c>
      <c r="AI193" s="474">
        <f t="shared" si="169"/>
        <v>98127282</v>
      </c>
      <c r="AJ193" s="383">
        <f t="shared" si="169"/>
        <v>263336128</v>
      </c>
      <c r="AK193" s="9"/>
      <c r="AL193" s="131">
        <f>AL194</f>
        <v>0</v>
      </c>
      <c r="AM193" s="133">
        <f>AM194</f>
        <v>0</v>
      </c>
      <c r="AN193" s="9"/>
    </row>
    <row r="194" spans="1:40" s="385" customFormat="1" ht="24.95" customHeight="1" x14ac:dyDescent="0.2">
      <c r="A194" s="767"/>
      <c r="B194" s="669"/>
      <c r="N194" s="9"/>
      <c r="P194" s="9"/>
      <c r="Q194" s="9"/>
      <c r="R194" s="9"/>
      <c r="S194" s="718">
        <f>+IF(OCTUBRE!S194=0,"",OCTUBRE!S194)</f>
        <v>4100000</v>
      </c>
      <c r="T194" s="692" t="str">
        <f>+IF(OCTUBRE!T194=0,"",OCTUBRE!T194)</f>
        <v>Insumos y Suministros Hospitalarios</v>
      </c>
      <c r="U194" s="135">
        <f t="shared" ref="U194:AJ194" si="170">U195+U203+U205</f>
        <v>272529328</v>
      </c>
      <c r="V194" s="124">
        <f t="shared" si="170"/>
        <v>-27900000</v>
      </c>
      <c r="W194" s="124">
        <f t="shared" si="170"/>
        <v>196423942</v>
      </c>
      <c r="X194" s="132">
        <f t="shared" si="170"/>
        <v>441053270</v>
      </c>
      <c r="Y194" s="131">
        <f t="shared" si="170"/>
        <v>354734932</v>
      </c>
      <c r="Z194" s="124">
        <f t="shared" si="170"/>
        <v>0</v>
      </c>
      <c r="AA194" s="132">
        <f t="shared" si="170"/>
        <v>354734932</v>
      </c>
      <c r="AB194" s="131">
        <f t="shared" si="170"/>
        <v>342925988</v>
      </c>
      <c r="AC194" s="124">
        <f t="shared" si="170"/>
        <v>0</v>
      </c>
      <c r="AD194" s="132">
        <f t="shared" si="170"/>
        <v>342925988</v>
      </c>
      <c r="AE194" s="131">
        <f t="shared" si="170"/>
        <v>177717142</v>
      </c>
      <c r="AF194" s="124">
        <f t="shared" si="170"/>
        <v>0</v>
      </c>
      <c r="AG194" s="132">
        <f t="shared" si="170"/>
        <v>177717142</v>
      </c>
      <c r="AH194" s="131">
        <f t="shared" si="170"/>
        <v>86318338</v>
      </c>
      <c r="AI194" s="124">
        <f t="shared" si="170"/>
        <v>98127282</v>
      </c>
      <c r="AJ194" s="133">
        <f t="shared" si="170"/>
        <v>263336128</v>
      </c>
      <c r="AK194" s="10"/>
      <c r="AL194" s="131">
        <f>AL195+AL203+AL205</f>
        <v>0</v>
      </c>
      <c r="AM194" s="133">
        <f>AM195+AM203+AM205</f>
        <v>0</v>
      </c>
      <c r="AN194" s="9"/>
    </row>
    <row r="195" spans="1:40" s="385" customFormat="1" ht="24.95" customHeight="1" x14ac:dyDescent="0.2">
      <c r="A195" s="767"/>
      <c r="B195" s="669"/>
      <c r="N195" s="9"/>
      <c r="P195" s="9"/>
      <c r="Q195" s="9"/>
      <c r="R195" s="9"/>
      <c r="S195" s="719">
        <f>+IF(OCTUBRE!S195=0,"",OCTUBRE!S195)</f>
        <v>4100100</v>
      </c>
      <c r="T195" s="693" t="str">
        <f>+IF(OCTUBRE!T195=0,"",OCTUBRE!T195)</f>
        <v>Compra de Bienes para la Prestacion de servicios</v>
      </c>
      <c r="U195" s="27">
        <f t="shared" ref="U195:AJ195" si="171">SUM(U196:U202)</f>
        <v>240561284</v>
      </c>
      <c r="V195" s="15">
        <f t="shared" si="171"/>
        <v>-30900000</v>
      </c>
      <c r="W195" s="15">
        <f t="shared" si="171"/>
        <v>104588010</v>
      </c>
      <c r="X195" s="18">
        <f t="shared" si="171"/>
        <v>314249294</v>
      </c>
      <c r="Y195" s="19">
        <f t="shared" si="171"/>
        <v>233964690</v>
      </c>
      <c r="Z195" s="145">
        <f t="shared" si="171"/>
        <v>0</v>
      </c>
      <c r="AA195" s="18">
        <f t="shared" si="171"/>
        <v>233964690</v>
      </c>
      <c r="AB195" s="19">
        <f t="shared" si="171"/>
        <v>222196526</v>
      </c>
      <c r="AC195" s="145">
        <f t="shared" si="171"/>
        <v>0</v>
      </c>
      <c r="AD195" s="18">
        <f t="shared" si="171"/>
        <v>222196526</v>
      </c>
      <c r="AE195" s="19">
        <f t="shared" si="171"/>
        <v>61089976</v>
      </c>
      <c r="AF195" s="145">
        <f t="shared" si="171"/>
        <v>0</v>
      </c>
      <c r="AG195" s="18">
        <f t="shared" si="171"/>
        <v>61089976</v>
      </c>
      <c r="AH195" s="19">
        <f t="shared" si="171"/>
        <v>80284604</v>
      </c>
      <c r="AI195" s="15">
        <f t="shared" si="171"/>
        <v>92052768</v>
      </c>
      <c r="AJ195" s="16">
        <f t="shared" si="171"/>
        <v>253159318</v>
      </c>
      <c r="AK195" s="9"/>
      <c r="AL195" s="29">
        <f>SUM(AL196:AL202)</f>
        <v>0</v>
      </c>
      <c r="AM195" s="26">
        <f>SUM(AM196:AM202)</f>
        <v>0</v>
      </c>
      <c r="AN195" s="9"/>
    </row>
    <row r="196" spans="1:40" s="385" customFormat="1" ht="24.95" customHeight="1" x14ac:dyDescent="0.2">
      <c r="A196" s="767"/>
      <c r="B196" s="669"/>
      <c r="N196" s="9"/>
      <c r="P196" s="9"/>
      <c r="Q196" s="9"/>
      <c r="R196" s="9"/>
      <c r="S196" s="720" t="str">
        <f>+IF(OCTUBRE!S196=0,"",OCTUBRE!S196)</f>
        <v>4100100-1</v>
      </c>
      <c r="T196" s="694" t="str">
        <f>+IF(OCTUBRE!T196=0,"",OCTUBRE!T196)</f>
        <v>Productos Farmaceuticos</v>
      </c>
      <c r="U196" s="27">
        <f>+ENERO!U196</f>
        <v>145961721</v>
      </c>
      <c r="V196" s="15">
        <f>OCTUBRE!V196+NOVIEMBRE!AL196</f>
        <v>-36874000</v>
      </c>
      <c r="W196" s="15">
        <f>OCTUBRE!W196+NOVIEMBRE!AM196</f>
        <v>102588010</v>
      </c>
      <c r="X196" s="18">
        <f t="shared" ref="X196:X202" si="172">SUM(U196:W196)</f>
        <v>211675731</v>
      </c>
      <c r="Y196" s="19">
        <f>OCTUBRE!AA196</f>
        <v>153166071</v>
      </c>
      <c r="Z196" s="377">
        <v>0</v>
      </c>
      <c r="AA196" s="18">
        <f t="shared" ref="AA196:AA202" si="173">SUM(Y196:Z196)</f>
        <v>153166071</v>
      </c>
      <c r="AB196" s="19">
        <f>OCTUBRE!AD196</f>
        <v>141397907</v>
      </c>
      <c r="AC196" s="377">
        <v>0</v>
      </c>
      <c r="AD196" s="18">
        <f t="shared" ref="AD196:AD202" si="174">SUM(AB196:AC196)</f>
        <v>141397907</v>
      </c>
      <c r="AE196" s="19">
        <f>OCTUBRE!AG196</f>
        <v>33891501</v>
      </c>
      <c r="AF196" s="377">
        <v>0</v>
      </c>
      <c r="AG196" s="18">
        <f t="shared" ref="AG196:AG202" si="175">SUM(AE196:AF196)</f>
        <v>33891501</v>
      </c>
      <c r="AH196" s="19">
        <f t="shared" ref="AH196:AH202" si="176">X196-AA196</f>
        <v>58509660</v>
      </c>
      <c r="AI196" s="15">
        <f t="shared" ref="AI196:AI202" si="177">X196-AD196</f>
        <v>70277824</v>
      </c>
      <c r="AJ196" s="16">
        <f t="shared" ref="AJ196:AJ202" si="178">X196-AG196</f>
        <v>177784230</v>
      </c>
      <c r="AK196" s="9"/>
      <c r="AL196" s="375">
        <v>0</v>
      </c>
      <c r="AM196" s="378">
        <v>0</v>
      </c>
      <c r="AN196" s="9"/>
    </row>
    <row r="197" spans="1:40" s="385" customFormat="1" ht="24.95" customHeight="1" x14ac:dyDescent="0.2">
      <c r="A197" s="767"/>
      <c r="B197" s="669"/>
      <c r="N197" s="9"/>
      <c r="P197" s="9"/>
      <c r="Q197" s="9"/>
      <c r="R197" s="9"/>
      <c r="S197" s="720" t="str">
        <f>+IF(OCTUBRE!S197=0,"",OCTUBRE!S197)</f>
        <v>4100100-2</v>
      </c>
      <c r="T197" s="694" t="str">
        <f>+IF(OCTUBRE!T197=0,"",OCTUBRE!T197)</f>
        <v>Material Médico Quirúrgico</v>
      </c>
      <c r="U197" s="27">
        <f>+ENERO!U197</f>
        <v>49263202</v>
      </c>
      <c r="V197" s="15">
        <f>OCTUBRE!V197+NOVIEMBRE!AL197</f>
        <v>0</v>
      </c>
      <c r="W197" s="15">
        <f>OCTUBRE!W197+NOVIEMBRE!AM197</f>
        <v>0</v>
      </c>
      <c r="X197" s="18">
        <f t="shared" si="172"/>
        <v>49263202</v>
      </c>
      <c r="Y197" s="19">
        <f>OCTUBRE!AA197</f>
        <v>41751651</v>
      </c>
      <c r="Z197" s="377">
        <v>0</v>
      </c>
      <c r="AA197" s="18">
        <f t="shared" si="173"/>
        <v>41751651</v>
      </c>
      <c r="AB197" s="19">
        <f>OCTUBRE!AD197</f>
        <v>41751651</v>
      </c>
      <c r="AC197" s="377">
        <v>0</v>
      </c>
      <c r="AD197" s="18">
        <f t="shared" si="174"/>
        <v>41751651</v>
      </c>
      <c r="AE197" s="19">
        <f>OCTUBRE!AG197</f>
        <v>13065656</v>
      </c>
      <c r="AF197" s="377">
        <v>0</v>
      </c>
      <c r="AG197" s="18">
        <f t="shared" si="175"/>
        <v>13065656</v>
      </c>
      <c r="AH197" s="19">
        <f t="shared" si="176"/>
        <v>7511551</v>
      </c>
      <c r="AI197" s="15">
        <f t="shared" si="177"/>
        <v>7511551</v>
      </c>
      <c r="AJ197" s="16">
        <f t="shared" si="178"/>
        <v>36197546</v>
      </c>
      <c r="AK197" s="9"/>
      <c r="AL197" s="375">
        <v>0</v>
      </c>
      <c r="AM197" s="378">
        <v>0</v>
      </c>
      <c r="AN197" s="9"/>
    </row>
    <row r="198" spans="1:40" s="385" customFormat="1" ht="24.95" customHeight="1" x14ac:dyDescent="0.2">
      <c r="A198" s="767"/>
      <c r="B198" s="669"/>
      <c r="N198" s="9"/>
      <c r="P198" s="9"/>
      <c r="Q198" s="9"/>
      <c r="R198" s="9"/>
      <c r="S198" s="720" t="str">
        <f>+IF(OCTUBRE!S198=0,"",OCTUBRE!S198)</f>
        <v>4100100-3</v>
      </c>
      <c r="T198" s="694" t="str">
        <f>+IF(OCTUBRE!T198=0,"",OCTUBRE!T198)</f>
        <v>Material de Laboratorio</v>
      </c>
      <c r="U198" s="27">
        <f>+ENERO!U198</f>
        <v>20729510</v>
      </c>
      <c r="V198" s="15">
        <f>OCTUBRE!V198+NOVIEMBRE!AL198</f>
        <v>8974000</v>
      </c>
      <c r="W198" s="15">
        <f>OCTUBRE!W198+NOVIEMBRE!AM198</f>
        <v>0</v>
      </c>
      <c r="X198" s="18">
        <f t="shared" si="172"/>
        <v>29703510</v>
      </c>
      <c r="Y198" s="19">
        <f>OCTUBRE!AA198</f>
        <v>22442273</v>
      </c>
      <c r="Z198" s="377">
        <v>0</v>
      </c>
      <c r="AA198" s="18">
        <f t="shared" si="173"/>
        <v>22442273</v>
      </c>
      <c r="AB198" s="19">
        <f>OCTUBRE!AD198</f>
        <v>22442273</v>
      </c>
      <c r="AC198" s="377">
        <v>0</v>
      </c>
      <c r="AD198" s="18">
        <f t="shared" si="174"/>
        <v>22442273</v>
      </c>
      <c r="AE198" s="19">
        <f>OCTUBRE!AG198</f>
        <v>6596916</v>
      </c>
      <c r="AF198" s="377">
        <v>0</v>
      </c>
      <c r="AG198" s="18">
        <f t="shared" si="175"/>
        <v>6596916</v>
      </c>
      <c r="AH198" s="19">
        <f t="shared" si="176"/>
        <v>7261237</v>
      </c>
      <c r="AI198" s="15">
        <f t="shared" si="177"/>
        <v>7261237</v>
      </c>
      <c r="AJ198" s="16">
        <f t="shared" si="178"/>
        <v>23106594</v>
      </c>
      <c r="AK198" s="9"/>
      <c r="AL198" s="375">
        <v>0</v>
      </c>
      <c r="AM198" s="378">
        <v>0</v>
      </c>
      <c r="AN198" s="9"/>
    </row>
    <row r="199" spans="1:40" s="385" customFormat="1" ht="24.95" customHeight="1" x14ac:dyDescent="0.2">
      <c r="A199" s="767"/>
      <c r="B199" s="669"/>
      <c r="N199" s="9"/>
      <c r="P199" s="9"/>
      <c r="Q199" s="9"/>
      <c r="R199" s="9"/>
      <c r="S199" s="720" t="str">
        <f>+IF(OCTUBRE!S199=0,"",OCTUBRE!S199)</f>
        <v>4100100-4</v>
      </c>
      <c r="T199" s="694" t="str">
        <f>+IF(OCTUBRE!T199=0,"",OCTUBRE!T199)</f>
        <v>Material para Odontologia</v>
      </c>
      <c r="U199" s="27">
        <f>+ENERO!U199</f>
        <v>22568185</v>
      </c>
      <c r="V199" s="15">
        <f>OCTUBRE!V199+NOVIEMBRE!AL199</f>
        <v>0</v>
      </c>
      <c r="W199" s="15">
        <f>OCTUBRE!W199+NOVIEMBRE!AM199</f>
        <v>0</v>
      </c>
      <c r="X199" s="18">
        <f t="shared" si="172"/>
        <v>22568185</v>
      </c>
      <c r="Y199" s="19">
        <f>OCTUBRE!AA199</f>
        <v>16604695</v>
      </c>
      <c r="Z199" s="377">
        <v>0</v>
      </c>
      <c r="AA199" s="18">
        <f t="shared" si="173"/>
        <v>16604695</v>
      </c>
      <c r="AB199" s="19">
        <f>OCTUBRE!AD199</f>
        <v>16604695</v>
      </c>
      <c r="AC199" s="377">
        <v>0</v>
      </c>
      <c r="AD199" s="18">
        <f t="shared" si="174"/>
        <v>16604695</v>
      </c>
      <c r="AE199" s="19">
        <f>OCTUBRE!AG199</f>
        <v>7535903</v>
      </c>
      <c r="AF199" s="377">
        <v>0</v>
      </c>
      <c r="AG199" s="18">
        <f t="shared" si="175"/>
        <v>7535903</v>
      </c>
      <c r="AH199" s="19">
        <f t="shared" si="176"/>
        <v>5963490</v>
      </c>
      <c r="AI199" s="15">
        <f t="shared" si="177"/>
        <v>5963490</v>
      </c>
      <c r="AJ199" s="16">
        <f t="shared" si="178"/>
        <v>15032282</v>
      </c>
      <c r="AK199" s="9"/>
      <c r="AL199" s="375">
        <v>0</v>
      </c>
      <c r="AM199" s="378">
        <v>0</v>
      </c>
      <c r="AN199" s="9"/>
    </row>
    <row r="200" spans="1:40" s="385" customFormat="1" ht="24.95" customHeight="1" x14ac:dyDescent="0.2">
      <c r="A200" s="767"/>
      <c r="B200" s="669"/>
      <c r="N200" s="9"/>
      <c r="P200" s="9"/>
      <c r="Q200" s="9"/>
      <c r="R200" s="9"/>
      <c r="S200" s="720" t="str">
        <f>+IF(OCTUBRE!S200=0,"",OCTUBRE!S200)</f>
        <v>4100100-5</v>
      </c>
      <c r="T200" s="694" t="str">
        <f>+IF(OCTUBRE!T200=0,"",OCTUBRE!T200)</f>
        <v>Material para Rayos X</v>
      </c>
      <c r="U200" s="27">
        <f>+ENERO!U200</f>
        <v>2038666</v>
      </c>
      <c r="V200" s="15">
        <f>OCTUBRE!V200+NOVIEMBRE!AL200</f>
        <v>-3000000</v>
      </c>
      <c r="W200" s="15">
        <f>OCTUBRE!W200+NOVIEMBRE!AM200</f>
        <v>2000000</v>
      </c>
      <c r="X200" s="18">
        <f t="shared" si="172"/>
        <v>1038666</v>
      </c>
      <c r="Y200" s="19">
        <f>OCTUBRE!AA200</f>
        <v>0</v>
      </c>
      <c r="Z200" s="377">
        <v>0</v>
      </c>
      <c r="AA200" s="18">
        <f t="shared" si="173"/>
        <v>0</v>
      </c>
      <c r="AB200" s="19">
        <f>OCTUBRE!AD200</f>
        <v>0</v>
      </c>
      <c r="AC200" s="377">
        <v>0</v>
      </c>
      <c r="AD200" s="18">
        <f t="shared" si="174"/>
        <v>0</v>
      </c>
      <c r="AE200" s="19">
        <f>OCTUBRE!AG200</f>
        <v>0</v>
      </c>
      <c r="AF200" s="377">
        <v>0</v>
      </c>
      <c r="AG200" s="18">
        <f t="shared" si="175"/>
        <v>0</v>
      </c>
      <c r="AH200" s="19">
        <f t="shared" si="176"/>
        <v>1038666</v>
      </c>
      <c r="AI200" s="15">
        <f t="shared" si="177"/>
        <v>1038666</v>
      </c>
      <c r="AJ200" s="16">
        <f t="shared" si="178"/>
        <v>1038666</v>
      </c>
      <c r="AK200" s="9"/>
      <c r="AL200" s="375">
        <v>0</v>
      </c>
      <c r="AM200" s="378">
        <v>0</v>
      </c>
      <c r="AN200" s="9"/>
    </row>
    <row r="201" spans="1:40" s="385" customFormat="1" ht="24.95" customHeight="1" x14ac:dyDescent="0.2">
      <c r="A201" s="767"/>
      <c r="B201" s="669"/>
      <c r="N201" s="9"/>
      <c r="P201" s="9"/>
      <c r="Q201" s="9"/>
      <c r="R201" s="9"/>
      <c r="S201" s="720" t="str">
        <f>+IF(OCTUBRE!S201=0,"",OCTUBRE!S201)</f>
        <v/>
      </c>
      <c r="T201" s="694" t="str">
        <f>+IF(OCTUBRE!T201=0,"",OCTUBRE!T201)</f>
        <v/>
      </c>
      <c r="U201" s="27">
        <f>+ENERO!U201</f>
        <v>0</v>
      </c>
      <c r="V201" s="15">
        <f>OCTUBRE!V201+NOVIEMBRE!AL201</f>
        <v>0</v>
      </c>
      <c r="W201" s="15">
        <f>OCTUBRE!W201+NOVIEMBRE!AM201</f>
        <v>0</v>
      </c>
      <c r="X201" s="18">
        <f t="shared" si="172"/>
        <v>0</v>
      </c>
      <c r="Y201" s="19">
        <f>OCTUBRE!AA201</f>
        <v>0</v>
      </c>
      <c r="Z201" s="377">
        <v>0</v>
      </c>
      <c r="AA201" s="18">
        <f t="shared" si="173"/>
        <v>0</v>
      </c>
      <c r="AB201" s="19">
        <f>OCTUBRE!AD201</f>
        <v>0</v>
      </c>
      <c r="AC201" s="377">
        <v>0</v>
      </c>
      <c r="AD201" s="18">
        <f t="shared" si="174"/>
        <v>0</v>
      </c>
      <c r="AE201" s="19">
        <f>OCTUBRE!AG201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+IF(OCTUBRE!S202=0,"",OCTUBRE!S202)</f>
        <v/>
      </c>
      <c r="T202" s="694" t="str">
        <f>+IF(OCTUBRE!T202=0,"",OCTUBRE!T202)</f>
        <v/>
      </c>
      <c r="U202" s="27">
        <f>+ENERO!U202</f>
        <v>0</v>
      </c>
      <c r="V202" s="15">
        <f>OCTUBRE!V202+NOVIEMBRE!AL202</f>
        <v>0</v>
      </c>
      <c r="W202" s="15">
        <f>OCTUBRE!W202+NOVIEMBRE!AM202</f>
        <v>0</v>
      </c>
      <c r="X202" s="18">
        <f t="shared" si="172"/>
        <v>0</v>
      </c>
      <c r="Y202" s="19">
        <f>OCTUBRE!AA202</f>
        <v>0</v>
      </c>
      <c r="Z202" s="377">
        <v>0</v>
      </c>
      <c r="AA202" s="18">
        <f t="shared" si="173"/>
        <v>0</v>
      </c>
      <c r="AB202" s="19">
        <f>OCTUBRE!AD202</f>
        <v>0</v>
      </c>
      <c r="AC202" s="377">
        <v>0</v>
      </c>
      <c r="AD202" s="18">
        <f t="shared" si="174"/>
        <v>0</v>
      </c>
      <c r="AE202" s="19">
        <f>OCTUBRE!AG202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+IF(OCTUBRE!S203=0,"",OCTUBRE!S203)</f>
        <v>4100200</v>
      </c>
      <c r="T203" s="693" t="str">
        <f>+IF(OCTUBRE!T203=0,"",OCTUBRE!T203)</f>
        <v>Gastos Complementarios e Intermedios</v>
      </c>
      <c r="U203" s="27">
        <f t="shared" ref="U203:AJ203" si="179">U204</f>
        <v>31968044</v>
      </c>
      <c r="V203" s="15">
        <f t="shared" si="179"/>
        <v>3000000</v>
      </c>
      <c r="W203" s="15">
        <f t="shared" si="179"/>
        <v>0</v>
      </c>
      <c r="X203" s="18">
        <f t="shared" si="179"/>
        <v>34968044</v>
      </c>
      <c r="Y203" s="19">
        <f t="shared" si="179"/>
        <v>28934310</v>
      </c>
      <c r="Z203" s="145">
        <f t="shared" si="179"/>
        <v>0</v>
      </c>
      <c r="AA203" s="18">
        <f t="shared" si="179"/>
        <v>28934310</v>
      </c>
      <c r="AB203" s="19">
        <f t="shared" si="179"/>
        <v>28893530</v>
      </c>
      <c r="AC203" s="145">
        <f t="shared" si="179"/>
        <v>0</v>
      </c>
      <c r="AD203" s="18">
        <f t="shared" si="179"/>
        <v>28893530</v>
      </c>
      <c r="AE203" s="19">
        <f t="shared" si="179"/>
        <v>25017596</v>
      </c>
      <c r="AF203" s="145">
        <f t="shared" si="179"/>
        <v>0</v>
      </c>
      <c r="AG203" s="18">
        <f t="shared" si="179"/>
        <v>25017596</v>
      </c>
      <c r="AH203" s="19">
        <f t="shared" si="179"/>
        <v>6033734</v>
      </c>
      <c r="AI203" s="15">
        <f t="shared" si="179"/>
        <v>6074514</v>
      </c>
      <c r="AJ203" s="16">
        <f t="shared" si="179"/>
        <v>9950448</v>
      </c>
      <c r="AK203" s="9"/>
      <c r="AL203" s="29">
        <f>AL204</f>
        <v>0</v>
      </c>
      <c r="AM203" s="26">
        <f>AM204</f>
        <v>0</v>
      </c>
      <c r="AN203" s="9"/>
    </row>
    <row r="204" spans="1:40" s="385" customFormat="1" ht="24.95" customHeight="1" x14ac:dyDescent="0.2">
      <c r="A204" s="767"/>
      <c r="B204" s="669"/>
      <c r="N204" s="9"/>
      <c r="P204" s="9"/>
      <c r="Q204" s="9"/>
      <c r="R204" s="9"/>
      <c r="S204" s="720" t="str">
        <f>+IF(OCTUBRE!S204=0,"",OCTUBRE!S204)</f>
        <v>4100200-1</v>
      </c>
      <c r="T204" s="694" t="str">
        <f>+IF(OCTUBRE!T204=0,"",OCTUBRE!T204)</f>
        <v>Alimentación</v>
      </c>
      <c r="U204" s="27">
        <f>+ENERO!U204</f>
        <v>31968044</v>
      </c>
      <c r="V204" s="15">
        <f>OCTUBRE!V204+NOVIEMBRE!AL204</f>
        <v>3000000</v>
      </c>
      <c r="W204" s="15">
        <f>OCTUBRE!W204+NOVIEMBRE!AM204</f>
        <v>0</v>
      </c>
      <c r="X204" s="18">
        <f>SUM(U204:W204)</f>
        <v>34968044</v>
      </c>
      <c r="Y204" s="19">
        <f>OCTUBRE!AA204</f>
        <v>28934310</v>
      </c>
      <c r="Z204" s="377">
        <v>0</v>
      </c>
      <c r="AA204" s="18">
        <f>SUM(Y204:Z204)</f>
        <v>28934310</v>
      </c>
      <c r="AB204" s="19">
        <f>OCTUBRE!AD204</f>
        <v>28893530</v>
      </c>
      <c r="AC204" s="377">
        <v>0</v>
      </c>
      <c r="AD204" s="18">
        <f>SUM(AB204:AC204)</f>
        <v>28893530</v>
      </c>
      <c r="AE204" s="19">
        <f>OCTUBRE!AG204</f>
        <v>25017596</v>
      </c>
      <c r="AF204" s="377">
        <v>0</v>
      </c>
      <c r="AG204" s="18">
        <f>SUM(AE204:AF204)</f>
        <v>25017596</v>
      </c>
      <c r="AH204" s="19">
        <f>X204-AA204</f>
        <v>6033734</v>
      </c>
      <c r="AI204" s="15">
        <f>X204-AD204</f>
        <v>6074514</v>
      </c>
      <c r="AJ204" s="16">
        <f>X204-AG204</f>
        <v>9950448</v>
      </c>
      <c r="AK204" s="9"/>
      <c r="AL204" s="375">
        <v>0</v>
      </c>
      <c r="AM204" s="378">
        <v>0</v>
      </c>
      <c r="AN204" s="9"/>
    </row>
    <row r="205" spans="1:40" s="385" customFormat="1" ht="24.95" customHeight="1" thickBot="1" x14ac:dyDescent="0.25">
      <c r="A205" s="767"/>
      <c r="B205" s="669"/>
      <c r="N205" s="9"/>
      <c r="P205" s="9"/>
      <c r="Q205" s="9"/>
      <c r="R205" s="9"/>
      <c r="S205" s="724">
        <f>+IF(OCTUBRE!S205=0,"",OCTUBRE!S205)</f>
        <v>4199999</v>
      </c>
      <c r="T205" s="699" t="str">
        <f>+IF(OCTUBRE!T205=0,"",OCTUBRE!T205)</f>
        <v>Vigencias Anteriores</v>
      </c>
      <c r="U205" s="136">
        <f>+ENERO!U205</f>
        <v>0</v>
      </c>
      <c r="V205" s="123">
        <f>OCTUBRE!V205+NOVIEMBRE!AL205</f>
        <v>0</v>
      </c>
      <c r="W205" s="123">
        <f>OCTUBRE!W205+NOVIEMBRE!AM205</f>
        <v>91835932</v>
      </c>
      <c r="X205" s="129">
        <f>SUM(U205:W205)</f>
        <v>91835932</v>
      </c>
      <c r="Y205" s="127">
        <f>OCTUBRE!AA205</f>
        <v>91835932</v>
      </c>
      <c r="Z205" s="391">
        <v>0</v>
      </c>
      <c r="AA205" s="129">
        <f>SUM(Y205:Z205)</f>
        <v>91835932</v>
      </c>
      <c r="AB205" s="127">
        <f>OCTUBRE!AD205</f>
        <v>91835932</v>
      </c>
      <c r="AC205" s="391">
        <v>0</v>
      </c>
      <c r="AD205" s="129">
        <f>SUM(AB205:AC205)</f>
        <v>91835932</v>
      </c>
      <c r="AE205" s="127">
        <f>OCTUBRE!AG205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+IF(OCTUBRE!S206=0,"",OCTUBRE!S206)</f>
        <v/>
      </c>
      <c r="T206" s="700" t="str">
        <f>+IF(OCTUBRE!T206=0,"",OCTUBRE!T206)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+IF(OCTUBRE!S207=0,"",OCTUBRE!S207)</f>
        <v>B</v>
      </c>
      <c r="T207" s="709" t="str">
        <f>+IF(OCTUBRE!T207=0,"",OCTUBRE!T207)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+IF(OCTUBRE!S209=0,"",OCTUBRE!S209)</f>
        <v>5000000</v>
      </c>
      <c r="T209" s="697" t="s">
        <v>460</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+IF(OCTUBRE!S210=0,"",OCTUBRE!S210)</f>
        <v>5100000</v>
      </c>
      <c r="T210" s="692" t="str">
        <f>+IF(OCTUBRE!T210=0,"",OCTUBRE!T210)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+IF(OCTUBRE!S211=0,"",OCTUBRE!S211)</f>
        <v>5100100</v>
      </c>
      <c r="T211" s="693" t="str">
        <f>+IF(OCTUBRE!T211=0,"",OCTUBRE!T211)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+IF(OCTUBRE!S212=0,"",OCTUBRE!S212)</f>
        <v>5100100-1</v>
      </c>
      <c r="T212" s="694" t="str">
        <f>+IF(OCTUBRE!T212=0,"",OCTUBRE!T212)</f>
        <v>Productos Farmaceuticos</v>
      </c>
      <c r="U212" s="27">
        <f>+ENERO!U212</f>
        <v>0</v>
      </c>
      <c r="V212" s="15">
        <f>OCTUBRE!V212+NOVIEMBRE!AL212</f>
        <v>0</v>
      </c>
      <c r="W212" s="15">
        <f>OCTUBRE!W212+NOVIEMBRE!AM212</f>
        <v>0</v>
      </c>
      <c r="X212" s="18">
        <f t="shared" ref="X212:X218" si="184">SUM(U212:W212)</f>
        <v>0</v>
      </c>
      <c r="Y212" s="19">
        <f>OCTUBRE!AA212</f>
        <v>0</v>
      </c>
      <c r="Z212" s="377">
        <v>0</v>
      </c>
      <c r="AA212" s="18">
        <f t="shared" ref="AA212:AA218" si="185">SUM(Y212:Z212)</f>
        <v>0</v>
      </c>
      <c r="AB212" s="19">
        <f>OCTUBRE!AD212</f>
        <v>0</v>
      </c>
      <c r="AC212" s="377">
        <v>0</v>
      </c>
      <c r="AD212" s="18">
        <f t="shared" ref="AD212:AD218" si="186">SUM(AB212:AC212)</f>
        <v>0</v>
      </c>
      <c r="AE212" s="19">
        <f>OCTUBRE!AG212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+IF(OCTUBRE!S213=0,"",OCTUBRE!S213)</f>
        <v>5100100-2</v>
      </c>
      <c r="T213" s="694" t="str">
        <f>+IF(OCTUBRE!T213=0,"",OCTUBRE!T213)</f>
        <v>Material Médico Quirúrgico</v>
      </c>
      <c r="U213" s="27">
        <f>+ENERO!U213</f>
        <v>0</v>
      </c>
      <c r="V213" s="15">
        <f>OCTUBRE!V213+NOVIEMBRE!AL213</f>
        <v>0</v>
      </c>
      <c r="W213" s="15">
        <f>OCTUBRE!W213+NOVIEMBRE!AM213</f>
        <v>0</v>
      </c>
      <c r="X213" s="18">
        <f t="shared" si="184"/>
        <v>0</v>
      </c>
      <c r="Y213" s="19">
        <f>OCTUBRE!AA213</f>
        <v>0</v>
      </c>
      <c r="Z213" s="377">
        <v>0</v>
      </c>
      <c r="AA213" s="18">
        <f t="shared" si="185"/>
        <v>0</v>
      </c>
      <c r="AB213" s="19">
        <f>OCTUBRE!AD213</f>
        <v>0</v>
      </c>
      <c r="AC213" s="377">
        <v>0</v>
      </c>
      <c r="AD213" s="18">
        <f t="shared" si="186"/>
        <v>0</v>
      </c>
      <c r="AE213" s="19">
        <f>OCTUBRE!AG213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+IF(OCTUBRE!S214=0,"",OCTUBRE!S214)</f>
        <v>5100100-3</v>
      </c>
      <c r="T214" s="694" t="str">
        <f>+IF(OCTUBRE!T214=0,"",OCTUBRE!T214)</f>
        <v>Material de Laboratorio</v>
      </c>
      <c r="U214" s="27">
        <f>+ENERO!U214</f>
        <v>0</v>
      </c>
      <c r="V214" s="15">
        <f>OCTUBRE!V214+NOVIEMBRE!AL214</f>
        <v>0</v>
      </c>
      <c r="W214" s="15">
        <f>OCTUBRE!W214+NOVIEMBRE!AM214</f>
        <v>0</v>
      </c>
      <c r="X214" s="18">
        <f t="shared" si="184"/>
        <v>0</v>
      </c>
      <c r="Y214" s="19">
        <f>OCTUBRE!AA214</f>
        <v>0</v>
      </c>
      <c r="Z214" s="377">
        <v>0</v>
      </c>
      <c r="AA214" s="18">
        <f t="shared" si="185"/>
        <v>0</v>
      </c>
      <c r="AB214" s="19">
        <f>OCTUBRE!AD214</f>
        <v>0</v>
      </c>
      <c r="AC214" s="377">
        <v>0</v>
      </c>
      <c r="AD214" s="18">
        <f t="shared" si="186"/>
        <v>0</v>
      </c>
      <c r="AE214" s="19">
        <f>OCTUBRE!AG214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+IF(OCTUBRE!S215=0,"",OCTUBRE!S215)</f>
        <v>5100100-4</v>
      </c>
      <c r="T215" s="694" t="str">
        <f>+IF(OCTUBRE!T215=0,"",OCTUBRE!T215)</f>
        <v>Material para Odontologia</v>
      </c>
      <c r="U215" s="27">
        <f>+ENERO!U215</f>
        <v>0</v>
      </c>
      <c r="V215" s="15">
        <f>OCTUBRE!V215+NOVIEMBRE!AL215</f>
        <v>0</v>
      </c>
      <c r="W215" s="15">
        <f>OCTUBRE!W215+NOVIEMBRE!AM215</f>
        <v>0</v>
      </c>
      <c r="X215" s="18">
        <f t="shared" si="184"/>
        <v>0</v>
      </c>
      <c r="Y215" s="19">
        <f>OCTUBRE!AA215</f>
        <v>0</v>
      </c>
      <c r="Z215" s="377">
        <v>0</v>
      </c>
      <c r="AA215" s="18">
        <f t="shared" si="185"/>
        <v>0</v>
      </c>
      <c r="AB215" s="19">
        <f>OCTUBRE!AD215</f>
        <v>0</v>
      </c>
      <c r="AC215" s="377">
        <v>0</v>
      </c>
      <c r="AD215" s="18">
        <f t="shared" si="186"/>
        <v>0</v>
      </c>
      <c r="AE215" s="19">
        <f>OCTUBRE!AG215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+IF(OCTUBRE!S216=0,"",OCTUBRE!S216)</f>
        <v>5100100-5</v>
      </c>
      <c r="T216" s="694" t="str">
        <f>+IF(OCTUBRE!T216=0,"",OCTUBRE!T216)</f>
        <v>Material para Rayos X</v>
      </c>
      <c r="U216" s="27">
        <f>+ENERO!U216</f>
        <v>0</v>
      </c>
      <c r="V216" s="15">
        <f>OCTUBRE!V216+NOVIEMBRE!AL216</f>
        <v>0</v>
      </c>
      <c r="W216" s="15">
        <f>OCTUBRE!W216+NOVIEMBRE!AM216</f>
        <v>0</v>
      </c>
      <c r="X216" s="18">
        <f t="shared" si="184"/>
        <v>0</v>
      </c>
      <c r="Y216" s="19">
        <f>OCTUBRE!AA216</f>
        <v>0</v>
      </c>
      <c r="Z216" s="377">
        <v>0</v>
      </c>
      <c r="AA216" s="18">
        <f t="shared" si="185"/>
        <v>0</v>
      </c>
      <c r="AB216" s="19">
        <f>OCTUBRE!AD216</f>
        <v>0</v>
      </c>
      <c r="AC216" s="377">
        <v>0</v>
      </c>
      <c r="AD216" s="18">
        <f t="shared" si="186"/>
        <v>0</v>
      </c>
      <c r="AE216" s="19">
        <f>OCTUBRE!AG216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+IF(OCTUBRE!S217=0,"",OCTUBRE!S217)</f>
        <v>5100100-6</v>
      </c>
      <c r="T217" s="694" t="str">
        <f>+IF(OCTUBRE!T217=0,"",OCTUBRE!T217)</f>
        <v>Material aseo personal, etc.</v>
      </c>
      <c r="U217" s="27">
        <f>+ENERO!U217</f>
        <v>0</v>
      </c>
      <c r="V217" s="15">
        <f>OCTUBRE!V217+NOVIEMBRE!AL217</f>
        <v>0</v>
      </c>
      <c r="W217" s="15">
        <f>OCTUBRE!W217+NOVIEMBRE!AM217</f>
        <v>0</v>
      </c>
      <c r="X217" s="18">
        <f t="shared" si="184"/>
        <v>0</v>
      </c>
      <c r="Y217" s="19">
        <f>OCTUBRE!AA217</f>
        <v>0</v>
      </c>
      <c r="Z217" s="377">
        <v>0</v>
      </c>
      <c r="AA217" s="18">
        <f t="shared" si="185"/>
        <v>0</v>
      </c>
      <c r="AB217" s="19">
        <f>OCTUBRE!AD217</f>
        <v>0</v>
      </c>
      <c r="AC217" s="377">
        <v>0</v>
      </c>
      <c r="AD217" s="18">
        <f t="shared" si="186"/>
        <v>0</v>
      </c>
      <c r="AE217" s="19">
        <f>OCTUBRE!AG217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+IF(OCTUBRE!S218=0,"",OCTUBRE!S218)</f>
        <v>5199999</v>
      </c>
      <c r="T218" s="710" t="str">
        <f>+IF(OCTUBRE!T218=0,"",OCTUBRE!T218)</f>
        <v>Vigencias Anteriores</v>
      </c>
      <c r="U218" s="136">
        <f>+ENERO!U218</f>
        <v>0</v>
      </c>
      <c r="V218" s="123">
        <f>OCTUBRE!V218+NOVIEMBRE!AL218</f>
        <v>0</v>
      </c>
      <c r="W218" s="123">
        <f>OCTUBRE!W218+NOVIEMBRE!AM218</f>
        <v>0</v>
      </c>
      <c r="X218" s="129">
        <f t="shared" si="184"/>
        <v>0</v>
      </c>
      <c r="Y218" s="127">
        <f>OCTUBRE!AA218</f>
        <v>0</v>
      </c>
      <c r="Z218" s="391">
        <v>0</v>
      </c>
      <c r="AA218" s="129">
        <f t="shared" si="185"/>
        <v>0</v>
      </c>
      <c r="AB218" s="127">
        <f>OCTUBRE!AD218</f>
        <v>0</v>
      </c>
      <c r="AC218" s="391">
        <v>0</v>
      </c>
      <c r="AD218" s="129">
        <f t="shared" si="186"/>
        <v>0</v>
      </c>
      <c r="AE218" s="127">
        <f>OCTUBRE!AG218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+IF(OCTUBRE!S219=0,"",OCTUBRE!S219)</f>
        <v/>
      </c>
      <c r="T219" s="707" t="str">
        <f>+IF(OCTUBRE!T219=0,"",OCTUBRE!T219)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+IF(OCTUBRE!S220=0,"",OCTUBRE!S220)</f>
        <v>C</v>
      </c>
      <c r="T220" s="688" t="str">
        <f>+IF(OCTUBRE!T220=0,"",OCTUBRE!T220)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+IF(OCTUBRE!S221=0,"",OCTUBRE!S221)</f>
        <v/>
      </c>
      <c r="T221" s="708" t="str">
        <f>+IF(OCTUBRE!T221=0,"",OCTUBRE!T221)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+IF(OCTUBRE!S222=0,"",OCTUBRE!S222)</f>
        <v>7001000</v>
      </c>
      <c r="T222" s="692" t="str">
        <f>+IF(OCTUBRE!T222=0,"",OCTUBRE!T222)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+IF(OCTUBRE!S223=0,"",OCTUBRE!S223)</f>
        <v>7001100</v>
      </c>
      <c r="T223" s="693" t="str">
        <f>+IF(OCTUBRE!T223=0,"",OCTUBRE!T223)</f>
        <v>Amortización deuda Pública Interna</v>
      </c>
      <c r="U223" s="27">
        <f>+ENERO!U223</f>
        <v>0</v>
      </c>
      <c r="V223" s="15">
        <f>OCTUBRE!V223+NOVIEMBRE!AL223</f>
        <v>0</v>
      </c>
      <c r="W223" s="15">
        <f>OCTUBRE!W223+NOVIEMBRE!AM223</f>
        <v>0</v>
      </c>
      <c r="X223" s="18">
        <f>SUM(U223:W223)</f>
        <v>0</v>
      </c>
      <c r="Y223" s="19">
        <f>OCTUBRE!AA223</f>
        <v>0</v>
      </c>
      <c r="Z223" s="377">
        <v>0</v>
      </c>
      <c r="AA223" s="18">
        <f>SUM(Y223:Z223)</f>
        <v>0</v>
      </c>
      <c r="AB223" s="19">
        <f>OCTUBRE!AD223</f>
        <v>0</v>
      </c>
      <c r="AC223" s="377">
        <v>0</v>
      </c>
      <c r="AD223" s="18">
        <f>SUM(AB223:AC223)</f>
        <v>0</v>
      </c>
      <c r="AE223" s="19">
        <f>OCTUBRE!AG223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+IF(OCTUBRE!S224=0,"",OCTUBRE!S224)</f>
        <v>7001200</v>
      </c>
      <c r="T224" s="693" t="str">
        <f>+IF(OCTUBRE!T224=0,"",OCTUBRE!T224)</f>
        <v>Intereses Comisiones y gastos de la Deuda Pública</v>
      </c>
      <c r="U224" s="27">
        <f>+ENERO!U224</f>
        <v>0</v>
      </c>
      <c r="V224" s="15">
        <f>OCTUBRE!V224+NOVIEMBRE!AL224</f>
        <v>0</v>
      </c>
      <c r="W224" s="15">
        <f>OCTUBRE!W224+NOVIEMBRE!AM224</f>
        <v>0</v>
      </c>
      <c r="X224" s="18">
        <f>SUM(U224:W224)</f>
        <v>0</v>
      </c>
      <c r="Y224" s="19">
        <f>OCTUBRE!AA224</f>
        <v>0</v>
      </c>
      <c r="Z224" s="377">
        <v>0</v>
      </c>
      <c r="AA224" s="18">
        <f>SUM(Y224:Z224)</f>
        <v>0</v>
      </c>
      <c r="AB224" s="19">
        <f>OCTUBRE!AD224</f>
        <v>0</v>
      </c>
      <c r="AC224" s="377">
        <v>0</v>
      </c>
      <c r="AD224" s="18">
        <f>SUM(AB224:AC224)</f>
        <v>0</v>
      </c>
      <c r="AE224" s="19">
        <f>OCTUBRE!AG224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+IF(OCTUBRE!S225=0,"",OCTUBRE!S225)</f>
        <v>7001999</v>
      </c>
      <c r="T225" s="693" t="str">
        <f>+IF(OCTUBRE!T225=0,"",OCTUBRE!T225)</f>
        <v>Vigencias Anteriores</v>
      </c>
      <c r="U225" s="27">
        <f>+ENERO!U225</f>
        <v>0</v>
      </c>
      <c r="V225" s="15">
        <f>OCTUBRE!V225+NOVIEMBRE!AL225</f>
        <v>0</v>
      </c>
      <c r="W225" s="15">
        <f>OCTUBRE!W225+NOVIEMBRE!AM225</f>
        <v>0</v>
      </c>
      <c r="X225" s="18">
        <f>SUM(U225:W225)</f>
        <v>0</v>
      </c>
      <c r="Y225" s="19">
        <f>OCTUBRE!AA225</f>
        <v>0</v>
      </c>
      <c r="Z225" s="377">
        <v>0</v>
      </c>
      <c r="AA225" s="18">
        <f>SUM(Y225:Z225)</f>
        <v>0</v>
      </c>
      <c r="AB225" s="19">
        <f>OCTUBRE!AD225</f>
        <v>0</v>
      </c>
      <c r="AC225" s="377">
        <v>0</v>
      </c>
      <c r="AD225" s="18">
        <f>SUM(AB225:AC225)</f>
        <v>0</v>
      </c>
      <c r="AE225" s="19">
        <f>OCTUBRE!AG225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+IF(OCTUBRE!S226=0,"",OCTUBRE!S226)</f>
        <v/>
      </c>
      <c r="T226" s="708" t="str">
        <f>+IF(OCTUBRE!T226=0,"",OCTUBRE!T226)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+IF(OCTUBRE!S227=0,"",OCTUBRE!S227)</f>
        <v>7002001</v>
      </c>
      <c r="T227" s="692" t="str">
        <f>+IF(OCTUBRE!T227=0,"",OCTUBRE!T227)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+IF(OCTUBRE!S228=0,"",OCTUBRE!S228)</f>
        <v>7002100</v>
      </c>
      <c r="T228" s="693" t="str">
        <f>+IF(OCTUBRE!T228=0,"",OCTUBRE!T228)</f>
        <v>Amortización deuda Pública Externa</v>
      </c>
      <c r="U228" s="27">
        <f>+ENERO!U228</f>
        <v>0</v>
      </c>
      <c r="V228" s="15">
        <f>OCTUBRE!V228+NOVIEMBRE!AL228</f>
        <v>0</v>
      </c>
      <c r="W228" s="15">
        <f>OCTUBRE!W228+NOVIEMBRE!AM228</f>
        <v>0</v>
      </c>
      <c r="X228" s="18">
        <f>SUM(U228:W228)</f>
        <v>0</v>
      </c>
      <c r="Y228" s="19">
        <f>OCTUBRE!AA228</f>
        <v>0</v>
      </c>
      <c r="Z228" s="377">
        <v>0</v>
      </c>
      <c r="AA228" s="18">
        <f>SUM(Y228:Z228)</f>
        <v>0</v>
      </c>
      <c r="AB228" s="19">
        <f>OCTUBRE!AD228</f>
        <v>0</v>
      </c>
      <c r="AC228" s="377">
        <v>0</v>
      </c>
      <c r="AD228" s="18">
        <f>SUM(AB228:AC228)</f>
        <v>0</v>
      </c>
      <c r="AE228" s="19">
        <f>OCTUBRE!AG228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+IF(OCTUBRE!S229=0,"",OCTUBRE!S229)</f>
        <v>7002200</v>
      </c>
      <c r="T229" s="693" t="str">
        <f>+IF(OCTUBRE!T229=0,"",OCTUBRE!T229)</f>
        <v>Intereses Comisiones y gastos de la Deuda Pública</v>
      </c>
      <c r="U229" s="27">
        <f>+ENERO!U229</f>
        <v>0</v>
      </c>
      <c r="V229" s="15">
        <f>OCTUBRE!V229+NOVIEMBRE!AL229</f>
        <v>0</v>
      </c>
      <c r="W229" s="15">
        <f>OCTUBRE!W229+NOVIEMBRE!AM229</f>
        <v>0</v>
      </c>
      <c r="X229" s="18">
        <f>SUM(U229:W229)</f>
        <v>0</v>
      </c>
      <c r="Y229" s="19">
        <f>OCTUBRE!AA229</f>
        <v>0</v>
      </c>
      <c r="Z229" s="377">
        <v>0</v>
      </c>
      <c r="AA229" s="18">
        <f>SUM(Y229:Z229)</f>
        <v>0</v>
      </c>
      <c r="AB229" s="19">
        <f>OCTUBRE!AD229</f>
        <v>0</v>
      </c>
      <c r="AC229" s="377">
        <v>0</v>
      </c>
      <c r="AD229" s="18">
        <f>SUM(AB229:AC229)</f>
        <v>0</v>
      </c>
      <c r="AE229" s="19">
        <f>OCTUBRE!AG229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+IF(OCTUBRE!S230=0,"",OCTUBRE!S230)</f>
        <v>7002999</v>
      </c>
      <c r="T230" s="699" t="str">
        <f>+IF(OCTUBRE!T230=0,"",OCTUBRE!T230)</f>
        <v>Vigencias Anteriores</v>
      </c>
      <c r="U230" s="136">
        <f>+ENERO!U230</f>
        <v>0</v>
      </c>
      <c r="V230" s="123">
        <f>OCTUBRE!V230+NOVIEMBRE!AL230</f>
        <v>0</v>
      </c>
      <c r="W230" s="123">
        <f>OCTUBRE!W230+NOVIEMBRE!AM230</f>
        <v>0</v>
      </c>
      <c r="X230" s="129">
        <f>SUM(U230:W230)</f>
        <v>0</v>
      </c>
      <c r="Y230" s="127">
        <f>OCTUBRE!AA230</f>
        <v>0</v>
      </c>
      <c r="Z230" s="391">
        <v>0</v>
      </c>
      <c r="AA230" s="129">
        <f>SUM(Y230:Z230)</f>
        <v>0</v>
      </c>
      <c r="AB230" s="127">
        <f>OCTUBRE!AD230</f>
        <v>0</v>
      </c>
      <c r="AC230" s="391">
        <v>0</v>
      </c>
      <c r="AD230" s="129">
        <f>SUM(AB230:AC230)</f>
        <v>0</v>
      </c>
      <c r="AE230" s="127">
        <f>OCTUBRE!AG230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+IF(OCTUBRE!S231=0,"",OCTUBRE!S231)</f>
        <v/>
      </c>
      <c r="T231" s="700" t="str">
        <f>+IF(OCTUBRE!T231=0,"",OCTUBRE!T231)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+IF(OCTUBRE!S232=0,"",OCTUBRE!S232)</f>
        <v>D</v>
      </c>
      <c r="T232" s="709" t="str">
        <f>+IF(OCTUBRE!T232=0,"",OCTUBRE!T232)</f>
        <v>INVERSION</v>
      </c>
      <c r="U232" s="473">
        <f t="shared" ref="U232:AJ232" si="194">U234</f>
        <v>303000000</v>
      </c>
      <c r="V232" s="474">
        <f t="shared" si="194"/>
        <v>-103000000</v>
      </c>
      <c r="W232" s="474">
        <f t="shared" si="194"/>
        <v>178000000</v>
      </c>
      <c r="X232" s="475">
        <f t="shared" si="194"/>
        <v>378000000</v>
      </c>
      <c r="Y232" s="382">
        <f t="shared" si="194"/>
        <v>121430326</v>
      </c>
      <c r="Z232" s="474">
        <f t="shared" si="194"/>
        <v>0</v>
      </c>
      <c r="AA232" s="475">
        <f t="shared" si="194"/>
        <v>121430326</v>
      </c>
      <c r="AB232" s="382">
        <f t="shared" si="194"/>
        <v>81872992</v>
      </c>
      <c r="AC232" s="474">
        <f t="shared" si="194"/>
        <v>0</v>
      </c>
      <c r="AD232" s="475">
        <f t="shared" si="194"/>
        <v>81872992</v>
      </c>
      <c r="AE232" s="382">
        <f t="shared" si="194"/>
        <v>63461000</v>
      </c>
      <c r="AF232" s="474">
        <f t="shared" si="194"/>
        <v>0</v>
      </c>
      <c r="AG232" s="475">
        <f t="shared" si="194"/>
        <v>63461000</v>
      </c>
      <c r="AH232" s="382">
        <f t="shared" si="194"/>
        <v>256569674</v>
      </c>
      <c r="AI232" s="474">
        <f t="shared" si="194"/>
        <v>296127008</v>
      </c>
      <c r="AJ232" s="383">
        <f t="shared" si="194"/>
        <v>314539000</v>
      </c>
      <c r="AK232" s="506"/>
      <c r="AL232" s="382">
        <f>AL234</f>
        <v>0</v>
      </c>
      <c r="AM232" s="383">
        <f>AM234</f>
        <v>0</v>
      </c>
      <c r="AN232" s="9"/>
    </row>
    <row r="233" spans="1:64" s="385" customFormat="1" ht="24.95" customHeight="1" x14ac:dyDescent="0.2">
      <c r="A233" s="767"/>
      <c r="B233" s="669"/>
      <c r="N233" s="9"/>
      <c r="P233" s="9"/>
      <c r="Q233" s="9"/>
      <c r="R233" s="9"/>
      <c r="S233" s="369" t="str">
        <f>+IF(OCTUBRE!S233=0,"",OCTUBRE!S233)</f>
        <v/>
      </c>
      <c r="T233" s="708" t="str">
        <f>+IF(OCTUBRE!T233=0,"",OCTUBRE!T233)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+IF(OCTUBRE!S234=0,"",OCTUBRE!S234)</f>
        <v>8000000</v>
      </c>
      <c r="T234" s="692" t="str">
        <f>+IF(OCTUBRE!T234=0,"",OCTUBRE!T234)</f>
        <v>Programas de Inversión</v>
      </c>
      <c r="U234" s="135">
        <f t="shared" ref="U234:AJ234" si="195">U235+U243</f>
        <v>303000000</v>
      </c>
      <c r="V234" s="124">
        <f t="shared" si="195"/>
        <v>-103000000</v>
      </c>
      <c r="W234" s="124">
        <f t="shared" si="195"/>
        <v>178000000</v>
      </c>
      <c r="X234" s="132">
        <f t="shared" si="195"/>
        <v>378000000</v>
      </c>
      <c r="Y234" s="131">
        <f t="shared" si="195"/>
        <v>121430326</v>
      </c>
      <c r="Z234" s="124">
        <f t="shared" si="195"/>
        <v>0</v>
      </c>
      <c r="AA234" s="132">
        <f t="shared" si="195"/>
        <v>121430326</v>
      </c>
      <c r="AB234" s="131">
        <f t="shared" si="195"/>
        <v>81872992</v>
      </c>
      <c r="AC234" s="124">
        <f t="shared" si="195"/>
        <v>0</v>
      </c>
      <c r="AD234" s="132">
        <f t="shared" si="195"/>
        <v>81872992</v>
      </c>
      <c r="AE234" s="131">
        <f t="shared" si="195"/>
        <v>63461000</v>
      </c>
      <c r="AF234" s="124">
        <f t="shared" si="195"/>
        <v>0</v>
      </c>
      <c r="AG234" s="132">
        <f t="shared" si="195"/>
        <v>63461000</v>
      </c>
      <c r="AH234" s="131">
        <f t="shared" si="195"/>
        <v>256569674</v>
      </c>
      <c r="AI234" s="124">
        <f t="shared" si="195"/>
        <v>296127008</v>
      </c>
      <c r="AJ234" s="133">
        <f t="shared" si="195"/>
        <v>314539000</v>
      </c>
      <c r="AK234" s="9"/>
      <c r="AL234" s="131">
        <f>AL235+AL243</f>
        <v>0</v>
      </c>
      <c r="AM234" s="133">
        <f>AM235+AM243</f>
        <v>0</v>
      </c>
      <c r="AN234" s="9"/>
    </row>
    <row r="235" spans="1:64" s="385" customFormat="1" ht="24.95" customHeight="1" x14ac:dyDescent="0.2">
      <c r="A235" s="767"/>
      <c r="B235" s="669"/>
      <c r="N235" s="9"/>
      <c r="P235" s="9"/>
      <c r="Q235" s="9"/>
      <c r="R235" s="9"/>
      <c r="S235" s="719">
        <f>+IF(OCTUBRE!S235=0,"",OCTUBRE!S235)</f>
        <v>8001000</v>
      </c>
      <c r="T235" s="693" t="str">
        <f>+IF(OCTUBRE!T235=0,"",OCTUBRE!T235)</f>
        <v>Formación Bruta del Capital</v>
      </c>
      <c r="U235" s="27">
        <f t="shared" ref="U235:AJ235" si="196">SUM(U236:U241)</f>
        <v>185000000</v>
      </c>
      <c r="V235" s="15">
        <f t="shared" si="196"/>
        <v>0</v>
      </c>
      <c r="W235" s="15">
        <f t="shared" si="196"/>
        <v>0</v>
      </c>
      <c r="X235" s="18">
        <f t="shared" si="196"/>
        <v>185000000</v>
      </c>
      <c r="Y235" s="19">
        <f t="shared" si="196"/>
        <v>0</v>
      </c>
      <c r="Z235" s="145">
        <f t="shared" si="196"/>
        <v>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185000000</v>
      </c>
      <c r="AI235" s="15">
        <f t="shared" si="196"/>
        <v>185000000</v>
      </c>
      <c r="AJ235" s="16">
        <f t="shared" si="196"/>
        <v>185000000</v>
      </c>
      <c r="AK235" s="9"/>
      <c r="AL235" s="29">
        <f>SUM(AL236:AL241)</f>
        <v>0</v>
      </c>
      <c r="AM235" s="26">
        <f>SUM(AM236:AM241)</f>
        <v>0</v>
      </c>
      <c r="AN235" s="9"/>
    </row>
    <row r="236" spans="1:64" s="385" customFormat="1" ht="24.95" customHeight="1" x14ac:dyDescent="0.2">
      <c r="A236" s="767"/>
      <c r="B236" s="669"/>
      <c r="N236" s="9"/>
      <c r="P236" s="9"/>
      <c r="Q236" s="9"/>
      <c r="R236" s="9"/>
      <c r="S236" s="720" t="str">
        <f>+IF(OCTUBRE!S236=0,"",OCTUBRE!S236)</f>
        <v>8001000-1</v>
      </c>
      <c r="T236" s="694" t="str">
        <f>+IF(OCTUBRE!T236=0,"",OCTUBRE!T236)</f>
        <v>Subprogr.Diseño Proyecto plan maestro, remodelacion y adec.primer piso</v>
      </c>
      <c r="U236" s="27">
        <f>+ENERO!U236</f>
        <v>60000000</v>
      </c>
      <c r="V236" s="15">
        <f>OCTUBRE!V236+NOVIEMBRE!AL236</f>
        <v>0</v>
      </c>
      <c r="W236" s="15">
        <f>OCTUBRE!W236+NOVIEMBRE!AM236</f>
        <v>0</v>
      </c>
      <c r="X236" s="18">
        <f t="shared" ref="X236:X241" si="197">SUM(U236:W236)</f>
        <v>60000000</v>
      </c>
      <c r="Y236" s="19">
        <f>OCTUBRE!AA236</f>
        <v>0</v>
      </c>
      <c r="Z236" s="377">
        <v>0</v>
      </c>
      <c r="AA236" s="18">
        <f t="shared" ref="AA236:AA241" si="198">SUM(Y236:Z236)</f>
        <v>0</v>
      </c>
      <c r="AB236" s="19">
        <f>OCTUBRE!AD236</f>
        <v>0</v>
      </c>
      <c r="AC236" s="377">
        <v>0</v>
      </c>
      <c r="AD236" s="18">
        <f t="shared" ref="AD236:AD241" si="199">SUM(AB236:AC236)</f>
        <v>0</v>
      </c>
      <c r="AE236" s="19">
        <f>OCTUBRE!AG236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+IF(OCTUBRE!S237=0,"",OCTUBRE!S237)</f>
        <v>8001000-2</v>
      </c>
      <c r="T237" s="694" t="str">
        <f>+IF(OCTUBRE!T237=0,"",OCTUBRE!T237)</f>
        <v>Subprogr.Adquisicion de ambulancia</v>
      </c>
      <c r="U237" s="27">
        <f>+ENERO!U237</f>
        <v>50000000</v>
      </c>
      <c r="V237" s="15">
        <f>OCTUBRE!V237+NOVIEMBRE!AL237</f>
        <v>0</v>
      </c>
      <c r="W237" s="15">
        <f>OCTUBRE!W237+NOVIEMBRE!AM237</f>
        <v>0</v>
      </c>
      <c r="X237" s="18">
        <f t="shared" si="197"/>
        <v>50000000</v>
      </c>
      <c r="Y237" s="19">
        <f>OCTUBRE!AA237</f>
        <v>0</v>
      </c>
      <c r="Z237" s="377">
        <v>0</v>
      </c>
      <c r="AA237" s="18">
        <f t="shared" si="198"/>
        <v>0</v>
      </c>
      <c r="AB237" s="19">
        <f>OCTUBRE!AD237</f>
        <v>0</v>
      </c>
      <c r="AC237" s="377">
        <v>0</v>
      </c>
      <c r="AD237" s="18">
        <f t="shared" si="199"/>
        <v>0</v>
      </c>
      <c r="AE237" s="19">
        <f>OCTUBRE!AG237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+IF(OCTUBRE!S238=0,"",OCTUBRE!S238)</f>
        <v>8001000-3</v>
      </c>
      <c r="T238" s="694" t="str">
        <f>+IF(OCTUBRE!T238=0,"",OCTUBRE!T238)</f>
        <v>Subprogr.Actualizacion software hacia NICSP y Adquisicion de Historias clinicas</v>
      </c>
      <c r="U238" s="27">
        <f>+ENERO!U238</f>
        <v>75000000</v>
      </c>
      <c r="V238" s="15">
        <f>OCTUBRE!V238+NOVIEMBRE!AL238</f>
        <v>0</v>
      </c>
      <c r="W238" s="15">
        <f>OCTUBRE!W238+NOVIEMBRE!AM238</f>
        <v>0</v>
      </c>
      <c r="X238" s="18">
        <f t="shared" si="197"/>
        <v>75000000</v>
      </c>
      <c r="Y238" s="19">
        <f>OCTUBRE!AA238</f>
        <v>0</v>
      </c>
      <c r="Z238" s="377">
        <v>0</v>
      </c>
      <c r="AA238" s="18">
        <f t="shared" si="198"/>
        <v>0</v>
      </c>
      <c r="AB238" s="19">
        <f>OCTUBRE!AD238</f>
        <v>0</v>
      </c>
      <c r="AC238" s="377">
        <v>0</v>
      </c>
      <c r="AD238" s="18">
        <f t="shared" si="199"/>
        <v>0</v>
      </c>
      <c r="AE238" s="19">
        <f>OCTUBRE!AG238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+IF(OCTUBRE!S239=0,"",OCTUBRE!S239)</f>
        <v>8001000-4</v>
      </c>
      <c r="T239" s="694" t="str">
        <f>+IF(OCTUBRE!T239=0,"",OCTUBRE!T239)</f>
        <v>Subprogr.Construc. Remodelac. Adecuación y Apliac.4</v>
      </c>
      <c r="U239" s="27">
        <f>+ENERO!U239</f>
        <v>0</v>
      </c>
      <c r="V239" s="15">
        <f>OCTUBRE!V239+NOVIEMBRE!AL239</f>
        <v>0</v>
      </c>
      <c r="W239" s="15">
        <f>OCTUBRE!W239+NOVIEMBRE!AM239</f>
        <v>0</v>
      </c>
      <c r="X239" s="18">
        <f t="shared" si="197"/>
        <v>0</v>
      </c>
      <c r="Y239" s="19">
        <f>OCTUBRE!AA239</f>
        <v>0</v>
      </c>
      <c r="Z239" s="377">
        <v>0</v>
      </c>
      <c r="AA239" s="18">
        <f t="shared" si="198"/>
        <v>0</v>
      </c>
      <c r="AB239" s="19">
        <f>OCTUBRE!AD239</f>
        <v>0</v>
      </c>
      <c r="AC239" s="377">
        <v>0</v>
      </c>
      <c r="AD239" s="18">
        <f t="shared" si="199"/>
        <v>0</v>
      </c>
      <c r="AE239" s="19">
        <f>OCTUBRE!AG239</f>
        <v>0</v>
      </c>
      <c r="AF239" s="377">
        <v>0</v>
      </c>
      <c r="AG239" s="18">
        <f t="shared" si="200"/>
        <v>0</v>
      </c>
      <c r="AH239" s="19">
        <f t="shared" si="201"/>
        <v>0</v>
      </c>
      <c r="AI239" s="15">
        <f t="shared" si="202"/>
        <v>0</v>
      </c>
      <c r="AJ239" s="16">
        <f t="shared" si="203"/>
        <v>0</v>
      </c>
      <c r="AK239" s="9"/>
      <c r="AL239" s="375">
        <v>0</v>
      </c>
      <c r="AM239" s="378">
        <v>0</v>
      </c>
      <c r="AN239" s="9"/>
    </row>
    <row r="240" spans="1:64" s="385" customFormat="1" ht="24.95" customHeight="1" x14ac:dyDescent="0.2">
      <c r="A240" s="767"/>
      <c r="B240" s="669"/>
      <c r="N240" s="9"/>
      <c r="P240" s="9"/>
      <c r="Q240" s="9"/>
      <c r="S240" s="720" t="str">
        <f>+IF(OCTUBRE!S240=0,"",OCTUBRE!S240)</f>
        <v>8001000-7</v>
      </c>
      <c r="T240" s="694" t="str">
        <f>+IF(OCTUBRE!T240=0,"",OCTUBRE!T240)</f>
        <v>Subprogr.Construc. Remodelac. Adecuación y Apliac.5</v>
      </c>
      <c r="U240" s="27">
        <f>+ENERO!U240</f>
        <v>0</v>
      </c>
      <c r="V240" s="15">
        <f>OCTUBRE!V240+NOVIEMBRE!AL240</f>
        <v>0</v>
      </c>
      <c r="W240" s="15">
        <f>OCTUBRE!W240+NOVIEMBRE!AM240</f>
        <v>0</v>
      </c>
      <c r="X240" s="18">
        <f t="shared" si="197"/>
        <v>0</v>
      </c>
      <c r="Y240" s="19">
        <f>OCTUBRE!AA240</f>
        <v>0</v>
      </c>
      <c r="Z240" s="377">
        <v>0</v>
      </c>
      <c r="AA240" s="18">
        <f t="shared" si="198"/>
        <v>0</v>
      </c>
      <c r="AB240" s="19">
        <f>OCTUBRE!AD240</f>
        <v>0</v>
      </c>
      <c r="AC240" s="377">
        <v>0</v>
      </c>
      <c r="AD240" s="18">
        <f t="shared" si="199"/>
        <v>0</v>
      </c>
      <c r="AE240" s="19">
        <f>OCTUBRE!AG240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+IF(OCTUBRE!S241=0,"",OCTUBRE!S241)</f>
        <v>8001999</v>
      </c>
      <c r="T241" s="694" t="str">
        <f>+IF(OCTUBRE!T241=0,"",OCTUBRE!T241)</f>
        <v>Vigencias Anteriores</v>
      </c>
      <c r="U241" s="27">
        <f>+ENERO!U241</f>
        <v>0</v>
      </c>
      <c r="V241" s="15">
        <f>OCTUBRE!V241+NOVIEMBRE!AL241</f>
        <v>0</v>
      </c>
      <c r="W241" s="15">
        <f>OCTUBRE!W241+NOVIEMBRE!AM241</f>
        <v>0</v>
      </c>
      <c r="X241" s="18">
        <f t="shared" si="197"/>
        <v>0</v>
      </c>
      <c r="Y241" s="19">
        <f>OCTUBRE!AA241</f>
        <v>0</v>
      </c>
      <c r="Z241" s="377">
        <v>0</v>
      </c>
      <c r="AA241" s="18">
        <f t="shared" si="198"/>
        <v>0</v>
      </c>
      <c r="AB241" s="19">
        <f>OCTUBRE!AD241</f>
        <v>0</v>
      </c>
      <c r="AC241" s="377">
        <v>0</v>
      </c>
      <c r="AD241" s="18">
        <f t="shared" si="199"/>
        <v>0</v>
      </c>
      <c r="AE241" s="19">
        <f>OCTUBRE!AG241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+IF(OCTUBRE!S242=0,"",OCTUBRE!S242)</f>
        <v/>
      </c>
      <c r="T242" s="708" t="str">
        <f>+IF(OCTUBRE!T242=0,"",OCTUBRE!T242)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+IF(OCTUBRE!S243=0,"",OCTUBRE!S243)</f>
        <v>8002001</v>
      </c>
      <c r="T243" s="693" t="str">
        <f>+IF(OCTUBRE!T243=0,"",OCTUBRE!T243)</f>
        <v>Gastos Operativos de Inversion   (Programas Especiales)</v>
      </c>
      <c r="U243" s="27">
        <f t="shared" ref="U243:AJ243" si="204">SUM(U244:U256)</f>
        <v>118000000</v>
      </c>
      <c r="V243" s="15">
        <f t="shared" si="204"/>
        <v>-103000000</v>
      </c>
      <c r="W243" s="15">
        <f t="shared" si="204"/>
        <v>178000000</v>
      </c>
      <c r="X243" s="18">
        <f t="shared" si="204"/>
        <v>193000000</v>
      </c>
      <c r="Y243" s="19">
        <f t="shared" si="204"/>
        <v>121430326</v>
      </c>
      <c r="Z243" s="145">
        <f t="shared" si="204"/>
        <v>0</v>
      </c>
      <c r="AA243" s="18">
        <f t="shared" si="204"/>
        <v>121430326</v>
      </c>
      <c r="AB243" s="19">
        <f t="shared" si="204"/>
        <v>81872992</v>
      </c>
      <c r="AC243" s="145">
        <f t="shared" si="204"/>
        <v>0</v>
      </c>
      <c r="AD243" s="18">
        <f t="shared" si="204"/>
        <v>81872992</v>
      </c>
      <c r="AE243" s="19">
        <f t="shared" si="204"/>
        <v>63461000</v>
      </c>
      <c r="AF243" s="145">
        <f t="shared" si="204"/>
        <v>0</v>
      </c>
      <c r="AG243" s="18">
        <f t="shared" si="204"/>
        <v>63461000</v>
      </c>
      <c r="AH243" s="19">
        <f t="shared" si="204"/>
        <v>71569674</v>
      </c>
      <c r="AI243" s="15">
        <f t="shared" si="204"/>
        <v>111127008</v>
      </c>
      <c r="AJ243" s="16">
        <f t="shared" si="204"/>
        <v>129539000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+IF(OCTUBRE!S244=0,"",OCTUBRE!S244)</f>
        <v>8002100-1</v>
      </c>
      <c r="T244" s="694" t="str">
        <f>+IF(OCTUBRE!T244=0,"",OCTUBRE!T244)</f>
        <v>Fondo de la Vivienda</v>
      </c>
      <c r="U244" s="27">
        <f>+ENERO!U244</f>
        <v>0</v>
      </c>
      <c r="V244" s="15">
        <f>OCTUBRE!V244+NOVIEMBRE!AL244</f>
        <v>0</v>
      </c>
      <c r="W244" s="15">
        <f>OCTUBRE!W244+NOVIEMBRE!AM244</f>
        <v>0</v>
      </c>
      <c r="X244" s="18">
        <f t="shared" ref="X244:X256" si="205">SUM(U244:W244)</f>
        <v>0</v>
      </c>
      <c r="Y244" s="19">
        <f>OCTUBRE!AA244</f>
        <v>0</v>
      </c>
      <c r="Z244" s="377">
        <v>0</v>
      </c>
      <c r="AA244" s="18">
        <f t="shared" ref="AA244:AA256" si="206">SUM(Y244:Z244)</f>
        <v>0</v>
      </c>
      <c r="AB244" s="19">
        <f>OCTUBRE!AD244</f>
        <v>0</v>
      </c>
      <c r="AC244" s="377">
        <v>0</v>
      </c>
      <c r="AD244" s="18">
        <f t="shared" ref="AD244:AD256" si="207">SUM(AB244:AC244)</f>
        <v>0</v>
      </c>
      <c r="AE244" s="19">
        <f>OCTUBRE!AG244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+IF(OCTUBRE!S245=0,"",OCTUBRE!S245)</f>
        <v>8002100-2</v>
      </c>
      <c r="T245" s="694" t="str">
        <f>+IF(OCTUBRE!T245=0,"",OCTUBRE!T245)</f>
        <v>Programas Especial 01 Convenio APS Municipio</v>
      </c>
      <c r="U245" s="27">
        <f>+ENERO!U245</f>
        <v>94000000</v>
      </c>
      <c r="V245" s="15">
        <f>OCTUBRE!V245+NOVIEMBRE!AL245</f>
        <v>-68000000</v>
      </c>
      <c r="W245" s="15">
        <f>OCTUBRE!W245+NOVIEMBRE!AM245</f>
        <v>94000000</v>
      </c>
      <c r="X245" s="18">
        <f t="shared" si="205"/>
        <v>120000000</v>
      </c>
      <c r="Y245" s="19">
        <f>OCTUBRE!AA245</f>
        <v>75642326</v>
      </c>
      <c r="Z245" s="377">
        <v>0</v>
      </c>
      <c r="AA245" s="18">
        <f t="shared" si="206"/>
        <v>75642326</v>
      </c>
      <c r="AB245" s="19">
        <f>OCTUBRE!AD245</f>
        <v>52018992</v>
      </c>
      <c r="AC245" s="377">
        <v>0</v>
      </c>
      <c r="AD245" s="18">
        <f t="shared" si="207"/>
        <v>52018992</v>
      </c>
      <c r="AE245" s="19">
        <f>OCTUBRE!AG245</f>
        <v>49541000</v>
      </c>
      <c r="AF245" s="377">
        <v>0</v>
      </c>
      <c r="AG245" s="18">
        <f t="shared" si="208"/>
        <v>49541000</v>
      </c>
      <c r="AH245" s="19">
        <f t="shared" si="209"/>
        <v>44357674</v>
      </c>
      <c r="AI245" s="15">
        <f t="shared" si="210"/>
        <v>67981008</v>
      </c>
      <c r="AJ245" s="16">
        <f t="shared" si="211"/>
        <v>70459000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+IF(OCTUBRE!S246=0,"",OCTUBRE!S246)</f>
        <v>8002100-3</v>
      </c>
      <c r="T246" s="694" t="str">
        <f>+IF(OCTUBRE!T246=0,"",OCTUBRE!T246)</f>
        <v>Programas Especial 02 Convenios APS  Departamento</v>
      </c>
      <c r="U246" s="27">
        <f>+ENERO!U246</f>
        <v>0</v>
      </c>
      <c r="V246" s="15">
        <f>OCTUBRE!V246+NOVIEMBRE!AL246</f>
        <v>0</v>
      </c>
      <c r="W246" s="15">
        <f>OCTUBRE!W246+NOVIEMBRE!AM246</f>
        <v>50000000</v>
      </c>
      <c r="X246" s="18">
        <f t="shared" si="205"/>
        <v>50000000</v>
      </c>
      <c r="Y246" s="19">
        <f>OCTUBRE!AA246</f>
        <v>22820000</v>
      </c>
      <c r="Z246" s="377">
        <v>0</v>
      </c>
      <c r="AA246" s="18">
        <f t="shared" si="206"/>
        <v>22820000</v>
      </c>
      <c r="AB246" s="19">
        <f>OCTUBRE!AD246</f>
        <v>18370000</v>
      </c>
      <c r="AC246" s="377">
        <v>0</v>
      </c>
      <c r="AD246" s="18">
        <f t="shared" si="207"/>
        <v>18370000</v>
      </c>
      <c r="AE246" s="19">
        <f>OCTUBRE!AG246</f>
        <v>13920000</v>
      </c>
      <c r="AF246" s="377">
        <v>0</v>
      </c>
      <c r="AG246" s="18">
        <f t="shared" si="208"/>
        <v>13920000</v>
      </c>
      <c r="AH246" s="19">
        <f t="shared" si="209"/>
        <v>27180000</v>
      </c>
      <c r="AI246" s="15">
        <f t="shared" si="210"/>
        <v>31630000</v>
      </c>
      <c r="AJ246" s="16">
        <f t="shared" si="211"/>
        <v>36080000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+IF(OCTUBRE!S247=0,"",OCTUBRE!S247)</f>
        <v>8002100-4</v>
      </c>
      <c r="T247" s="694" t="str">
        <f>+IF(OCTUBRE!T247=0,"",OCTUBRE!T247)</f>
        <v>Subprogr. Implementacion Normas Internacionales de Contabilidad Publica</v>
      </c>
      <c r="U247" s="27">
        <f>+ENERO!U247</f>
        <v>0</v>
      </c>
      <c r="V247" s="15">
        <f>OCTUBRE!V247+NOVIEMBRE!AL247</f>
        <v>23000000</v>
      </c>
      <c r="W247" s="15">
        <f>OCTUBRE!W247+NOVIEMBRE!AM247</f>
        <v>0</v>
      </c>
      <c r="X247" s="18">
        <f t="shared" si="205"/>
        <v>23000000</v>
      </c>
      <c r="Y247" s="19">
        <f>OCTUBRE!AA247</f>
        <v>22968000</v>
      </c>
      <c r="Z247" s="377">
        <v>0</v>
      </c>
      <c r="AA247" s="18">
        <f t="shared" si="206"/>
        <v>22968000</v>
      </c>
      <c r="AB247" s="19">
        <f>OCTUBRE!AD247</f>
        <v>11484000</v>
      </c>
      <c r="AC247" s="377">
        <v>0</v>
      </c>
      <c r="AD247" s="18">
        <f t="shared" si="207"/>
        <v>11484000</v>
      </c>
      <c r="AE247" s="19">
        <f>OCTUBRE!AG247</f>
        <v>0</v>
      </c>
      <c r="AF247" s="377">
        <v>0</v>
      </c>
      <c r="AG247" s="18">
        <f t="shared" si="208"/>
        <v>0</v>
      </c>
      <c r="AH247" s="19">
        <f t="shared" si="209"/>
        <v>32000</v>
      </c>
      <c r="AI247" s="15">
        <f t="shared" si="210"/>
        <v>11516000</v>
      </c>
      <c r="AJ247" s="16">
        <f t="shared" si="211"/>
        <v>23000000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+IF(OCTUBRE!S248=0,"",OCTUBRE!S248)</f>
        <v>8002100-5</v>
      </c>
      <c r="T248" s="694" t="str">
        <f>+IF(OCTUBRE!T248=0,"",OCTUBRE!T248)</f>
        <v>Programas Especial 04 Convenio Puestos de Salud</v>
      </c>
      <c r="U248" s="27">
        <f>+ENERO!U248</f>
        <v>24000000</v>
      </c>
      <c r="V248" s="15">
        <f>OCTUBRE!V248+NOVIEMBRE!AL248</f>
        <v>-58000000</v>
      </c>
      <c r="W248" s="15">
        <f>OCTUBRE!W248+NOVIEMBRE!AM248</f>
        <v>34000000</v>
      </c>
      <c r="X248" s="18">
        <f t="shared" si="205"/>
        <v>0</v>
      </c>
      <c r="Y248" s="19">
        <f>OCTUBRE!AA248</f>
        <v>0</v>
      </c>
      <c r="Z248" s="377">
        <v>0</v>
      </c>
      <c r="AA248" s="18">
        <f t="shared" si="206"/>
        <v>0</v>
      </c>
      <c r="AB248" s="19">
        <f>OCTUBRE!AD248</f>
        <v>0</v>
      </c>
      <c r="AC248" s="377">
        <v>0</v>
      </c>
      <c r="AD248" s="18">
        <f t="shared" si="207"/>
        <v>0</v>
      </c>
      <c r="AE248" s="19">
        <f>OCTUBRE!AG248</f>
        <v>0</v>
      </c>
      <c r="AF248" s="377">
        <v>0</v>
      </c>
      <c r="AG248" s="18">
        <f t="shared" si="208"/>
        <v>0</v>
      </c>
      <c r="AH248" s="19">
        <f t="shared" si="209"/>
        <v>0</v>
      </c>
      <c r="AI248" s="15">
        <f t="shared" si="210"/>
        <v>0</v>
      </c>
      <c r="AJ248" s="16">
        <f t="shared" si="211"/>
        <v>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+IF(OCTUBRE!S249=0,"",OCTUBRE!S249)</f>
        <v>8002100-6</v>
      </c>
      <c r="T249" s="694" t="str">
        <f>+IF(OCTUBRE!T249=0,"",OCTUBRE!T249)</f>
        <v>Programas Especial 05</v>
      </c>
      <c r="U249" s="27">
        <f>+ENERO!U249</f>
        <v>0</v>
      </c>
      <c r="V249" s="15">
        <f>OCTUBRE!V249+NOVIEMBRE!AL249</f>
        <v>0</v>
      </c>
      <c r="W249" s="15">
        <f>OCTUBRE!W249+NOVIEMBRE!AM249</f>
        <v>0</v>
      </c>
      <c r="X249" s="18">
        <f t="shared" si="205"/>
        <v>0</v>
      </c>
      <c r="Y249" s="19">
        <f>OCTUBRE!AA249</f>
        <v>0</v>
      </c>
      <c r="Z249" s="377">
        <v>0</v>
      </c>
      <c r="AA249" s="18">
        <f t="shared" si="206"/>
        <v>0</v>
      </c>
      <c r="AB249" s="19">
        <f>OCTUBRE!AD249</f>
        <v>0</v>
      </c>
      <c r="AC249" s="377">
        <v>0</v>
      </c>
      <c r="AD249" s="18">
        <f t="shared" si="207"/>
        <v>0</v>
      </c>
      <c r="AE249" s="19">
        <f>OCTUBRE!AG249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+IF(OCTUBRE!S250=0,"",OCTUBRE!S250)</f>
        <v>8002100-7</v>
      </c>
      <c r="T250" s="694" t="str">
        <f>+IF(OCTUBRE!T250=0,"",OCTUBRE!T250)</f>
        <v>Programas Especial 06</v>
      </c>
      <c r="U250" s="27">
        <f>+ENERO!U250</f>
        <v>0</v>
      </c>
      <c r="V250" s="15">
        <f>OCTUBRE!V250+NOVIEMBRE!AL250</f>
        <v>0</v>
      </c>
      <c r="W250" s="15">
        <f>OCTUBRE!W250+NOVIEMBRE!AM250</f>
        <v>0</v>
      </c>
      <c r="X250" s="18">
        <f>SUM(U250:W250)</f>
        <v>0</v>
      </c>
      <c r="Y250" s="19">
        <f>OCTUBRE!AA250</f>
        <v>0</v>
      </c>
      <c r="Z250" s="377">
        <v>0</v>
      </c>
      <c r="AA250" s="18">
        <f>SUM(Y250:Z250)</f>
        <v>0</v>
      </c>
      <c r="AB250" s="19">
        <f>OCTUBRE!AD250</f>
        <v>0</v>
      </c>
      <c r="AC250" s="377">
        <v>0</v>
      </c>
      <c r="AD250" s="18">
        <f>SUM(AB250:AC250)</f>
        <v>0</v>
      </c>
      <c r="AE250" s="19">
        <f>OCTUBRE!AG250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+IF(OCTUBRE!S251=0,"",OCTUBRE!S251)</f>
        <v>8002100-8</v>
      </c>
      <c r="T251" s="694" t="str">
        <f>+IF(OCTUBRE!T251=0,"",OCTUBRE!T251)</f>
        <v>Programas Especial 07</v>
      </c>
      <c r="U251" s="27">
        <f>+ENERO!U251</f>
        <v>0</v>
      </c>
      <c r="V251" s="15">
        <f>OCTUBRE!V251+NOVIEMBRE!AL251</f>
        <v>0</v>
      </c>
      <c r="W251" s="15">
        <f>OCTUBRE!W251+NOVIEMBRE!AM251</f>
        <v>0</v>
      </c>
      <c r="X251" s="18">
        <f>SUM(U251:W251)</f>
        <v>0</v>
      </c>
      <c r="Y251" s="19">
        <f>OCTUBRE!AA251</f>
        <v>0</v>
      </c>
      <c r="Z251" s="377">
        <v>0</v>
      </c>
      <c r="AA251" s="18">
        <f>SUM(Y251:Z251)</f>
        <v>0</v>
      </c>
      <c r="AB251" s="19">
        <f>OCTUBRE!AD251</f>
        <v>0</v>
      </c>
      <c r="AC251" s="377">
        <v>0</v>
      </c>
      <c r="AD251" s="18">
        <f>SUM(AB251:AC251)</f>
        <v>0</v>
      </c>
      <c r="AE251" s="19">
        <f>OCTUBRE!AG251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+IF(OCTUBRE!S252=0,"",OCTUBRE!S252)</f>
        <v>8002100-9</v>
      </c>
      <c r="T252" s="694" t="str">
        <f>+IF(OCTUBRE!T252=0,"",OCTUBRE!T252)</f>
        <v>Programas Especial 08</v>
      </c>
      <c r="U252" s="27">
        <f>+ENERO!U252</f>
        <v>0</v>
      </c>
      <c r="V252" s="15">
        <f>OCTUBRE!V252+NOVIEMBRE!AL252</f>
        <v>0</v>
      </c>
      <c r="W252" s="15">
        <f>OCTUBRE!W252+NOVIEMBRE!AM252</f>
        <v>0</v>
      </c>
      <c r="X252" s="18">
        <f>SUM(U252:W252)</f>
        <v>0</v>
      </c>
      <c r="Y252" s="19">
        <f>OCTUBRE!AA252</f>
        <v>0</v>
      </c>
      <c r="Z252" s="377">
        <v>0</v>
      </c>
      <c r="AA252" s="18">
        <f>SUM(Y252:Z252)</f>
        <v>0</v>
      </c>
      <c r="AB252" s="19">
        <f>OCTUBRE!AD252</f>
        <v>0</v>
      </c>
      <c r="AC252" s="377">
        <v>0</v>
      </c>
      <c r="AD252" s="18">
        <f>SUM(AB252:AC252)</f>
        <v>0</v>
      </c>
      <c r="AE252" s="19">
        <f>OCTUBRE!AG252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+IF(OCTUBRE!S253=0,"",OCTUBRE!S253)</f>
        <v>8002100-10</v>
      </c>
      <c r="T253" s="694" t="str">
        <f>+IF(OCTUBRE!T253=0,"",OCTUBRE!T253)</f>
        <v>Programas Especial 09</v>
      </c>
      <c r="U253" s="27">
        <f>+ENERO!U253</f>
        <v>0</v>
      </c>
      <c r="V253" s="15">
        <f>OCTUBRE!V253+NOVIEMBRE!AL253</f>
        <v>0</v>
      </c>
      <c r="W253" s="15">
        <f>OCTUBRE!W253+NOVIEMBRE!AM253</f>
        <v>0</v>
      </c>
      <c r="X253" s="18">
        <f>SUM(U253:W253)</f>
        <v>0</v>
      </c>
      <c r="Y253" s="19">
        <f>OCTUBRE!AA253</f>
        <v>0</v>
      </c>
      <c r="Z253" s="377">
        <v>0</v>
      </c>
      <c r="AA253" s="18">
        <f>SUM(Y253:Z253)</f>
        <v>0</v>
      </c>
      <c r="AB253" s="19">
        <f>OCTUBRE!AD253</f>
        <v>0</v>
      </c>
      <c r="AC253" s="377">
        <v>0</v>
      </c>
      <c r="AD253" s="18">
        <f>SUM(AB253:AC253)</f>
        <v>0</v>
      </c>
      <c r="AE253" s="19">
        <f>OCTUBRE!AG253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+IF(OCTUBRE!S254=0,"",OCTUBRE!S254)</f>
        <v>8002100-11</v>
      </c>
      <c r="T254" s="694" t="str">
        <f>+IF(OCTUBRE!T254=0,"",OCTUBRE!T254)</f>
        <v>Programas Especial 10</v>
      </c>
      <c r="U254" s="27">
        <f>+ENERO!U254</f>
        <v>0</v>
      </c>
      <c r="V254" s="15">
        <f>OCTUBRE!V254+NOVIEMBRE!AL254</f>
        <v>0</v>
      </c>
      <c r="W254" s="15">
        <f>OCTUBRE!W254+NOVIEMBRE!AM254</f>
        <v>0</v>
      </c>
      <c r="X254" s="18">
        <f>SUM(U254:W254)</f>
        <v>0</v>
      </c>
      <c r="Y254" s="19">
        <f>OCTUBRE!AA254</f>
        <v>0</v>
      </c>
      <c r="Z254" s="377">
        <v>0</v>
      </c>
      <c r="AA254" s="18">
        <f>SUM(Y254:Z254)</f>
        <v>0</v>
      </c>
      <c r="AB254" s="19">
        <f>OCTUBRE!AD254</f>
        <v>0</v>
      </c>
      <c r="AC254" s="377">
        <v>0</v>
      </c>
      <c r="AD254" s="18">
        <f>SUM(AB254:AC254)</f>
        <v>0</v>
      </c>
      <c r="AE254" s="19">
        <f>OCTUBRE!AG254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+IF(OCTUBRE!S255=0,"",OCTUBRE!S255)</f>
        <v>8002100-12</v>
      </c>
      <c r="T255" s="694" t="str">
        <f>+IF(OCTUBRE!T255=0,"",OCTUBRE!T255)</f>
        <v>Programas Especial 11</v>
      </c>
      <c r="U255" s="27">
        <f>+ENERO!U255</f>
        <v>0</v>
      </c>
      <c r="V255" s="15">
        <f>OCTUBRE!V255+NOVIEMBRE!AL255</f>
        <v>0</v>
      </c>
      <c r="W255" s="15">
        <f>OCTUBRE!W255+NOVIEMBRE!AM255</f>
        <v>0</v>
      </c>
      <c r="X255" s="18">
        <f t="shared" si="205"/>
        <v>0</v>
      </c>
      <c r="Y255" s="19">
        <f>OCTUBRE!AA255</f>
        <v>0</v>
      </c>
      <c r="Z255" s="377">
        <v>0</v>
      </c>
      <c r="AA255" s="18">
        <f t="shared" si="206"/>
        <v>0</v>
      </c>
      <c r="AB255" s="19">
        <f>OCTUBRE!AD255</f>
        <v>0</v>
      </c>
      <c r="AC255" s="377">
        <v>0</v>
      </c>
      <c r="AD255" s="18">
        <f t="shared" si="207"/>
        <v>0</v>
      </c>
      <c r="AE255" s="19">
        <f>OCTUBRE!AG255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+IF(OCTUBRE!S256=0,"",OCTUBRE!S256)</f>
        <v>8002999</v>
      </c>
      <c r="T256" s="710" t="str">
        <f>+IF(OCTUBRE!T256=0,"",OCTUBRE!T256)</f>
        <v>Vigencias Anteriores</v>
      </c>
      <c r="U256" s="136">
        <f>+ENERO!U256</f>
        <v>0</v>
      </c>
      <c r="V256" s="123">
        <f>OCTUBRE!V256+NOVIEMBRE!AL256</f>
        <v>0</v>
      </c>
      <c r="W256" s="123">
        <f>OCTUBRE!W256+NOVIEMBRE!AM256</f>
        <v>0</v>
      </c>
      <c r="X256" s="129">
        <f t="shared" si="205"/>
        <v>0</v>
      </c>
      <c r="Y256" s="127">
        <f>OCTUBRE!AA256</f>
        <v>0</v>
      </c>
      <c r="Z256" s="391">
        <v>0</v>
      </c>
      <c r="AA256" s="129">
        <f t="shared" si="206"/>
        <v>0</v>
      </c>
      <c r="AB256" s="127">
        <f>OCTUBRE!AD256</f>
        <v>0</v>
      </c>
      <c r="AC256" s="391">
        <v>0</v>
      </c>
      <c r="AD256" s="129">
        <f t="shared" si="207"/>
        <v>0</v>
      </c>
      <c r="AE256" s="127">
        <f>OCTUBRE!AG256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+IF(OCTUBRE!S257=0,"",OCTUBRE!S257)</f>
        <v/>
      </c>
      <c r="T257" s="707" t="str">
        <f>+IF(OCTUBRE!T257=0,"",OCTUBRE!T257)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+IF(OCTUBRE!S258=0,"",OCTUBRE!S258)</f>
        <v>E</v>
      </c>
      <c r="T258" s="711" t="str">
        <f>+IF(OCTUBRE!T258=0,"",OCTUBRE!T258)</f>
        <v>DISPONIBILIDAD FINAL</v>
      </c>
      <c r="U258" s="341">
        <f t="shared" ref="U258:AJ258" si="212">+(C10+C17+C113)-(U10+U207+U220+U232)</f>
        <v>0</v>
      </c>
      <c r="V258" s="341">
        <f t="shared" si="212"/>
        <v>0</v>
      </c>
      <c r="W258" s="341">
        <f t="shared" si="212"/>
        <v>0</v>
      </c>
      <c r="X258" s="341">
        <f t="shared" si="212"/>
        <v>0</v>
      </c>
      <c r="Y258" s="341">
        <f t="shared" si="212"/>
        <v>299215632</v>
      </c>
      <c r="Z258" s="341">
        <f t="shared" si="212"/>
        <v>0</v>
      </c>
      <c r="AA258" s="341">
        <f t="shared" si="212"/>
        <v>299215632</v>
      </c>
      <c r="AB258" s="341">
        <f t="shared" si="212"/>
        <v>-360366858</v>
      </c>
      <c r="AC258" s="341">
        <f t="shared" si="212"/>
        <v>0</v>
      </c>
      <c r="AD258" s="341">
        <f t="shared" si="212"/>
        <v>-360366858</v>
      </c>
      <c r="AE258" s="341">
        <f t="shared" si="212"/>
        <v>-1188978787</v>
      </c>
      <c r="AF258" s="341">
        <f t="shared" si="212"/>
        <v>1704857162</v>
      </c>
      <c r="AG258" s="341">
        <f t="shared" si="212"/>
        <v>-2054277226</v>
      </c>
      <c r="AH258" s="341">
        <f t="shared" si="212"/>
        <v>-1164514071</v>
      </c>
      <c r="AI258" s="341">
        <f t="shared" si="212"/>
        <v>-1344490304</v>
      </c>
      <c r="AJ258" s="341">
        <f t="shared" si="212"/>
        <v>-1836323521</v>
      </c>
      <c r="AK258" s="9"/>
      <c r="AL258" s="341">
        <v>0</v>
      </c>
      <c r="AM258" s="342">
        <v>0</v>
      </c>
    </row>
    <row r="259" spans="1:39" ht="24.95" customHeight="1" thickBot="1" x14ac:dyDescent="0.25">
      <c r="S259" s="912" t="str">
        <f>+IF(OCTUBRE!S259=0,"",OCTUBRE!S259)</f>
        <v>TOTAL VIGENCIAS ANTERIORES</v>
      </c>
      <c r="T259" s="913"/>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303837447</v>
      </c>
      <c r="AF259" s="115">
        <f t="shared" si="213"/>
        <v>0</v>
      </c>
      <c r="AG259" s="126">
        <f t="shared" si="213"/>
        <v>303837447</v>
      </c>
      <c r="AH259" s="125">
        <f t="shared" si="213"/>
        <v>0</v>
      </c>
      <c r="AI259" s="115">
        <f t="shared" si="213"/>
        <v>0</v>
      </c>
      <c r="AJ259" s="116">
        <f t="shared" si="213"/>
        <v>38526609</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17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1"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IO261"/>
  <sheetViews>
    <sheetView showGridLines="0" zoomScale="80" zoomScaleNormal="80" workbookViewId="0">
      <selection activeCell="G14" sqref="G14"/>
    </sheetView>
  </sheetViews>
  <sheetFormatPr baseColWidth="10" defaultColWidth="0" defaultRowHeight="24.95" customHeight="1" x14ac:dyDescent="0.2"/>
  <cols>
    <col min="1" max="1" width="11.7109375" style="768" customWidth="1"/>
    <col min="2" max="2" width="50.7109375" style="670" customWidth="1"/>
    <col min="3" max="3" width="14.42578125" style="275" customWidth="1"/>
    <col min="4" max="4" width="16.140625" style="275" customWidth="1"/>
    <col min="5" max="9" width="14.42578125" style="275" customWidth="1"/>
    <col min="10" max="10" width="16"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140625" style="712" customWidth="1"/>
    <col min="20" max="20" width="60.140625" style="686" customWidth="1"/>
    <col min="2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0.140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36.140625" style="275" customWidth="1"/>
    <col min="59" max="59" width="79.42578125" style="275" customWidth="1"/>
    <col min="60" max="63" width="17.5703125" style="275" customWidth="1"/>
    <col min="64" max="64" width="30.28515625" style="275" customWidth="1"/>
    <col min="65" max="65" width="76" style="275" customWidth="1"/>
    <col min="66" max="66" width="18.42578125" style="275" customWidth="1"/>
    <col min="67" max="67" width="17" style="275" customWidth="1"/>
    <col min="68" max="68" width="16.140625" style="275" customWidth="1"/>
    <col min="69" max="69" width="22.85546875" style="526" customWidth="1"/>
    <col min="70" max="70" width="50.42578125" style="275" customWidth="1"/>
    <col min="71" max="71" width="2.28515625" style="275" customWidth="1"/>
    <col min="72" max="16384" width="11" style="275" hidden="1"/>
  </cols>
  <sheetData>
    <row r="1" spans="1:70"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70" ht="37.5"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7</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12</v>
      </c>
      <c r="AP2" s="283" t="s">
        <v>8</v>
      </c>
      <c r="AQ2" s="284"/>
      <c r="AR2" s="3"/>
      <c r="AS2" s="3"/>
      <c r="AT2" s="3"/>
      <c r="AU2" s="3"/>
      <c r="AV2" s="3"/>
      <c r="AW2" s="3"/>
      <c r="AX2" s="3"/>
      <c r="AY2" s="3"/>
      <c r="AZ2" s="4"/>
      <c r="BB2" s="899" t="s">
        <v>404</v>
      </c>
      <c r="BC2" s="901"/>
      <c r="BD2" s="51" t="s">
        <v>392</v>
      </c>
      <c r="BE2" s="281" t="str">
        <f>+L3</f>
        <v>DICIEMBRE</v>
      </c>
      <c r="BF2" s="276"/>
      <c r="BG2" s="899" t="s">
        <v>405</v>
      </c>
      <c r="BH2" s="901"/>
      <c r="BI2" s="901"/>
      <c r="BJ2" s="51" t="s">
        <v>392</v>
      </c>
      <c r="BK2" s="281" t="str">
        <f>+BE2</f>
        <v>DICIEMBRE</v>
      </c>
      <c r="BM2" s="899" t="s">
        <v>405</v>
      </c>
      <c r="BN2" s="901"/>
      <c r="BO2" s="901"/>
      <c r="BP2" s="51" t="s">
        <v>392</v>
      </c>
      <c r="BQ2" s="527" t="str">
        <f>+BK2</f>
        <v>DICIEMBRE</v>
      </c>
    </row>
    <row r="3" spans="1:70"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380</v>
      </c>
      <c r="M3" s="916"/>
      <c r="N3" s="888">
        <f>+INSTRUCCIONES!F3</f>
        <v>2015</v>
      </c>
      <c r="P3" s="950" t="s">
        <v>553</v>
      </c>
      <c r="Q3" s="949" t="s">
        <v>554</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DICIEMBRE</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196">
        <f>+BK3</f>
        <v>2015</v>
      </c>
    </row>
    <row r="4" spans="1:70"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528"/>
    </row>
    <row r="5" spans="1:70" ht="42" customHeight="1" thickTop="1" thickBot="1" x14ac:dyDescent="0.3">
      <c r="A5" s="935" t="s">
        <v>19</v>
      </c>
      <c r="B5" s="937" t="s">
        <v>20</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29"/>
      <c r="BF5" s="943" t="s">
        <v>370</v>
      </c>
      <c r="BG5" s="520" t="s">
        <v>34</v>
      </c>
      <c r="BH5" s="875" t="str">
        <f>+CONCATENATE("ACUMULADO ",N3)</f>
        <v>ACUMULADO 2015</v>
      </c>
      <c r="BI5" s="876"/>
      <c r="BJ5" s="876"/>
      <c r="BK5" s="940"/>
      <c r="BL5" s="941" t="s">
        <v>371</v>
      </c>
      <c r="BM5" s="910" t="s">
        <v>34</v>
      </c>
      <c r="BN5" s="311" t="str">
        <f>+CONCATENATE("ACUMULADO ",BQ3)</f>
        <v>ACUMULADO 2015</v>
      </c>
      <c r="BO5" s="312"/>
      <c r="BP5" s="313"/>
      <c r="BQ5" s="530"/>
      <c r="BR5" s="947" t="str">
        <f>+CONCATENATE("PAGOS TOTALES DEL AÑO ",BQ3)</f>
        <v>PAGOS TOTALES DEL AÑO 2015</v>
      </c>
    </row>
    <row r="6" spans="1:70"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DICIEMBRE</v>
      </c>
      <c r="AS6" s="319" t="str">
        <f>AR6</f>
        <v>DICIEMBRE</v>
      </c>
      <c r="AT6" s="319" t="str">
        <f>AR6</f>
        <v>DICIEMBRE</v>
      </c>
      <c r="AU6" s="319" t="s">
        <v>16</v>
      </c>
      <c r="AV6" s="319" t="s">
        <v>31</v>
      </c>
      <c r="AW6" s="319"/>
      <c r="AX6" s="319"/>
      <c r="AY6" s="319" t="s">
        <v>16</v>
      </c>
      <c r="AZ6" s="320" t="s">
        <v>31</v>
      </c>
      <c r="BB6" s="321"/>
      <c r="BC6" s="322" t="s">
        <v>47</v>
      </c>
      <c r="BD6" s="323" t="s">
        <v>48</v>
      </c>
      <c r="BE6" s="324" t="s">
        <v>49</v>
      </c>
      <c r="BF6" s="944"/>
      <c r="BG6" s="522"/>
      <c r="BH6" s="523" t="s">
        <v>47</v>
      </c>
      <c r="BI6" s="523" t="s">
        <v>50</v>
      </c>
      <c r="BJ6" s="523" t="s">
        <v>51</v>
      </c>
      <c r="BK6" s="524" t="s">
        <v>52</v>
      </c>
      <c r="BL6" s="942"/>
      <c r="BM6" s="911"/>
      <c r="BN6" s="328" t="s">
        <v>47</v>
      </c>
      <c r="BO6" s="326" t="s">
        <v>50</v>
      </c>
      <c r="BP6" s="326" t="s">
        <v>51</v>
      </c>
      <c r="BQ6" s="531" t="s">
        <v>52</v>
      </c>
      <c r="BR6" s="948"/>
    </row>
    <row r="7" spans="1:70"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1395117330</v>
      </c>
      <c r="AS7" s="330">
        <f>L22</f>
        <v>817005247</v>
      </c>
      <c r="AT7" s="13"/>
      <c r="AU7" s="331">
        <f t="shared" ref="AU7:AU17" si="0">IF(AQ7=0," ",AR7/AQ7)</f>
        <v>0.79324130166664009</v>
      </c>
      <c r="AV7" s="331">
        <f t="shared" ref="AV7:AV17" si="1">IF(AQ7=0," ",AS7/AQ7)</f>
        <v>0.46453605848244667</v>
      </c>
      <c r="AW7" s="330">
        <f>I23/AO$2*12+I24</f>
        <v>1395117330</v>
      </c>
      <c r="AX7" s="330">
        <f>L23/AO$2*12+L24</f>
        <v>817005247</v>
      </c>
      <c r="AY7" s="330">
        <f t="shared" ref="AY7:AY16" si="2">AW7-AQ7</f>
        <v>-363637953</v>
      </c>
      <c r="AZ7" s="332">
        <f t="shared" ref="AZ7:AZ16" si="3">AX7-AQ7</f>
        <v>-941750036</v>
      </c>
      <c r="BB7" s="333" t="s">
        <v>55</v>
      </c>
      <c r="BC7" s="54">
        <f>F10</f>
        <v>90342061</v>
      </c>
      <c r="BD7" s="55">
        <f>I10</f>
        <v>90342061</v>
      </c>
      <c r="BE7" s="56">
        <f>K10</f>
        <v>0</v>
      </c>
      <c r="BF7" s="53">
        <f>+BE7+NOVIEMBRE!BE7+OCTUBRE!BE7+SEPTIEMBRE!BF7</f>
        <v>90342061</v>
      </c>
      <c r="BG7" s="91" t="s">
        <v>56</v>
      </c>
      <c r="BH7" s="117">
        <f>+SUM(BH8:BH11)</f>
        <v>2821019353</v>
      </c>
      <c r="BI7" s="117">
        <f>+SUM(BI8:BI11)</f>
        <v>1999393294</v>
      </c>
      <c r="BJ7" s="117">
        <f>+SUM(BJ8:BJ11)</f>
        <v>1870783339</v>
      </c>
      <c r="BK7" s="117">
        <f>+SUM(BK8:BK11)</f>
        <v>0</v>
      </c>
      <c r="BL7" s="40">
        <f>+BK7+NOVIEMBRE!BK7+OCTUBRE!BK7+SEPTIEMBRE!BL7</f>
        <v>1600871207</v>
      </c>
      <c r="BM7" s="61" t="s">
        <v>56</v>
      </c>
      <c r="BN7" s="62">
        <f>BN8+BN15+BN22</f>
        <v>2821019353</v>
      </c>
      <c r="BO7" s="63">
        <f>BO8+BO15+BO22</f>
        <v>1999393294</v>
      </c>
      <c r="BP7" s="63">
        <f>BP8+BP15+BP22</f>
        <v>1870783339</v>
      </c>
      <c r="BQ7" s="197">
        <f>BQ8+BQ15+BQ22</f>
        <v>0</v>
      </c>
      <c r="BR7" s="118">
        <f>+BQ7+NOVIEMBRE!BQ7+OCTUBRE!BQ7+SEPTIEMBRE!BQ7+AGOSTO!BQ7+JULIO!BQ7+JUNIO!BQ7+MAYO!BQ7+ABRIL!BQ7+MARZO!BQ7+FEBRERO!BQ7+ENERO!BQ7</f>
        <v>1600871207</v>
      </c>
    </row>
    <row r="8" spans="1:70" s="9" customFormat="1" ht="24.95" customHeight="1" thickBot="1" x14ac:dyDescent="0.3">
      <c r="A8" s="744">
        <f>+IF(NOVIEMBRE!A8=0,"",NOVIEMBRE!A8)</f>
        <v>1</v>
      </c>
      <c r="B8" s="643" t="str">
        <f>+IF(NOVIEMBRE!B8=0,"",NOVIEMBRE!B8)</f>
        <v>INGRESOS</v>
      </c>
      <c r="C8" s="334">
        <f>C10+C17+C113</f>
        <v>3135701014</v>
      </c>
      <c r="D8" s="334">
        <f t="shared" ref="D8:N8" si="4">D10+D17+D113</f>
        <v>0</v>
      </c>
      <c r="E8" s="334">
        <f t="shared" si="4"/>
        <v>754899733</v>
      </c>
      <c r="F8" s="334">
        <f t="shared" si="4"/>
        <v>3890600747</v>
      </c>
      <c r="G8" s="334">
        <f t="shared" si="4"/>
        <v>3025302308</v>
      </c>
      <c r="H8" s="334">
        <f t="shared" si="4"/>
        <v>0</v>
      </c>
      <c r="I8" s="334">
        <f t="shared" si="4"/>
        <v>3025302308</v>
      </c>
      <c r="J8" s="334">
        <f t="shared" si="4"/>
        <v>2185743585</v>
      </c>
      <c r="K8" s="334">
        <f t="shared" si="4"/>
        <v>0</v>
      </c>
      <c r="L8" s="334">
        <f t="shared" si="4"/>
        <v>2185743585</v>
      </c>
      <c r="M8" s="334">
        <f t="shared" si="4"/>
        <v>865298439</v>
      </c>
      <c r="N8" s="334">
        <f t="shared" si="4"/>
        <v>1704857162</v>
      </c>
      <c r="O8" s="336"/>
      <c r="P8" s="337">
        <f>P10+P17+P113</f>
        <v>0</v>
      </c>
      <c r="Q8" s="335">
        <f>Q10+Q17+Q113</f>
        <v>0</v>
      </c>
      <c r="S8" s="715" t="str">
        <f>+IF(NOVIEMBRE!S8=0,"",NOVIEMBRE!S8)</f>
        <v/>
      </c>
      <c r="T8" s="687" t="str">
        <f>+IF(NOVIEMBRE!T8=0,"",NOVIEMBRE!T8)</f>
        <v>GASTOS</v>
      </c>
      <c r="U8" s="338">
        <f t="shared" ref="U8:AM8" si="5">U10+U207+U220+U232</f>
        <v>3135701014</v>
      </c>
      <c r="V8" s="339">
        <f t="shared" si="5"/>
        <v>0</v>
      </c>
      <c r="W8" s="339">
        <f t="shared" si="5"/>
        <v>754899733</v>
      </c>
      <c r="X8" s="340">
        <f t="shared" si="5"/>
        <v>3890600747</v>
      </c>
      <c r="Y8" s="341">
        <f t="shared" si="5"/>
        <v>2726086676</v>
      </c>
      <c r="Z8" s="339">
        <f t="shared" si="5"/>
        <v>0</v>
      </c>
      <c r="AA8" s="340">
        <f t="shared" si="5"/>
        <v>2726086676</v>
      </c>
      <c r="AB8" s="341">
        <f t="shared" si="5"/>
        <v>2546110443</v>
      </c>
      <c r="AC8" s="339">
        <f t="shared" si="5"/>
        <v>0</v>
      </c>
      <c r="AD8" s="340">
        <f t="shared" si="5"/>
        <v>2546110443</v>
      </c>
      <c r="AE8" s="341">
        <f t="shared" si="5"/>
        <v>2054277226</v>
      </c>
      <c r="AF8" s="339">
        <f t="shared" si="5"/>
        <v>0</v>
      </c>
      <c r="AG8" s="340">
        <f t="shared" si="5"/>
        <v>2054277226</v>
      </c>
      <c r="AH8" s="341">
        <f t="shared" si="5"/>
        <v>1164514071</v>
      </c>
      <c r="AI8" s="339">
        <f t="shared" si="5"/>
        <v>1344490304</v>
      </c>
      <c r="AJ8" s="342">
        <f t="shared" si="5"/>
        <v>1836323521</v>
      </c>
      <c r="AL8" s="343">
        <f t="shared" si="5"/>
        <v>0</v>
      </c>
      <c r="AM8" s="344">
        <f t="shared" si="5"/>
        <v>0</v>
      </c>
      <c r="AO8" s="21"/>
      <c r="AP8" s="11" t="s">
        <v>58</v>
      </c>
      <c r="AQ8" s="12">
        <f>F25</f>
        <v>945539330</v>
      </c>
      <c r="AR8" s="12">
        <f>I25</f>
        <v>685227161</v>
      </c>
      <c r="AS8" s="12">
        <f>L25</f>
        <v>489985240</v>
      </c>
      <c r="AT8" s="13"/>
      <c r="AU8" s="345">
        <f t="shared" si="0"/>
        <v>0.72469450953457426</v>
      </c>
      <c r="AV8" s="345">
        <f t="shared" si="1"/>
        <v>0.51820714850645078</v>
      </c>
      <c r="AW8" s="12">
        <f>I26/AO$2*12+I27</f>
        <v>685227161</v>
      </c>
      <c r="AX8" s="12">
        <f>L26/AO$2*12+L27</f>
        <v>489985240</v>
      </c>
      <c r="AY8" s="12">
        <f t="shared" si="2"/>
        <v>-260312169</v>
      </c>
      <c r="AZ8" s="346">
        <f t="shared" si="3"/>
        <v>-455554090</v>
      </c>
      <c r="BB8" s="143" t="s">
        <v>59</v>
      </c>
      <c r="BC8" s="65">
        <f>BC9+BC19</f>
        <v>3195036512</v>
      </c>
      <c r="BD8" s="66">
        <f>BD9+BD19</f>
        <v>2388229492</v>
      </c>
      <c r="BE8" s="67">
        <f>BE9+BE19</f>
        <v>0</v>
      </c>
      <c r="BF8" s="53" t="e">
        <f>+BE8+NOVIEMBRE!BE8+OCTUBRE!BE8+SEPTIEMBRE!BF8</f>
        <v>#VALUE!</v>
      </c>
      <c r="BG8" s="68" t="s">
        <v>60</v>
      </c>
      <c r="BH8" s="69">
        <f>BN9+BN13</f>
        <v>1707852065</v>
      </c>
      <c r="BI8" s="69">
        <f>BO9+BO13</f>
        <v>1158447893</v>
      </c>
      <c r="BJ8" s="69">
        <f>BP9+BP13</f>
        <v>1158447893</v>
      </c>
      <c r="BK8" s="69">
        <f>BQ9+BQ13</f>
        <v>0</v>
      </c>
      <c r="BL8" s="40">
        <f>+BK8+NOVIEMBRE!BK8+OCTUBRE!BK8+SEPTIEMBRE!BL8</f>
        <v>1048226988</v>
      </c>
      <c r="BM8" s="71" t="s">
        <v>61</v>
      </c>
      <c r="BN8" s="72">
        <f>BN9+BN14+BN13</f>
        <v>2098181582</v>
      </c>
      <c r="BO8" s="69">
        <f>BO9+BO14+BO13</f>
        <v>1515696393</v>
      </c>
      <c r="BP8" s="69">
        <f>BP9+BP14+BP13</f>
        <v>1419770783</v>
      </c>
      <c r="BQ8" s="198">
        <f>BQ9+BQ14+BQ13</f>
        <v>0</v>
      </c>
      <c r="BR8" s="119">
        <f>BR9+BR14+BR13</f>
        <v>1269261424</v>
      </c>
    </row>
    <row r="9" spans="1:70" s="9" customFormat="1" ht="24.95" customHeight="1" thickBot="1" x14ac:dyDescent="0.3">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244146079</v>
      </c>
      <c r="AS9" s="12">
        <f>L28+L75</f>
        <v>237325602</v>
      </c>
      <c r="AT9" s="13"/>
      <c r="AU9" s="353">
        <f t="shared" si="0"/>
        <v>0.69611463825630127</v>
      </c>
      <c r="AV9" s="353">
        <f t="shared" si="1"/>
        <v>0.67666794511653383</v>
      </c>
      <c r="AW9" s="354">
        <f>(I30+I33+I36+I76)/AO$2*12+I31+I34+I37+I38+I39+I40+I77</f>
        <v>244146079</v>
      </c>
      <c r="AX9" s="354">
        <f>(L30+L33+L36+L76)/AO$2*12+L31+L34+L37+L38+L39+L40+L77</f>
        <v>237325602</v>
      </c>
      <c r="AY9" s="354">
        <f t="shared" si="2"/>
        <v>-106580749</v>
      </c>
      <c r="AZ9" s="355">
        <f t="shared" si="3"/>
        <v>-113401226</v>
      </c>
      <c r="BB9" s="356" t="s">
        <v>437</v>
      </c>
      <c r="BC9" s="73">
        <f>BC10+BC18</f>
        <v>3087854833</v>
      </c>
      <c r="BD9" s="74">
        <f>BD10+BD18</f>
        <v>2311210606</v>
      </c>
      <c r="BE9" s="75">
        <f>BE10+BE18</f>
        <v>0</v>
      </c>
      <c r="BF9" s="53" t="e">
        <f>+BE9+NOVIEMBRE!BE9+OCTUBRE!BE9+SEPTIEMBRE!BF9</f>
        <v>#VALUE!</v>
      </c>
      <c r="BG9" s="77" t="s">
        <v>64</v>
      </c>
      <c r="BH9" s="78">
        <f t="shared" ref="BH9:BK10" si="6">BN14</f>
        <v>390329517</v>
      </c>
      <c r="BI9" s="78">
        <f t="shared" si="6"/>
        <v>357248500</v>
      </c>
      <c r="BJ9" s="78">
        <f t="shared" si="6"/>
        <v>261322890</v>
      </c>
      <c r="BK9" s="78">
        <f t="shared" si="6"/>
        <v>0</v>
      </c>
      <c r="BL9" s="40">
        <f>+BK9+NOVIEMBRE!BK9+OCTUBRE!BK9+SEPTIEMBRE!BL9</f>
        <v>221034436</v>
      </c>
      <c r="BM9" s="140" t="s">
        <v>65</v>
      </c>
      <c r="BN9" s="80">
        <f>SUM(BN10:BN12)</f>
        <v>1254304402</v>
      </c>
      <c r="BO9" s="188">
        <f>SUM(BO10:BO12)</f>
        <v>857958328</v>
      </c>
      <c r="BP9" s="78">
        <f>SUM(BP10:BP12)</f>
        <v>857958328</v>
      </c>
      <c r="BQ9" s="195">
        <f>SUM(BQ10:BQ12)</f>
        <v>0</v>
      </c>
      <c r="BR9" s="119">
        <f>SUM(BR10:BR12)</f>
        <v>808248003</v>
      </c>
    </row>
    <row r="10" spans="1:70" s="9" customFormat="1" ht="24.95" customHeight="1" x14ac:dyDescent="0.25">
      <c r="A10" s="745">
        <f>+IF(NOVIEMBRE!A10=0,"",NOVIEMBRE!A10)</f>
        <v>10</v>
      </c>
      <c r="B10" s="645" t="str">
        <f>+IF(NOVIEMBRE!B10=0,"",NOVIEMBRE!B10)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+IF(NOVIEMBRE!S10=0,"",NOVIEMBRE!S10)</f>
        <v>A</v>
      </c>
      <c r="T10" s="688" t="str">
        <f>+IF(NOVIEMBRE!T10=0,"",NOVIEMBRE!T10)</f>
        <v>GASTOS DE FUNCIONAMIENTO</v>
      </c>
      <c r="U10" s="361">
        <f t="shared" ref="U10:AJ10" si="8">U12+U110+U170+U193</f>
        <v>2832701014</v>
      </c>
      <c r="V10" s="362">
        <f t="shared" si="8"/>
        <v>103000000</v>
      </c>
      <c r="W10" s="362">
        <f t="shared" si="8"/>
        <v>576899733</v>
      </c>
      <c r="X10" s="365">
        <f t="shared" si="8"/>
        <v>3512600747</v>
      </c>
      <c r="Y10" s="364">
        <f t="shared" si="8"/>
        <v>2604656350</v>
      </c>
      <c r="Z10" s="362">
        <f t="shared" si="8"/>
        <v>0</v>
      </c>
      <c r="AA10" s="365">
        <f t="shared" si="8"/>
        <v>2604656350</v>
      </c>
      <c r="AB10" s="364">
        <f t="shared" si="8"/>
        <v>2464237451</v>
      </c>
      <c r="AC10" s="362">
        <f t="shared" si="8"/>
        <v>0</v>
      </c>
      <c r="AD10" s="365">
        <f t="shared" si="8"/>
        <v>2464237451</v>
      </c>
      <c r="AE10" s="364">
        <f t="shared" si="8"/>
        <v>1990816226</v>
      </c>
      <c r="AF10" s="362">
        <f t="shared" si="8"/>
        <v>0</v>
      </c>
      <c r="AG10" s="365">
        <f t="shared" si="8"/>
        <v>1990816226</v>
      </c>
      <c r="AH10" s="364">
        <f t="shared" si="8"/>
        <v>907944397</v>
      </c>
      <c r="AI10" s="362">
        <f t="shared" si="8"/>
        <v>1048363296</v>
      </c>
      <c r="AJ10" s="363">
        <f t="shared" si="8"/>
        <v>1521784521</v>
      </c>
      <c r="AL10" s="366">
        <f>AL12+AL110+AL170+AL193</f>
        <v>0</v>
      </c>
      <c r="AM10" s="367">
        <f>AM12+AM110+AM170+AM193</f>
        <v>0</v>
      </c>
      <c r="AO10" s="352"/>
      <c r="AP10" s="11" t="s">
        <v>67</v>
      </c>
      <c r="AQ10" s="12">
        <f>F42</f>
        <v>111280673</v>
      </c>
      <c r="AR10" s="12">
        <f>I42</f>
        <v>67464121</v>
      </c>
      <c r="AS10" s="12">
        <f>L42</f>
        <v>65005392</v>
      </c>
      <c r="AT10" s="13"/>
      <c r="AU10" s="353">
        <f t="shared" si="0"/>
        <v>0.60625191402284206</v>
      </c>
      <c r="AV10" s="353">
        <f t="shared" si="1"/>
        <v>0.58415707101268155</v>
      </c>
      <c r="AW10" s="354">
        <f>I43/AO$2*12+I44</f>
        <v>67464121</v>
      </c>
      <c r="AX10" s="354">
        <f>L43/AO$2*12+L44</f>
        <v>65005392</v>
      </c>
      <c r="AY10" s="354">
        <f t="shared" si="2"/>
        <v>-43816552</v>
      </c>
      <c r="AZ10" s="355">
        <f t="shared" si="3"/>
        <v>-46275281</v>
      </c>
      <c r="BB10" s="368" t="s">
        <v>438</v>
      </c>
      <c r="BC10" s="73">
        <f>BC11+BC12+BC13+BC14+BC16+BC17+BC15</f>
        <v>3013140862</v>
      </c>
      <c r="BD10" s="74">
        <f>BD11+BD12+BD13+BD14+BD16+BD17+BD15</f>
        <v>2173338810</v>
      </c>
      <c r="BE10" s="75">
        <f>BE11+BE12+BE13+BE14+BE16+BE17+BE15</f>
        <v>0</v>
      </c>
      <c r="BF10" s="53">
        <f>+BE10+NOVIEMBRE!BE10+OCTUBRE!BE10+SEPTIEMBRE!BF10</f>
        <v>1333780087</v>
      </c>
      <c r="BG10" s="68" t="s">
        <v>68</v>
      </c>
      <c r="BH10" s="81">
        <f t="shared" si="6"/>
        <v>657265487</v>
      </c>
      <c r="BI10" s="81">
        <f t="shared" si="6"/>
        <v>451524737</v>
      </c>
      <c r="BJ10" s="81">
        <f t="shared" si="6"/>
        <v>418840392</v>
      </c>
      <c r="BK10" s="81">
        <f t="shared" si="6"/>
        <v>0</v>
      </c>
      <c r="BL10" s="40">
        <f>+BK10+NOVIEMBRE!BK10+OCTUBRE!BK10+SEPTIEMBRE!BL10</f>
        <v>305509887</v>
      </c>
      <c r="BM10" s="137" t="s">
        <v>450</v>
      </c>
      <c r="BN10" s="83">
        <f>X17+X66</f>
        <v>943171180</v>
      </c>
      <c r="BO10" s="189">
        <f>AA17+AA66</f>
        <v>701547252</v>
      </c>
      <c r="BP10" s="81">
        <f>AD17+AD66</f>
        <v>701547252</v>
      </c>
      <c r="BQ10" s="199">
        <f>AF17+AF66</f>
        <v>0</v>
      </c>
      <c r="BR10" s="119">
        <f>+BQ10+NOVIEMBRE!BQ10+OCTUBRE!BQ10+SEPTIEMBRE!BQ10+AGOSTO!BQ10+JULIO!BQ10+JUNIO!BQ10+MAYO!BQ10+ABRIL!BQ10+MARZO!BQ10+FEBRERO!BQ10+ENERO!BQ10</f>
        <v>671543837</v>
      </c>
    </row>
    <row r="11" spans="1:70" s="9" customFormat="1" ht="24.95" customHeight="1" x14ac:dyDescent="0.25">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559</v>
      </c>
      <c r="AQ11" s="12">
        <f>F88</f>
        <v>0</v>
      </c>
      <c r="AR11" s="12">
        <f>I88</f>
        <v>0</v>
      </c>
      <c r="AS11" s="12">
        <f>L88</f>
        <v>0</v>
      </c>
      <c r="AT11" s="374">
        <f>AO2/12</f>
        <v>1</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635303632</v>
      </c>
      <c r="BE11" s="75">
        <f>K26</f>
        <v>0</v>
      </c>
      <c r="BF11" s="53">
        <f>+BE11+NOVIEMBRE!BE11+OCTUBRE!BE11+SEPTIEMBRE!BF11</f>
        <v>440061711</v>
      </c>
      <c r="BG11" s="68" t="s">
        <v>69</v>
      </c>
      <c r="BH11" s="84">
        <f>BN22</f>
        <v>65572284</v>
      </c>
      <c r="BI11" s="84">
        <f>BO22</f>
        <v>32172164</v>
      </c>
      <c r="BJ11" s="84">
        <f>BP22</f>
        <v>32172164</v>
      </c>
      <c r="BK11" s="84">
        <f>BQ22</f>
        <v>0</v>
      </c>
      <c r="BL11" s="40">
        <f>+BK11+NOVIEMBRE!BK11+OCTUBRE!BK11+SEPTIEMBRE!BL11</f>
        <v>26099896</v>
      </c>
      <c r="BM11" s="138" t="s">
        <v>451</v>
      </c>
      <c r="BN11" s="86">
        <f>X18+X67</f>
        <v>138639980</v>
      </c>
      <c r="BO11" s="190">
        <f>AA18+AA67</f>
        <v>119045861</v>
      </c>
      <c r="BP11" s="84">
        <f>AD18+AD67</f>
        <v>119045861</v>
      </c>
      <c r="BQ11" s="200">
        <f>AF18+AF67</f>
        <v>0</v>
      </c>
      <c r="BR11" s="119">
        <f>+BQ11+NOVIEMBRE!BQ11+OCTUBRE!BQ11+SEPTIEMBRE!BQ11+AGOSTO!BQ11+JULIO!BQ11+JUNIO!BQ11+MAYO!BQ11+ABRIL!BQ11+MARZO!BQ11+FEBRERO!BQ11+ENERO!BQ11</f>
        <v>113509735</v>
      </c>
    </row>
    <row r="12" spans="1:70" s="9" customFormat="1" ht="36.75" customHeight="1" x14ac:dyDescent="0.25">
      <c r="A12" s="618">
        <f>+IF(NOVIEMBRE!A12=0,"",NOVIEMBRE!A12)</f>
        <v>1001</v>
      </c>
      <c r="B12" s="646" t="str">
        <f>+IF(NOVIEMBRE!B12=0,"",NOVIEMBRE!B12)</f>
        <v>Bienestar Social (Caja, Bancos, Inversiones Tempor.) a Dic-31-2014</v>
      </c>
      <c r="C12" s="375">
        <f>+ENERO!C12</f>
        <v>0</v>
      </c>
      <c r="D12" s="376">
        <f>NOVIEMBRE!D12+DICIEMBRE!P12</f>
        <v>0</v>
      </c>
      <c r="E12" s="376">
        <f>NOVIEMBRE!E12+DICIEMBRE!Q12</f>
        <v>81553</v>
      </c>
      <c r="F12" s="146">
        <f>SUM(C12:E12)</f>
        <v>81553</v>
      </c>
      <c r="G12" s="222">
        <f>NOVIEMBRE!I12</f>
        <v>81553</v>
      </c>
      <c r="H12" s="377">
        <v>0</v>
      </c>
      <c r="I12" s="146">
        <f>SUM(G12:H12)</f>
        <v>81553</v>
      </c>
      <c r="J12" s="222">
        <f>NOVIEMBRE!L12</f>
        <v>81553</v>
      </c>
      <c r="K12" s="134">
        <v>0</v>
      </c>
      <c r="L12" s="146">
        <f>SUM(J12:K12)</f>
        <v>81553</v>
      </c>
      <c r="M12" s="222">
        <f>F12-I12</f>
        <v>0</v>
      </c>
      <c r="N12" s="146">
        <f>F12-L12</f>
        <v>0</v>
      </c>
      <c r="O12" s="297"/>
      <c r="P12" s="375">
        <v>0</v>
      </c>
      <c r="Q12" s="378">
        <v>0</v>
      </c>
      <c r="S12" s="716">
        <f>+IF(NOVIEMBRE!S12=0,"",NOVIEMBRE!S12)</f>
        <v>1000000</v>
      </c>
      <c r="T12" s="690" t="str">
        <f>+IF(NOVIEMBRE!T12=0,"",NOVIEMBRE!T12)</f>
        <v>GASTOS DE PERSONAL</v>
      </c>
      <c r="U12" s="379">
        <f t="shared" ref="U12:AJ12" si="9">U14+U63</f>
        <v>1994472741</v>
      </c>
      <c r="V12" s="380">
        <f t="shared" si="9"/>
        <v>90300000</v>
      </c>
      <c r="W12" s="380">
        <f t="shared" si="9"/>
        <v>152721141</v>
      </c>
      <c r="X12" s="381">
        <f t="shared" si="9"/>
        <v>2237493882</v>
      </c>
      <c r="Y12" s="366">
        <f t="shared" si="9"/>
        <v>1655008693</v>
      </c>
      <c r="Z12" s="380">
        <f t="shared" si="9"/>
        <v>0</v>
      </c>
      <c r="AA12" s="381">
        <f t="shared" si="9"/>
        <v>1655008693</v>
      </c>
      <c r="AB12" s="366">
        <f t="shared" si="9"/>
        <v>1559083083</v>
      </c>
      <c r="AC12" s="380">
        <f t="shared" si="9"/>
        <v>0</v>
      </c>
      <c r="AD12" s="381">
        <f t="shared" si="9"/>
        <v>1559083083</v>
      </c>
      <c r="AE12" s="366">
        <f t="shared" si="9"/>
        <v>1392383421</v>
      </c>
      <c r="AF12" s="380">
        <f t="shared" si="9"/>
        <v>0</v>
      </c>
      <c r="AG12" s="381">
        <f t="shared" si="9"/>
        <v>1392383421</v>
      </c>
      <c r="AH12" s="366">
        <f t="shared" si="9"/>
        <v>582485189</v>
      </c>
      <c r="AI12" s="380">
        <f t="shared" si="9"/>
        <v>678410799</v>
      </c>
      <c r="AJ12" s="367">
        <f t="shared" si="9"/>
        <v>845110461</v>
      </c>
      <c r="AK12" s="10"/>
      <c r="AL12" s="382">
        <f>AL14+AL63</f>
        <v>0</v>
      </c>
      <c r="AM12" s="383">
        <f>AM14+AM63</f>
        <v>0</v>
      </c>
      <c r="AO12" s="373"/>
      <c r="AP12" s="536" t="s">
        <v>560</v>
      </c>
      <c r="AQ12" s="12">
        <f>F89</f>
        <v>50000000</v>
      </c>
      <c r="AR12" s="12">
        <f>I89</f>
        <v>29658686</v>
      </c>
      <c r="AS12" s="12">
        <f>L89</f>
        <v>22329343</v>
      </c>
      <c r="AT12" s="13"/>
      <c r="AU12" s="353">
        <f t="shared" si="0"/>
        <v>0.59317372000000002</v>
      </c>
      <c r="AV12" s="353">
        <f t="shared" si="1"/>
        <v>0.44658685999999997</v>
      </c>
      <c r="AW12" s="354">
        <f>I89</f>
        <v>29658686</v>
      </c>
      <c r="AX12" s="354">
        <f>L89</f>
        <v>22329343</v>
      </c>
      <c r="AY12" s="354">
        <f t="shared" si="2"/>
        <v>-20341314</v>
      </c>
      <c r="AZ12" s="355">
        <f t="shared" si="3"/>
        <v>-27670657</v>
      </c>
      <c r="BB12" s="368" t="s">
        <v>440</v>
      </c>
      <c r="BC12" s="73">
        <f>F23</f>
        <v>1323143662</v>
      </c>
      <c r="BD12" s="74">
        <f>I23</f>
        <v>985514883</v>
      </c>
      <c r="BE12" s="75">
        <f>K23</f>
        <v>0</v>
      </c>
      <c r="BF12" s="53">
        <f>+BE12+NOVIEMBRE!BE12+OCTUBRE!BE12+SEPTIEMBRE!BF12</f>
        <v>407402800</v>
      </c>
      <c r="BG12" s="384" t="s">
        <v>395</v>
      </c>
      <c r="BH12" s="84">
        <f>BN25</f>
        <v>349217338</v>
      </c>
      <c r="BI12" s="84">
        <f>BO25</f>
        <v>262899000</v>
      </c>
      <c r="BJ12" s="84">
        <f>BP25</f>
        <v>251090056</v>
      </c>
      <c r="BK12" s="84">
        <f>BQ25</f>
        <v>0</v>
      </c>
      <c r="BL12" s="40">
        <f>+BK12+NOVIEMBRE!BK12+OCTUBRE!BK12+SEPTIEMBRE!BL12</f>
        <v>86107572</v>
      </c>
      <c r="BM12" s="139" t="s">
        <v>452</v>
      </c>
      <c r="BN12" s="86">
        <f>X16+X65-X81-X33-BN10-BN11</f>
        <v>172493242</v>
      </c>
      <c r="BO12" s="190">
        <f>AA16+AA65-AA81-AA33-BO10-BO11</f>
        <v>37365215</v>
      </c>
      <c r="BP12" s="84">
        <f>AD16+AD65-AD81-AD33-BP10-BP11</f>
        <v>37365215</v>
      </c>
      <c r="BQ12" s="200">
        <f>AF16+AF65-AF81-AF33-BQ10-BQ11</f>
        <v>0</v>
      </c>
      <c r="BR12" s="119">
        <f>+BQ12+NOVIEMBRE!BQ12+OCTUBRE!BQ12+SEPTIEMBRE!BQ12+AGOSTO!BQ12+JULIO!BQ12+JUNIO!BQ12+MAYO!BQ12+ABRIL!BQ12+MARZO!BQ12+FEBRERO!BQ12+ENERO!BQ12</f>
        <v>23194431</v>
      </c>
    </row>
    <row r="13" spans="1:70" s="9" customFormat="1" ht="24.95" customHeight="1" x14ac:dyDescent="0.25">
      <c r="A13" s="618">
        <f>+IF(NOVIEMBRE!A13=0,"",NOVIEMBRE!A13)</f>
        <v>1002</v>
      </c>
      <c r="B13" s="646" t="str">
        <f>+IF(NOVIEMBRE!B13=0,"",NOVIEMBRE!B13)</f>
        <v>Fondo Vivienda (Caja, Bancos, Inversiones Tempor.) a Dic-31-2014</v>
      </c>
      <c r="C13" s="375">
        <f>+ENERO!C13</f>
        <v>0</v>
      </c>
      <c r="D13" s="376">
        <f>NOVIEMBRE!D13+DICIEMBRE!P13</f>
        <v>0</v>
      </c>
      <c r="E13" s="376">
        <f>NOVIEMBRE!E13+DICIEMBRE!Q13</f>
        <v>0</v>
      </c>
      <c r="F13" s="146">
        <f>SUM(C13:E13)</f>
        <v>0</v>
      </c>
      <c r="G13" s="222">
        <f>NOVIEMBRE!I13</f>
        <v>0</v>
      </c>
      <c r="H13" s="377">
        <v>0</v>
      </c>
      <c r="I13" s="146">
        <f>SUM(G13:H13)</f>
        <v>0</v>
      </c>
      <c r="J13" s="222">
        <f>NOVIEMBRE!L13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561</v>
      </c>
      <c r="AQ13" s="12">
        <f>F90</f>
        <v>24000000</v>
      </c>
      <c r="AR13" s="12">
        <f>I90</f>
        <v>9600000</v>
      </c>
      <c r="AS13" s="12">
        <f>L90</f>
        <v>9600000</v>
      </c>
      <c r="AT13" s="13"/>
      <c r="AU13" s="353">
        <f t="shared" si="0"/>
        <v>0.4</v>
      </c>
      <c r="AV13" s="353">
        <f t="shared" si="1"/>
        <v>0.4</v>
      </c>
      <c r="AW13" s="354">
        <f>I90</f>
        <v>9600000</v>
      </c>
      <c r="AX13" s="354">
        <f>L90</f>
        <v>9600000</v>
      </c>
      <c r="AY13" s="354">
        <f t="shared" si="2"/>
        <v>-14400000</v>
      </c>
      <c r="AZ13" s="355">
        <f t="shared" si="3"/>
        <v>-14400000</v>
      </c>
      <c r="BA13" s="385"/>
      <c r="BB13" s="386" t="s">
        <v>441</v>
      </c>
      <c r="BC13" s="73">
        <f>+F30+F33+F36+F38+F39+F40</f>
        <v>350726828</v>
      </c>
      <c r="BD13" s="74">
        <f>+I30+I33+I36+I38+I39+I40</f>
        <v>244146079</v>
      </c>
      <c r="BE13" s="75">
        <f>+K30+K33+K36+K38+K39+K40</f>
        <v>0</v>
      </c>
      <c r="BF13" s="53">
        <f>+BE13+NOVIEMBRE!BE13+OCTUBRE!BE13+SEPTIEMBRE!BF13</f>
        <v>237325602</v>
      </c>
      <c r="BG13" s="91" t="s">
        <v>72</v>
      </c>
      <c r="BH13" s="84">
        <f t="shared" ref="BH13:BK15" si="10">BN29</f>
        <v>378000000</v>
      </c>
      <c r="BI13" s="84">
        <f t="shared" si="10"/>
        <v>121430326</v>
      </c>
      <c r="BJ13" s="84">
        <f t="shared" si="10"/>
        <v>81872992</v>
      </c>
      <c r="BK13" s="84">
        <f t="shared" si="10"/>
        <v>0</v>
      </c>
      <c r="BL13" s="40">
        <f>+BK13+NOVIEMBRE!BK13+OCTUBRE!BK13+SEPTIEMBRE!BL13</f>
        <v>63461000</v>
      </c>
      <c r="BM13" s="142" t="s">
        <v>453</v>
      </c>
      <c r="BN13" s="83">
        <f>X43-X55+X57-X61+X90-X102+X104-X108</f>
        <v>453547663</v>
      </c>
      <c r="BO13" s="189">
        <f>AA43-AA55+AA57-AA61+AA90-AA102+AA104-AA108</f>
        <v>300489565</v>
      </c>
      <c r="BP13" s="81">
        <f>AD43-AD55+AD57-AD61+AD90-AD102+AD104-AD108</f>
        <v>300489565</v>
      </c>
      <c r="BQ13" s="199">
        <f>AF43-AF55+AF57-AF61+AF90-AF102+AF104-AF108</f>
        <v>0</v>
      </c>
      <c r="BR13" s="119">
        <f>+BQ13+NOVIEMBRE!BQ13+OCTUBRE!BQ13+SEPTIEMBRE!BQ13+AGOSTO!BQ13+JULIO!BQ13+JUNIO!BQ13+MAYO!BQ13+ABRIL!BQ13+MARZO!BQ13+FEBRERO!BQ13+ENERO!BQ13</f>
        <v>239978985</v>
      </c>
    </row>
    <row r="14" spans="1:70" s="9" customFormat="1" ht="24.95" customHeight="1" x14ac:dyDescent="0.25">
      <c r="A14" s="618">
        <f>+IF(NOVIEMBRE!A14=0,"",NOVIEMBRE!A14)</f>
        <v>1003</v>
      </c>
      <c r="B14" s="646" t="str">
        <f>+IF(NOVIEMBRE!B14=0,"",NOVIEMBRE!B14)</f>
        <v>Fondos Comunes y Especiales (Caja, Bancos, Invers. Tempor.) a Dic-31-2014</v>
      </c>
      <c r="C14" s="375">
        <f>+ENERO!C14</f>
        <v>0</v>
      </c>
      <c r="D14" s="376">
        <f>NOVIEMBRE!D14+DICIEMBRE!P14</f>
        <v>0</v>
      </c>
      <c r="E14" s="376">
        <f>NOVIEMBRE!E14+DICIEMBRE!Q14</f>
        <v>11310362</v>
      </c>
      <c r="F14" s="146">
        <f>SUM(C14:E14)</f>
        <v>11310362</v>
      </c>
      <c r="G14" s="222">
        <f>NOVIEMBRE!I14</f>
        <v>11310362</v>
      </c>
      <c r="H14" s="377">
        <v>0</v>
      </c>
      <c r="I14" s="146">
        <f>SUM(G14:H14)</f>
        <v>11310362</v>
      </c>
      <c r="J14" s="222">
        <f>NOVIEMBRE!L14</f>
        <v>11310362</v>
      </c>
      <c r="K14" s="134">
        <v>0</v>
      </c>
      <c r="L14" s="146">
        <f>SUM(J14:K14)</f>
        <v>11310362</v>
      </c>
      <c r="M14" s="222">
        <f>F14-I14</f>
        <v>0</v>
      </c>
      <c r="N14" s="146">
        <f>F14-L14</f>
        <v>0</v>
      </c>
      <c r="O14" s="385"/>
      <c r="P14" s="375">
        <v>0</v>
      </c>
      <c r="Q14" s="378">
        <v>0</v>
      </c>
      <c r="S14" s="717">
        <f>+IF(NOVIEMBRE!S14=0,"",NOVIEMBRE!S14)</f>
        <v>1010000</v>
      </c>
      <c r="T14" s="691" t="str">
        <f>+IF(NOVIEMBRE!T14=0,"",NOVIEMBRE!T14)</f>
        <v>Gastos de Administración</v>
      </c>
      <c r="U14" s="135">
        <f t="shared" ref="U14:AJ14" si="11">U16+U35+U43+U57</f>
        <v>717551072</v>
      </c>
      <c r="V14" s="124">
        <f t="shared" si="11"/>
        <v>3000000</v>
      </c>
      <c r="W14" s="124">
        <f t="shared" si="11"/>
        <v>74426723</v>
      </c>
      <c r="X14" s="132">
        <f t="shared" si="11"/>
        <v>794977795</v>
      </c>
      <c r="Y14" s="131">
        <f t="shared" si="11"/>
        <v>588616225</v>
      </c>
      <c r="Z14" s="124">
        <f t="shared" si="11"/>
        <v>0</v>
      </c>
      <c r="AA14" s="132">
        <f t="shared" si="11"/>
        <v>588616225</v>
      </c>
      <c r="AB14" s="131">
        <f t="shared" si="11"/>
        <v>533290615</v>
      </c>
      <c r="AC14" s="124">
        <f t="shared" si="11"/>
        <v>0</v>
      </c>
      <c r="AD14" s="132">
        <f t="shared" si="11"/>
        <v>533290615</v>
      </c>
      <c r="AE14" s="131">
        <f t="shared" si="11"/>
        <v>474733647</v>
      </c>
      <c r="AF14" s="124">
        <f t="shared" si="11"/>
        <v>0</v>
      </c>
      <c r="AG14" s="132">
        <f t="shared" si="11"/>
        <v>474733647</v>
      </c>
      <c r="AH14" s="131">
        <f t="shared" si="11"/>
        <v>206361570</v>
      </c>
      <c r="AI14" s="124">
        <f t="shared" si="11"/>
        <v>261687180</v>
      </c>
      <c r="AJ14" s="133">
        <f t="shared" si="11"/>
        <v>320244148</v>
      </c>
      <c r="AK14" s="10"/>
      <c r="AL14" s="131">
        <f>AL16+AL35+AL43+AL57</f>
        <v>0</v>
      </c>
      <c r="AM14" s="133">
        <f>AM16+AM35+AM43+AM57</f>
        <v>0</v>
      </c>
      <c r="AO14" s="21"/>
      <c r="AP14" s="11" t="s">
        <v>75</v>
      </c>
      <c r="AQ14" s="12">
        <f>F19-AQ7-AQ8-AQ9-AQ10-AQ11-AQ12-AQ13</f>
        <v>318225176</v>
      </c>
      <c r="AR14" s="12">
        <f>I19-AR7-AR8-AR9-AR10-AR11-AR12-AR13</f>
        <v>237067418</v>
      </c>
      <c r="AS14" s="12">
        <f>L19-AS7-AS8-AS9-AS10-AS11-AS12-AS13</f>
        <v>187471248</v>
      </c>
      <c r="AT14" s="385"/>
      <c r="AU14" s="353">
        <f t="shared" si="0"/>
        <v>0.74496751319260801</v>
      </c>
      <c r="AV14" s="353">
        <f t="shared" si="1"/>
        <v>0.58911507366092242</v>
      </c>
      <c r="AW14" s="354">
        <f>(I41+I46+I49+I52+I55+I58+I61+I64+I67+I70+I73+I78+I81+I82+I83+I85+I94+I104)/AO$2*12+I47+I50+I53+I56+I59+I62+I65+I68+I71+I74</f>
        <v>491296786</v>
      </c>
      <c r="AX14" s="354">
        <f>(L41+L46+L49+L52+L55+L58+L61+L64+L67+L70+L73+L78+L81+L82+L83+L85+L94+L104)/AO$2*12+L47+L50+L53+L56+L59+L62+L65+L68+L71+L74</f>
        <v>434371273</v>
      </c>
      <c r="AY14" s="354">
        <f t="shared" si="2"/>
        <v>173071610</v>
      </c>
      <c r="AZ14" s="355">
        <f t="shared" si="3"/>
        <v>116146097</v>
      </c>
      <c r="BB14" s="386" t="s">
        <v>442</v>
      </c>
      <c r="BC14" s="92">
        <f>+F64</f>
        <v>22951026</v>
      </c>
      <c r="BD14" s="93">
        <f>+I64</f>
        <v>22121153</v>
      </c>
      <c r="BE14" s="94">
        <f>K64</f>
        <v>0</v>
      </c>
      <c r="BF14" s="53">
        <f>+BE14+NOVIEMBRE!BE14+OCTUBRE!BE14+SEPTIEMBRE!BF14</f>
        <v>11763111</v>
      </c>
      <c r="BG14" s="91" t="s">
        <v>76</v>
      </c>
      <c r="BH14" s="81">
        <f t="shared" si="10"/>
        <v>0</v>
      </c>
      <c r="BI14" s="81">
        <f t="shared" si="10"/>
        <v>0</v>
      </c>
      <c r="BJ14" s="81">
        <f t="shared" si="10"/>
        <v>0</v>
      </c>
      <c r="BK14" s="81">
        <f t="shared" si="10"/>
        <v>0</v>
      </c>
      <c r="BL14" s="40">
        <f>+BK14+NOVIEMBRE!BK14+OCTUBRE!BK14+SEPTIEMBRE!BL14</f>
        <v>0</v>
      </c>
      <c r="BM14" s="141" t="s">
        <v>449</v>
      </c>
      <c r="BN14" s="86">
        <f>X35-X41+X83-X88</f>
        <v>390329517</v>
      </c>
      <c r="BO14" s="84">
        <f>AA35-AA41+AA83-AA88</f>
        <v>357248500</v>
      </c>
      <c r="BP14" s="84">
        <f>AD35-AD41+AD83-AD88</f>
        <v>261322890</v>
      </c>
      <c r="BQ14" s="200">
        <f>AF35-AF41+AF83-AF88</f>
        <v>0</v>
      </c>
      <c r="BR14" s="119">
        <f>+BQ14+NOVIEMBRE!BQ14+OCTUBRE!BQ14+SEPTIEMBRE!BQ14+AGOSTO!BQ14+JULIO!BQ14+JUNIO!BQ14+MAYO!BQ14+ABRIL!BQ14+MARZO!BQ14+FEBRERO!BQ14+ENERO!BQ14</f>
        <v>221034436</v>
      </c>
    </row>
    <row r="15" spans="1:70" s="9" customFormat="1" ht="24.95" customHeight="1" thickBot="1" x14ac:dyDescent="0.3">
      <c r="A15" s="619">
        <f>+IF(NOVIEMBRE!A15=0,"",NOVIEMBRE!A15)</f>
        <v>1004</v>
      </c>
      <c r="B15" s="646" t="str">
        <f>+IF(NOVIEMBRE!B15=0,"",NOVIEMBRE!B15)</f>
        <v>Cesantias Ley 50/1990 a Dic-31-2014</v>
      </c>
      <c r="C15" s="387">
        <f>+ENERO!C15</f>
        <v>0</v>
      </c>
      <c r="D15" s="388">
        <f>NOVIEMBRE!D15+DICIEMBRE!P15</f>
        <v>0</v>
      </c>
      <c r="E15" s="388">
        <f>NOVIEMBRE!E15+DICIEMBRE!Q15</f>
        <v>78950146</v>
      </c>
      <c r="F15" s="389">
        <f>SUM(C15:E15)</f>
        <v>78950146</v>
      </c>
      <c r="G15" s="390">
        <f>NOVIEMBRE!I15</f>
        <v>78950146</v>
      </c>
      <c r="H15" s="391">
        <v>0</v>
      </c>
      <c r="I15" s="389">
        <f>SUM(G15:H15)</f>
        <v>78950146</v>
      </c>
      <c r="J15" s="390">
        <f>NOVIEMBRE!L15</f>
        <v>78950146</v>
      </c>
      <c r="K15" s="168">
        <v>0</v>
      </c>
      <c r="L15" s="389">
        <f>SUM(J15:K15)</f>
        <v>78950146</v>
      </c>
      <c r="M15" s="390">
        <f>F15-I15</f>
        <v>0</v>
      </c>
      <c r="N15" s="389">
        <f>F15-L15</f>
        <v>0</v>
      </c>
      <c r="O15" s="385"/>
      <c r="P15" s="387">
        <v>0</v>
      </c>
      <c r="Q15" s="392">
        <v>0</v>
      </c>
      <c r="S15" s="369" t="str">
        <f>+IF(NOVIEMBRE!S15=0,"",NOVIEMBRE!S15)</f>
        <v/>
      </c>
      <c r="T15" s="708" t="str">
        <f>+IF(NOVIEMBRE!T15=0,"",NOVIEMBRE!T15)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51708770</v>
      </c>
      <c r="AS15" s="12">
        <f>L113</f>
        <v>51708770</v>
      </c>
      <c r="AT15" s="13"/>
      <c r="AU15" s="345">
        <f t="shared" si="0"/>
        <v>0.8641785798074616</v>
      </c>
      <c r="AV15" s="353">
        <f t="shared" si="1"/>
        <v>0.8641785798074616</v>
      </c>
      <c r="AW15" s="12">
        <f>+AR15</f>
        <v>51708770</v>
      </c>
      <c r="AX15" s="12">
        <f>+AS15</f>
        <v>51708770</v>
      </c>
      <c r="AY15" s="12">
        <f t="shared" si="2"/>
        <v>-8126976</v>
      </c>
      <c r="AZ15" s="346">
        <f t="shared" si="3"/>
        <v>-8126976</v>
      </c>
      <c r="BA15" s="385"/>
      <c r="BB15" s="386" t="s">
        <v>79</v>
      </c>
      <c r="BC15" s="92">
        <f>F46+F49</f>
        <v>0</v>
      </c>
      <c r="BD15" s="93">
        <f>I46+I49</f>
        <v>0</v>
      </c>
      <c r="BE15" s="94">
        <f>K46+K49</f>
        <v>0</v>
      </c>
      <c r="BF15" s="53">
        <f>+BE15+NOVIEMBRE!BE15+OCTUBRE!BE15+SEPTIEMBRE!BF15</f>
        <v>0</v>
      </c>
      <c r="BG15" s="91" t="s">
        <v>80</v>
      </c>
      <c r="BH15" s="81">
        <f t="shared" si="10"/>
        <v>342364056</v>
      </c>
      <c r="BI15" s="81">
        <f t="shared" si="10"/>
        <v>342364056</v>
      </c>
      <c r="BJ15" s="81">
        <f t="shared" si="10"/>
        <v>342364056</v>
      </c>
      <c r="BK15" s="81">
        <f t="shared" si="10"/>
        <v>0</v>
      </c>
      <c r="BL15" s="40">
        <f>+BK15+NOVIEMBRE!BK15+OCTUBRE!BK15+SEPTIEMBRE!BL15</f>
        <v>303837447</v>
      </c>
      <c r="BM15" s="71" t="s">
        <v>68</v>
      </c>
      <c r="BN15" s="83">
        <f>SUM(BN16:BN21)</f>
        <v>657265487</v>
      </c>
      <c r="BO15" s="81">
        <f>SUM(BO16:BO21)</f>
        <v>451524737</v>
      </c>
      <c r="BP15" s="81">
        <f>SUM(BP16:BP21)</f>
        <v>418840392</v>
      </c>
      <c r="BQ15" s="199">
        <f>SUM(BQ16:BQ21)</f>
        <v>0</v>
      </c>
      <c r="BR15" s="119">
        <f>SUM(BR16:BR21)</f>
        <v>305509887</v>
      </c>
    </row>
    <row r="16" spans="1:70" s="9" customFormat="1" ht="24.95" customHeight="1" thickBot="1" x14ac:dyDescent="0.3">
      <c r="A16" s="746" t="str">
        <f>+IF(NOVIEMBRE!A16=0,"",NOVIEMBRE!A16)</f>
        <v/>
      </c>
      <c r="B16" s="647" t="str">
        <f>+IF(NOVIEMBRE!B16=0,"",NOVIEMBRE!B16)</f>
        <v/>
      </c>
      <c r="C16" s="393"/>
      <c r="D16" s="393"/>
      <c r="E16" s="393"/>
      <c r="F16" s="393"/>
      <c r="G16" s="393"/>
      <c r="H16" s="393"/>
      <c r="I16" s="393"/>
      <c r="J16" s="393"/>
      <c r="K16" s="393"/>
      <c r="L16" s="393"/>
      <c r="M16" s="393"/>
      <c r="N16" s="394"/>
      <c r="O16" s="385"/>
      <c r="P16" s="395"/>
      <c r="Q16" s="396"/>
      <c r="S16" s="718">
        <f>+IF(NOVIEMBRE!S16=0,"",NOVIEMBRE!S16)</f>
        <v>1010100</v>
      </c>
      <c r="T16" s="692" t="str">
        <f>+IF(NOVIEMBRE!T16=0,"",NOVIEMBRE!T16)</f>
        <v>Servicios Personales Asociados a Nómina</v>
      </c>
      <c r="U16" s="135">
        <f t="shared" ref="U16:AJ16" si="12">SUM(U17:U20)+U33</f>
        <v>372660589</v>
      </c>
      <c r="V16" s="124">
        <f t="shared" si="12"/>
        <v>3000000</v>
      </c>
      <c r="W16" s="124">
        <f t="shared" si="12"/>
        <v>2702630</v>
      </c>
      <c r="X16" s="132">
        <f t="shared" si="12"/>
        <v>378363219</v>
      </c>
      <c r="Y16" s="131">
        <f t="shared" si="12"/>
        <v>244775802</v>
      </c>
      <c r="Z16" s="124">
        <f t="shared" si="12"/>
        <v>0</v>
      </c>
      <c r="AA16" s="132">
        <f t="shared" si="12"/>
        <v>244775802</v>
      </c>
      <c r="AB16" s="131">
        <f t="shared" si="12"/>
        <v>244775802</v>
      </c>
      <c r="AC16" s="124">
        <f t="shared" si="12"/>
        <v>0</v>
      </c>
      <c r="AD16" s="132">
        <f t="shared" si="12"/>
        <v>244775802</v>
      </c>
      <c r="AE16" s="131">
        <f t="shared" si="12"/>
        <v>244033451</v>
      </c>
      <c r="AF16" s="124">
        <f t="shared" si="12"/>
        <v>0</v>
      </c>
      <c r="AG16" s="132">
        <f t="shared" si="12"/>
        <v>244033451</v>
      </c>
      <c r="AH16" s="131">
        <f t="shared" si="12"/>
        <v>133587417</v>
      </c>
      <c r="AI16" s="124">
        <f t="shared" si="12"/>
        <v>133587417</v>
      </c>
      <c r="AJ16" s="133">
        <f t="shared" si="12"/>
        <v>134329768</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67464121</v>
      </c>
      <c r="BE16" s="75">
        <f>K43</f>
        <v>0</v>
      </c>
      <c r="BF16" s="53">
        <f>+BE16+NOVIEMBRE!BE16+OCTUBRE!BE16+SEPTIEMBRE!BF16</f>
        <v>65005392</v>
      </c>
      <c r="BG16" s="91" t="s">
        <v>84</v>
      </c>
      <c r="BH16" s="96">
        <f>BH7+BH12+BH13+BH14+BH15</f>
        <v>3890600747</v>
      </c>
      <c r="BI16" s="96">
        <f>BI7+BI12+BI13+BI14+BI15</f>
        <v>2726086676</v>
      </c>
      <c r="BJ16" s="96">
        <f>BJ7+BJ12+BJ13+BJ14+BJ15</f>
        <v>2546110443</v>
      </c>
      <c r="BK16" s="96">
        <f>BK7+BK12+BK13+BK14+BK15</f>
        <v>0</v>
      </c>
      <c r="BL16" s="40">
        <f>+BK16+NOVIEMBRE!BK16+OCTUBRE!BK16+SEPTIEMBRE!BL16</f>
        <v>2054277226</v>
      </c>
      <c r="BM16" s="140" t="s">
        <v>85</v>
      </c>
      <c r="BN16" s="83">
        <f>X114-X121+X147-X148-X153</f>
        <v>161782184</v>
      </c>
      <c r="BO16" s="81">
        <f>AA114-AA121+AA147-AA148-AA153</f>
        <v>99088706</v>
      </c>
      <c r="BP16" s="81">
        <f>AD114-AD121+AD147-AD148-AD153</f>
        <v>99088706</v>
      </c>
      <c r="BQ16" s="82">
        <f>AF114-AF121+AF147-AF148-AF153</f>
        <v>0</v>
      </c>
      <c r="BR16" s="119">
        <f>+BQ16+NOVIEMBRE!BQ16+OCTUBRE!BQ16+SEPTIEMBRE!BQ16+AGOSTO!BQ16+JULIO!BQ16+JUNIO!BQ16+MAYO!BQ16+ABRIL!BQ16+MARZO!BQ16+FEBRERO!BQ16+ENERO!BQ16</f>
        <v>49342563</v>
      </c>
    </row>
    <row r="17" spans="1:249" s="385" customFormat="1" ht="24.95" customHeight="1" thickBot="1" x14ac:dyDescent="0.3">
      <c r="A17" s="745">
        <f>+IF(NOVIEMBRE!A17=0,"",NOVIEMBRE!A17)</f>
        <v>11</v>
      </c>
      <c r="B17" s="648" t="str">
        <f>+IF(NOVIEMBRE!B17=0,"",NOVIEMBRE!B17)</f>
        <v>INGRESOS  CORRIENTES</v>
      </c>
      <c r="C17" s="337">
        <f>C19+C94+C104</f>
        <v>3103041868</v>
      </c>
      <c r="D17" s="334">
        <f t="shared" ref="D17:Q17" si="13">D19+D94+D104</f>
        <v>0</v>
      </c>
      <c r="E17" s="334">
        <f t="shared" si="13"/>
        <v>637381072</v>
      </c>
      <c r="F17" s="334">
        <f t="shared" si="13"/>
        <v>3740422940</v>
      </c>
      <c r="G17" s="334">
        <f t="shared" si="13"/>
        <v>2883251477</v>
      </c>
      <c r="H17" s="334">
        <f t="shared" si="13"/>
        <v>0</v>
      </c>
      <c r="I17" s="334">
        <f t="shared" si="13"/>
        <v>2883251477</v>
      </c>
      <c r="J17" s="334">
        <f t="shared" si="13"/>
        <v>2043692754</v>
      </c>
      <c r="K17" s="334">
        <f t="shared" si="13"/>
        <v>0</v>
      </c>
      <c r="L17" s="334">
        <f t="shared" si="13"/>
        <v>2043692754</v>
      </c>
      <c r="M17" s="334">
        <f t="shared" si="13"/>
        <v>857171463</v>
      </c>
      <c r="N17" s="335">
        <f t="shared" si="13"/>
        <v>1696730186</v>
      </c>
      <c r="P17" s="177">
        <f t="shared" si="13"/>
        <v>0</v>
      </c>
      <c r="Q17" s="178">
        <f t="shared" si="13"/>
        <v>0</v>
      </c>
      <c r="R17" s="9"/>
      <c r="S17" s="719">
        <f>+IF(NOVIEMBRE!S17=0,"",NOVIEMBRE!S17)</f>
        <v>1010101</v>
      </c>
      <c r="T17" s="693" t="str">
        <f>+IF(NOVIEMBRE!T17=0,"",NOVIEMBRE!T17)</f>
        <v>Sueldos del Personal de nómina</v>
      </c>
      <c r="U17" s="27">
        <f>+ENERO!U17</f>
        <v>304405836</v>
      </c>
      <c r="V17" s="15">
        <f>NOVIEMBRE!V17+DICIEMBRE!AL17</f>
        <v>0</v>
      </c>
      <c r="W17" s="15">
        <f>NOVIEMBRE!W17+DICIEMBRE!AM17</f>
        <v>0</v>
      </c>
      <c r="X17" s="18">
        <f>SUM(U17:W17)</f>
        <v>304405836</v>
      </c>
      <c r="Y17" s="19">
        <f>NOVIEMBRE!AA17</f>
        <v>225802101</v>
      </c>
      <c r="Z17" s="377">
        <v>0</v>
      </c>
      <c r="AA17" s="18">
        <f>SUM(Y17:Z17)</f>
        <v>225802101</v>
      </c>
      <c r="AB17" s="19">
        <f>NOVIEMBRE!AD17</f>
        <v>225802101</v>
      </c>
      <c r="AC17" s="377">
        <v>0</v>
      </c>
      <c r="AD17" s="18">
        <f>SUM(AB17:AC17)</f>
        <v>225802101</v>
      </c>
      <c r="AE17" s="19">
        <f>NOVIEMBRE!AG17</f>
        <v>225802101</v>
      </c>
      <c r="AF17" s="377">
        <v>0</v>
      </c>
      <c r="AG17" s="18">
        <f>SUM(AE17:AF17)</f>
        <v>225802101</v>
      </c>
      <c r="AH17" s="19">
        <f>X17-AA17</f>
        <v>78603735</v>
      </c>
      <c r="AI17" s="15">
        <f>X17-AD17</f>
        <v>78603735</v>
      </c>
      <c r="AJ17" s="16">
        <f>X17-AG17</f>
        <v>78603735</v>
      </c>
      <c r="AK17" s="9"/>
      <c r="AL17" s="375">
        <v>0</v>
      </c>
      <c r="AM17" s="378">
        <v>0</v>
      </c>
      <c r="AN17" s="9"/>
      <c r="AO17" s="352"/>
      <c r="AP17" s="402" t="s">
        <v>87</v>
      </c>
      <c r="AQ17" s="403">
        <f>SUM(AQ7:AQ16)</f>
        <v>3708705097</v>
      </c>
      <c r="AR17" s="404">
        <f>SUM(AR7:AR16)</f>
        <v>2810331626</v>
      </c>
      <c r="AS17" s="405">
        <f>SUM(AS7:AS16)</f>
        <v>1970772903</v>
      </c>
      <c r="AT17" s="406"/>
      <c r="AU17" s="404">
        <f t="shared" si="0"/>
        <v>0.7577662694920928</v>
      </c>
      <c r="AV17" s="404">
        <f t="shared" si="1"/>
        <v>0.53139110591299732</v>
      </c>
      <c r="AW17" s="407">
        <f>SUM(AX7:AX16)</f>
        <v>2217672928</v>
      </c>
      <c r="AX17" s="407">
        <f>SUM(AX7:AX16)</f>
        <v>2217672928</v>
      </c>
      <c r="AY17" s="407">
        <f>SUM(AY7:AY16)</f>
        <v>-644144103</v>
      </c>
      <c r="AZ17" s="408">
        <f>SUM(AZ7:AZ16)</f>
        <v>-1491032169</v>
      </c>
      <c r="BA17" s="9"/>
      <c r="BB17" s="368" t="s">
        <v>444</v>
      </c>
      <c r="BC17" s="73">
        <f>F41+F52+F55+F58+F61+F67+F70+F73+F76+F79+F82+F86+F87+F88+F89+F90+F91</f>
        <v>331051770</v>
      </c>
      <c r="BD17" s="74">
        <f>I41+I52+I55+I58+I61+I67+I70+I73+I76+I79+I82+I86+I87+I88+I89+I90+I91</f>
        <v>218788942</v>
      </c>
      <c r="BE17" s="75">
        <f>K41+K52+K55+K58+K61+K67+K70+K73+K76+K79+K82+K86+K87+K88+K89+K90+K91</f>
        <v>0</v>
      </c>
      <c r="BF17" s="53">
        <f>+BE17+NOVIEMBRE!BE17+OCTUBRE!BE17+SEPTIEMBRE!BF17</f>
        <v>172221471</v>
      </c>
      <c r="BG17" s="98" t="s">
        <v>88</v>
      </c>
      <c r="BH17" s="99">
        <f>BC23-BH16</f>
        <v>-3890600747</v>
      </c>
      <c r="BI17" s="99"/>
      <c r="BJ17" s="99"/>
      <c r="BK17" s="99"/>
      <c r="BL17" s="40">
        <f>+BK17+NOVIEMBRE!BK17+OCTUBRE!BK17+SEPTIEMBRE!BL17</f>
        <v>0</v>
      </c>
      <c r="BM17" s="140" t="s">
        <v>459</v>
      </c>
      <c r="BN17" s="83">
        <f>X123-X126-X139+X155-X156-X167-X168</f>
        <v>264763207</v>
      </c>
      <c r="BO17" s="81">
        <f>AA123-AA126-AA139+AA155-AA156-AA167-AA168</f>
        <v>186303943</v>
      </c>
      <c r="BP17" s="81">
        <f>AD123-AD126-AD139+AD155-AD156-AD167-AD168</f>
        <v>163046444</v>
      </c>
      <c r="BQ17" s="82">
        <f>AF123-AF126-AF139+AF155-AF156-AF167-AF168</f>
        <v>0</v>
      </c>
      <c r="BR17" s="119">
        <f>+BQ17+NOVIEMBRE!BQ17+OCTUBRE!BQ17+SEPTIEMBRE!BQ17+AGOSTO!BQ17+JULIO!BQ17+JUNIO!BQ17+MAYO!BQ17+ABRIL!BQ17+MARZO!BQ17+FEBRERO!BQ17+ENERO!BQ17</f>
        <v>126847510</v>
      </c>
    </row>
    <row r="18" spans="1:249" s="9" customFormat="1" ht="24.95" customHeight="1" thickBot="1" x14ac:dyDescent="0.3">
      <c r="A18" s="618" t="str">
        <f>+IF(NOVIEMBRE!A18=0,"",NOVIEMBRE!A18)</f>
        <v/>
      </c>
      <c r="B18" s="649" t="str">
        <f>+IF(NOVIEMBRE!B18=0,"",NOVIEMBRE!B18)</f>
        <v/>
      </c>
      <c r="C18" s="297"/>
      <c r="D18" s="297"/>
      <c r="E18" s="297"/>
      <c r="F18" s="297"/>
      <c r="G18" s="297"/>
      <c r="H18" s="297"/>
      <c r="I18" s="297"/>
      <c r="J18" s="297"/>
      <c r="K18" s="297"/>
      <c r="L18" s="297"/>
      <c r="M18" s="297"/>
      <c r="N18" s="466"/>
      <c r="P18" s="410"/>
      <c r="Q18" s="409"/>
      <c r="S18" s="719">
        <f>+IF(NOVIEMBRE!S18=0,"",NOVIEMBRE!S18)</f>
        <v>1010102</v>
      </c>
      <c r="T18" s="693" t="str">
        <f>+IF(NOVIEMBRE!T18=0,"",NOVIEMBRE!T18)</f>
        <v>Horas Extras,Dominic.,Festivos y Rec. Nocturnos</v>
      </c>
      <c r="U18" s="27">
        <f>+ENERO!U18</f>
        <v>12090252</v>
      </c>
      <c r="V18" s="15">
        <f>NOVIEMBRE!V18+DICIEMBRE!AL18</f>
        <v>3000000</v>
      </c>
      <c r="W18" s="15">
        <f>NOVIEMBRE!W18+DICIEMBRE!AM18</f>
        <v>0</v>
      </c>
      <c r="X18" s="18">
        <f>SUM(U18:W18)</f>
        <v>15090252</v>
      </c>
      <c r="Y18" s="19">
        <f>NOVIEMBRE!AA18</f>
        <v>13243848</v>
      </c>
      <c r="Z18" s="377">
        <v>0</v>
      </c>
      <c r="AA18" s="18">
        <f>SUM(Y18:Z18)</f>
        <v>13243848</v>
      </c>
      <c r="AB18" s="19">
        <f>NOVIEMBRE!AD18</f>
        <v>13243848</v>
      </c>
      <c r="AC18" s="377">
        <v>0</v>
      </c>
      <c r="AD18" s="18">
        <f>SUM(AB18:AC18)</f>
        <v>13243848</v>
      </c>
      <c r="AE18" s="19">
        <f>NOVIEMBRE!AG18</f>
        <v>13243848</v>
      </c>
      <c r="AF18" s="377">
        <v>0</v>
      </c>
      <c r="AG18" s="18">
        <f>SUM(AE18:AF18)</f>
        <v>13243848</v>
      </c>
      <c r="AH18" s="19">
        <f>X18-AA18</f>
        <v>1846404</v>
      </c>
      <c r="AI18" s="15">
        <f>X18-AD18</f>
        <v>1846404</v>
      </c>
      <c r="AJ18" s="16">
        <f>X18-AG18</f>
        <v>1846404</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137871796</v>
      </c>
      <c r="BE18" s="75">
        <f>+K95+K96+K97+K99+K100+K101</f>
        <v>0</v>
      </c>
      <c r="BF18" s="53" t="e">
        <f>+BE18+NOVIEMBRE!BE18+OCTUBRE!BE18+SEPTIEMBRE!BF18</f>
        <v>#VALUE!</v>
      </c>
      <c r="BM18" s="140" t="s">
        <v>89</v>
      </c>
      <c r="BN18" s="83">
        <f>X148+X156</f>
        <v>156785051</v>
      </c>
      <c r="BO18" s="81">
        <f>AA148+AA156</f>
        <v>110298826</v>
      </c>
      <c r="BP18" s="81">
        <f>AD148+AD156</f>
        <v>100871980</v>
      </c>
      <c r="BQ18" s="82">
        <f>AF148+AF156</f>
        <v>0</v>
      </c>
      <c r="BR18" s="119">
        <f>+BQ18+NOVIEMBRE!BQ18+OCTUBRE!BQ18+SEPTIEMBRE!BQ18+AGOSTO!BQ18+JULIO!BQ18+JUNIO!BQ18+MAYO!BQ18+ABRIL!BQ18+MARZO!BQ18+FEBRERO!BQ18+ENERO!BQ18</f>
        <v>80721780</v>
      </c>
    </row>
    <row r="19" spans="1:249" s="9" customFormat="1" ht="24.95" customHeight="1" thickBot="1" x14ac:dyDescent="0.3">
      <c r="A19" s="747">
        <f>+IF(NOVIEMBRE!A19=0,"",NOVIEMBRE!A19)</f>
        <v>113</v>
      </c>
      <c r="B19" s="650" t="str">
        <f>+IF(NOVIEMBRE!B19=0,"",NOVIEMBRE!B19)</f>
        <v>VENTA DE SERVICIOS</v>
      </c>
      <c r="C19" s="337">
        <f t="shared" ref="C19:N19" si="14">C21+C85</f>
        <v>2995860189</v>
      </c>
      <c r="D19" s="334">
        <f t="shared" si="14"/>
        <v>0</v>
      </c>
      <c r="E19" s="334">
        <f t="shared" si="14"/>
        <v>562667101</v>
      </c>
      <c r="F19" s="335">
        <f t="shared" si="14"/>
        <v>3558527290</v>
      </c>
      <c r="G19" s="337">
        <f t="shared" si="14"/>
        <v>2668280795</v>
      </c>
      <c r="H19" s="334">
        <f t="shared" si="14"/>
        <v>0</v>
      </c>
      <c r="I19" s="335">
        <f t="shared" si="14"/>
        <v>2668280795</v>
      </c>
      <c r="J19" s="337">
        <f t="shared" si="14"/>
        <v>1828722072</v>
      </c>
      <c r="K19" s="334">
        <f t="shared" si="14"/>
        <v>0</v>
      </c>
      <c r="L19" s="335">
        <f t="shared" si="14"/>
        <v>1828722072</v>
      </c>
      <c r="M19" s="337">
        <f t="shared" si="14"/>
        <v>890246495</v>
      </c>
      <c r="N19" s="335">
        <f t="shared" si="14"/>
        <v>1729805218</v>
      </c>
      <c r="O19" s="385"/>
      <c r="P19" s="43">
        <f>P21+P85</f>
        <v>0</v>
      </c>
      <c r="Q19" s="45">
        <f>Q21+Q85</f>
        <v>0</v>
      </c>
      <c r="S19" s="719">
        <f>+IF(NOVIEMBRE!S19=0,"",NOVIEMBRE!S19)</f>
        <v>1010103</v>
      </c>
      <c r="T19" s="693" t="str">
        <f>+IF(NOVIEMBRE!T19=0,"",NOVIEMBRE!T19)</f>
        <v>Prima Técnica</v>
      </c>
      <c r="U19" s="27">
        <f>+ENERO!U19</f>
        <v>0</v>
      </c>
      <c r="V19" s="15">
        <f>NOVIEMBRE!V19+DICIEMBRE!AL19</f>
        <v>0</v>
      </c>
      <c r="W19" s="15">
        <f>NOVIEMBRE!W19+DICIEMBRE!AM19</f>
        <v>0</v>
      </c>
      <c r="X19" s="18">
        <f>SUM(U19:W19)</f>
        <v>0</v>
      </c>
      <c r="Y19" s="19">
        <f>NOVIEMBRE!AA19</f>
        <v>0</v>
      </c>
      <c r="Z19" s="377">
        <v>0</v>
      </c>
      <c r="AA19" s="18">
        <f>SUM(Y19:Z19)</f>
        <v>0</v>
      </c>
      <c r="AB19" s="19">
        <f>NOVIEMBRE!AD19</f>
        <v>0</v>
      </c>
      <c r="AC19" s="377">
        <v>0</v>
      </c>
      <c r="AD19" s="18">
        <f>SUM(AB19:AC19)</f>
        <v>0</v>
      </c>
      <c r="AE19" s="19">
        <f>NOVIEMBRE!AG19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77018886</v>
      </c>
      <c r="BE19" s="94">
        <f>+K105+K106+K107+K108+K109+K110+K98</f>
        <v>0</v>
      </c>
      <c r="BF19" s="53">
        <f>+BE19+NOVIEMBRE!BE19+OCTUBRE!BE19+SEPTIEMBRE!BF19</f>
        <v>77018886</v>
      </c>
      <c r="BG19" s="385"/>
      <c r="BH19" s="385">
        <f>BN33</f>
        <v>0</v>
      </c>
      <c r="BI19" s="385"/>
      <c r="BJ19" s="385"/>
      <c r="BK19" s="385"/>
      <c r="BM19" s="140" t="s">
        <v>96</v>
      </c>
      <c r="BN19" s="83">
        <f>X126+X167</f>
        <v>55492147</v>
      </c>
      <c r="BO19" s="81">
        <f>AA126+AA167</f>
        <v>42071130</v>
      </c>
      <c r="BP19" s="81">
        <f>AD126+AD167</f>
        <v>42071130</v>
      </c>
      <c r="BQ19" s="82">
        <f>AF126+AF167</f>
        <v>0</v>
      </c>
      <c r="BR19" s="119">
        <f>+BQ19+NOVIEMBRE!BQ19+OCTUBRE!BQ19+SEPTIEMBRE!BQ19+AGOSTO!BQ19+JULIO!BQ19+JUNIO!BQ19+MAYO!BQ19+ABRIL!BQ19+MARZO!BQ19+FEBRERO!BQ19+ENERO!BQ19</f>
        <v>40936099</v>
      </c>
    </row>
    <row r="20" spans="1:249" s="425" customFormat="1" ht="24.95" customHeight="1" thickBot="1" x14ac:dyDescent="0.3">
      <c r="A20" s="618" t="str">
        <f>+IF(NOVIEMBRE!A20=0,"",NOVIEMBRE!A20)</f>
        <v/>
      </c>
      <c r="B20" s="651" t="str">
        <f>+IF(NOVIEMBRE!B20=0,"",NOVIEMBRE!B20)</f>
        <v/>
      </c>
      <c r="C20" s="297"/>
      <c r="D20" s="297"/>
      <c r="E20" s="297"/>
      <c r="F20" s="297"/>
      <c r="G20" s="297"/>
      <c r="H20" s="297"/>
      <c r="I20" s="297"/>
      <c r="J20" s="297"/>
      <c r="K20" s="297"/>
      <c r="L20" s="297"/>
      <c r="M20" s="297"/>
      <c r="N20" s="466"/>
      <c r="O20" s="9"/>
      <c r="P20" s="410"/>
      <c r="Q20" s="409"/>
      <c r="R20" s="9"/>
      <c r="S20" s="719">
        <f>+IF(NOVIEMBRE!S20=0,"",NOVIEMBRE!S20)</f>
        <v>1010104</v>
      </c>
      <c r="T20" s="693" t="str">
        <f>+IF(NOVIEMBRE!T20=0,"",NOVIEMBRE!T20)</f>
        <v>Otros</v>
      </c>
      <c r="U20" s="27">
        <f t="shared" ref="U20:AJ20" si="15">SUM(U21:U32)</f>
        <v>56164501</v>
      </c>
      <c r="V20" s="15">
        <f t="shared" si="15"/>
        <v>0</v>
      </c>
      <c r="W20" s="15">
        <f t="shared" si="15"/>
        <v>0</v>
      </c>
      <c r="X20" s="18">
        <f t="shared" si="15"/>
        <v>56164501</v>
      </c>
      <c r="Y20" s="19">
        <f t="shared" si="15"/>
        <v>3027223</v>
      </c>
      <c r="Z20" s="145">
        <f t="shared" si="15"/>
        <v>0</v>
      </c>
      <c r="AA20" s="18">
        <f t="shared" si="15"/>
        <v>3027223</v>
      </c>
      <c r="AB20" s="19">
        <f t="shared" si="15"/>
        <v>3027223</v>
      </c>
      <c r="AC20" s="145">
        <f t="shared" si="15"/>
        <v>0</v>
      </c>
      <c r="AD20" s="18">
        <f t="shared" si="15"/>
        <v>3027223</v>
      </c>
      <c r="AE20" s="19">
        <f t="shared" si="15"/>
        <v>3027223</v>
      </c>
      <c r="AF20" s="145">
        <f t="shared" si="15"/>
        <v>0</v>
      </c>
      <c r="AG20" s="18">
        <f t="shared" si="15"/>
        <v>3027223</v>
      </c>
      <c r="AH20" s="19">
        <f t="shared" si="15"/>
        <v>53137278</v>
      </c>
      <c r="AI20" s="15">
        <f t="shared" si="15"/>
        <v>53137278</v>
      </c>
      <c r="AJ20" s="16">
        <f t="shared" si="15"/>
        <v>53137278</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41646636</v>
      </c>
      <c r="BE20" s="67">
        <f>+K115+K117+K119+K120+K121+K123+K124</f>
        <v>0</v>
      </c>
      <c r="BF20" s="53">
        <f>+BE20+NOVIEMBRE!BE20+OCTUBRE!BE20+SEPTIEMBRE!BF20</f>
        <v>41644079</v>
      </c>
      <c r="BG20" s="385"/>
      <c r="BH20" s="385">
        <f>BH19-BH16</f>
        <v>-3890600747</v>
      </c>
      <c r="BI20" s="385"/>
      <c r="BJ20" s="385"/>
      <c r="BK20" s="385"/>
      <c r="BL20" s="385"/>
      <c r="BM20" s="142" t="s">
        <v>454</v>
      </c>
      <c r="BN20" s="83">
        <f>+X141-X143</f>
        <v>18442898</v>
      </c>
      <c r="BO20" s="81">
        <f>+AA141-AA143</f>
        <v>13762132</v>
      </c>
      <c r="BP20" s="81">
        <f>+AD141-AD143</f>
        <v>13762132</v>
      </c>
      <c r="BQ20" s="82">
        <f>+AF141-AF143</f>
        <v>0</v>
      </c>
      <c r="BR20" s="119">
        <f>+BQ20+NOVIEMBRE!BQ20+OCTUBRE!BQ20+SEPTIEMBRE!BQ20+AGOSTO!BQ20+JULIO!BQ20+JUNIO!BQ20+MAYO!BQ20+ABRIL!BQ20+MARZO!BQ20+FEBRERO!BQ20+ENERO!BQ20</f>
        <v>7661935</v>
      </c>
      <c r="BS20" s="385"/>
      <c r="BT20" s="385"/>
      <c r="BU20" s="385"/>
      <c r="BV20" s="385"/>
      <c r="BW20" s="385"/>
      <c r="BX20" s="385"/>
      <c r="BY20" s="385"/>
      <c r="BZ20" s="385"/>
      <c r="CA20" s="385"/>
      <c r="CB20" s="385"/>
      <c r="CC20" s="385"/>
      <c r="CD20" s="385"/>
      <c r="CE20" s="385"/>
      <c r="CF20" s="385"/>
      <c r="CG20" s="385"/>
      <c r="CH20" s="385"/>
      <c r="CI20" s="385"/>
      <c r="CJ20" s="385"/>
      <c r="CK20" s="385"/>
      <c r="CL20" s="385"/>
      <c r="CM20" s="385"/>
      <c r="CN20" s="385"/>
      <c r="CO20" s="385"/>
      <c r="CP20" s="385"/>
      <c r="CQ20" s="385"/>
      <c r="CR20" s="385"/>
      <c r="CS20" s="385"/>
      <c r="CT20" s="385"/>
      <c r="CU20" s="385"/>
      <c r="CV20" s="385"/>
      <c r="CW20" s="385"/>
      <c r="CX20" s="385"/>
      <c r="CY20" s="385"/>
      <c r="CZ20" s="385"/>
      <c r="DA20" s="385"/>
      <c r="DB20" s="385"/>
      <c r="DC20" s="385"/>
      <c r="DD20" s="385"/>
      <c r="DE20" s="385"/>
      <c r="DF20" s="385"/>
      <c r="DG20" s="385"/>
      <c r="DH20" s="385"/>
      <c r="DI20" s="385"/>
      <c r="DJ20" s="385"/>
      <c r="DK20" s="385"/>
      <c r="DL20" s="385"/>
      <c r="DM20" s="385"/>
      <c r="DN20" s="385"/>
      <c r="DO20" s="385"/>
      <c r="DP20" s="385"/>
      <c r="DQ20" s="385"/>
      <c r="DR20" s="385"/>
      <c r="DS20" s="385"/>
      <c r="DT20" s="385"/>
      <c r="DU20" s="385"/>
      <c r="DV20" s="385"/>
      <c r="DW20" s="385"/>
      <c r="DX20" s="385"/>
      <c r="DY20" s="385"/>
      <c r="DZ20" s="385"/>
      <c r="EA20" s="385"/>
      <c r="EB20" s="385"/>
      <c r="EC20" s="385"/>
      <c r="ED20" s="385"/>
      <c r="EE20" s="385"/>
      <c r="EF20" s="385"/>
      <c r="EG20" s="385"/>
      <c r="EH20" s="385"/>
      <c r="EI20" s="385"/>
      <c r="EJ20" s="385"/>
      <c r="EK20" s="385"/>
      <c r="EL20" s="385"/>
      <c r="EM20" s="385"/>
      <c r="EN20" s="385"/>
      <c r="EO20" s="385"/>
      <c r="EP20" s="385"/>
      <c r="EQ20" s="385"/>
      <c r="ER20" s="385"/>
      <c r="ES20" s="385"/>
      <c r="ET20" s="385"/>
      <c r="EU20" s="385"/>
      <c r="EV20" s="385"/>
      <c r="EW20" s="385"/>
      <c r="EX20" s="385"/>
      <c r="EY20" s="385"/>
      <c r="EZ20" s="385"/>
      <c r="FA20" s="385"/>
      <c r="FB20" s="385"/>
      <c r="FC20" s="385"/>
      <c r="FD20" s="385"/>
      <c r="FE20" s="385"/>
      <c r="FF20" s="385"/>
      <c r="FG20" s="385"/>
      <c r="FH20" s="385"/>
      <c r="FI20" s="385"/>
      <c r="FJ20" s="385"/>
      <c r="FK20" s="385"/>
      <c r="FL20" s="385"/>
      <c r="FM20" s="385"/>
      <c r="FN20" s="385"/>
      <c r="FO20" s="385"/>
      <c r="FP20" s="385"/>
      <c r="FQ20" s="385"/>
      <c r="FR20" s="385"/>
      <c r="FS20" s="385"/>
      <c r="FT20" s="385"/>
      <c r="FU20" s="385"/>
      <c r="FV20" s="385"/>
      <c r="FW20" s="385"/>
      <c r="FX20" s="385"/>
      <c r="FY20" s="385"/>
      <c r="FZ20" s="385"/>
      <c r="GA20" s="385"/>
      <c r="GB20" s="385"/>
      <c r="GC20" s="385"/>
      <c r="GD20" s="385"/>
      <c r="GE20" s="385"/>
      <c r="GF20" s="385"/>
      <c r="GG20" s="385"/>
      <c r="GH20" s="385"/>
      <c r="GI20" s="385"/>
      <c r="GJ20" s="385"/>
      <c r="GK20" s="385"/>
      <c r="GL20" s="385"/>
      <c r="GM20" s="385"/>
      <c r="GN20" s="385"/>
      <c r="GO20" s="385"/>
      <c r="GP20" s="385"/>
      <c r="GQ20" s="385"/>
      <c r="GR20" s="385"/>
      <c r="GS20" s="385"/>
      <c r="GT20" s="385"/>
      <c r="GU20" s="385"/>
      <c r="GV20" s="385"/>
      <c r="GW20" s="385"/>
      <c r="GX20" s="385"/>
      <c r="GY20" s="385"/>
      <c r="GZ20" s="385"/>
      <c r="HA20" s="385"/>
      <c r="HB20" s="385"/>
      <c r="HC20" s="385"/>
      <c r="HD20" s="385"/>
      <c r="HE20" s="385"/>
      <c r="HF20" s="385"/>
      <c r="HG20" s="385"/>
      <c r="HH20" s="385"/>
      <c r="HI20" s="385"/>
      <c r="HJ20" s="385"/>
      <c r="HK20" s="385"/>
      <c r="HL20" s="385"/>
      <c r="HM20" s="385"/>
      <c r="HN20" s="385"/>
      <c r="HO20" s="385"/>
      <c r="HP20" s="385"/>
      <c r="HQ20" s="385"/>
      <c r="HR20" s="385"/>
      <c r="HS20" s="385"/>
      <c r="HT20" s="385"/>
      <c r="HU20" s="385"/>
      <c r="HV20" s="385"/>
      <c r="HW20" s="385"/>
      <c r="HX20" s="385"/>
      <c r="HY20" s="385"/>
      <c r="HZ20" s="385"/>
      <c r="IA20" s="385"/>
      <c r="IB20" s="385"/>
      <c r="IC20" s="385"/>
      <c r="ID20" s="385"/>
      <c r="IE20" s="385"/>
      <c r="IF20" s="385"/>
      <c r="IG20" s="385"/>
      <c r="IH20" s="385"/>
      <c r="II20" s="385"/>
      <c r="IJ20" s="385"/>
      <c r="IK20" s="385"/>
      <c r="IL20" s="385"/>
      <c r="IM20" s="385"/>
      <c r="IN20" s="385"/>
      <c r="IO20" s="385"/>
    </row>
    <row r="21" spans="1:249" s="425" customFormat="1" ht="24.95" customHeight="1" thickBot="1" x14ac:dyDescent="0.3">
      <c r="A21" s="748">
        <f>+IF(NOVIEMBRE!A21=0,"",NOVIEMBRE!A21)</f>
        <v>11301</v>
      </c>
      <c r="B21" s="652" t="str">
        <f>+IF(NOVIEMBRE!B21=0,"",NOVIEMBRE!B21)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2629022109</v>
      </c>
      <c r="H21" s="357">
        <f t="shared" si="16"/>
        <v>0</v>
      </c>
      <c r="I21" s="357">
        <f t="shared" si="16"/>
        <v>2629022109</v>
      </c>
      <c r="J21" s="357">
        <f t="shared" si="16"/>
        <v>1796792729</v>
      </c>
      <c r="K21" s="357">
        <f t="shared" si="16"/>
        <v>0</v>
      </c>
      <c r="L21" s="357">
        <f t="shared" si="16"/>
        <v>1796792729</v>
      </c>
      <c r="M21" s="357">
        <f t="shared" si="16"/>
        <v>855505181</v>
      </c>
      <c r="N21" s="178">
        <f t="shared" si="16"/>
        <v>1687734561</v>
      </c>
      <c r="O21" s="385"/>
      <c r="P21" s="43">
        <f>P22+P25+P28+P41+P42+P45+P48+P51+P54+P57+P60+P63+P66+P69+P72+P75+P78+P81</f>
        <v>0</v>
      </c>
      <c r="Q21" s="45">
        <f>Q22+Q25+Q28+Q41+Q42+Q45+Q48+Q51+Q54+Q57+Q60+Q63+Q66+Q69+Q72+Q75+Q78+Q81</f>
        <v>0</v>
      </c>
      <c r="R21" s="9"/>
      <c r="S21" s="720" t="str">
        <f>+IF(NOVIEMBRE!S21=0,"",NOVIEMBRE!S21)</f>
        <v>1010104-1</v>
      </c>
      <c r="T21" s="694" t="str">
        <f>+IF(NOVIEMBRE!T21=0,"",NOVIEMBRE!T21)</f>
        <v xml:space="preserve">Prima de Navidad </v>
      </c>
      <c r="U21" s="27">
        <f>+ENERO!U21</f>
        <v>27481083</v>
      </c>
      <c r="V21" s="15">
        <f>NOVIEMBRE!V21+DICIEMBRE!AL21</f>
        <v>0</v>
      </c>
      <c r="W21" s="15">
        <f>NOVIEMBRE!W21+DICIEMBRE!AM21</f>
        <v>0</v>
      </c>
      <c r="X21" s="18">
        <f t="shared" ref="X21:X33" si="17">SUM(U21:W21)</f>
        <v>27481083</v>
      </c>
      <c r="Y21" s="19">
        <f>NOVIEMBRE!AA21</f>
        <v>0</v>
      </c>
      <c r="Z21" s="377">
        <v>0</v>
      </c>
      <c r="AA21" s="18">
        <f t="shared" ref="AA21:AA33" si="18">SUM(Y21:Z21)</f>
        <v>0</v>
      </c>
      <c r="AB21" s="19">
        <f>NOVIEMBRE!AD21</f>
        <v>0</v>
      </c>
      <c r="AC21" s="377">
        <v>0</v>
      </c>
      <c r="AD21" s="18">
        <f t="shared" ref="AD21:AD33" si="19">SUM(AB21:AC21)</f>
        <v>0</v>
      </c>
      <c r="AE21" s="19">
        <f>NOVIEMBRE!AG21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DICIEMBRE</v>
      </c>
      <c r="AS21" s="429" t="str">
        <f>AR6</f>
        <v>DICIEMBRE</v>
      </c>
      <c r="AT21" s="428" t="str">
        <f>AR6</f>
        <v>DICIEMBRE</v>
      </c>
      <c r="AU21" s="428" t="s">
        <v>46</v>
      </c>
      <c r="AV21" s="428" t="s">
        <v>24</v>
      </c>
      <c r="AW21" s="430"/>
      <c r="AX21" s="430"/>
      <c r="AY21" s="428" t="s">
        <v>46</v>
      </c>
      <c r="AZ21" s="431" t="s">
        <v>24</v>
      </c>
      <c r="BA21" s="9"/>
      <c r="BB21" s="101" t="s">
        <v>447</v>
      </c>
      <c r="BC21" s="65">
        <f>SUMIF($B8:B122,$B24,F8:F122)+F122</f>
        <v>577451227</v>
      </c>
      <c r="BD21" s="66">
        <f>SUMIF($B8:B122,$B24,I8:I122)+I122</f>
        <v>505084119</v>
      </c>
      <c r="BE21" s="67">
        <f>SUMIF($B8:B122,$B24,K8:K122)+K122</f>
        <v>0</v>
      </c>
      <c r="BF21" s="53">
        <f>+BE21+NOVIEMBRE!BE21+OCTUBRE!BE21+SEPTIEMBRE!BF21</f>
        <v>505084119</v>
      </c>
      <c r="BG21" s="385"/>
      <c r="BH21" s="385"/>
      <c r="BI21" s="385"/>
      <c r="BJ21" s="385"/>
      <c r="BK21" s="385"/>
      <c r="BL21" s="385"/>
      <c r="BM21" s="140" t="s">
        <v>101</v>
      </c>
      <c r="BN21" s="83">
        <v>0</v>
      </c>
      <c r="BO21" s="81">
        <v>0</v>
      </c>
      <c r="BP21" s="81">
        <v>0</v>
      </c>
      <c r="BQ21" s="199">
        <v>0</v>
      </c>
      <c r="BR21" s="119">
        <f>+BQ21+NOVIEMBRE!BQ21+OCTUBRE!BQ21+SEPTIEMBRE!BQ21+AGOSTO!BQ21+JULIO!BQ21+JUNIO!BQ21+MAYO!BQ21+ABRIL!BQ21+MARZO!BQ21+FEBRERO!BQ21+ENERO!BQ21</f>
        <v>0</v>
      </c>
      <c r="BS21" s="385"/>
      <c r="BT21" s="385"/>
      <c r="BU21" s="385"/>
      <c r="BV21" s="385"/>
      <c r="BW21" s="385"/>
      <c r="BX21" s="385"/>
      <c r="BY21" s="385"/>
      <c r="BZ21" s="385"/>
      <c r="CA21" s="385"/>
      <c r="CB21" s="385"/>
      <c r="CC21" s="385"/>
      <c r="CD21" s="385"/>
      <c r="CE21" s="385"/>
      <c r="CF21" s="385"/>
      <c r="CG21" s="385"/>
      <c r="CH21" s="385"/>
      <c r="CI21" s="385"/>
      <c r="CJ21" s="385"/>
      <c r="CK21" s="385"/>
      <c r="CL21" s="385"/>
      <c r="CM21" s="385"/>
      <c r="CN21" s="385"/>
      <c r="CO21" s="385"/>
      <c r="CP21" s="385"/>
      <c r="CQ21" s="385"/>
      <c r="CR21" s="385"/>
      <c r="CS21" s="385"/>
      <c r="CT21" s="385"/>
      <c r="CU21" s="385"/>
      <c r="CV21" s="385"/>
      <c r="CW21" s="385"/>
      <c r="CX21" s="385"/>
      <c r="CY21" s="385"/>
      <c r="CZ21" s="385"/>
      <c r="DA21" s="385"/>
      <c r="DB21" s="385"/>
      <c r="DC21" s="385"/>
      <c r="DD21" s="385"/>
      <c r="DE21" s="385"/>
      <c r="DF21" s="385"/>
      <c r="DG21" s="385"/>
      <c r="DH21" s="385"/>
      <c r="DI21" s="385"/>
      <c r="DJ21" s="385"/>
      <c r="DK21" s="385"/>
      <c r="DL21" s="385"/>
      <c r="DM21" s="385"/>
      <c r="DN21" s="385"/>
      <c r="DO21" s="385"/>
      <c r="DP21" s="385"/>
      <c r="DQ21" s="385"/>
      <c r="DR21" s="385"/>
      <c r="DS21" s="385"/>
      <c r="DT21" s="385"/>
      <c r="DU21" s="385"/>
      <c r="DV21" s="385"/>
      <c r="DW21" s="385"/>
      <c r="DX21" s="385"/>
      <c r="DY21" s="385"/>
      <c r="DZ21" s="385"/>
      <c r="EA21" s="385"/>
      <c r="EB21" s="385"/>
      <c r="EC21" s="385"/>
      <c r="ED21" s="385"/>
      <c r="EE21" s="385"/>
      <c r="EF21" s="385"/>
      <c r="EG21" s="385"/>
      <c r="EH21" s="385"/>
      <c r="EI21" s="385"/>
      <c r="EJ21" s="385"/>
      <c r="EK21" s="385"/>
      <c r="EL21" s="385"/>
      <c r="EM21" s="385"/>
      <c r="EN21" s="385"/>
      <c r="EO21" s="385"/>
      <c r="EP21" s="385"/>
      <c r="EQ21" s="385"/>
      <c r="ER21" s="385"/>
      <c r="ES21" s="385"/>
      <c r="ET21" s="385"/>
      <c r="EU21" s="385"/>
      <c r="EV21" s="385"/>
      <c r="EW21" s="385"/>
      <c r="EX21" s="385"/>
      <c r="EY21" s="385"/>
      <c r="EZ21" s="385"/>
      <c r="FA21" s="385"/>
      <c r="FB21" s="385"/>
      <c r="FC21" s="385"/>
      <c r="FD21" s="385"/>
      <c r="FE21" s="385"/>
      <c r="FF21" s="385"/>
      <c r="FG21" s="385"/>
      <c r="FH21" s="385"/>
      <c r="FI21" s="385"/>
      <c r="FJ21" s="385"/>
      <c r="FK21" s="385"/>
      <c r="FL21" s="385"/>
      <c r="FM21" s="385"/>
      <c r="FN21" s="385"/>
      <c r="FO21" s="385"/>
      <c r="FP21" s="385"/>
      <c r="FQ21" s="385"/>
      <c r="FR21" s="385"/>
      <c r="FS21" s="385"/>
      <c r="FT21" s="385"/>
      <c r="FU21" s="385"/>
      <c r="FV21" s="385"/>
      <c r="FW21" s="385"/>
      <c r="FX21" s="385"/>
      <c r="FY21" s="385"/>
      <c r="FZ21" s="385"/>
      <c r="GA21" s="385"/>
      <c r="GB21" s="385"/>
      <c r="GC21" s="385"/>
      <c r="GD21" s="385"/>
      <c r="GE21" s="385"/>
      <c r="GF21" s="385"/>
      <c r="GG21" s="385"/>
      <c r="GH21" s="385"/>
      <c r="GI21" s="385"/>
      <c r="GJ21" s="385"/>
      <c r="GK21" s="385"/>
      <c r="GL21" s="385"/>
      <c r="GM21" s="385"/>
      <c r="GN21" s="385"/>
      <c r="GO21" s="385"/>
      <c r="GP21" s="385"/>
      <c r="GQ21" s="385"/>
      <c r="GR21" s="385"/>
      <c r="GS21" s="385"/>
      <c r="GT21" s="385"/>
      <c r="GU21" s="385"/>
      <c r="GV21" s="385"/>
      <c r="GW21" s="385"/>
      <c r="GX21" s="385"/>
      <c r="GY21" s="385"/>
      <c r="GZ21" s="385"/>
      <c r="HA21" s="385"/>
      <c r="HB21" s="385"/>
      <c r="HC21" s="385"/>
      <c r="HD21" s="385"/>
      <c r="HE21" s="385"/>
      <c r="HF21" s="385"/>
      <c r="HG21" s="385"/>
      <c r="HH21" s="385"/>
      <c r="HI21" s="385"/>
      <c r="HJ21" s="385"/>
      <c r="HK21" s="385"/>
      <c r="HL21" s="385"/>
      <c r="HM21" s="385"/>
      <c r="HN21" s="385"/>
      <c r="HO21" s="385"/>
      <c r="HP21" s="385"/>
      <c r="HQ21" s="385"/>
      <c r="HR21" s="385"/>
      <c r="HS21" s="385"/>
      <c r="HT21" s="385"/>
      <c r="HU21" s="385"/>
      <c r="HV21" s="385"/>
      <c r="HW21" s="385"/>
      <c r="HX21" s="385"/>
      <c r="HY21" s="385"/>
      <c r="HZ21" s="385"/>
      <c r="IA21" s="385"/>
      <c r="IB21" s="385"/>
      <c r="IC21" s="385"/>
      <c r="ID21" s="385"/>
      <c r="IE21" s="385"/>
      <c r="IF21" s="385"/>
      <c r="IG21" s="385"/>
      <c r="IH21" s="385"/>
      <c r="II21" s="385"/>
      <c r="IJ21" s="385"/>
      <c r="IK21" s="385"/>
      <c r="IL21" s="385"/>
      <c r="IM21" s="385"/>
      <c r="IN21" s="385"/>
      <c r="IO21" s="385"/>
    </row>
    <row r="22" spans="1:249" s="9" customFormat="1" ht="24.95" customHeight="1" thickBot="1" x14ac:dyDescent="0.3">
      <c r="A22" s="747">
        <f>+IF(NOVIEMBRE!A22=0,"",NOVIEMBRE!A22)</f>
        <v>1130101</v>
      </c>
      <c r="B22" s="653" t="str">
        <f>+IF(NOVIEMBRE!B22=0,"",NOVIEMBRE!B22)</f>
        <v>EPS - REGIMEN CONTRIBUTIVO</v>
      </c>
      <c r="C22" s="43">
        <f t="shared" ref="C22:N22" si="24">SUM(C23:C24)</f>
        <v>1323143662</v>
      </c>
      <c r="D22" s="44">
        <f t="shared" si="24"/>
        <v>0</v>
      </c>
      <c r="E22" s="44">
        <f t="shared" si="24"/>
        <v>435611621</v>
      </c>
      <c r="F22" s="44">
        <f t="shared" si="24"/>
        <v>1758755283</v>
      </c>
      <c r="G22" s="44">
        <f t="shared" si="24"/>
        <v>1395117330</v>
      </c>
      <c r="H22" s="44">
        <f t="shared" si="24"/>
        <v>0</v>
      </c>
      <c r="I22" s="44">
        <f t="shared" si="24"/>
        <v>1395117330</v>
      </c>
      <c r="J22" s="44">
        <f t="shared" si="24"/>
        <v>817005247</v>
      </c>
      <c r="K22" s="44">
        <f t="shared" si="24"/>
        <v>0</v>
      </c>
      <c r="L22" s="44">
        <f t="shared" si="24"/>
        <v>817005247</v>
      </c>
      <c r="M22" s="44">
        <f t="shared" si="24"/>
        <v>363637953</v>
      </c>
      <c r="N22" s="45">
        <f t="shared" si="24"/>
        <v>941750036</v>
      </c>
      <c r="P22" s="43">
        <f>SUM(P23:P24)</f>
        <v>0</v>
      </c>
      <c r="Q22" s="45">
        <f>SUM(Q23:Q24)</f>
        <v>0</v>
      </c>
      <c r="S22" s="720" t="str">
        <f>+IF(NOVIEMBRE!S22=0,"",NOVIEMBRE!S22)</f>
        <v>1010104-2</v>
      </c>
      <c r="T22" s="694" t="str">
        <f>+IF(NOVIEMBRE!T22=0,"",NOVIEMBRE!T22)</f>
        <v>Prima Vida Cara</v>
      </c>
      <c r="U22" s="27">
        <f>+ENERO!U22</f>
        <v>0</v>
      </c>
      <c r="V22" s="15">
        <f>NOVIEMBRE!V22+DICIEMBRE!AL22</f>
        <v>0</v>
      </c>
      <c r="W22" s="15">
        <f>NOVIEMBRE!W22+DICIEMBRE!AM22</f>
        <v>0</v>
      </c>
      <c r="X22" s="18">
        <f t="shared" si="17"/>
        <v>0</v>
      </c>
      <c r="Y22" s="19">
        <f>NOVIEMBRE!AA22</f>
        <v>0</v>
      </c>
      <c r="Z22" s="377">
        <v>0</v>
      </c>
      <c r="AA22" s="18">
        <f t="shared" si="18"/>
        <v>0</v>
      </c>
      <c r="AB22" s="19">
        <f>NOVIEMBRE!AD22</f>
        <v>0</v>
      </c>
      <c r="AC22" s="377">
        <v>0</v>
      </c>
      <c r="AD22" s="18">
        <f t="shared" si="19"/>
        <v>0</v>
      </c>
      <c r="AE22" s="19">
        <f>NOVIEMBRE!AG22</f>
        <v>0</v>
      </c>
      <c r="AF22" s="377">
        <v>0</v>
      </c>
      <c r="AG22" s="18">
        <f t="shared" si="20"/>
        <v>0</v>
      </c>
      <c r="AH22" s="19">
        <f t="shared" si="21"/>
        <v>0</v>
      </c>
      <c r="AI22" s="15">
        <f t="shared" si="22"/>
        <v>0</v>
      </c>
      <c r="AJ22" s="16">
        <f t="shared" si="23"/>
        <v>0</v>
      </c>
      <c r="AL22" s="375">
        <v>0</v>
      </c>
      <c r="AM22" s="378">
        <v>0</v>
      </c>
      <c r="AO22" s="21"/>
      <c r="AP22" s="432" t="s">
        <v>106</v>
      </c>
      <c r="AQ22" s="433">
        <f>X17+X66</f>
        <v>943171180</v>
      </c>
      <c r="AR22" s="433">
        <f>AD17+AD66</f>
        <v>701547252</v>
      </c>
      <c r="AS22" s="433">
        <f>AG17+AG66</f>
        <v>671543837</v>
      </c>
      <c r="AT22" s="434"/>
      <c r="AU22" s="435">
        <f t="shared" ref="AU22:AU32" si="25">IF(AQ22=0," ",AR22/AQ22)</f>
        <v>0.74381752419534275</v>
      </c>
      <c r="AV22" s="435">
        <f t="shared" ref="AV22:AV32" si="26">IF(AQ22=0," ",AS22/AQ22)</f>
        <v>0.71200631575701878</v>
      </c>
      <c r="AW22" s="436">
        <f>AR22/$AO$2*12</f>
        <v>701547252</v>
      </c>
      <c r="AX22" s="436">
        <f>AS22/$AO$2*12</f>
        <v>671543837</v>
      </c>
      <c r="AY22" s="436">
        <f t="shared" ref="AY22:AY31" si="27">AW22-AQ22</f>
        <v>-241623928</v>
      </c>
      <c r="AZ22" s="437">
        <f t="shared" ref="AZ22:AZ31" si="28">AQ22-AX22</f>
        <v>271627343</v>
      </c>
      <c r="BA22" s="385"/>
      <c r="BB22" s="102" t="s">
        <v>111</v>
      </c>
      <c r="BC22" s="103">
        <f>BC7+BC8+BC20+BC21</f>
        <v>3890600747</v>
      </c>
      <c r="BD22" s="104">
        <f>BD7+BD8+BD20+BD21</f>
        <v>3025302308</v>
      </c>
      <c r="BE22" s="105">
        <f>BE7+BE8+BE20+BE21</f>
        <v>0</v>
      </c>
      <c r="BF22" s="53" t="e">
        <f>+BE22+NOVIEMBRE!BE22+OCTUBRE!BE22+SEPTIEMBRE!BF22</f>
        <v>#VALUE!</v>
      </c>
      <c r="BG22" s="385"/>
      <c r="BH22" s="385"/>
      <c r="BI22" s="385"/>
      <c r="BJ22" s="385"/>
      <c r="BK22" s="385"/>
      <c r="BM22" s="71" t="s">
        <v>69</v>
      </c>
      <c r="BN22" s="83">
        <f>BN23+BN24</f>
        <v>65572284</v>
      </c>
      <c r="BO22" s="81">
        <f>BO23+BO24</f>
        <v>32172164</v>
      </c>
      <c r="BP22" s="81">
        <f>BP23+BP24</f>
        <v>32172164</v>
      </c>
      <c r="BQ22" s="199">
        <f>BQ23+BQ24</f>
        <v>0</v>
      </c>
      <c r="BR22" s="119">
        <f>BR23+BR24</f>
        <v>26099896</v>
      </c>
    </row>
    <row r="23" spans="1:249" s="425" customFormat="1" ht="24.95" customHeight="1" x14ac:dyDescent="0.25">
      <c r="A23" s="618" t="str">
        <f>+IF(NOVIEMBRE!A23=0,"",NOVIEMBRE!A23)</f>
        <v>1130101-1</v>
      </c>
      <c r="B23" s="654" t="str">
        <f>+CONCATENATE("Vigencia ",INSTRUCCIONES!$F$3)</f>
        <v>Vigencia 2015</v>
      </c>
      <c r="C23" s="375">
        <f>+ENERO!C23</f>
        <v>1323143662</v>
      </c>
      <c r="D23" s="376">
        <f>NOVIEMBRE!D23+DICIEMBRE!P23</f>
        <v>0</v>
      </c>
      <c r="E23" s="376">
        <f>NOVIEMBRE!E23+DICIEMBRE!Q23</f>
        <v>0</v>
      </c>
      <c r="F23" s="376">
        <f>SUM(C23:E23)</f>
        <v>1323143662</v>
      </c>
      <c r="G23" s="376">
        <f>NOVIEMBRE!I23</f>
        <v>985514883</v>
      </c>
      <c r="H23" s="377">
        <v>0</v>
      </c>
      <c r="I23" s="376">
        <f>SUM(G23:H23)</f>
        <v>985514883</v>
      </c>
      <c r="J23" s="376">
        <f>NOVIEMBRE!L23</f>
        <v>407402800</v>
      </c>
      <c r="K23" s="377">
        <v>0</v>
      </c>
      <c r="L23" s="376">
        <f>SUM(J23:K23)</f>
        <v>407402800</v>
      </c>
      <c r="M23" s="376">
        <f>F23-I23</f>
        <v>337628779</v>
      </c>
      <c r="N23" s="146">
        <f>F23-L23</f>
        <v>915740862</v>
      </c>
      <c r="O23" s="9"/>
      <c r="P23" s="375">
        <v>0</v>
      </c>
      <c r="Q23" s="378">
        <v>0</v>
      </c>
      <c r="R23" s="9"/>
      <c r="S23" s="720" t="str">
        <f>+IF(NOVIEMBRE!S23=0,"",NOVIEMBRE!S23)</f>
        <v>1010104-3</v>
      </c>
      <c r="T23" s="694" t="str">
        <f>+IF(NOVIEMBRE!T23=0,"",NOVIEMBRE!T23)</f>
        <v>Prima de Vacaciones</v>
      </c>
      <c r="U23" s="27">
        <f>+ENERO!U23</f>
        <v>12683577</v>
      </c>
      <c r="V23" s="15">
        <f>NOVIEMBRE!V23+DICIEMBRE!AL23</f>
        <v>0</v>
      </c>
      <c r="W23" s="15">
        <f>NOVIEMBRE!W23+DICIEMBRE!AM23</f>
        <v>0</v>
      </c>
      <c r="X23" s="18">
        <f t="shared" si="17"/>
        <v>12683577</v>
      </c>
      <c r="Y23" s="19">
        <f>NOVIEMBRE!AA23</f>
        <v>2128961</v>
      </c>
      <c r="Z23" s="377">
        <v>0</v>
      </c>
      <c r="AA23" s="18">
        <f t="shared" si="18"/>
        <v>2128961</v>
      </c>
      <c r="AB23" s="19">
        <f>NOVIEMBRE!AD23</f>
        <v>2128961</v>
      </c>
      <c r="AC23" s="377">
        <v>0</v>
      </c>
      <c r="AD23" s="18">
        <f t="shared" si="19"/>
        <v>2128961</v>
      </c>
      <c r="AE23" s="19">
        <f>NOVIEMBRE!AG23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327491529</v>
      </c>
      <c r="AR23" s="439">
        <f>AD16+AD65-AR22</f>
        <v>172769383</v>
      </c>
      <c r="AS23" s="439">
        <f>AG16+AG65-AS22</f>
        <v>145794943</v>
      </c>
      <c r="AT23" s="330"/>
      <c r="AU23" s="345">
        <f t="shared" si="25"/>
        <v>0.52755374628331231</v>
      </c>
      <c r="AV23" s="345">
        <f t="shared" si="26"/>
        <v>0.4451869135216624</v>
      </c>
      <c r="AW23" s="439">
        <f>(AR23-AD21-AD22-AD23-AD25-AD30-AD33-AD70-AD71-AD72-AD74-AD78-AD81)/$AO$2*12+AX22/12*2.5+AD30+AD33+AD78+AD81</f>
        <v>279084720.04166663</v>
      </c>
      <c r="AX23" s="439">
        <f>(AS23-AG21-AG22-AG23-AG25-AG30-AG33-AG70-AG71-AG72-AG74-AG78-AG81)/$AO$2*12+AX22/12*2.5+AG30+AG33+AG78+AG81</f>
        <v>265433936.04166666</v>
      </c>
      <c r="AY23" s="439">
        <f t="shared" si="27"/>
        <v>-48406808.958333373</v>
      </c>
      <c r="AZ23" s="46">
        <f t="shared" si="28"/>
        <v>62057592.958333343</v>
      </c>
      <c r="BA23" s="385"/>
      <c r="BF23" s="385"/>
      <c r="BG23" s="385"/>
      <c r="BH23" s="385"/>
      <c r="BI23" s="385"/>
      <c r="BJ23" s="385"/>
      <c r="BK23" s="385"/>
      <c r="BL23" s="385"/>
      <c r="BM23" s="140" t="s">
        <v>107</v>
      </c>
      <c r="BN23" s="83">
        <f>X177</f>
        <v>39279816</v>
      </c>
      <c r="BO23" s="81">
        <f>AA177</f>
        <v>22897362</v>
      </c>
      <c r="BP23" s="81">
        <f>AD177</f>
        <v>22897362</v>
      </c>
      <c r="BQ23" s="199">
        <f>AF177</f>
        <v>0</v>
      </c>
      <c r="BR23" s="119">
        <f>+BQ23+NOVIEMBRE!BQ23+OCTUBRE!BQ23+SEPTIEMBRE!BQ23+AGOSTO!BQ23+JULIO!BQ23+JUNIO!BQ23+MAYO!BQ23+ABRIL!BQ23+MARZO!BQ23+FEBRERO!BQ23+ENERO!BQ23</f>
        <v>22897362</v>
      </c>
      <c r="BS23" s="385"/>
      <c r="BT23" s="385"/>
      <c r="BU23" s="385"/>
      <c r="BV23" s="385"/>
      <c r="BW23" s="385"/>
      <c r="BX23" s="385"/>
      <c r="BY23" s="385"/>
      <c r="BZ23" s="385"/>
      <c r="CA23" s="385"/>
      <c r="CB23" s="385"/>
      <c r="CC23" s="385"/>
      <c r="CD23" s="385"/>
      <c r="CE23" s="385"/>
      <c r="CF23" s="385"/>
      <c r="CG23" s="385"/>
      <c r="CH23" s="385"/>
      <c r="CI23" s="385"/>
      <c r="CJ23" s="385"/>
      <c r="CK23" s="385"/>
      <c r="CL23" s="385"/>
      <c r="CM23" s="385"/>
      <c r="CN23" s="385"/>
      <c r="CO23" s="385"/>
      <c r="CP23" s="385"/>
      <c r="CQ23" s="385"/>
      <c r="CR23" s="385"/>
      <c r="CS23" s="385"/>
      <c r="CT23" s="385"/>
      <c r="CU23" s="385"/>
      <c r="CV23" s="385"/>
      <c r="CW23" s="385"/>
      <c r="CX23" s="385"/>
      <c r="CY23" s="385"/>
      <c r="CZ23" s="385"/>
      <c r="DA23" s="385"/>
      <c r="DB23" s="385"/>
      <c r="DC23" s="385"/>
      <c r="DD23" s="385"/>
      <c r="DE23" s="385"/>
      <c r="DF23" s="385"/>
      <c r="DG23" s="385"/>
      <c r="DH23" s="385"/>
      <c r="DI23" s="385"/>
      <c r="DJ23" s="385"/>
      <c r="DK23" s="385"/>
      <c r="DL23" s="385"/>
      <c r="DM23" s="385"/>
      <c r="DN23" s="385"/>
      <c r="DO23" s="385"/>
      <c r="DP23" s="385"/>
      <c r="DQ23" s="385"/>
      <c r="DR23" s="385"/>
      <c r="DS23" s="385"/>
      <c r="DT23" s="385"/>
      <c r="DU23" s="385"/>
      <c r="DV23" s="385"/>
      <c r="DW23" s="385"/>
      <c r="DX23" s="385"/>
      <c r="DY23" s="385"/>
      <c r="DZ23" s="385"/>
      <c r="EA23" s="385"/>
      <c r="EB23" s="385"/>
      <c r="EC23" s="385"/>
      <c r="ED23" s="385"/>
      <c r="EE23" s="385"/>
      <c r="EF23" s="385"/>
      <c r="EG23" s="385"/>
      <c r="EH23" s="385"/>
      <c r="EI23" s="385"/>
      <c r="EJ23" s="385"/>
      <c r="EK23" s="385"/>
      <c r="EL23" s="385"/>
      <c r="EM23" s="385"/>
      <c r="EN23" s="385"/>
      <c r="EO23" s="385"/>
      <c r="EP23" s="385"/>
      <c r="EQ23" s="385"/>
      <c r="ER23" s="385"/>
      <c r="ES23" s="385"/>
      <c r="ET23" s="385"/>
      <c r="EU23" s="385"/>
      <c r="EV23" s="385"/>
      <c r="EW23" s="385"/>
      <c r="EX23" s="385"/>
      <c r="EY23" s="385"/>
      <c r="EZ23" s="385"/>
      <c r="FA23" s="385"/>
      <c r="FB23" s="385"/>
      <c r="FC23" s="385"/>
      <c r="FD23" s="385"/>
      <c r="FE23" s="385"/>
      <c r="FF23" s="385"/>
      <c r="FG23" s="385"/>
      <c r="FH23" s="385"/>
      <c r="FI23" s="385"/>
      <c r="FJ23" s="385"/>
      <c r="FK23" s="385"/>
      <c r="FL23" s="385"/>
      <c r="FM23" s="385"/>
      <c r="FN23" s="385"/>
      <c r="FO23" s="385"/>
      <c r="FP23" s="385"/>
      <c r="FQ23" s="385"/>
      <c r="FR23" s="385"/>
      <c r="FS23" s="385"/>
      <c r="FT23" s="385"/>
      <c r="FU23" s="385"/>
      <c r="FV23" s="385"/>
      <c r="FW23" s="385"/>
      <c r="FX23" s="385"/>
      <c r="FY23" s="385"/>
      <c r="FZ23" s="385"/>
      <c r="GA23" s="385"/>
      <c r="GB23" s="385"/>
      <c r="GC23" s="385"/>
      <c r="GD23" s="385"/>
      <c r="GE23" s="385"/>
      <c r="GF23" s="385"/>
      <c r="GG23" s="385"/>
      <c r="GH23" s="385"/>
      <c r="GI23" s="385"/>
      <c r="GJ23" s="385"/>
      <c r="GK23" s="385"/>
      <c r="GL23" s="385"/>
      <c r="GM23" s="385"/>
      <c r="GN23" s="385"/>
      <c r="GO23" s="385"/>
      <c r="GP23" s="385"/>
      <c r="GQ23" s="385"/>
      <c r="GR23" s="385"/>
      <c r="GS23" s="385"/>
      <c r="GT23" s="385"/>
      <c r="GU23" s="385"/>
      <c r="GV23" s="385"/>
      <c r="GW23" s="385"/>
      <c r="GX23" s="385"/>
      <c r="GY23" s="385"/>
      <c r="GZ23" s="385"/>
      <c r="HA23" s="385"/>
      <c r="HB23" s="385"/>
      <c r="HC23" s="385"/>
      <c r="HD23" s="385"/>
      <c r="HE23" s="385"/>
      <c r="HF23" s="385"/>
      <c r="HG23" s="385"/>
      <c r="HH23" s="385"/>
      <c r="HI23" s="385"/>
      <c r="HJ23" s="385"/>
      <c r="HK23" s="385"/>
      <c r="HL23" s="385"/>
      <c r="HM23" s="385"/>
      <c r="HN23" s="385"/>
      <c r="HO23" s="385"/>
      <c r="HP23" s="385"/>
      <c r="HQ23" s="385"/>
      <c r="HR23" s="385"/>
      <c r="HS23" s="385"/>
      <c r="HT23" s="385"/>
      <c r="HU23" s="385"/>
      <c r="HV23" s="385"/>
      <c r="HW23" s="385"/>
      <c r="HX23" s="385"/>
      <c r="HY23" s="385"/>
      <c r="HZ23" s="385"/>
      <c r="IA23" s="385"/>
      <c r="IB23" s="385"/>
      <c r="IC23" s="385"/>
      <c r="ID23" s="385"/>
      <c r="IE23" s="385"/>
      <c r="IF23" s="385"/>
      <c r="IG23" s="385"/>
      <c r="IH23" s="385"/>
      <c r="II23" s="385"/>
      <c r="IJ23" s="385"/>
      <c r="IK23" s="385"/>
      <c r="IL23" s="385"/>
      <c r="IM23" s="385"/>
      <c r="IN23" s="385"/>
      <c r="IO23" s="385"/>
    </row>
    <row r="24" spans="1:249" s="425" customFormat="1" ht="24.95" customHeight="1" x14ac:dyDescent="0.25">
      <c r="A24" s="618" t="str">
        <f>+IF(NOVIEMBRE!A24=0,"",NOVIEMBRE!A24)</f>
        <v>1130101-2</v>
      </c>
      <c r="B24" s="654" t="str">
        <f>+IF(NOVIEMBRE!B24=0,"",NOVIEMBRE!B24)</f>
        <v>Vigencia Anterior</v>
      </c>
      <c r="C24" s="375">
        <f>+ENERO!C24</f>
        <v>0</v>
      </c>
      <c r="D24" s="376">
        <f>NOVIEMBRE!D24+DICIEMBRE!P24</f>
        <v>0</v>
      </c>
      <c r="E24" s="376">
        <f>NOVIEMBRE!E24+DICIEMBRE!Q24</f>
        <v>435611621</v>
      </c>
      <c r="F24" s="376">
        <f>SUM(C24:E24)</f>
        <v>435611621</v>
      </c>
      <c r="G24" s="376">
        <f>NOVIEMBRE!I24</f>
        <v>409602447</v>
      </c>
      <c r="H24" s="377">
        <v>0</v>
      </c>
      <c r="I24" s="376">
        <f>SUM(G24:H24)</f>
        <v>409602447</v>
      </c>
      <c r="J24" s="376">
        <f>NOVIEMBRE!L24</f>
        <v>409602447</v>
      </c>
      <c r="K24" s="377">
        <v>0</v>
      </c>
      <c r="L24" s="376">
        <f>SUM(J24:K24)</f>
        <v>409602447</v>
      </c>
      <c r="M24" s="376">
        <f>F24-I24</f>
        <v>26009174</v>
      </c>
      <c r="N24" s="146">
        <f>F24-L24</f>
        <v>26009174</v>
      </c>
      <c r="O24" s="385"/>
      <c r="P24" s="375">
        <v>0</v>
      </c>
      <c r="Q24" s="378">
        <v>0</v>
      </c>
      <c r="R24" s="9"/>
      <c r="S24" s="720" t="str">
        <f>+IF(NOVIEMBRE!S24=0,"",NOVIEMBRE!S24)</f>
        <v>1010104-4</v>
      </c>
      <c r="T24" s="694" t="str">
        <f>+IF(NOVIEMBRE!T24=0,"",NOVIEMBRE!T24)</f>
        <v>Prima Clima</v>
      </c>
      <c r="U24" s="27">
        <f>+ENERO!U24</f>
        <v>0</v>
      </c>
      <c r="V24" s="15">
        <f>NOVIEMBRE!V24+DICIEMBRE!AL24</f>
        <v>0</v>
      </c>
      <c r="W24" s="15">
        <f>NOVIEMBRE!W24+DICIEMBRE!AM24</f>
        <v>0</v>
      </c>
      <c r="X24" s="18">
        <f t="shared" si="17"/>
        <v>0</v>
      </c>
      <c r="Y24" s="19">
        <f>NOVIEMBRE!AA24</f>
        <v>0</v>
      </c>
      <c r="Z24" s="377">
        <v>0</v>
      </c>
      <c r="AA24" s="18">
        <f t="shared" si="18"/>
        <v>0</v>
      </c>
      <c r="AB24" s="19">
        <f>NOVIEMBRE!AD24</f>
        <v>0</v>
      </c>
      <c r="AC24" s="377">
        <v>0</v>
      </c>
      <c r="AD24" s="18">
        <f t="shared" si="19"/>
        <v>0</v>
      </c>
      <c r="AE24" s="19">
        <f>NOVIEMBRE!AG24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295277368</v>
      </c>
      <c r="AS24" s="434">
        <f>AG35+AG83</f>
        <v>248039060</v>
      </c>
      <c r="AT24" s="434"/>
      <c r="AU24" s="376">
        <f t="shared" si="25"/>
        <v>0.69594274467034756</v>
      </c>
      <c r="AV24" s="376">
        <f t="shared" si="26"/>
        <v>0.58460621405245328</v>
      </c>
      <c r="AW24" s="376">
        <f>(AR24-AD41-AD88)/$AO$2*12+AD41+AD88</f>
        <v>295277368</v>
      </c>
      <c r="AX24" s="376">
        <f>(AS24-AG41-AG88)/$AO$2*12+AG41+AG88</f>
        <v>248039060</v>
      </c>
      <c r="AY24" s="376">
        <f t="shared" si="27"/>
        <v>-129006627</v>
      </c>
      <c r="AZ24" s="146">
        <f t="shared" si="28"/>
        <v>176244935</v>
      </c>
      <c r="BA24" s="9"/>
      <c r="BB24" s="440"/>
      <c r="BC24" s="385"/>
      <c r="BD24" s="385"/>
      <c r="BE24" s="385"/>
      <c r="BF24" s="385"/>
      <c r="BG24" s="385"/>
      <c r="BH24" s="385"/>
      <c r="BI24" s="385"/>
      <c r="BJ24" s="385"/>
      <c r="BK24" s="385"/>
      <c r="BL24" s="385"/>
      <c r="BM24" s="140" t="s">
        <v>112</v>
      </c>
      <c r="BN24" s="83">
        <f>X170-X177-X174-X183-X191</f>
        <v>26292468</v>
      </c>
      <c r="BO24" s="81">
        <f>AA170-AA177-AA174-AA183-AA191</f>
        <v>9274802</v>
      </c>
      <c r="BP24" s="81">
        <f>AD170-AD177-AD174-AD183-AD191</f>
        <v>9274802</v>
      </c>
      <c r="BQ24" s="199">
        <f>AF170-AF177-AF174-AF183-AF191</f>
        <v>0</v>
      </c>
      <c r="BR24" s="119">
        <f>+BQ24+NOVIEMBRE!BQ24+OCTUBRE!BQ24+SEPTIEMBRE!BQ24+AGOSTO!BQ24+JULIO!BQ24+JUNIO!BQ24+MAYO!BQ24+ABRIL!BQ24+MARZO!BQ24+FEBRERO!BQ24+ENERO!BQ24</f>
        <v>3202534</v>
      </c>
      <c r="BS24" s="385"/>
      <c r="BT24" s="385"/>
      <c r="BU24" s="385"/>
      <c r="BV24" s="385"/>
      <c r="BW24" s="385"/>
      <c r="BX24" s="385"/>
      <c r="BY24" s="385"/>
      <c r="BZ24" s="385"/>
      <c r="CA24" s="385"/>
      <c r="CB24" s="385"/>
      <c r="CC24" s="385"/>
      <c r="CD24" s="385"/>
      <c r="CE24" s="385"/>
      <c r="CF24" s="385"/>
      <c r="CG24" s="385"/>
      <c r="CH24" s="385"/>
      <c r="CI24" s="385"/>
      <c r="CJ24" s="385"/>
      <c r="CK24" s="385"/>
      <c r="CL24" s="385"/>
      <c r="CM24" s="385"/>
      <c r="CN24" s="385"/>
      <c r="CO24" s="385"/>
      <c r="CP24" s="385"/>
      <c r="CQ24" s="385"/>
      <c r="CR24" s="385"/>
      <c r="CS24" s="385"/>
      <c r="CT24" s="385"/>
      <c r="CU24" s="385"/>
      <c r="CV24" s="385"/>
      <c r="CW24" s="385"/>
      <c r="CX24" s="385"/>
      <c r="CY24" s="385"/>
      <c r="CZ24" s="385"/>
      <c r="DA24" s="385"/>
      <c r="DB24" s="385"/>
      <c r="DC24" s="385"/>
      <c r="DD24" s="385"/>
      <c r="DE24" s="385"/>
      <c r="DF24" s="385"/>
      <c r="DG24" s="385"/>
      <c r="DH24" s="385"/>
      <c r="DI24" s="385"/>
      <c r="DJ24" s="385"/>
      <c r="DK24" s="385"/>
      <c r="DL24" s="385"/>
      <c r="DM24" s="385"/>
      <c r="DN24" s="385"/>
      <c r="DO24" s="385"/>
      <c r="DP24" s="385"/>
      <c r="DQ24" s="385"/>
      <c r="DR24" s="385"/>
      <c r="DS24" s="385"/>
      <c r="DT24" s="385"/>
      <c r="DU24" s="385"/>
      <c r="DV24" s="385"/>
      <c r="DW24" s="385"/>
      <c r="DX24" s="385"/>
      <c r="DY24" s="385"/>
      <c r="DZ24" s="385"/>
      <c r="EA24" s="385"/>
      <c r="EB24" s="385"/>
      <c r="EC24" s="385"/>
      <c r="ED24" s="385"/>
      <c r="EE24" s="385"/>
      <c r="EF24" s="385"/>
      <c r="EG24" s="385"/>
      <c r="EH24" s="385"/>
      <c r="EI24" s="385"/>
      <c r="EJ24" s="385"/>
      <c r="EK24" s="385"/>
      <c r="EL24" s="385"/>
      <c r="EM24" s="385"/>
      <c r="EN24" s="385"/>
      <c r="EO24" s="385"/>
      <c r="EP24" s="385"/>
      <c r="EQ24" s="385"/>
      <c r="ER24" s="385"/>
      <c r="ES24" s="385"/>
      <c r="ET24" s="385"/>
      <c r="EU24" s="385"/>
      <c r="EV24" s="385"/>
      <c r="EW24" s="385"/>
      <c r="EX24" s="385"/>
      <c r="EY24" s="385"/>
      <c r="EZ24" s="385"/>
      <c r="FA24" s="385"/>
      <c r="FB24" s="385"/>
      <c r="FC24" s="385"/>
      <c r="FD24" s="385"/>
      <c r="FE24" s="385"/>
      <c r="FF24" s="385"/>
      <c r="FG24" s="385"/>
      <c r="FH24" s="385"/>
      <c r="FI24" s="385"/>
      <c r="FJ24" s="385"/>
      <c r="FK24" s="385"/>
      <c r="FL24" s="385"/>
      <c r="FM24" s="385"/>
      <c r="FN24" s="385"/>
      <c r="FO24" s="385"/>
      <c r="FP24" s="385"/>
      <c r="FQ24" s="385"/>
      <c r="FR24" s="385"/>
      <c r="FS24" s="385"/>
      <c r="FT24" s="385"/>
      <c r="FU24" s="385"/>
      <c r="FV24" s="385"/>
      <c r="FW24" s="385"/>
      <c r="FX24" s="385"/>
      <c r="FY24" s="385"/>
      <c r="FZ24" s="385"/>
      <c r="GA24" s="385"/>
      <c r="GB24" s="385"/>
      <c r="GC24" s="385"/>
      <c r="GD24" s="385"/>
      <c r="GE24" s="385"/>
      <c r="GF24" s="385"/>
      <c r="GG24" s="385"/>
      <c r="GH24" s="385"/>
      <c r="GI24" s="385"/>
      <c r="GJ24" s="385"/>
      <c r="GK24" s="385"/>
      <c r="GL24" s="385"/>
      <c r="GM24" s="385"/>
      <c r="GN24" s="385"/>
      <c r="GO24" s="385"/>
      <c r="GP24" s="385"/>
      <c r="GQ24" s="385"/>
      <c r="GR24" s="385"/>
      <c r="GS24" s="385"/>
      <c r="GT24" s="385"/>
      <c r="GU24" s="385"/>
      <c r="GV24" s="385"/>
      <c r="GW24" s="385"/>
      <c r="GX24" s="385"/>
      <c r="GY24" s="385"/>
      <c r="GZ24" s="385"/>
      <c r="HA24" s="385"/>
      <c r="HB24" s="385"/>
      <c r="HC24" s="385"/>
      <c r="HD24" s="385"/>
      <c r="HE24" s="385"/>
      <c r="HF24" s="385"/>
      <c r="HG24" s="385"/>
      <c r="HH24" s="385"/>
      <c r="HI24" s="385"/>
      <c r="HJ24" s="385"/>
      <c r="HK24" s="385"/>
      <c r="HL24" s="385"/>
      <c r="HM24" s="385"/>
      <c r="HN24" s="385"/>
      <c r="HO24" s="385"/>
      <c r="HP24" s="385"/>
      <c r="HQ24" s="385"/>
      <c r="HR24" s="385"/>
      <c r="HS24" s="385"/>
      <c r="HT24" s="385"/>
      <c r="HU24" s="385"/>
      <c r="HV24" s="385"/>
      <c r="HW24" s="385"/>
      <c r="HX24" s="385"/>
      <c r="HY24" s="385"/>
      <c r="HZ24" s="385"/>
      <c r="IA24" s="385"/>
      <c r="IB24" s="385"/>
      <c r="IC24" s="385"/>
      <c r="ID24" s="385"/>
      <c r="IE24" s="385"/>
      <c r="IF24" s="385"/>
      <c r="IG24" s="385"/>
      <c r="IH24" s="385"/>
      <c r="II24" s="385"/>
      <c r="IJ24" s="385"/>
      <c r="IK24" s="385"/>
      <c r="IL24" s="385"/>
      <c r="IM24" s="385"/>
      <c r="IN24" s="385"/>
      <c r="IO24" s="385"/>
    </row>
    <row r="25" spans="1:249" s="385" customFormat="1" ht="24.95" customHeight="1" x14ac:dyDescent="0.25">
      <c r="A25" s="747">
        <f>+IF(NOVIEMBRE!A25=0,"",NOVIEMBRE!A25)</f>
        <v>1130102</v>
      </c>
      <c r="B25" s="653" t="str">
        <f>+IF(NOVIEMBRE!B25=0,"",NOVIEMBRE!B25)</f>
        <v>ARS - REGIMEN SUBSIDIADO</v>
      </c>
      <c r="C25" s="43">
        <f t="shared" ref="C25:N25" si="29">SUM(C26:C27)</f>
        <v>873986903</v>
      </c>
      <c r="D25" s="44">
        <f t="shared" si="29"/>
        <v>0</v>
      </c>
      <c r="E25" s="44">
        <f t="shared" si="29"/>
        <v>71552427</v>
      </c>
      <c r="F25" s="44">
        <f t="shared" si="29"/>
        <v>945539330</v>
      </c>
      <c r="G25" s="44">
        <f t="shared" si="29"/>
        <v>685227161</v>
      </c>
      <c r="H25" s="44">
        <f t="shared" si="29"/>
        <v>0</v>
      </c>
      <c r="I25" s="44">
        <f t="shared" si="29"/>
        <v>685227161</v>
      </c>
      <c r="J25" s="44">
        <f t="shared" si="29"/>
        <v>489985240</v>
      </c>
      <c r="K25" s="44">
        <f t="shared" si="29"/>
        <v>0</v>
      </c>
      <c r="L25" s="44">
        <f t="shared" si="29"/>
        <v>489985240</v>
      </c>
      <c r="M25" s="44">
        <f t="shared" si="29"/>
        <v>260312169</v>
      </c>
      <c r="N25" s="45">
        <f t="shared" si="29"/>
        <v>455554090</v>
      </c>
      <c r="P25" s="43">
        <f>SUM(P26:P27)</f>
        <v>0</v>
      </c>
      <c r="Q25" s="45">
        <f>SUM(Q26:Q27)</f>
        <v>0</v>
      </c>
      <c r="R25" s="9"/>
      <c r="S25" s="720" t="str">
        <f>+IF(NOVIEMBRE!S25=0,"",NOVIEMBRE!S25)</f>
        <v>1010104-5</v>
      </c>
      <c r="T25" s="694" t="str">
        <f>+IF(NOVIEMBRE!T25=0,"",NOVIEMBRE!T25)</f>
        <v>Prima de Servicios</v>
      </c>
      <c r="U25" s="27">
        <f>+ENERO!U25</f>
        <v>12683577</v>
      </c>
      <c r="V25" s="15">
        <f>NOVIEMBRE!V25+DICIEMBRE!AL25</f>
        <v>0</v>
      </c>
      <c r="W25" s="15">
        <f>NOVIEMBRE!W25+DICIEMBRE!AM25</f>
        <v>0</v>
      </c>
      <c r="X25" s="18">
        <f t="shared" si="17"/>
        <v>12683577</v>
      </c>
      <c r="Y25" s="19">
        <f>NOVIEMBRE!AA25</f>
        <v>0</v>
      </c>
      <c r="Z25" s="377">
        <v>0</v>
      </c>
      <c r="AA25" s="18">
        <f t="shared" si="18"/>
        <v>0</v>
      </c>
      <c r="AB25" s="19">
        <f>NOVIEMBRE!AD25</f>
        <v>0</v>
      </c>
      <c r="AC25" s="377">
        <v>0</v>
      </c>
      <c r="AD25" s="18">
        <f t="shared" si="19"/>
        <v>0</v>
      </c>
      <c r="AE25" s="19">
        <f>NOVIEMBRE!AG25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389489080</v>
      </c>
      <c r="AS25" s="376">
        <f>AG43+AG57+AG90+AG104</f>
        <v>327005581</v>
      </c>
      <c r="AT25" s="434"/>
      <c r="AU25" s="376">
        <f t="shared" si="25"/>
        <v>0.71788979059070879</v>
      </c>
      <c r="AV25" s="376">
        <f t="shared" si="26"/>
        <v>0.60272284929293285</v>
      </c>
      <c r="AW25" s="376">
        <f>(AR25-AD55-AD61-AD102-AD108)/$AO$2*12+AD55+AD61+AD102+AD108</f>
        <v>389489080</v>
      </c>
      <c r="AX25" s="376">
        <f>(AS25-AG55-AG61-AG102-AG108)/$AO$2*12+AG55+AG61+AG102+AG108</f>
        <v>327005581</v>
      </c>
      <c r="AY25" s="376">
        <f t="shared" si="27"/>
        <v>-153058098</v>
      </c>
      <c r="AZ25" s="146">
        <f t="shared" si="28"/>
        <v>215541597</v>
      </c>
      <c r="BM25" s="143" t="s">
        <v>455</v>
      </c>
      <c r="BN25" s="106">
        <f>+SUM(BN26:BN28)</f>
        <v>349217338</v>
      </c>
      <c r="BO25" s="107">
        <f>+SUM(BO26:BO28)</f>
        <v>262899000</v>
      </c>
      <c r="BP25" s="107">
        <f>+SUM(BP26:BP28)</f>
        <v>251090056</v>
      </c>
      <c r="BQ25" s="201">
        <f>+SUM(BQ26:BQ28)</f>
        <v>0</v>
      </c>
      <c r="BR25" s="119">
        <f>+SUM(BR26:BR28)</f>
        <v>86107572</v>
      </c>
    </row>
    <row r="26" spans="1:249" s="9" customFormat="1" ht="24.95" customHeight="1" x14ac:dyDescent="0.25">
      <c r="A26" s="618" t="str">
        <f>+IF(NOVIEMBRE!A26=0,"",NOVIEMBRE!A26)</f>
        <v>1130102-1</v>
      </c>
      <c r="B26" s="654" t="str">
        <f>+CONCATENATE("Vigencia ",INSTRUCCIONES!$F$3)</f>
        <v>Vigencia 2015</v>
      </c>
      <c r="C26" s="375">
        <f>+ENERO!C26</f>
        <v>873986903</v>
      </c>
      <c r="D26" s="376">
        <f>NOVIEMBRE!D26+DICIEMBRE!P26</f>
        <v>0</v>
      </c>
      <c r="E26" s="376">
        <f>NOVIEMBRE!E26+DICIEMBRE!Q26</f>
        <v>0</v>
      </c>
      <c r="F26" s="376">
        <f>SUM(C26:E26)</f>
        <v>873986903</v>
      </c>
      <c r="G26" s="376">
        <f>NOVIEMBRE!I26</f>
        <v>635303632</v>
      </c>
      <c r="H26" s="377">
        <v>0</v>
      </c>
      <c r="I26" s="376">
        <f>SUM(G26:H26)</f>
        <v>635303632</v>
      </c>
      <c r="J26" s="376">
        <f>NOVIEMBRE!L26</f>
        <v>440061711</v>
      </c>
      <c r="K26" s="377">
        <v>0</v>
      </c>
      <c r="L26" s="376">
        <f>SUM(J26:K26)</f>
        <v>440061711</v>
      </c>
      <c r="M26" s="376">
        <f>F26-I26</f>
        <v>238683271</v>
      </c>
      <c r="N26" s="146">
        <f>F26-L26</f>
        <v>433925192</v>
      </c>
      <c r="P26" s="375">
        <v>0</v>
      </c>
      <c r="Q26" s="378">
        <v>0</v>
      </c>
      <c r="S26" s="720" t="str">
        <f>+IF(NOVIEMBRE!S26=0,"",NOVIEMBRE!S26)</f>
        <v>1010104-8</v>
      </c>
      <c r="T26" s="694" t="str">
        <f>+IF(NOVIEMBRE!T26=0,"",NOVIEMBRE!T26)</f>
        <v>Bonific. por Servicios Prestados (Convencional)</v>
      </c>
      <c r="U26" s="27">
        <f>+ENERO!U26</f>
        <v>0</v>
      </c>
      <c r="V26" s="15">
        <f>NOVIEMBRE!V26+DICIEMBRE!AL26</f>
        <v>0</v>
      </c>
      <c r="W26" s="15">
        <f>NOVIEMBRE!W26+DICIEMBRE!AM26</f>
        <v>0</v>
      </c>
      <c r="X26" s="18">
        <f t="shared" si="17"/>
        <v>0</v>
      </c>
      <c r="Y26" s="19">
        <f>NOVIEMBRE!AA26</f>
        <v>0</v>
      </c>
      <c r="Z26" s="377">
        <v>0</v>
      </c>
      <c r="AA26" s="18">
        <f t="shared" si="18"/>
        <v>0</v>
      </c>
      <c r="AB26" s="19">
        <f>NOVIEMBRE!AD26</f>
        <v>0</v>
      </c>
      <c r="AC26" s="377">
        <v>0</v>
      </c>
      <c r="AD26" s="18">
        <f t="shared" si="19"/>
        <v>0</v>
      </c>
      <c r="AE26" s="19">
        <f>NOVIEMBRE!AG26</f>
        <v>0</v>
      </c>
      <c r="AF26" s="377">
        <v>0</v>
      </c>
      <c r="AG26" s="18">
        <f t="shared" si="20"/>
        <v>0</v>
      </c>
      <c r="AH26" s="19">
        <f t="shared" si="21"/>
        <v>0</v>
      </c>
      <c r="AI26" s="15">
        <f t="shared" si="22"/>
        <v>0</v>
      </c>
      <c r="AJ26" s="16">
        <f t="shared" si="23"/>
        <v>0</v>
      </c>
      <c r="AL26" s="375">
        <v>0</v>
      </c>
      <c r="AM26" s="378">
        <v>0</v>
      </c>
      <c r="AO26" s="21"/>
      <c r="AP26" s="442" t="s">
        <v>122</v>
      </c>
      <c r="AQ26" s="330">
        <f>X110</f>
        <v>759559501</v>
      </c>
      <c r="AR26" s="330">
        <f>AD110</f>
        <v>521134406</v>
      </c>
      <c r="AS26" s="330">
        <f>AG110</f>
        <v>385706058</v>
      </c>
      <c r="AT26" s="374">
        <f>AO2/12</f>
        <v>1</v>
      </c>
      <c r="AU26" s="345">
        <f t="shared" si="25"/>
        <v>0.68610083254030685</v>
      </c>
      <c r="AV26" s="345">
        <f t="shared" si="26"/>
        <v>0.50780229526745135</v>
      </c>
      <c r="AW26" s="439">
        <f>(AR26-AD121-AD139-AD143-AD153-AD168)/$AO$2*12+AD121+AD139+AD143+AD153+AD168</f>
        <v>521134406</v>
      </c>
      <c r="AX26" s="439">
        <f>(AS26-AG121-AG139-AG143-AG153-AG168)/$AO$2*12+AG121+AG139+AG143+AG153+AG168</f>
        <v>385706058</v>
      </c>
      <c r="AY26" s="439">
        <f t="shared" si="27"/>
        <v>-238425095</v>
      </c>
      <c r="AZ26" s="46">
        <f t="shared" si="28"/>
        <v>373853443</v>
      </c>
      <c r="BA26" s="385"/>
      <c r="BB26" s="385"/>
      <c r="BC26" s="385"/>
      <c r="BD26" s="385"/>
      <c r="BE26" s="385"/>
      <c r="BF26" s="385"/>
      <c r="BG26" s="385"/>
      <c r="BH26" s="385"/>
      <c r="BI26" s="385"/>
      <c r="BJ26" s="385"/>
      <c r="BK26" s="385"/>
      <c r="BM26" s="109" t="s">
        <v>456</v>
      </c>
      <c r="BN26" s="86">
        <f>+X196+X212</f>
        <v>211675731</v>
      </c>
      <c r="BO26" s="84">
        <f>+AA196+AA212</f>
        <v>153166071</v>
      </c>
      <c r="BP26" s="84">
        <f>+AD196+AD212</f>
        <v>141397907</v>
      </c>
      <c r="BQ26" s="200">
        <f>+AF196+AF212</f>
        <v>0</v>
      </c>
      <c r="BR26" s="119">
        <f>+BQ26+NOVIEMBRE!BQ26+OCTUBRE!BQ26+SEPTIEMBRE!BQ26+AGOSTO!BQ26+JULIO!BQ26+JUNIO!BQ26+MAYO!BQ26+ABRIL!BQ26+MARZO!BQ26+FEBRERO!BQ26+ENERO!BQ26</f>
        <v>33891501</v>
      </c>
    </row>
    <row r="27" spans="1:249" s="425" customFormat="1" ht="24.95" customHeight="1" x14ac:dyDescent="0.25">
      <c r="A27" s="618" t="str">
        <f>+IF(NOVIEMBRE!A27=0,"",NOVIEMBRE!A27)</f>
        <v>1130102-2</v>
      </c>
      <c r="B27" s="654" t="str">
        <f>+IF(NOVIEMBRE!B27=0,"",NOVIEMBRE!B27)</f>
        <v>Vigencia Anterior</v>
      </c>
      <c r="C27" s="375">
        <f>+ENERO!C27</f>
        <v>0</v>
      </c>
      <c r="D27" s="376">
        <f>NOVIEMBRE!D27+DICIEMBRE!P27</f>
        <v>0</v>
      </c>
      <c r="E27" s="376">
        <f>NOVIEMBRE!E27+DICIEMBRE!Q27</f>
        <v>71552427</v>
      </c>
      <c r="F27" s="376">
        <f>SUM(C27:E27)</f>
        <v>71552427</v>
      </c>
      <c r="G27" s="376">
        <f>NOVIEMBRE!I27</f>
        <v>49923529</v>
      </c>
      <c r="H27" s="377">
        <v>0</v>
      </c>
      <c r="I27" s="376">
        <f>SUM(G27:H27)</f>
        <v>49923529</v>
      </c>
      <c r="J27" s="376">
        <f>NOVIEMBRE!L27</f>
        <v>49923529</v>
      </c>
      <c r="K27" s="377">
        <v>0</v>
      </c>
      <c r="L27" s="376">
        <f>SUM(J27:K27)</f>
        <v>49923529</v>
      </c>
      <c r="M27" s="376">
        <f>F27-I27</f>
        <v>21628898</v>
      </c>
      <c r="N27" s="146">
        <f>F27-L27</f>
        <v>21628898</v>
      </c>
      <c r="O27" s="385"/>
      <c r="P27" s="375">
        <v>0</v>
      </c>
      <c r="Q27" s="378">
        <v>0</v>
      </c>
      <c r="R27" s="9"/>
      <c r="S27" s="720" t="str">
        <f>+IF(NOVIEMBRE!S27=0,"",NOVIEMBRE!S27)</f>
        <v>1010104-9</v>
      </c>
      <c r="T27" s="694" t="str">
        <f>+IF(NOVIEMBRE!T27=0,"",NOVIEMBRE!T27)</f>
        <v>Auxilio de Transporte</v>
      </c>
      <c r="U27" s="27">
        <f>+ENERO!U27</f>
        <v>1625120</v>
      </c>
      <c r="V27" s="15">
        <f>NOVIEMBRE!V27+DICIEMBRE!AL27</f>
        <v>0</v>
      </c>
      <c r="W27" s="15">
        <f>NOVIEMBRE!W27+DICIEMBRE!AM27</f>
        <v>0</v>
      </c>
      <c r="X27" s="18">
        <f t="shared" si="17"/>
        <v>1625120</v>
      </c>
      <c r="Y27" s="19">
        <f>NOVIEMBRE!AA27</f>
        <v>614400</v>
      </c>
      <c r="Z27" s="377">
        <v>0</v>
      </c>
      <c r="AA27" s="18">
        <f t="shared" si="18"/>
        <v>614400</v>
      </c>
      <c r="AB27" s="19">
        <f>NOVIEMBRE!AD27</f>
        <v>614400</v>
      </c>
      <c r="AC27" s="377">
        <v>0</v>
      </c>
      <c r="AD27" s="18">
        <f t="shared" si="19"/>
        <v>614400</v>
      </c>
      <c r="AE27" s="19">
        <f>NOVIEMBRE!AG27</f>
        <v>614400</v>
      </c>
      <c r="AF27" s="377">
        <v>0</v>
      </c>
      <c r="AG27" s="18">
        <f t="shared" si="20"/>
        <v>614400</v>
      </c>
      <c r="AH27" s="19">
        <f t="shared" si="21"/>
        <v>1010720</v>
      </c>
      <c r="AI27" s="15">
        <f t="shared" si="22"/>
        <v>1010720</v>
      </c>
      <c r="AJ27" s="16">
        <f t="shared" si="23"/>
        <v>1010720</v>
      </c>
      <c r="AK27" s="9"/>
      <c r="AL27" s="375">
        <v>0</v>
      </c>
      <c r="AM27" s="378">
        <v>0</v>
      </c>
      <c r="AN27" s="9"/>
      <c r="AO27" s="352"/>
      <c r="AP27" s="441" t="s">
        <v>126</v>
      </c>
      <c r="AQ27" s="376">
        <f>X170</f>
        <v>74494094</v>
      </c>
      <c r="AR27" s="376">
        <f>AD170</f>
        <v>41093974</v>
      </c>
      <c r="AS27" s="376">
        <f>AG170</f>
        <v>35009605</v>
      </c>
      <c r="AT27" s="434"/>
      <c r="AU27" s="376">
        <f t="shared" si="25"/>
        <v>0.55164069785183234</v>
      </c>
      <c r="AV27" s="376">
        <f t="shared" si="26"/>
        <v>0.46996484043419601</v>
      </c>
      <c r="AW27" s="376">
        <f>(AR27-AD174-AD183-AD191)/$AO$2*12+AD174+AD183+AD191</f>
        <v>41093974</v>
      </c>
      <c r="AX27" s="376">
        <f>(AS27-AG174-AG183-AG191)/$AO$2*12+AG174+AG183+AG191</f>
        <v>35009605</v>
      </c>
      <c r="AY27" s="376">
        <f t="shared" si="27"/>
        <v>-33400120</v>
      </c>
      <c r="AZ27" s="146">
        <f t="shared" si="28"/>
        <v>39484489</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200">
        <f>+AF209-AF212-AF218</f>
        <v>0</v>
      </c>
      <c r="BR27" s="119">
        <f>+BQ27+NOVIEMBRE!BQ27+OCTUBRE!BQ27+SEPTIEMBRE!BQ27+AGOSTO!BQ27+JULIO!BQ27+JUNIO!BQ27+MAYO!BQ27+ABRIL!BQ27+MARZO!BQ27+FEBRERO!BQ27+ENERO!BQ27</f>
        <v>0</v>
      </c>
      <c r="BS27" s="385"/>
      <c r="BT27" s="385"/>
      <c r="BU27" s="385"/>
      <c r="BV27" s="385"/>
      <c r="BW27" s="385"/>
      <c r="BX27" s="385"/>
      <c r="BY27" s="385"/>
      <c r="BZ27" s="385"/>
      <c r="CA27" s="385"/>
      <c r="CB27" s="385"/>
      <c r="CC27" s="385"/>
      <c r="CD27" s="385"/>
      <c r="CE27" s="385"/>
      <c r="CF27" s="385"/>
      <c r="CG27" s="385"/>
      <c r="CH27" s="385"/>
      <c r="CI27" s="385"/>
      <c r="CJ27" s="385"/>
      <c r="CK27" s="385"/>
      <c r="CL27" s="385"/>
      <c r="CM27" s="385"/>
      <c r="CN27" s="385"/>
      <c r="CO27" s="385"/>
      <c r="CP27" s="385"/>
      <c r="CQ27" s="385"/>
      <c r="CR27" s="385"/>
      <c r="CS27" s="385"/>
      <c r="CT27" s="385"/>
      <c r="CU27" s="385"/>
      <c r="CV27" s="385"/>
      <c r="CW27" s="385"/>
      <c r="CX27" s="385"/>
      <c r="CY27" s="385"/>
      <c r="CZ27" s="385"/>
      <c r="DA27" s="385"/>
      <c r="DB27" s="385"/>
      <c r="DC27" s="385"/>
      <c r="DD27" s="385"/>
      <c r="DE27" s="385"/>
      <c r="DF27" s="385"/>
      <c r="DG27" s="385"/>
      <c r="DH27" s="385"/>
      <c r="DI27" s="385"/>
      <c r="DJ27" s="385"/>
      <c r="DK27" s="385"/>
      <c r="DL27" s="385"/>
      <c r="DM27" s="385"/>
      <c r="DN27" s="385"/>
      <c r="DO27" s="385"/>
      <c r="DP27" s="385"/>
      <c r="DQ27" s="385"/>
      <c r="DR27" s="385"/>
      <c r="DS27" s="385"/>
      <c r="DT27" s="385"/>
      <c r="DU27" s="385"/>
      <c r="DV27" s="385"/>
      <c r="DW27" s="385"/>
      <c r="DX27" s="385"/>
      <c r="DY27" s="385"/>
      <c r="DZ27" s="385"/>
      <c r="EA27" s="385"/>
      <c r="EB27" s="385"/>
      <c r="EC27" s="385"/>
      <c r="ED27" s="385"/>
      <c r="EE27" s="385"/>
      <c r="EF27" s="385"/>
      <c r="EG27" s="385"/>
      <c r="EH27" s="385"/>
      <c r="EI27" s="385"/>
      <c r="EJ27" s="385"/>
      <c r="EK27" s="385"/>
      <c r="EL27" s="385"/>
      <c r="EM27" s="385"/>
      <c r="EN27" s="385"/>
      <c r="EO27" s="385"/>
      <c r="EP27" s="385"/>
      <c r="EQ27" s="385"/>
      <c r="ER27" s="385"/>
      <c r="ES27" s="385"/>
      <c r="ET27" s="385"/>
      <c r="EU27" s="385"/>
      <c r="EV27" s="385"/>
      <c r="EW27" s="385"/>
      <c r="EX27" s="385"/>
      <c r="EY27" s="385"/>
      <c r="EZ27" s="385"/>
      <c r="FA27" s="385"/>
      <c r="FB27" s="385"/>
      <c r="FC27" s="385"/>
      <c r="FD27" s="385"/>
      <c r="FE27" s="385"/>
      <c r="FF27" s="385"/>
      <c r="FG27" s="385"/>
      <c r="FH27" s="385"/>
      <c r="FI27" s="385"/>
      <c r="FJ27" s="385"/>
      <c r="FK27" s="385"/>
      <c r="FL27" s="385"/>
      <c r="FM27" s="385"/>
      <c r="FN27" s="385"/>
      <c r="FO27" s="385"/>
      <c r="FP27" s="385"/>
      <c r="FQ27" s="385"/>
      <c r="FR27" s="385"/>
      <c r="FS27" s="385"/>
      <c r="FT27" s="385"/>
      <c r="FU27" s="385"/>
      <c r="FV27" s="385"/>
      <c r="FW27" s="385"/>
      <c r="FX27" s="385"/>
      <c r="FY27" s="385"/>
      <c r="FZ27" s="385"/>
      <c r="GA27" s="385"/>
      <c r="GB27" s="385"/>
      <c r="GC27" s="385"/>
      <c r="GD27" s="385"/>
      <c r="GE27" s="385"/>
      <c r="GF27" s="385"/>
      <c r="GG27" s="385"/>
      <c r="GH27" s="385"/>
      <c r="GI27" s="385"/>
      <c r="GJ27" s="385"/>
      <c r="GK27" s="385"/>
      <c r="GL27" s="385"/>
      <c r="GM27" s="385"/>
      <c r="GN27" s="385"/>
      <c r="GO27" s="385"/>
      <c r="GP27" s="385"/>
      <c r="GQ27" s="385"/>
      <c r="GR27" s="385"/>
      <c r="GS27" s="385"/>
      <c r="GT27" s="385"/>
      <c r="GU27" s="385"/>
      <c r="GV27" s="385"/>
      <c r="GW27" s="385"/>
      <c r="GX27" s="385"/>
      <c r="GY27" s="385"/>
      <c r="GZ27" s="385"/>
      <c r="HA27" s="385"/>
      <c r="HB27" s="385"/>
      <c r="HC27" s="385"/>
      <c r="HD27" s="385"/>
      <c r="HE27" s="385"/>
      <c r="HF27" s="385"/>
      <c r="HG27" s="385"/>
      <c r="HH27" s="385"/>
      <c r="HI27" s="385"/>
      <c r="HJ27" s="385"/>
      <c r="HK27" s="385"/>
      <c r="HL27" s="385"/>
      <c r="HM27" s="385"/>
      <c r="HN27" s="385"/>
      <c r="HO27" s="385"/>
      <c r="HP27" s="385"/>
      <c r="HQ27" s="385"/>
      <c r="HR27" s="385"/>
      <c r="HS27" s="385"/>
      <c r="HT27" s="385"/>
      <c r="HU27" s="385"/>
      <c r="HV27" s="385"/>
      <c r="HW27" s="385"/>
      <c r="HX27" s="385"/>
      <c r="HY27" s="385"/>
      <c r="HZ27" s="385"/>
      <c r="IA27" s="385"/>
      <c r="IB27" s="385"/>
      <c r="IC27" s="385"/>
      <c r="ID27" s="385"/>
      <c r="IE27" s="385"/>
      <c r="IF27" s="385"/>
      <c r="IG27" s="385"/>
      <c r="IH27" s="385"/>
      <c r="II27" s="385"/>
      <c r="IJ27" s="385"/>
      <c r="IK27" s="385"/>
      <c r="IL27" s="385"/>
      <c r="IM27" s="385"/>
      <c r="IN27" s="385"/>
      <c r="IO27" s="385"/>
    </row>
    <row r="28" spans="1:249" s="425" customFormat="1" ht="24.95" customHeight="1" x14ac:dyDescent="0.25">
      <c r="A28" s="747">
        <f>+IF(NOVIEMBRE!A28=0,"",NOVIEMBRE!A28)</f>
        <v>1130103</v>
      </c>
      <c r="B28" s="630" t="str">
        <f>+IF(NOVIEMBRE!B28=0,"",NOVIEMBRE!B28)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244146079</v>
      </c>
      <c r="H28" s="44">
        <f t="shared" si="30"/>
        <v>0</v>
      </c>
      <c r="I28" s="44">
        <f t="shared" si="30"/>
        <v>244146079</v>
      </c>
      <c r="J28" s="44">
        <f t="shared" si="30"/>
        <v>237325602</v>
      </c>
      <c r="K28" s="44">
        <f t="shared" si="30"/>
        <v>0</v>
      </c>
      <c r="L28" s="44">
        <f t="shared" si="30"/>
        <v>237325602</v>
      </c>
      <c r="M28" s="44">
        <f t="shared" si="30"/>
        <v>106580749</v>
      </c>
      <c r="N28" s="45">
        <f t="shared" si="30"/>
        <v>113401226</v>
      </c>
      <c r="O28" s="385"/>
      <c r="P28" s="43">
        <f>P29+P32+P35+P38+P39+P940</f>
        <v>0</v>
      </c>
      <c r="Q28" s="45">
        <f>Q29+Q32+Q35+Q38+Q39+Q40</f>
        <v>0</v>
      </c>
      <c r="R28" s="9"/>
      <c r="S28" s="720" t="str">
        <f>+IF(NOVIEMBRE!S28=0,"",NOVIEMBRE!S28)</f>
        <v>1010104-10</v>
      </c>
      <c r="T28" s="694" t="str">
        <f>+IF(NOVIEMBRE!T28=0,"",NOVIEMBRE!T28)</f>
        <v>Subsidio de Alimentación</v>
      </c>
      <c r="U28" s="27">
        <f>+ENERO!U28</f>
        <v>0</v>
      </c>
      <c r="V28" s="15">
        <f>NOVIEMBRE!V28+DICIEMBRE!AL28</f>
        <v>0</v>
      </c>
      <c r="W28" s="15">
        <f>NOVIEMBRE!W28+DICIEMBRE!AM28</f>
        <v>0</v>
      </c>
      <c r="X28" s="18">
        <f t="shared" si="17"/>
        <v>0</v>
      </c>
      <c r="Y28" s="19">
        <f>NOVIEMBRE!AA28</f>
        <v>0</v>
      </c>
      <c r="Z28" s="377">
        <v>0</v>
      </c>
      <c r="AA28" s="18">
        <f t="shared" si="18"/>
        <v>0</v>
      </c>
      <c r="AB28" s="19">
        <f>NOVIEMBRE!AD28</f>
        <v>0</v>
      </c>
      <c r="AC28" s="377">
        <v>0</v>
      </c>
      <c r="AD28" s="18">
        <f t="shared" si="19"/>
        <v>0</v>
      </c>
      <c r="AE28" s="19">
        <f>NOVIEMBRE!AG28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441053270</v>
      </c>
      <c r="AR28" s="434">
        <f>AD193</f>
        <v>342925988</v>
      </c>
      <c r="AS28" s="434">
        <f>AG193</f>
        <v>177717142</v>
      </c>
      <c r="AT28" s="434"/>
      <c r="AU28" s="376">
        <f t="shared" si="25"/>
        <v>0.77751603111342993</v>
      </c>
      <c r="AV28" s="376">
        <f t="shared" si="26"/>
        <v>0.40293804419588591</v>
      </c>
      <c r="AW28" s="376">
        <f>(AR28-AD205)/$AO$2*12+AD205</f>
        <v>342925988</v>
      </c>
      <c r="AX28" s="376">
        <f>(AS28-AG205)/$AO$2*12+AG205</f>
        <v>177717142</v>
      </c>
      <c r="AY28" s="376">
        <f t="shared" si="27"/>
        <v>-98127282</v>
      </c>
      <c r="AZ28" s="146">
        <f t="shared" si="28"/>
        <v>263336128</v>
      </c>
      <c r="BA28" s="385"/>
      <c r="BB28" s="385"/>
      <c r="BC28" s="385"/>
      <c r="BD28" s="385"/>
      <c r="BE28" s="385"/>
      <c r="BF28" s="385"/>
      <c r="BG28" s="385"/>
      <c r="BH28" s="385"/>
      <c r="BI28" s="385"/>
      <c r="BJ28" s="385"/>
      <c r="BK28" s="385"/>
      <c r="BL28" s="385"/>
      <c r="BM28" s="71" t="s">
        <v>458</v>
      </c>
      <c r="BN28" s="83">
        <f>+X194-X196-X205</f>
        <v>137541607</v>
      </c>
      <c r="BO28" s="81">
        <f>+AA194-AA196-AA205</f>
        <v>109732929</v>
      </c>
      <c r="BP28" s="81">
        <f>+AD194-AD196-AD205</f>
        <v>109692149</v>
      </c>
      <c r="BQ28" s="199">
        <f>+AF194-AF196-AF205</f>
        <v>0</v>
      </c>
      <c r="BR28" s="119">
        <f>+BQ28+NOVIEMBRE!BQ28+OCTUBRE!BQ28+SEPTIEMBRE!BQ28+AGOSTO!BQ28+JULIO!BQ28+JUNIO!BQ28+MAYO!BQ28+ABRIL!BQ28+MARZO!BQ28+FEBRERO!BQ28+ENERO!BQ28</f>
        <v>52216071</v>
      </c>
      <c r="BS28" s="385"/>
      <c r="BT28" s="385"/>
      <c r="BU28" s="385"/>
      <c r="BV28" s="385"/>
      <c r="BW28" s="385"/>
      <c r="BX28" s="385"/>
      <c r="BY28" s="385"/>
      <c r="BZ28" s="385"/>
      <c r="CA28" s="385"/>
      <c r="CB28" s="385"/>
      <c r="CC28" s="385"/>
      <c r="CD28" s="385"/>
      <c r="CE28" s="385"/>
      <c r="CF28" s="385"/>
      <c r="CG28" s="385"/>
      <c r="CH28" s="385"/>
      <c r="CI28" s="385"/>
      <c r="CJ28" s="385"/>
      <c r="CK28" s="385"/>
      <c r="CL28" s="385"/>
      <c r="CM28" s="385"/>
      <c r="CN28" s="385"/>
      <c r="CO28" s="385"/>
      <c r="CP28" s="385"/>
      <c r="CQ28" s="385"/>
      <c r="CR28" s="385"/>
      <c r="CS28" s="385"/>
      <c r="CT28" s="385"/>
      <c r="CU28" s="385"/>
      <c r="CV28" s="385"/>
      <c r="CW28" s="385"/>
      <c r="CX28" s="385"/>
      <c r="CY28" s="385"/>
      <c r="CZ28" s="385"/>
      <c r="DA28" s="385"/>
      <c r="DB28" s="385"/>
      <c r="DC28" s="385"/>
      <c r="DD28" s="385"/>
      <c r="DE28" s="385"/>
      <c r="DF28" s="385"/>
      <c r="DG28" s="385"/>
      <c r="DH28" s="385"/>
      <c r="DI28" s="385"/>
      <c r="DJ28" s="385"/>
      <c r="DK28" s="385"/>
      <c r="DL28" s="385"/>
      <c r="DM28" s="385"/>
      <c r="DN28" s="385"/>
      <c r="DO28" s="385"/>
      <c r="DP28" s="385"/>
      <c r="DQ28" s="385"/>
      <c r="DR28" s="385"/>
      <c r="DS28" s="385"/>
      <c r="DT28" s="385"/>
      <c r="DU28" s="385"/>
      <c r="DV28" s="385"/>
      <c r="DW28" s="385"/>
      <c r="DX28" s="385"/>
      <c r="DY28" s="385"/>
      <c r="DZ28" s="385"/>
      <c r="EA28" s="385"/>
      <c r="EB28" s="385"/>
      <c r="EC28" s="385"/>
      <c r="ED28" s="385"/>
      <c r="EE28" s="385"/>
      <c r="EF28" s="385"/>
      <c r="EG28" s="385"/>
      <c r="EH28" s="385"/>
      <c r="EI28" s="385"/>
      <c r="EJ28" s="385"/>
      <c r="EK28" s="385"/>
      <c r="EL28" s="385"/>
      <c r="EM28" s="385"/>
      <c r="EN28" s="385"/>
      <c r="EO28" s="385"/>
      <c r="EP28" s="385"/>
      <c r="EQ28" s="385"/>
      <c r="ER28" s="385"/>
      <c r="ES28" s="385"/>
      <c r="ET28" s="385"/>
      <c r="EU28" s="385"/>
      <c r="EV28" s="385"/>
      <c r="EW28" s="385"/>
      <c r="EX28" s="385"/>
      <c r="EY28" s="385"/>
      <c r="EZ28" s="385"/>
      <c r="FA28" s="385"/>
      <c r="FB28" s="385"/>
      <c r="FC28" s="385"/>
      <c r="FD28" s="385"/>
      <c r="FE28" s="385"/>
      <c r="FF28" s="385"/>
      <c r="FG28" s="385"/>
      <c r="FH28" s="385"/>
      <c r="FI28" s="385"/>
      <c r="FJ28" s="385"/>
      <c r="FK28" s="385"/>
      <c r="FL28" s="385"/>
      <c r="FM28" s="385"/>
      <c r="FN28" s="385"/>
      <c r="FO28" s="385"/>
      <c r="FP28" s="385"/>
      <c r="FQ28" s="385"/>
      <c r="FR28" s="385"/>
      <c r="FS28" s="385"/>
      <c r="FT28" s="385"/>
      <c r="FU28" s="385"/>
      <c r="FV28" s="385"/>
      <c r="FW28" s="385"/>
      <c r="FX28" s="385"/>
      <c r="FY28" s="385"/>
      <c r="FZ28" s="385"/>
      <c r="GA28" s="385"/>
      <c r="GB28" s="385"/>
      <c r="GC28" s="385"/>
      <c r="GD28" s="385"/>
      <c r="GE28" s="385"/>
      <c r="GF28" s="385"/>
      <c r="GG28" s="385"/>
      <c r="GH28" s="385"/>
      <c r="GI28" s="385"/>
      <c r="GJ28" s="385"/>
      <c r="GK28" s="385"/>
      <c r="GL28" s="385"/>
      <c r="GM28" s="385"/>
      <c r="GN28" s="385"/>
      <c r="GO28" s="385"/>
      <c r="GP28" s="385"/>
      <c r="GQ28" s="385"/>
      <c r="GR28" s="385"/>
      <c r="GS28" s="385"/>
      <c r="GT28" s="385"/>
      <c r="GU28" s="385"/>
      <c r="GV28" s="385"/>
      <c r="GW28" s="385"/>
      <c r="GX28" s="385"/>
      <c r="GY28" s="385"/>
      <c r="GZ28" s="385"/>
      <c r="HA28" s="385"/>
      <c r="HB28" s="385"/>
      <c r="HC28" s="385"/>
      <c r="HD28" s="385"/>
      <c r="HE28" s="385"/>
      <c r="HF28" s="385"/>
      <c r="HG28" s="385"/>
      <c r="HH28" s="385"/>
      <c r="HI28" s="385"/>
      <c r="HJ28" s="385"/>
      <c r="HK28" s="385"/>
      <c r="HL28" s="385"/>
      <c r="HM28" s="385"/>
      <c r="HN28" s="385"/>
      <c r="HO28" s="385"/>
      <c r="HP28" s="385"/>
      <c r="HQ28" s="385"/>
      <c r="HR28" s="385"/>
      <c r="HS28" s="385"/>
      <c r="HT28" s="385"/>
      <c r="HU28" s="385"/>
      <c r="HV28" s="385"/>
      <c r="HW28" s="385"/>
      <c r="HX28" s="385"/>
      <c r="HY28" s="385"/>
      <c r="HZ28" s="385"/>
      <c r="IA28" s="385"/>
      <c r="IB28" s="385"/>
      <c r="IC28" s="385"/>
      <c r="ID28" s="385"/>
      <c r="IE28" s="385"/>
      <c r="IF28" s="385"/>
      <c r="IG28" s="385"/>
      <c r="IH28" s="385"/>
      <c r="II28" s="385"/>
      <c r="IJ28" s="385"/>
      <c r="IK28" s="385"/>
      <c r="IL28" s="385"/>
      <c r="IM28" s="385"/>
      <c r="IN28" s="385"/>
      <c r="IO28" s="385"/>
    </row>
    <row r="29" spans="1:249" s="9" customFormat="1" ht="24.95" customHeight="1" x14ac:dyDescent="0.25">
      <c r="A29" s="618" t="str">
        <f>+IF(NOVIEMBRE!A29=0,"",NOVIEMBRE!A29)</f>
        <v>1130103-1</v>
      </c>
      <c r="B29" s="655" t="str">
        <f>+IF(NOVIEMBRE!B29=0,"",NOVIEMBRE!B29)</f>
        <v>Prestación de Servicios de salud  1er Nivel</v>
      </c>
      <c r="C29" s="19">
        <f t="shared" ref="C29:N29" si="31">SUM(C30:C31)</f>
        <v>24095828</v>
      </c>
      <c r="D29" s="15">
        <f t="shared" si="31"/>
        <v>0</v>
      </c>
      <c r="E29" s="15">
        <f t="shared" si="31"/>
        <v>0</v>
      </c>
      <c r="F29" s="15">
        <f t="shared" si="31"/>
        <v>24095828</v>
      </c>
      <c r="G29" s="15">
        <f t="shared" si="31"/>
        <v>8395441</v>
      </c>
      <c r="H29" s="15">
        <f t="shared" si="31"/>
        <v>0</v>
      </c>
      <c r="I29" s="15">
        <f t="shared" si="31"/>
        <v>8395441</v>
      </c>
      <c r="J29" s="15">
        <f t="shared" si="31"/>
        <v>5293780</v>
      </c>
      <c r="K29" s="15">
        <f t="shared" si="31"/>
        <v>0</v>
      </c>
      <c r="L29" s="15">
        <f t="shared" si="31"/>
        <v>5293780</v>
      </c>
      <c r="M29" s="15">
        <f t="shared" si="31"/>
        <v>15700387</v>
      </c>
      <c r="N29" s="16">
        <f t="shared" si="31"/>
        <v>18802048</v>
      </c>
      <c r="O29" s="385"/>
      <c r="P29" s="147">
        <f>SUM(P30:P31)</f>
        <v>0</v>
      </c>
      <c r="Q29" s="148">
        <f>SUM(Q30:Q31)</f>
        <v>0</v>
      </c>
      <c r="S29" s="720" t="str">
        <f>+IF(NOVIEMBRE!S29=0,"",NOVIEMBRE!S29)</f>
        <v>1010104-11</v>
      </c>
      <c r="T29" s="694" t="str">
        <f>+IF(NOVIEMBRE!T29=0,"",NOVIEMBRE!T29)</f>
        <v>Gastos de Representación</v>
      </c>
      <c r="U29" s="27">
        <f>+ENERO!U29</f>
        <v>0</v>
      </c>
      <c r="V29" s="15">
        <f>NOVIEMBRE!V29+DICIEMBRE!AL29</f>
        <v>0</v>
      </c>
      <c r="W29" s="15">
        <f>NOVIEMBRE!W29+DICIEMBRE!AM29</f>
        <v>0</v>
      </c>
      <c r="X29" s="18">
        <f t="shared" si="17"/>
        <v>0</v>
      </c>
      <c r="Y29" s="19">
        <f>NOVIEMBRE!AA29</f>
        <v>0</v>
      </c>
      <c r="Z29" s="377">
        <v>0</v>
      </c>
      <c r="AA29" s="18">
        <f t="shared" si="18"/>
        <v>0</v>
      </c>
      <c r="AB29" s="19">
        <f>NOVIEMBRE!AD29</f>
        <v>0</v>
      </c>
      <c r="AC29" s="377">
        <v>0</v>
      </c>
      <c r="AD29" s="18">
        <f t="shared" si="19"/>
        <v>0</v>
      </c>
      <c r="AE29" s="19">
        <f>NOVIEMBRE!AG29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378000000</v>
      </c>
      <c r="BO29" s="107">
        <f>AA232-AA256-AA241</f>
        <v>121430326</v>
      </c>
      <c r="BP29" s="107">
        <f>AD232-AD256-AD241</f>
        <v>81872992</v>
      </c>
      <c r="BQ29" s="201">
        <f>AF232-AF256-AF241</f>
        <v>0</v>
      </c>
      <c r="BR29" s="119">
        <f>+BQ29+NOVIEMBRE!BQ29+OCTUBRE!BQ29+SEPTIEMBRE!BQ29+AGOSTO!BQ29+JULIO!BQ29+JUNIO!BQ29+MAYO!BQ29+ABRIL!BQ29+MARZO!BQ29+FEBRERO!BQ29+ENERO!BQ29</f>
        <v>63461000</v>
      </c>
    </row>
    <row r="30" spans="1:249" s="425" customFormat="1" ht="24.95" customHeight="1" x14ac:dyDescent="0.25">
      <c r="A30" s="618" t="str">
        <f>+IF(NOVIEMBRE!A30=0,"",NOVIEMBRE!A30)</f>
        <v>1130103-1-1</v>
      </c>
      <c r="B30" s="654" t="str">
        <f>+CONCATENATE("Vigencia ",INSTRUCCIONES!$F$3)</f>
        <v>Vigencia 2015</v>
      </c>
      <c r="C30" s="375">
        <f>+ENERO!C30</f>
        <v>24095828</v>
      </c>
      <c r="D30" s="376">
        <f>NOVIEMBRE!D30+DICIEMBRE!P30</f>
        <v>0</v>
      </c>
      <c r="E30" s="376">
        <f>NOVIEMBRE!E30+DICIEMBRE!Q30</f>
        <v>0</v>
      </c>
      <c r="F30" s="376">
        <f>SUM(C30:E30)</f>
        <v>24095828</v>
      </c>
      <c r="G30" s="376">
        <f>NOVIEMBRE!I30</f>
        <v>8395441</v>
      </c>
      <c r="H30" s="377">
        <v>0</v>
      </c>
      <c r="I30" s="376">
        <f>SUM(G30:H30)</f>
        <v>8395441</v>
      </c>
      <c r="J30" s="376">
        <f>NOVIEMBRE!L30</f>
        <v>5293780</v>
      </c>
      <c r="K30" s="377">
        <v>0</v>
      </c>
      <c r="L30" s="376">
        <f>SUM(J30:K30)</f>
        <v>5293780</v>
      </c>
      <c r="M30" s="376">
        <f>F30-I30</f>
        <v>15700387</v>
      </c>
      <c r="N30" s="146">
        <f>F30-L30</f>
        <v>18802048</v>
      </c>
      <c r="O30" s="9"/>
      <c r="P30" s="375">
        <v>0</v>
      </c>
      <c r="Q30" s="378">
        <v>0</v>
      </c>
      <c r="R30" s="9"/>
      <c r="S30" s="720" t="str">
        <f>+IF(NOVIEMBRE!S30=0,"",NOVIEMBRE!S30)</f>
        <v>1010104-12</v>
      </c>
      <c r="T30" s="694" t="str">
        <f>+IF(NOVIEMBRE!T30=0,"",NOVIEMBRE!T30)</f>
        <v xml:space="preserve"> Indemnizaciones por Vacaciones o Supresión de Cargos por Reestructuración</v>
      </c>
      <c r="U30" s="27">
        <f>+ENERO!U30</f>
        <v>0</v>
      </c>
      <c r="V30" s="15">
        <f>NOVIEMBRE!V30+DICIEMBRE!AL30</f>
        <v>0</v>
      </c>
      <c r="W30" s="15">
        <f>NOVIEMBRE!W30+DICIEMBRE!AM30</f>
        <v>0</v>
      </c>
      <c r="X30" s="18">
        <f t="shared" si="17"/>
        <v>0</v>
      </c>
      <c r="Y30" s="19">
        <f>NOVIEMBRE!AA30</f>
        <v>0</v>
      </c>
      <c r="Z30" s="377">
        <v>0</v>
      </c>
      <c r="AA30" s="18">
        <f t="shared" si="18"/>
        <v>0</v>
      </c>
      <c r="AB30" s="19">
        <f>NOVIEMBRE!AD30</f>
        <v>0</v>
      </c>
      <c r="AC30" s="377">
        <v>0</v>
      </c>
      <c r="AD30" s="18">
        <f t="shared" si="19"/>
        <v>0</v>
      </c>
      <c r="AE30" s="19">
        <f>NOVIEMBRE!AG30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378000000</v>
      </c>
      <c r="AR30" s="376">
        <f>AD220+AD232</f>
        <v>81872992</v>
      </c>
      <c r="AS30" s="376">
        <f>AG220+AG232</f>
        <v>63461000</v>
      </c>
      <c r="AT30" s="434"/>
      <c r="AU30" s="376">
        <f t="shared" si="25"/>
        <v>0.21659521693121694</v>
      </c>
      <c r="AV30" s="376">
        <f t="shared" si="26"/>
        <v>0.16788624338624339</v>
      </c>
      <c r="AW30" s="376">
        <f>(AR30-AD225-AD230-AD241-AD256)/$AO$2*12+AD225+AD230+AD241+AD256</f>
        <v>81872992</v>
      </c>
      <c r="AX30" s="376">
        <f>(AS30-AG225-AG230-AG241-AG256)/$AO$2*12+AG225+AG230+AG241+AG256</f>
        <v>63461000</v>
      </c>
      <c r="AY30" s="376">
        <f t="shared" si="27"/>
        <v>-296127008</v>
      </c>
      <c r="AZ30" s="146">
        <f t="shared" si="28"/>
        <v>314539000</v>
      </c>
      <c r="BA30" s="385"/>
      <c r="BG30" s="385"/>
      <c r="BH30" s="385"/>
      <c r="BI30" s="385"/>
      <c r="BJ30" s="385"/>
      <c r="BK30" s="385"/>
      <c r="BL30" s="385"/>
      <c r="BM30" s="110" t="s">
        <v>76</v>
      </c>
      <c r="BN30" s="106">
        <f>X220-X225-X230</f>
        <v>0</v>
      </c>
      <c r="BO30" s="107">
        <f>AA220-AA225-AA230</f>
        <v>0</v>
      </c>
      <c r="BP30" s="107">
        <f>AD220-AD225-AD230</f>
        <v>0</v>
      </c>
      <c r="BQ30" s="201">
        <f>AF220-AF225-AF230</f>
        <v>0</v>
      </c>
      <c r="BR30" s="119">
        <f>+BQ30+NOVIEMBRE!BQ30+OCTUBRE!BQ30+SEPTIEMBRE!BQ30+AGOSTO!BQ30+JULIO!BQ30+JUNIO!BQ30+MAYO!BQ30+ABRIL!BQ30+MARZO!BQ30+FEBRERO!BQ30+ENERO!BQ30</f>
        <v>0</v>
      </c>
      <c r="BS30" s="385"/>
      <c r="BT30" s="385"/>
      <c r="BU30" s="385"/>
      <c r="BV30" s="385"/>
      <c r="BW30" s="385"/>
      <c r="BX30" s="385"/>
      <c r="BY30" s="385"/>
      <c r="BZ30" s="385"/>
      <c r="CA30" s="385"/>
      <c r="CB30" s="385"/>
      <c r="CC30" s="385"/>
      <c r="CD30" s="385"/>
      <c r="CE30" s="385"/>
      <c r="CF30" s="385"/>
      <c r="CG30" s="385"/>
      <c r="CH30" s="385"/>
      <c r="CI30" s="385"/>
      <c r="CJ30" s="385"/>
      <c r="CK30" s="385"/>
      <c r="CL30" s="385"/>
      <c r="CM30" s="385"/>
      <c r="CN30" s="385"/>
      <c r="CO30" s="385"/>
      <c r="CP30" s="385"/>
      <c r="CQ30" s="385"/>
      <c r="CR30" s="385"/>
      <c r="CS30" s="385"/>
      <c r="CT30" s="385"/>
      <c r="CU30" s="385"/>
      <c r="CV30" s="385"/>
      <c r="CW30" s="385"/>
      <c r="CX30" s="385"/>
      <c r="CY30" s="385"/>
      <c r="CZ30" s="385"/>
      <c r="DA30" s="385"/>
      <c r="DB30" s="385"/>
      <c r="DC30" s="385"/>
      <c r="DD30" s="385"/>
      <c r="DE30" s="385"/>
      <c r="DF30" s="385"/>
      <c r="DG30" s="385"/>
      <c r="DH30" s="385"/>
      <c r="DI30" s="385"/>
      <c r="DJ30" s="385"/>
      <c r="DK30" s="385"/>
      <c r="DL30" s="385"/>
      <c r="DM30" s="385"/>
      <c r="DN30" s="385"/>
      <c r="DO30" s="385"/>
      <c r="DP30" s="385"/>
      <c r="DQ30" s="385"/>
      <c r="DR30" s="385"/>
      <c r="DS30" s="385"/>
      <c r="DT30" s="385"/>
      <c r="DU30" s="385"/>
      <c r="DV30" s="385"/>
      <c r="DW30" s="385"/>
      <c r="DX30" s="385"/>
      <c r="DY30" s="385"/>
      <c r="DZ30" s="385"/>
      <c r="EA30" s="385"/>
      <c r="EB30" s="385"/>
      <c r="EC30" s="385"/>
      <c r="ED30" s="385"/>
      <c r="EE30" s="385"/>
      <c r="EF30" s="385"/>
      <c r="EG30" s="385"/>
      <c r="EH30" s="385"/>
      <c r="EI30" s="385"/>
      <c r="EJ30" s="385"/>
      <c r="EK30" s="385"/>
      <c r="EL30" s="385"/>
      <c r="EM30" s="385"/>
      <c r="EN30" s="385"/>
      <c r="EO30" s="385"/>
      <c r="EP30" s="385"/>
      <c r="EQ30" s="385"/>
      <c r="ER30" s="385"/>
      <c r="ES30" s="385"/>
      <c r="ET30" s="385"/>
      <c r="EU30" s="385"/>
      <c r="EV30" s="385"/>
      <c r="EW30" s="385"/>
      <c r="EX30" s="385"/>
      <c r="EY30" s="385"/>
      <c r="EZ30" s="385"/>
      <c r="FA30" s="385"/>
      <c r="FB30" s="385"/>
      <c r="FC30" s="385"/>
      <c r="FD30" s="385"/>
      <c r="FE30" s="385"/>
      <c r="FF30" s="385"/>
      <c r="FG30" s="385"/>
      <c r="FH30" s="385"/>
      <c r="FI30" s="385"/>
      <c r="FJ30" s="385"/>
      <c r="FK30" s="385"/>
      <c r="FL30" s="385"/>
      <c r="FM30" s="385"/>
      <c r="FN30" s="385"/>
      <c r="FO30" s="385"/>
      <c r="FP30" s="385"/>
      <c r="FQ30" s="385"/>
      <c r="FR30" s="385"/>
      <c r="FS30" s="385"/>
      <c r="FT30" s="385"/>
      <c r="FU30" s="385"/>
      <c r="FV30" s="385"/>
      <c r="FW30" s="385"/>
      <c r="FX30" s="385"/>
      <c r="FY30" s="385"/>
      <c r="FZ30" s="385"/>
      <c r="GA30" s="385"/>
      <c r="GB30" s="385"/>
      <c r="GC30" s="385"/>
      <c r="GD30" s="385"/>
      <c r="GE30" s="385"/>
      <c r="GF30" s="385"/>
      <c r="GG30" s="385"/>
      <c r="GH30" s="385"/>
      <c r="GI30" s="385"/>
      <c r="GJ30" s="385"/>
      <c r="GK30" s="385"/>
      <c r="GL30" s="385"/>
      <c r="GM30" s="385"/>
      <c r="GN30" s="385"/>
      <c r="GO30" s="385"/>
      <c r="GP30" s="385"/>
      <c r="GQ30" s="385"/>
      <c r="GR30" s="385"/>
      <c r="GS30" s="385"/>
      <c r="GT30" s="385"/>
      <c r="GU30" s="385"/>
      <c r="GV30" s="385"/>
      <c r="GW30" s="385"/>
      <c r="GX30" s="385"/>
      <c r="GY30" s="385"/>
      <c r="GZ30" s="385"/>
      <c r="HA30" s="385"/>
      <c r="HB30" s="385"/>
      <c r="HC30" s="385"/>
      <c r="HD30" s="385"/>
      <c r="HE30" s="385"/>
      <c r="HF30" s="385"/>
      <c r="HG30" s="385"/>
      <c r="HH30" s="385"/>
      <c r="HI30" s="385"/>
      <c r="HJ30" s="385"/>
      <c r="HK30" s="385"/>
      <c r="HL30" s="385"/>
      <c r="HM30" s="385"/>
      <c r="HN30" s="385"/>
      <c r="HO30" s="385"/>
      <c r="HP30" s="385"/>
      <c r="HQ30" s="385"/>
      <c r="HR30" s="385"/>
      <c r="HS30" s="385"/>
      <c r="HT30" s="385"/>
      <c r="HU30" s="385"/>
      <c r="HV30" s="385"/>
      <c r="HW30" s="385"/>
      <c r="HX30" s="385"/>
      <c r="HY30" s="385"/>
      <c r="HZ30" s="385"/>
      <c r="IA30" s="385"/>
      <c r="IB30" s="385"/>
      <c r="IC30" s="385"/>
      <c r="ID30" s="385"/>
      <c r="IE30" s="385"/>
      <c r="IF30" s="385"/>
      <c r="IG30" s="385"/>
      <c r="IH30" s="385"/>
      <c r="II30" s="385"/>
      <c r="IJ30" s="385"/>
      <c r="IK30" s="385"/>
      <c r="IL30" s="385"/>
      <c r="IM30" s="385"/>
      <c r="IN30" s="385"/>
      <c r="IO30" s="385"/>
    </row>
    <row r="31" spans="1:249" s="425" customFormat="1" ht="24.95" customHeight="1" x14ac:dyDescent="0.25">
      <c r="A31" s="618" t="str">
        <f>+IF(NOVIEMBRE!A31=0,"",NOVIEMBRE!A31)</f>
        <v>1130103-1-2</v>
      </c>
      <c r="B31" s="654" t="str">
        <f>+IF(NOVIEMBRE!B31=0,"",NOVIEMBRE!B31)</f>
        <v>Vigencia Anterior</v>
      </c>
      <c r="C31" s="375">
        <f>+ENERO!C31</f>
        <v>0</v>
      </c>
      <c r="D31" s="376">
        <f>NOVIEMBRE!D31+DICIEMBRE!P31</f>
        <v>0</v>
      </c>
      <c r="E31" s="376">
        <f>NOVIEMBRE!E31+DICIEMBRE!Q31</f>
        <v>0</v>
      </c>
      <c r="F31" s="376">
        <f>SUM(C31:E31)</f>
        <v>0</v>
      </c>
      <c r="G31" s="376">
        <f>NOVIEMBRE!I31</f>
        <v>0</v>
      </c>
      <c r="H31" s="377">
        <v>0</v>
      </c>
      <c r="I31" s="376">
        <f>SUM(G31:H31)</f>
        <v>0</v>
      </c>
      <c r="J31" s="376">
        <f>NOVIEMBRE!L31</f>
        <v>0</v>
      </c>
      <c r="K31" s="377">
        <v>0</v>
      </c>
      <c r="L31" s="376">
        <f>SUM(J31:K31)</f>
        <v>0</v>
      </c>
      <c r="M31" s="376">
        <f>F31-I31</f>
        <v>0</v>
      </c>
      <c r="N31" s="146">
        <f>F31-L31</f>
        <v>0</v>
      </c>
      <c r="O31" s="385"/>
      <c r="P31" s="375">
        <v>0</v>
      </c>
      <c r="Q31" s="378">
        <v>0</v>
      </c>
      <c r="R31" s="9"/>
      <c r="S31" s="720" t="str">
        <f>+IF(NOVIEMBRE!S31=0,"",NOVIEMBRE!S31)</f>
        <v>1010104-13</v>
      </c>
      <c r="T31" s="694" t="str">
        <f>+IF(NOVIEMBRE!T31=0,"",NOVIEMBRE!T31)</f>
        <v>Bonificación Especial por Recreación</v>
      </c>
      <c r="U31" s="27">
        <f>+ENERO!U31</f>
        <v>1691144</v>
      </c>
      <c r="V31" s="15">
        <f>NOVIEMBRE!V31+DICIEMBRE!AL31</f>
        <v>0</v>
      </c>
      <c r="W31" s="15">
        <f>NOVIEMBRE!W31+DICIEMBRE!AM31</f>
        <v>0</v>
      </c>
      <c r="X31" s="18">
        <f t="shared" si="17"/>
        <v>1691144</v>
      </c>
      <c r="Y31" s="19">
        <f>NOVIEMBRE!AA31</f>
        <v>283862</v>
      </c>
      <c r="Z31" s="377">
        <v>0</v>
      </c>
      <c r="AA31" s="18">
        <f t="shared" si="18"/>
        <v>283862</v>
      </c>
      <c r="AB31" s="19">
        <f>NOVIEMBRE!AD31</f>
        <v>283862</v>
      </c>
      <c r="AC31" s="377">
        <v>0</v>
      </c>
      <c r="AD31" s="18">
        <f t="shared" si="19"/>
        <v>283862</v>
      </c>
      <c r="AE31" s="19">
        <f>NOVIEMBRE!AG31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-360366858</v>
      </c>
      <c r="AS31" s="434">
        <f>AG258</f>
        <v>-2054277226</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201">
        <f>AF33+AF41+AF55+AF61+AF81+AF88+AF102+AF108+AF121+AF139+AF143+AF153+AF168+AF174+AF183+AF191+AF205+AF218+AF230+AF241+AF256+AF225</f>
        <v>0</v>
      </c>
      <c r="BR31" s="119">
        <f>+BQ31+NOVIEMBRE!BQ31+OCTUBRE!BQ31+SEPTIEMBRE!BQ31+AGOSTO!BQ31+JULIO!BQ31+JUNIO!BQ31+MAYO!BQ31+ABRIL!BQ31+MARZO!BQ31+FEBRERO!BQ31+ENERO!BQ31</f>
        <v>303837447</v>
      </c>
      <c r="BS31" s="385"/>
      <c r="BT31" s="385"/>
      <c r="BU31" s="385"/>
      <c r="BV31" s="385"/>
      <c r="BW31" s="385"/>
      <c r="BX31" s="385"/>
      <c r="BY31" s="385"/>
      <c r="BZ31" s="385"/>
      <c r="CA31" s="385"/>
      <c r="CB31" s="385"/>
      <c r="CC31" s="385"/>
      <c r="CD31" s="385"/>
      <c r="CE31" s="385"/>
      <c r="CF31" s="385"/>
      <c r="CG31" s="385"/>
      <c r="CH31" s="385"/>
      <c r="CI31" s="385"/>
      <c r="CJ31" s="385"/>
      <c r="CK31" s="385"/>
      <c r="CL31" s="385"/>
      <c r="CM31" s="385"/>
      <c r="CN31" s="385"/>
      <c r="CO31" s="385"/>
      <c r="CP31" s="385"/>
      <c r="CQ31" s="385"/>
      <c r="CR31" s="385"/>
      <c r="CS31" s="385"/>
      <c r="CT31" s="385"/>
      <c r="CU31" s="385"/>
      <c r="CV31" s="385"/>
      <c r="CW31" s="385"/>
      <c r="CX31" s="385"/>
      <c r="CY31" s="385"/>
      <c r="CZ31" s="385"/>
      <c r="DA31" s="385"/>
      <c r="DB31" s="385"/>
      <c r="DC31" s="385"/>
      <c r="DD31" s="385"/>
      <c r="DE31" s="385"/>
      <c r="DF31" s="385"/>
      <c r="DG31" s="385"/>
      <c r="DH31" s="385"/>
      <c r="DI31" s="385"/>
      <c r="DJ31" s="385"/>
      <c r="DK31" s="385"/>
      <c r="DL31" s="385"/>
      <c r="DM31" s="385"/>
      <c r="DN31" s="385"/>
      <c r="DO31" s="385"/>
      <c r="DP31" s="385"/>
      <c r="DQ31" s="385"/>
      <c r="DR31" s="385"/>
      <c r="DS31" s="385"/>
      <c r="DT31" s="385"/>
      <c r="DU31" s="385"/>
      <c r="DV31" s="385"/>
      <c r="DW31" s="385"/>
      <c r="DX31" s="385"/>
      <c r="DY31" s="385"/>
      <c r="DZ31" s="385"/>
      <c r="EA31" s="385"/>
      <c r="EB31" s="385"/>
      <c r="EC31" s="385"/>
      <c r="ED31" s="385"/>
      <c r="EE31" s="385"/>
      <c r="EF31" s="385"/>
      <c r="EG31" s="385"/>
      <c r="EH31" s="385"/>
      <c r="EI31" s="385"/>
      <c r="EJ31" s="385"/>
      <c r="EK31" s="385"/>
      <c r="EL31" s="385"/>
      <c r="EM31" s="385"/>
      <c r="EN31" s="385"/>
      <c r="EO31" s="385"/>
      <c r="EP31" s="385"/>
      <c r="EQ31" s="385"/>
      <c r="ER31" s="385"/>
      <c r="ES31" s="385"/>
      <c r="ET31" s="385"/>
      <c r="EU31" s="385"/>
      <c r="EV31" s="385"/>
      <c r="EW31" s="385"/>
      <c r="EX31" s="385"/>
      <c r="EY31" s="385"/>
      <c r="EZ31" s="385"/>
      <c r="FA31" s="385"/>
      <c r="FB31" s="385"/>
      <c r="FC31" s="385"/>
      <c r="FD31" s="385"/>
      <c r="FE31" s="385"/>
      <c r="FF31" s="385"/>
      <c r="FG31" s="385"/>
      <c r="FH31" s="385"/>
      <c r="FI31" s="385"/>
      <c r="FJ31" s="385"/>
      <c r="FK31" s="385"/>
      <c r="FL31" s="385"/>
      <c r="FM31" s="385"/>
      <c r="FN31" s="385"/>
      <c r="FO31" s="385"/>
      <c r="FP31" s="385"/>
      <c r="FQ31" s="385"/>
      <c r="FR31" s="385"/>
      <c r="FS31" s="385"/>
      <c r="FT31" s="385"/>
      <c r="FU31" s="385"/>
      <c r="FV31" s="385"/>
      <c r="FW31" s="385"/>
      <c r="FX31" s="385"/>
      <c r="FY31" s="385"/>
      <c r="FZ31" s="385"/>
      <c r="GA31" s="385"/>
      <c r="GB31" s="385"/>
      <c r="GC31" s="385"/>
      <c r="GD31" s="385"/>
      <c r="GE31" s="385"/>
      <c r="GF31" s="385"/>
      <c r="GG31" s="385"/>
      <c r="GH31" s="385"/>
      <c r="GI31" s="385"/>
      <c r="GJ31" s="385"/>
      <c r="GK31" s="385"/>
      <c r="GL31" s="385"/>
      <c r="GM31" s="385"/>
      <c r="GN31" s="385"/>
      <c r="GO31" s="385"/>
      <c r="GP31" s="385"/>
      <c r="GQ31" s="385"/>
      <c r="GR31" s="385"/>
      <c r="GS31" s="385"/>
      <c r="GT31" s="385"/>
      <c r="GU31" s="385"/>
      <c r="GV31" s="385"/>
      <c r="GW31" s="385"/>
      <c r="GX31" s="385"/>
      <c r="GY31" s="385"/>
      <c r="GZ31" s="385"/>
      <c r="HA31" s="385"/>
      <c r="HB31" s="385"/>
      <c r="HC31" s="385"/>
      <c r="HD31" s="385"/>
      <c r="HE31" s="385"/>
      <c r="HF31" s="385"/>
      <c r="HG31" s="385"/>
      <c r="HH31" s="385"/>
      <c r="HI31" s="385"/>
      <c r="HJ31" s="385"/>
      <c r="HK31" s="385"/>
      <c r="HL31" s="385"/>
      <c r="HM31" s="385"/>
      <c r="HN31" s="385"/>
      <c r="HO31" s="385"/>
      <c r="HP31" s="385"/>
      <c r="HQ31" s="385"/>
      <c r="HR31" s="385"/>
      <c r="HS31" s="385"/>
      <c r="HT31" s="385"/>
      <c r="HU31" s="385"/>
      <c r="HV31" s="385"/>
      <c r="HW31" s="385"/>
      <c r="HX31" s="385"/>
      <c r="HY31" s="385"/>
      <c r="HZ31" s="385"/>
      <c r="IA31" s="385"/>
      <c r="IB31" s="385"/>
      <c r="IC31" s="385"/>
      <c r="ID31" s="385"/>
      <c r="IE31" s="385"/>
      <c r="IF31" s="385"/>
      <c r="IG31" s="385"/>
      <c r="IH31" s="385"/>
      <c r="II31" s="385"/>
      <c r="IJ31" s="385"/>
      <c r="IK31" s="385"/>
      <c r="IL31" s="385"/>
      <c r="IM31" s="385"/>
      <c r="IN31" s="385"/>
      <c r="IO31" s="385"/>
    </row>
    <row r="32" spans="1:249" s="9" customFormat="1" ht="24.95" customHeight="1" thickBot="1" x14ac:dyDescent="0.3">
      <c r="A32" s="618" t="str">
        <f>+IF(NOVIEMBRE!A32=0,"",NOVIEMBRE!A32)</f>
        <v>1130103-2</v>
      </c>
      <c r="B32" s="655" t="str">
        <f>+IF(NOVIEMBRE!B32=0,"",NOVIEMBRE!B32)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+IF(NOVIEMBRE!S32=0,"",NOVIEMBRE!S32)</f>
        <v>1010104-14</v>
      </c>
      <c r="T32" s="694" t="str">
        <f>+IF(NOVIEMBRE!T32=0,"",NOVIEMBRE!T32)</f>
        <v/>
      </c>
      <c r="U32" s="27">
        <f>+ENERO!U32</f>
        <v>0</v>
      </c>
      <c r="V32" s="15">
        <f>NOVIEMBRE!V32+DICIEMBRE!AL32</f>
        <v>0</v>
      </c>
      <c r="W32" s="15">
        <f>NOVIEMBRE!W32+DICIEMBRE!AM32</f>
        <v>0</v>
      </c>
      <c r="X32" s="18">
        <f t="shared" si="17"/>
        <v>0</v>
      </c>
      <c r="Y32" s="19">
        <f>NOVIEMBRE!AA32</f>
        <v>0</v>
      </c>
      <c r="Z32" s="377">
        <v>0</v>
      </c>
      <c r="AA32" s="18">
        <f t="shared" si="18"/>
        <v>0</v>
      </c>
      <c r="AB32" s="19">
        <f>NOVIEMBRE!AD32</f>
        <v>0</v>
      </c>
      <c r="AC32" s="377">
        <v>0</v>
      </c>
      <c r="AD32" s="18">
        <f t="shared" si="19"/>
        <v>0</v>
      </c>
      <c r="AE32" s="19">
        <f>NOVIEMBRE!AG32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2185743585</v>
      </c>
      <c r="AS32" s="398">
        <f>SUM(AS22:AS31)</f>
        <v>0</v>
      </c>
      <c r="AT32" s="444"/>
      <c r="AU32" s="445">
        <f t="shared" si="25"/>
        <v>0.56180105005259229</v>
      </c>
      <c r="AV32" s="445">
        <f t="shared" si="26"/>
        <v>0</v>
      </c>
      <c r="AW32" s="354">
        <f>SUM(AW22:AW31)</f>
        <v>2652425780.0416665</v>
      </c>
      <c r="AX32" s="354">
        <f>SUM(AX22:AX31)</f>
        <v>2173916219.0416665</v>
      </c>
      <c r="AY32" s="354">
        <f>SUM(AY22:AY31)</f>
        <v>-1238174966.9583335</v>
      </c>
      <c r="AZ32" s="355">
        <f>SUM(AZ22:AZ31)</f>
        <v>1716684527.9583335</v>
      </c>
      <c r="BA32" s="385"/>
      <c r="BB32" s="425"/>
      <c r="BC32" s="425"/>
      <c r="BD32" s="425"/>
      <c r="BE32" s="425"/>
      <c r="BF32" s="425"/>
      <c r="BG32" s="385"/>
      <c r="BH32" s="385"/>
      <c r="BI32" s="385"/>
      <c r="BJ32" s="385"/>
      <c r="BK32" s="385"/>
      <c r="BM32" s="110" t="s">
        <v>140</v>
      </c>
      <c r="BN32" s="106">
        <f>+BN7+BN25+BN29+BN30+BN31</f>
        <v>3890600747</v>
      </c>
      <c r="BO32" s="107">
        <f>+BO7+BO25+BO29+BO30+BO31</f>
        <v>2726086676</v>
      </c>
      <c r="BP32" s="107">
        <f>+BP7+BP25+BP29+BP30+BP31</f>
        <v>2546110443</v>
      </c>
      <c r="BQ32" s="108">
        <f>+BQ7+BQ25+BQ29+BQ30+BQ31</f>
        <v>0</v>
      </c>
      <c r="BR32" s="119">
        <f>+BQ32+NOVIEMBRE!BQ32+OCTUBRE!BQ32+SEPTIEMBRE!BQ32+AGOSTO!BQ32+JULIO!BQ32+JUNIO!BQ32+MAYO!BQ32+ABRIL!BQ32+MARZO!BQ32+FEBRERO!BQ32+ENERO!BQ32</f>
        <v>2054277226</v>
      </c>
    </row>
    <row r="33" spans="1:249" s="425" customFormat="1" ht="24.95" customHeight="1" thickBot="1" x14ac:dyDescent="0.3">
      <c r="A33" s="618" t="str">
        <f>+IF(NOVIEMBRE!A33=0,"",NOVIEMBRE!A33)</f>
        <v>1130103-2-1</v>
      </c>
      <c r="B33" s="654" t="str">
        <f>+CONCATENATE("Vigencia ",INSTRUCCIONES!$F$3)</f>
        <v>Vigencia 2015</v>
      </c>
      <c r="C33" s="375">
        <f>+ENERO!C33</f>
        <v>0</v>
      </c>
      <c r="D33" s="376">
        <f>NOVIEMBRE!D33+DICIEMBRE!P33</f>
        <v>0</v>
      </c>
      <c r="E33" s="376">
        <f>NOVIEMBRE!E33+DICIEMBRE!Q33</f>
        <v>0</v>
      </c>
      <c r="F33" s="376">
        <f>SUM(C33:E33)</f>
        <v>0</v>
      </c>
      <c r="G33" s="376">
        <f>NOVIEMBRE!I33</f>
        <v>0</v>
      </c>
      <c r="H33" s="377">
        <v>0</v>
      </c>
      <c r="I33" s="376">
        <f>SUM(G33:H33)</f>
        <v>0</v>
      </c>
      <c r="J33" s="376">
        <f>NOVIEMBRE!L33</f>
        <v>0</v>
      </c>
      <c r="K33" s="377">
        <v>0</v>
      </c>
      <c r="L33" s="376">
        <f>SUM(J33:K33)</f>
        <v>0</v>
      </c>
      <c r="M33" s="376">
        <f>F33-I33</f>
        <v>0</v>
      </c>
      <c r="N33" s="146">
        <f>F33-L33</f>
        <v>0</v>
      </c>
      <c r="O33" s="9"/>
      <c r="P33" s="375">
        <v>0</v>
      </c>
      <c r="Q33" s="378">
        <v>0</v>
      </c>
      <c r="R33" s="9"/>
      <c r="S33" s="719">
        <f>+IF(NOVIEMBRE!S33=0,"",NOVIEMBRE!S33)</f>
        <v>1010199</v>
      </c>
      <c r="T33" s="693" t="str">
        <f>+IF(NOVIEMBRE!T33=0,"",NOVIEMBRE!T33)</f>
        <v>Vigencias Anteriores</v>
      </c>
      <c r="U33" s="27">
        <f>+ENERO!U33</f>
        <v>0</v>
      </c>
      <c r="V33" s="15">
        <f>NOVIEMBRE!V33+DICIEMBRE!AL33</f>
        <v>0</v>
      </c>
      <c r="W33" s="15">
        <f>NOVIEMBRE!W33+DICIEMBRE!AM33</f>
        <v>2702630</v>
      </c>
      <c r="X33" s="18">
        <f t="shared" si="17"/>
        <v>2702630</v>
      </c>
      <c r="Y33" s="19">
        <f>NOVIEMBRE!AA33</f>
        <v>2702630</v>
      </c>
      <c r="Z33" s="377">
        <v>0</v>
      </c>
      <c r="AA33" s="18">
        <f t="shared" si="18"/>
        <v>2702630</v>
      </c>
      <c r="AB33" s="19">
        <f>NOVIEMBRE!AD33</f>
        <v>2702630</v>
      </c>
      <c r="AC33" s="377">
        <v>0</v>
      </c>
      <c r="AD33" s="18">
        <f t="shared" si="19"/>
        <v>2702630</v>
      </c>
      <c r="AE33" s="19">
        <f>NOVIEMBRE!AG33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299215632</v>
      </c>
      <c r="BP33" s="113">
        <f>AD258</f>
        <v>-360366858</v>
      </c>
      <c r="BQ33" s="114">
        <f>AF258</f>
        <v>1704857162</v>
      </c>
      <c r="BR33" s="119"/>
      <c r="BS33" s="385"/>
      <c r="BT33" s="385"/>
      <c r="BU33" s="385"/>
      <c r="BV33" s="385"/>
      <c r="BW33" s="385"/>
      <c r="BX33" s="385"/>
      <c r="BY33" s="385"/>
      <c r="BZ33" s="385"/>
      <c r="CA33" s="385"/>
      <c r="CB33" s="385"/>
      <c r="CC33" s="385"/>
      <c r="CD33" s="385"/>
      <c r="CE33" s="385"/>
      <c r="CF33" s="385"/>
      <c r="CG33" s="385"/>
      <c r="CH33" s="385"/>
      <c r="CI33" s="385"/>
      <c r="CJ33" s="385"/>
      <c r="CK33" s="385"/>
      <c r="CL33" s="385"/>
      <c r="CM33" s="385"/>
      <c r="CN33" s="385"/>
      <c r="CO33" s="385"/>
      <c r="CP33" s="385"/>
      <c r="CQ33" s="385"/>
      <c r="CR33" s="385"/>
      <c r="CS33" s="385"/>
      <c r="CT33" s="385"/>
      <c r="CU33" s="385"/>
      <c r="CV33" s="385"/>
      <c r="CW33" s="385"/>
      <c r="CX33" s="385"/>
      <c r="CY33" s="385"/>
      <c r="CZ33" s="385"/>
      <c r="DA33" s="385"/>
      <c r="DB33" s="385"/>
      <c r="DC33" s="385"/>
      <c r="DD33" s="385"/>
      <c r="DE33" s="385"/>
      <c r="DF33" s="385"/>
      <c r="DG33" s="385"/>
      <c r="DH33" s="385"/>
      <c r="DI33" s="385"/>
      <c r="DJ33" s="385"/>
      <c r="DK33" s="385"/>
      <c r="DL33" s="385"/>
      <c r="DM33" s="385"/>
      <c r="DN33" s="385"/>
      <c r="DO33" s="385"/>
      <c r="DP33" s="385"/>
      <c r="DQ33" s="385"/>
      <c r="DR33" s="385"/>
      <c r="DS33" s="385"/>
      <c r="DT33" s="385"/>
      <c r="DU33" s="385"/>
      <c r="DV33" s="385"/>
      <c r="DW33" s="385"/>
      <c r="DX33" s="385"/>
      <c r="DY33" s="385"/>
      <c r="DZ33" s="385"/>
      <c r="EA33" s="385"/>
      <c r="EB33" s="385"/>
      <c r="EC33" s="385"/>
      <c r="ED33" s="385"/>
      <c r="EE33" s="385"/>
      <c r="EF33" s="385"/>
      <c r="EG33" s="385"/>
      <c r="EH33" s="385"/>
      <c r="EI33" s="385"/>
      <c r="EJ33" s="385"/>
      <c r="EK33" s="385"/>
      <c r="EL33" s="385"/>
      <c r="EM33" s="385"/>
      <c r="EN33" s="385"/>
      <c r="EO33" s="385"/>
      <c r="EP33" s="385"/>
      <c r="EQ33" s="385"/>
      <c r="ER33" s="385"/>
      <c r="ES33" s="385"/>
      <c r="ET33" s="385"/>
      <c r="EU33" s="385"/>
      <c r="EV33" s="385"/>
      <c r="EW33" s="385"/>
      <c r="EX33" s="385"/>
      <c r="EY33" s="385"/>
      <c r="EZ33" s="385"/>
      <c r="FA33" s="385"/>
      <c r="FB33" s="385"/>
      <c r="FC33" s="385"/>
      <c r="FD33" s="385"/>
      <c r="FE33" s="385"/>
      <c r="FF33" s="385"/>
      <c r="FG33" s="385"/>
      <c r="FH33" s="385"/>
      <c r="FI33" s="385"/>
      <c r="FJ33" s="385"/>
      <c r="FK33" s="385"/>
      <c r="FL33" s="385"/>
      <c r="FM33" s="385"/>
      <c r="FN33" s="385"/>
      <c r="FO33" s="385"/>
      <c r="FP33" s="385"/>
      <c r="FQ33" s="385"/>
      <c r="FR33" s="385"/>
      <c r="FS33" s="385"/>
      <c r="FT33" s="385"/>
      <c r="FU33" s="385"/>
      <c r="FV33" s="385"/>
      <c r="FW33" s="385"/>
      <c r="FX33" s="385"/>
      <c r="FY33" s="385"/>
      <c r="FZ33" s="385"/>
      <c r="GA33" s="385"/>
      <c r="GB33" s="385"/>
      <c r="GC33" s="385"/>
      <c r="GD33" s="385"/>
      <c r="GE33" s="385"/>
      <c r="GF33" s="385"/>
      <c r="GG33" s="385"/>
      <c r="GH33" s="385"/>
      <c r="GI33" s="385"/>
      <c r="GJ33" s="385"/>
      <c r="GK33" s="385"/>
      <c r="GL33" s="385"/>
      <c r="GM33" s="385"/>
      <c r="GN33" s="385"/>
      <c r="GO33" s="385"/>
      <c r="GP33" s="385"/>
      <c r="GQ33" s="385"/>
      <c r="GR33" s="385"/>
      <c r="GS33" s="385"/>
      <c r="GT33" s="385"/>
      <c r="GU33" s="385"/>
      <c r="GV33" s="385"/>
      <c r="GW33" s="385"/>
      <c r="GX33" s="385"/>
      <c r="GY33" s="385"/>
      <c r="GZ33" s="385"/>
      <c r="HA33" s="385"/>
      <c r="HB33" s="385"/>
      <c r="HC33" s="385"/>
      <c r="HD33" s="385"/>
      <c r="HE33" s="385"/>
      <c r="HF33" s="385"/>
      <c r="HG33" s="385"/>
      <c r="HH33" s="385"/>
      <c r="HI33" s="385"/>
      <c r="HJ33" s="385"/>
      <c r="HK33" s="385"/>
      <c r="HL33" s="385"/>
      <c r="HM33" s="385"/>
      <c r="HN33" s="385"/>
      <c r="HO33" s="385"/>
      <c r="HP33" s="385"/>
      <c r="HQ33" s="385"/>
      <c r="HR33" s="385"/>
      <c r="HS33" s="385"/>
      <c r="HT33" s="385"/>
      <c r="HU33" s="385"/>
      <c r="HV33" s="385"/>
      <c r="HW33" s="385"/>
      <c r="HX33" s="385"/>
      <c r="HY33" s="385"/>
      <c r="HZ33" s="385"/>
      <c r="IA33" s="385"/>
      <c r="IB33" s="385"/>
      <c r="IC33" s="385"/>
      <c r="ID33" s="385"/>
      <c r="IE33" s="385"/>
      <c r="IF33" s="385"/>
      <c r="IG33" s="385"/>
      <c r="IH33" s="385"/>
      <c r="II33" s="385"/>
      <c r="IJ33" s="385"/>
      <c r="IK33" s="385"/>
      <c r="IL33" s="385"/>
      <c r="IM33" s="385"/>
      <c r="IN33" s="385"/>
      <c r="IO33" s="385"/>
    </row>
    <row r="34" spans="1:249" s="425" customFormat="1" ht="24.95" customHeight="1" thickBot="1" x14ac:dyDescent="0.25">
      <c r="A34" s="618" t="str">
        <f>+IF(NOVIEMBRE!A34=0,"",NOVIEMBRE!A34)</f>
        <v>1130103-2-2</v>
      </c>
      <c r="B34" s="654" t="str">
        <f>+IF(NOVIEMBRE!B34=0,"",NOVIEMBRE!B34)</f>
        <v>Vigencia Anterior</v>
      </c>
      <c r="C34" s="375">
        <f>+ENERO!C34</f>
        <v>0</v>
      </c>
      <c r="D34" s="376">
        <f>NOVIEMBRE!D34+DICIEMBRE!P34</f>
        <v>0</v>
      </c>
      <c r="E34" s="376">
        <f>NOVIEMBRE!E34+DICIEMBRE!Q34</f>
        <v>0</v>
      </c>
      <c r="F34" s="376">
        <f>SUM(C34:E34)</f>
        <v>0</v>
      </c>
      <c r="G34" s="376">
        <f>NOVIEMBRE!I34</f>
        <v>0</v>
      </c>
      <c r="H34" s="377">
        <v>0</v>
      </c>
      <c r="I34" s="376">
        <f>SUM(G34:H34)</f>
        <v>0</v>
      </c>
      <c r="J34" s="376">
        <f>NOVIEMBRE!L34</f>
        <v>0</v>
      </c>
      <c r="K34" s="377">
        <v>0</v>
      </c>
      <c r="L34" s="376">
        <f>SUM(J34:K34)</f>
        <v>0</v>
      </c>
      <c r="M34" s="376">
        <f>F34-I34</f>
        <v>0</v>
      </c>
      <c r="N34" s="146">
        <f>F34-L34</f>
        <v>0</v>
      </c>
      <c r="O34" s="385"/>
      <c r="P34" s="375">
        <v>0</v>
      </c>
      <c r="Q34" s="378">
        <v>0</v>
      </c>
      <c r="R34" s="9"/>
      <c r="S34" s="369" t="str">
        <f>+IF(NOVIEMBRE!S34=0,"",NOVIEMBRE!S34)</f>
        <v/>
      </c>
      <c r="T34" s="708" t="str">
        <f>+IF(NOVIEMBRE!T34=0,"",NOVIEMBRE!T34)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30"/>
      <c r="BR34" s="9"/>
      <c r="BS34" s="385"/>
      <c r="BT34" s="385"/>
      <c r="BU34" s="385"/>
      <c r="BV34" s="385"/>
      <c r="BW34" s="385"/>
      <c r="BX34" s="385"/>
      <c r="BY34" s="385"/>
      <c r="BZ34" s="385"/>
      <c r="CA34" s="385"/>
      <c r="CB34" s="385"/>
      <c r="CC34" s="385"/>
      <c r="CD34" s="385"/>
      <c r="CE34" s="385"/>
      <c r="CF34" s="385"/>
      <c r="CG34" s="385"/>
      <c r="CH34" s="385"/>
      <c r="CI34" s="385"/>
      <c r="CJ34" s="385"/>
      <c r="CK34" s="385"/>
      <c r="CL34" s="385"/>
      <c r="CM34" s="385"/>
      <c r="CN34" s="385"/>
      <c r="CO34" s="385"/>
      <c r="CP34" s="385"/>
      <c r="CQ34" s="385"/>
      <c r="CR34" s="385"/>
      <c r="CS34" s="385"/>
      <c r="CT34" s="385"/>
      <c r="CU34" s="385"/>
      <c r="CV34" s="385"/>
      <c r="CW34" s="385"/>
      <c r="CX34" s="385"/>
      <c r="CY34" s="385"/>
      <c r="CZ34" s="385"/>
      <c r="DA34" s="385"/>
      <c r="DB34" s="385"/>
      <c r="DC34" s="385"/>
      <c r="DD34" s="385"/>
      <c r="DE34" s="385"/>
      <c r="DF34" s="385"/>
      <c r="DG34" s="385"/>
      <c r="DH34" s="385"/>
      <c r="DI34" s="385"/>
      <c r="DJ34" s="385"/>
      <c r="DK34" s="385"/>
      <c r="DL34" s="385"/>
      <c r="DM34" s="385"/>
      <c r="DN34" s="385"/>
      <c r="DO34" s="385"/>
      <c r="DP34" s="385"/>
      <c r="DQ34" s="385"/>
      <c r="DR34" s="385"/>
      <c r="DS34" s="385"/>
      <c r="DT34" s="385"/>
      <c r="DU34" s="385"/>
      <c r="DV34" s="385"/>
      <c r="DW34" s="385"/>
      <c r="DX34" s="385"/>
      <c r="DY34" s="385"/>
      <c r="DZ34" s="385"/>
      <c r="EA34" s="385"/>
      <c r="EB34" s="385"/>
      <c r="EC34" s="385"/>
      <c r="ED34" s="385"/>
      <c r="EE34" s="385"/>
      <c r="EF34" s="385"/>
      <c r="EG34" s="385"/>
      <c r="EH34" s="385"/>
      <c r="EI34" s="385"/>
      <c r="EJ34" s="385"/>
      <c r="EK34" s="385"/>
      <c r="EL34" s="385"/>
      <c r="EM34" s="385"/>
      <c r="EN34" s="385"/>
      <c r="EO34" s="385"/>
      <c r="EP34" s="385"/>
      <c r="EQ34" s="385"/>
      <c r="ER34" s="385"/>
      <c r="ES34" s="385"/>
      <c r="ET34" s="385"/>
      <c r="EU34" s="385"/>
      <c r="EV34" s="385"/>
      <c r="EW34" s="385"/>
      <c r="EX34" s="385"/>
      <c r="EY34" s="385"/>
      <c r="EZ34" s="385"/>
      <c r="FA34" s="385"/>
      <c r="FB34" s="385"/>
      <c r="FC34" s="385"/>
      <c r="FD34" s="385"/>
      <c r="FE34" s="385"/>
      <c r="FF34" s="385"/>
      <c r="FG34" s="385"/>
      <c r="FH34" s="385"/>
      <c r="FI34" s="385"/>
      <c r="FJ34" s="385"/>
      <c r="FK34" s="385"/>
      <c r="FL34" s="385"/>
      <c r="FM34" s="385"/>
      <c r="FN34" s="385"/>
      <c r="FO34" s="385"/>
      <c r="FP34" s="385"/>
      <c r="FQ34" s="385"/>
      <c r="FR34" s="385"/>
      <c r="FS34" s="385"/>
      <c r="FT34" s="385"/>
      <c r="FU34" s="385"/>
      <c r="FV34" s="385"/>
      <c r="FW34" s="385"/>
      <c r="FX34" s="385"/>
      <c r="FY34" s="385"/>
      <c r="FZ34" s="385"/>
      <c r="GA34" s="385"/>
      <c r="GB34" s="385"/>
      <c r="GC34" s="385"/>
      <c r="GD34" s="385"/>
      <c r="GE34" s="385"/>
      <c r="GF34" s="385"/>
      <c r="GG34" s="385"/>
      <c r="GH34" s="385"/>
      <c r="GI34" s="385"/>
      <c r="GJ34" s="385"/>
      <c r="GK34" s="385"/>
      <c r="GL34" s="385"/>
      <c r="GM34" s="385"/>
      <c r="GN34" s="385"/>
      <c r="GO34" s="385"/>
      <c r="GP34" s="385"/>
      <c r="GQ34" s="385"/>
      <c r="GR34" s="385"/>
      <c r="GS34" s="385"/>
      <c r="GT34" s="385"/>
      <c r="GU34" s="385"/>
      <c r="GV34" s="385"/>
      <c r="GW34" s="385"/>
      <c r="GX34" s="385"/>
      <c r="GY34" s="385"/>
      <c r="GZ34" s="385"/>
      <c r="HA34" s="385"/>
      <c r="HB34" s="385"/>
      <c r="HC34" s="385"/>
      <c r="HD34" s="385"/>
      <c r="HE34" s="385"/>
      <c r="HF34" s="385"/>
      <c r="HG34" s="385"/>
      <c r="HH34" s="385"/>
      <c r="HI34" s="385"/>
      <c r="HJ34" s="385"/>
      <c r="HK34" s="385"/>
      <c r="HL34" s="385"/>
      <c r="HM34" s="385"/>
      <c r="HN34" s="385"/>
      <c r="HO34" s="385"/>
      <c r="HP34" s="385"/>
      <c r="HQ34" s="385"/>
      <c r="HR34" s="385"/>
      <c r="HS34" s="385"/>
      <c r="HT34" s="385"/>
      <c r="HU34" s="385"/>
      <c r="HV34" s="385"/>
      <c r="HW34" s="385"/>
      <c r="HX34" s="385"/>
      <c r="HY34" s="385"/>
      <c r="HZ34" s="385"/>
      <c r="IA34" s="385"/>
      <c r="IB34" s="385"/>
      <c r="IC34" s="385"/>
      <c r="ID34" s="385"/>
      <c r="IE34" s="385"/>
      <c r="IF34" s="385"/>
      <c r="IG34" s="385"/>
      <c r="IH34" s="385"/>
      <c r="II34" s="385"/>
      <c r="IJ34" s="385"/>
      <c r="IK34" s="385"/>
      <c r="IL34" s="385"/>
      <c r="IM34" s="385"/>
      <c r="IN34" s="385"/>
      <c r="IO34" s="385"/>
    </row>
    <row r="35" spans="1:249" s="385" customFormat="1" ht="24.95" customHeight="1" thickBot="1" x14ac:dyDescent="0.25">
      <c r="A35" s="618" t="str">
        <f>+IF(NOVIEMBRE!A35=0,"",NOVIEMBRE!A35)</f>
        <v>1130103-3</v>
      </c>
      <c r="B35" s="655" t="str">
        <f>+IF(NOVIEMBRE!B35=0,"",NOVIEMBRE!B35)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+IF(NOVIEMBRE!S35=0,"",NOVIEMBRE!S35)</f>
        <v>1010200</v>
      </c>
      <c r="T35" s="692" t="str">
        <f>+IF(NOVIEMBRE!T35=0,"",NOVIEMBRE!T35)</f>
        <v>Servicios Personales Indirectos</v>
      </c>
      <c r="U35" s="135">
        <f t="shared" ref="U35:AJ35" si="34">SUM(U36:U41)</f>
        <v>215072393</v>
      </c>
      <c r="V35" s="124">
        <f t="shared" si="34"/>
        <v>0</v>
      </c>
      <c r="W35" s="124">
        <f t="shared" si="34"/>
        <v>27070478</v>
      </c>
      <c r="X35" s="132">
        <f t="shared" si="34"/>
        <v>242142871</v>
      </c>
      <c r="Y35" s="131">
        <f t="shared" si="34"/>
        <v>227940978</v>
      </c>
      <c r="Z35" s="124">
        <f t="shared" si="34"/>
        <v>0</v>
      </c>
      <c r="AA35" s="132">
        <f t="shared" si="34"/>
        <v>227940978</v>
      </c>
      <c r="AB35" s="131">
        <f t="shared" si="34"/>
        <v>172615368</v>
      </c>
      <c r="AC35" s="124">
        <f t="shared" si="34"/>
        <v>0</v>
      </c>
      <c r="AD35" s="132">
        <f t="shared" si="34"/>
        <v>172615368</v>
      </c>
      <c r="AE35" s="131">
        <f t="shared" si="34"/>
        <v>132114560</v>
      </c>
      <c r="AF35" s="124">
        <f t="shared" si="34"/>
        <v>0</v>
      </c>
      <c r="AG35" s="132">
        <f t="shared" si="34"/>
        <v>132114560</v>
      </c>
      <c r="AH35" s="131">
        <f t="shared" si="34"/>
        <v>14201893</v>
      </c>
      <c r="AI35" s="124">
        <f t="shared" si="34"/>
        <v>69527503</v>
      </c>
      <c r="AJ35" s="133">
        <f t="shared" si="34"/>
        <v>110028311</v>
      </c>
      <c r="AK35" s="9"/>
      <c r="AL35" s="131">
        <f>SUM(AL36:AL41)</f>
        <v>0</v>
      </c>
      <c r="AM35" s="133">
        <f>SUM(AM36:AM41)</f>
        <v>0</v>
      </c>
      <c r="AN35" s="9"/>
      <c r="AO35" s="352"/>
      <c r="AP35" s="453"/>
      <c r="AQ35" s="295"/>
      <c r="AR35" s="454"/>
      <c r="AS35" s="454"/>
      <c r="AT35" s="454"/>
      <c r="AU35" s="455">
        <f>AR17-AR32</f>
        <v>624588041</v>
      </c>
      <c r="AV35" s="456">
        <f>AS17-AR32</f>
        <v>-214970682</v>
      </c>
      <c r="AW35" s="456" t="s">
        <v>158</v>
      </c>
      <c r="AX35" s="457"/>
      <c r="AY35" s="456">
        <f>AY17+AY32</f>
        <v>-1882319069.9583335</v>
      </c>
      <c r="AZ35" s="458">
        <f>AZ17+AY32</f>
        <v>-2729207135.9583335</v>
      </c>
      <c r="BB35" s="425"/>
      <c r="BC35" s="425"/>
      <c r="BD35" s="425"/>
      <c r="BE35" s="425"/>
      <c r="BF35" s="425"/>
      <c r="BQ35" s="464"/>
    </row>
    <row r="36" spans="1:249" s="385" customFormat="1" ht="24.95" customHeight="1" thickBot="1" x14ac:dyDescent="0.25">
      <c r="A36" s="618" t="str">
        <f>+IF(NOVIEMBRE!A36=0,"",NOVIEMBRE!A36)</f>
        <v>1130103-3-1</v>
      </c>
      <c r="B36" s="654" t="str">
        <f>+CONCATENATE("Vigencia ",INSTRUCCIONES!$F$3)</f>
        <v>Vigencia 2015</v>
      </c>
      <c r="C36" s="375">
        <f>+ENERO!C36</f>
        <v>0</v>
      </c>
      <c r="D36" s="376">
        <f>NOVIEMBRE!D36+DICIEMBRE!P36</f>
        <v>0</v>
      </c>
      <c r="E36" s="376">
        <f>NOVIEMBRE!E36+DICIEMBRE!Q36</f>
        <v>0</v>
      </c>
      <c r="F36" s="376">
        <f t="shared" ref="F36:F41" si="35">SUM(C36:E36)</f>
        <v>0</v>
      </c>
      <c r="G36" s="376">
        <f>NOVIEMBRE!I36</f>
        <v>0</v>
      </c>
      <c r="H36" s="377">
        <v>0</v>
      </c>
      <c r="I36" s="376">
        <f t="shared" ref="I36:I41" si="36">SUM(G36:H36)</f>
        <v>0</v>
      </c>
      <c r="J36" s="376">
        <f>NOVIEMBRE!L36</f>
        <v>0</v>
      </c>
      <c r="K36" s="377">
        <v>0</v>
      </c>
      <c r="L36" s="376">
        <f t="shared" ref="L36:L41" si="37">SUM(J36:K36)</f>
        <v>0</v>
      </c>
      <c r="M36" s="376">
        <f t="shared" ref="M36:M41" si="38">F36-I36</f>
        <v>0</v>
      </c>
      <c r="N36" s="146">
        <f t="shared" ref="N36:N41" si="39">F36-L36</f>
        <v>0</v>
      </c>
      <c r="O36" s="9"/>
      <c r="P36" s="375">
        <v>0</v>
      </c>
      <c r="Q36" s="378">
        <v>0</v>
      </c>
      <c r="R36" s="9"/>
      <c r="S36" s="719" t="str">
        <f>+IF(NOVIEMBRE!S36=0,"",NOVIEMBRE!S36)</f>
        <v>1010200-1</v>
      </c>
      <c r="T36" s="693" t="str">
        <f>+IF(NOVIEMBRE!T36=0,"",NOVIEMBRE!T36)</f>
        <v>Remuneración y Honorarios por Servicios Técnicos y Profesionales</v>
      </c>
      <c r="U36" s="27">
        <f>+ENERO!U36</f>
        <v>213224393</v>
      </c>
      <c r="V36" s="15">
        <f>NOVIEMBRE!V36+DICIEMBRE!AL36</f>
        <v>0</v>
      </c>
      <c r="W36" s="15">
        <f>NOVIEMBRE!W36+DICIEMBRE!AM36</f>
        <v>0</v>
      </c>
      <c r="X36" s="18">
        <f t="shared" ref="X36:X41" si="40">SUM(U36:W36)</f>
        <v>213224393</v>
      </c>
      <c r="Y36" s="19">
        <f>NOVIEMBRE!AA36</f>
        <v>200870500</v>
      </c>
      <c r="Z36" s="377">
        <v>0</v>
      </c>
      <c r="AA36" s="18">
        <f t="shared" ref="AA36:AA41" si="41">SUM(Y36:Z36)</f>
        <v>200870500</v>
      </c>
      <c r="AB36" s="19">
        <f>NOVIEMBRE!AD36</f>
        <v>145544890</v>
      </c>
      <c r="AC36" s="377">
        <v>0</v>
      </c>
      <c r="AD36" s="18">
        <f t="shared" ref="AD36:AD41" si="42">SUM(AB36:AC36)</f>
        <v>145544890</v>
      </c>
      <c r="AE36" s="19">
        <f>NOVIEMBRE!AG36</f>
        <v>111993936</v>
      </c>
      <c r="AF36" s="377">
        <v>0</v>
      </c>
      <c r="AG36" s="18">
        <f t="shared" ref="AG36:AG41" si="43">SUM(AE36:AF36)</f>
        <v>111993936</v>
      </c>
      <c r="AH36" s="19">
        <f t="shared" ref="AH36:AH41" si="44">X36-AA36</f>
        <v>12353893</v>
      </c>
      <c r="AI36" s="15">
        <f t="shared" ref="AI36:AI41" si="45">X36-AD36</f>
        <v>67679503</v>
      </c>
      <c r="AJ36" s="16">
        <f t="shared" ref="AJ36:AJ41" si="46">X36-AG36</f>
        <v>101230457</v>
      </c>
      <c r="AK36" s="9"/>
      <c r="AL36" s="375">
        <v>0</v>
      </c>
      <c r="AM36" s="378">
        <v>0</v>
      </c>
      <c r="AN36" s="9"/>
      <c r="AO36" s="459"/>
      <c r="AP36" s="22"/>
      <c r="AQ36" s="22"/>
      <c r="AR36" s="22"/>
      <c r="AS36" s="22"/>
      <c r="AT36" s="22"/>
      <c r="AU36" s="22"/>
      <c r="AV36" s="22"/>
      <c r="AW36" s="22"/>
      <c r="AX36" s="22"/>
      <c r="AY36" s="22"/>
      <c r="AZ36" s="23"/>
      <c r="BB36" s="425"/>
      <c r="BC36" s="425"/>
      <c r="BD36" s="425"/>
      <c r="BE36" s="425"/>
      <c r="BF36" s="425"/>
      <c r="BQ36" s="464"/>
    </row>
    <row r="37" spans="1:249" s="385" customFormat="1" ht="24.95" customHeight="1" x14ac:dyDescent="0.2">
      <c r="A37" s="618" t="str">
        <f>+IF(NOVIEMBRE!A37=0,"",NOVIEMBRE!A37)</f>
        <v>1130103-3-2</v>
      </c>
      <c r="B37" s="654" t="str">
        <f>+IF(NOVIEMBRE!B37=0,"",NOVIEMBRE!B37)</f>
        <v>Vigencia Anterior</v>
      </c>
      <c r="C37" s="375">
        <f>+ENERO!C37</f>
        <v>0</v>
      </c>
      <c r="D37" s="376">
        <f>NOVIEMBRE!D37+DICIEMBRE!P37</f>
        <v>0</v>
      </c>
      <c r="E37" s="376">
        <f>NOVIEMBRE!E37+DICIEMBRE!Q37</f>
        <v>0</v>
      </c>
      <c r="F37" s="376">
        <f t="shared" si="35"/>
        <v>0</v>
      </c>
      <c r="G37" s="376">
        <f>NOVIEMBRE!I37</f>
        <v>0</v>
      </c>
      <c r="H37" s="377">
        <v>0</v>
      </c>
      <c r="I37" s="376">
        <f t="shared" si="36"/>
        <v>0</v>
      </c>
      <c r="J37" s="376">
        <f>NOVIEMBRE!L37</f>
        <v>0</v>
      </c>
      <c r="K37" s="377">
        <v>0</v>
      </c>
      <c r="L37" s="376">
        <f t="shared" si="37"/>
        <v>0</v>
      </c>
      <c r="M37" s="376">
        <f t="shared" si="38"/>
        <v>0</v>
      </c>
      <c r="N37" s="146">
        <f t="shared" si="39"/>
        <v>0</v>
      </c>
      <c r="P37" s="375">
        <v>0</v>
      </c>
      <c r="Q37" s="378">
        <v>0</v>
      </c>
      <c r="R37" s="9"/>
      <c r="S37" s="719" t="str">
        <f>+IF(NOVIEMBRE!S37=0,"",NOVIEMBRE!S37)</f>
        <v>1010200-2</v>
      </c>
      <c r="T37" s="693" t="str">
        <f>+IF(NOVIEMBRE!T37=0,"",NOVIEMBRE!T37)</f>
        <v>Personal Supernumerario</v>
      </c>
      <c r="U37" s="27">
        <f>+ENERO!U37</f>
        <v>0</v>
      </c>
      <c r="V37" s="15">
        <f>NOVIEMBRE!V37+DICIEMBRE!AL37</f>
        <v>0</v>
      </c>
      <c r="W37" s="15">
        <f>NOVIEMBRE!W37+DICIEMBRE!AM37</f>
        <v>0</v>
      </c>
      <c r="X37" s="18">
        <f t="shared" si="40"/>
        <v>0</v>
      </c>
      <c r="Y37" s="19">
        <f>NOVIEMBRE!AA37</f>
        <v>0</v>
      </c>
      <c r="Z37" s="377">
        <v>0</v>
      </c>
      <c r="AA37" s="18">
        <f t="shared" si="41"/>
        <v>0</v>
      </c>
      <c r="AB37" s="19">
        <f>NOVIEMBRE!AD37</f>
        <v>0</v>
      </c>
      <c r="AC37" s="377">
        <v>0</v>
      </c>
      <c r="AD37" s="18">
        <f t="shared" si="42"/>
        <v>0</v>
      </c>
      <c r="AE37" s="19">
        <f>NOVIEMBRE!AG37</f>
        <v>0</v>
      </c>
      <c r="AF37" s="377">
        <v>0</v>
      </c>
      <c r="AG37" s="18">
        <f t="shared" si="43"/>
        <v>0</v>
      </c>
      <c r="AH37" s="19">
        <f t="shared" si="44"/>
        <v>0</v>
      </c>
      <c r="AI37" s="15">
        <f t="shared" si="45"/>
        <v>0</v>
      </c>
      <c r="AJ37" s="16">
        <f t="shared" si="46"/>
        <v>0</v>
      </c>
      <c r="AK37" s="9"/>
      <c r="AL37" s="375">
        <v>0</v>
      </c>
      <c r="AM37" s="378">
        <v>0</v>
      </c>
      <c r="AN37" s="9"/>
      <c r="AO37" s="24" t="s">
        <v>161</v>
      </c>
      <c r="BQ37" s="464"/>
    </row>
    <row r="38" spans="1:249" s="385" customFormat="1" ht="24.95" customHeight="1" x14ac:dyDescent="0.2">
      <c r="A38" s="749" t="str">
        <f>+IF(NOVIEMBRE!A38=0,"",NOVIEMBRE!A38)</f>
        <v>1130103-4</v>
      </c>
      <c r="B38" s="656" t="str">
        <f>+IF(NOVIEMBRE!B38=0,"",NOVIEMBRE!B38)</f>
        <v xml:space="preserve"> Aportes Patronales  1o. Nivel</v>
      </c>
      <c r="C38" s="375">
        <f>+ENERO!C38</f>
        <v>326631000</v>
      </c>
      <c r="D38" s="376">
        <f>NOVIEMBRE!D38+DICIEMBRE!P38</f>
        <v>0</v>
      </c>
      <c r="E38" s="376">
        <f>NOVIEMBRE!E38+DICIEMBRE!Q38</f>
        <v>0</v>
      </c>
      <c r="F38" s="376">
        <f t="shared" si="35"/>
        <v>326631000</v>
      </c>
      <c r="G38" s="376">
        <f>NOVIEMBRE!I38</f>
        <v>235750638</v>
      </c>
      <c r="H38" s="377">
        <v>0</v>
      </c>
      <c r="I38" s="376">
        <f t="shared" si="36"/>
        <v>235750638</v>
      </c>
      <c r="J38" s="376">
        <f>NOVIEMBRE!L38</f>
        <v>232031822</v>
      </c>
      <c r="K38" s="377">
        <v>0</v>
      </c>
      <c r="L38" s="376">
        <f t="shared" si="37"/>
        <v>232031822</v>
      </c>
      <c r="M38" s="376">
        <f t="shared" si="38"/>
        <v>90880362</v>
      </c>
      <c r="N38" s="146">
        <f t="shared" si="39"/>
        <v>94599178</v>
      </c>
      <c r="O38" s="533"/>
      <c r="P38" s="375">
        <v>0</v>
      </c>
      <c r="Q38" s="378">
        <v>0</v>
      </c>
      <c r="R38" s="9"/>
      <c r="S38" s="719" t="str">
        <f>+IF(NOVIEMBRE!S38=0,"",NOVIEMBRE!S38)</f>
        <v>1010200-3</v>
      </c>
      <c r="T38" s="693" t="str">
        <f>+IF(NOVIEMBRE!T38=0,"",NOVIEMBRE!T38)</f>
        <v>Honorarios de la Junta Directiva</v>
      </c>
      <c r="U38" s="27">
        <f>+ENERO!U38</f>
        <v>1848000</v>
      </c>
      <c r="V38" s="15">
        <f>NOVIEMBRE!V38+DICIEMBRE!AL38</f>
        <v>0</v>
      </c>
      <c r="W38" s="15">
        <f>NOVIEMBRE!W38+DICIEMBRE!AM38</f>
        <v>0</v>
      </c>
      <c r="X38" s="18">
        <f t="shared" si="40"/>
        <v>1848000</v>
      </c>
      <c r="Y38" s="19">
        <f>NOVIEMBRE!AA38</f>
        <v>0</v>
      </c>
      <c r="Z38" s="377">
        <v>0</v>
      </c>
      <c r="AA38" s="18">
        <f t="shared" si="41"/>
        <v>0</v>
      </c>
      <c r="AB38" s="19">
        <f>NOVIEMBRE!AD38</f>
        <v>0</v>
      </c>
      <c r="AC38" s="377">
        <v>0</v>
      </c>
      <c r="AD38" s="18">
        <f t="shared" si="42"/>
        <v>0</v>
      </c>
      <c r="AE38" s="19">
        <f>NOVIEMBRE!AG38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c r="BQ38" s="464"/>
    </row>
    <row r="39" spans="1:249" s="385" customFormat="1" ht="24.95" customHeight="1" x14ac:dyDescent="0.2">
      <c r="A39" s="749" t="str">
        <f>+IF(NOVIEMBRE!A39=0,"",NOVIEMBRE!A39)</f>
        <v>1130103-5</v>
      </c>
      <c r="B39" s="656" t="str">
        <f>+IF(NOVIEMBRE!B39=0,"",NOVIEMBRE!B39)</f>
        <v xml:space="preserve"> Aportes Patronales  2o. Nivel</v>
      </c>
      <c r="C39" s="375">
        <f>+ENERO!C39</f>
        <v>0</v>
      </c>
      <c r="D39" s="376">
        <f>NOVIEMBRE!D39+DICIEMBRE!P39</f>
        <v>0</v>
      </c>
      <c r="E39" s="376">
        <f>NOVIEMBRE!E39+DICIEMBRE!Q39</f>
        <v>0</v>
      </c>
      <c r="F39" s="376">
        <f t="shared" si="35"/>
        <v>0</v>
      </c>
      <c r="G39" s="376">
        <f>NOVIEMBRE!I39</f>
        <v>0</v>
      </c>
      <c r="H39" s="377">
        <v>0</v>
      </c>
      <c r="I39" s="376">
        <f t="shared" si="36"/>
        <v>0</v>
      </c>
      <c r="J39" s="376">
        <f>NOVIEMBRE!L39</f>
        <v>0</v>
      </c>
      <c r="K39" s="377">
        <v>0</v>
      </c>
      <c r="L39" s="376">
        <f t="shared" si="37"/>
        <v>0</v>
      </c>
      <c r="M39" s="376">
        <f t="shared" si="38"/>
        <v>0</v>
      </c>
      <c r="N39" s="146">
        <f t="shared" si="39"/>
        <v>0</v>
      </c>
      <c r="O39" s="533"/>
      <c r="P39" s="375">
        <v>0</v>
      </c>
      <c r="Q39" s="378">
        <v>0</v>
      </c>
      <c r="R39" s="9"/>
      <c r="S39" s="719" t="str">
        <f>+IF(NOVIEMBRE!S39=0,"",NOVIEMBRE!S39)</f>
        <v>1010200-4</v>
      </c>
      <c r="T39" s="693" t="str">
        <f>+IF(NOVIEMBRE!T39=0,"",NOVIEMBRE!T39)</f>
        <v>Otros Honorarios (Servicios de Cooperativa)</v>
      </c>
      <c r="U39" s="27">
        <f>+ENERO!U39</f>
        <v>0</v>
      </c>
      <c r="V39" s="15">
        <f>NOVIEMBRE!V39+DICIEMBRE!AL39</f>
        <v>0</v>
      </c>
      <c r="W39" s="15">
        <f>NOVIEMBRE!W39+DICIEMBRE!AM39</f>
        <v>0</v>
      </c>
      <c r="X39" s="18">
        <f t="shared" si="40"/>
        <v>0</v>
      </c>
      <c r="Y39" s="19">
        <f>NOVIEMBRE!AA39</f>
        <v>0</v>
      </c>
      <c r="Z39" s="377">
        <v>0</v>
      </c>
      <c r="AA39" s="18">
        <f t="shared" si="41"/>
        <v>0</v>
      </c>
      <c r="AB39" s="19">
        <f>NOVIEMBRE!AD39</f>
        <v>0</v>
      </c>
      <c r="AC39" s="377">
        <v>0</v>
      </c>
      <c r="AD39" s="18">
        <f t="shared" si="42"/>
        <v>0</v>
      </c>
      <c r="AE39" s="19">
        <f>NOVIEMBRE!AG39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c r="BQ39" s="464"/>
    </row>
    <row r="40" spans="1:249" s="425" customFormat="1" ht="24.95" customHeight="1" x14ac:dyDescent="0.2">
      <c r="A40" s="749" t="str">
        <f>+IF(NOVIEMBRE!A40=0,"",NOVIEMBRE!A40)</f>
        <v>1130103-6</v>
      </c>
      <c r="B40" s="656" t="str">
        <f>+IF(NOVIEMBRE!B40=0,"",NOVIEMBRE!B40)</f>
        <v xml:space="preserve"> Aportes Patronales  3er. Nivel</v>
      </c>
      <c r="C40" s="375">
        <f>+ENERO!C40</f>
        <v>0</v>
      </c>
      <c r="D40" s="376">
        <f>NOVIEMBRE!D40+DICIEMBRE!P40</f>
        <v>0</v>
      </c>
      <c r="E40" s="376">
        <f>NOVIEMBRE!E40+DICIEMBRE!Q40</f>
        <v>0</v>
      </c>
      <c r="F40" s="376">
        <f t="shared" si="35"/>
        <v>0</v>
      </c>
      <c r="G40" s="376">
        <f>NOVIEMBRE!I40</f>
        <v>0</v>
      </c>
      <c r="H40" s="377">
        <v>0</v>
      </c>
      <c r="I40" s="376">
        <f t="shared" si="36"/>
        <v>0</v>
      </c>
      <c r="J40" s="376">
        <f>NOVIEMBRE!L40</f>
        <v>0</v>
      </c>
      <c r="K40" s="377">
        <v>0</v>
      </c>
      <c r="L40" s="376">
        <f t="shared" si="37"/>
        <v>0</v>
      </c>
      <c r="M40" s="376">
        <f t="shared" si="38"/>
        <v>0</v>
      </c>
      <c r="N40" s="146">
        <f t="shared" si="39"/>
        <v>0</v>
      </c>
      <c r="O40" s="533"/>
      <c r="P40" s="375">
        <v>0</v>
      </c>
      <c r="Q40" s="378">
        <v>0</v>
      </c>
      <c r="R40" s="9"/>
      <c r="S40" s="719" t="str">
        <f>+IF(NOVIEMBRE!S40=0,"",NOVIEMBRE!S40)</f>
        <v>1010200-6</v>
      </c>
      <c r="T40" s="693" t="str">
        <f>+IF(NOVIEMBRE!T40=0,"",NOVIEMBRE!T40)</f>
        <v>Certificación, Habilitación y Acreditación</v>
      </c>
      <c r="U40" s="27">
        <f>+ENERO!U40</f>
        <v>0</v>
      </c>
      <c r="V40" s="15">
        <f>NOVIEMBRE!V40+DICIEMBRE!AL40</f>
        <v>0</v>
      </c>
      <c r="W40" s="15">
        <f>NOVIEMBRE!W40+DICIEMBRE!AM40</f>
        <v>0</v>
      </c>
      <c r="X40" s="18">
        <f t="shared" si="40"/>
        <v>0</v>
      </c>
      <c r="Y40" s="19">
        <f>NOVIEMBRE!AA40</f>
        <v>0</v>
      </c>
      <c r="Z40" s="377">
        <v>0</v>
      </c>
      <c r="AA40" s="18">
        <f t="shared" si="41"/>
        <v>0</v>
      </c>
      <c r="AB40" s="19">
        <f>NOVIEMBRE!AD40</f>
        <v>0</v>
      </c>
      <c r="AC40" s="377">
        <v>0</v>
      </c>
      <c r="AD40" s="18">
        <f t="shared" si="42"/>
        <v>0</v>
      </c>
      <c r="AE40" s="19">
        <f>NOVIEMBRE!AG40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464"/>
      <c r="BR40" s="385"/>
      <c r="BS40" s="385"/>
      <c r="BT40" s="385"/>
      <c r="BU40" s="385"/>
      <c r="BV40" s="385"/>
      <c r="BW40" s="385"/>
      <c r="BX40" s="385"/>
      <c r="BY40" s="385"/>
      <c r="BZ40" s="385"/>
      <c r="CA40" s="385"/>
      <c r="CB40" s="385"/>
      <c r="CC40" s="385"/>
      <c r="CD40" s="385"/>
      <c r="CE40" s="385"/>
      <c r="CF40" s="385"/>
      <c r="CG40" s="385"/>
      <c r="CH40" s="385"/>
      <c r="CI40" s="385"/>
      <c r="CJ40" s="385"/>
      <c r="CK40" s="385"/>
      <c r="CL40" s="385"/>
      <c r="CM40" s="385"/>
      <c r="CN40" s="385"/>
      <c r="CO40" s="385"/>
      <c r="CP40" s="385"/>
      <c r="CQ40" s="385"/>
      <c r="CR40" s="385"/>
      <c r="CS40" s="385"/>
      <c r="CT40" s="385"/>
      <c r="CU40" s="385"/>
      <c r="CV40" s="385"/>
      <c r="CW40" s="385"/>
      <c r="CX40" s="385"/>
      <c r="CY40" s="385"/>
      <c r="CZ40" s="385"/>
      <c r="DA40" s="385"/>
      <c r="DB40" s="385"/>
      <c r="DC40" s="385"/>
      <c r="DD40" s="385"/>
      <c r="DE40" s="385"/>
      <c r="DF40" s="385"/>
      <c r="DG40" s="385"/>
      <c r="DH40" s="385"/>
      <c r="DI40" s="385"/>
      <c r="DJ40" s="385"/>
      <c r="DK40" s="385"/>
      <c r="DL40" s="385"/>
      <c r="DM40" s="385"/>
      <c r="DN40" s="385"/>
      <c r="DO40" s="385"/>
      <c r="DP40" s="385"/>
      <c r="DQ40" s="385"/>
      <c r="DR40" s="385"/>
      <c r="DS40" s="385"/>
      <c r="DT40" s="385"/>
      <c r="DU40" s="385"/>
      <c r="DV40" s="385"/>
      <c r="DW40" s="385"/>
      <c r="DX40" s="385"/>
      <c r="DY40" s="385"/>
      <c r="DZ40" s="385"/>
      <c r="EA40" s="385"/>
      <c r="EB40" s="385"/>
      <c r="EC40" s="385"/>
      <c r="ED40" s="385"/>
      <c r="EE40" s="385"/>
      <c r="EF40" s="385"/>
      <c r="EG40" s="385"/>
      <c r="EH40" s="385"/>
      <c r="EI40" s="385"/>
      <c r="EJ40" s="385"/>
      <c r="EK40" s="385"/>
      <c r="EL40" s="385"/>
      <c r="EM40" s="385"/>
      <c r="EN40" s="385"/>
      <c r="EO40" s="385"/>
      <c r="EP40" s="385"/>
      <c r="EQ40" s="385"/>
      <c r="ER40" s="385"/>
      <c r="ES40" s="385"/>
      <c r="ET40" s="385"/>
      <c r="EU40" s="385"/>
      <c r="EV40" s="385"/>
      <c r="EW40" s="385"/>
      <c r="EX40" s="385"/>
      <c r="EY40" s="385"/>
      <c r="EZ40" s="385"/>
      <c r="FA40" s="385"/>
      <c r="FB40" s="385"/>
      <c r="FC40" s="385"/>
      <c r="FD40" s="385"/>
      <c r="FE40" s="385"/>
      <c r="FF40" s="385"/>
      <c r="FG40" s="385"/>
      <c r="FH40" s="385"/>
      <c r="FI40" s="385"/>
      <c r="FJ40" s="385"/>
      <c r="FK40" s="385"/>
      <c r="FL40" s="385"/>
      <c r="FM40" s="385"/>
      <c r="FN40" s="385"/>
      <c r="FO40" s="385"/>
      <c r="FP40" s="385"/>
      <c r="FQ40" s="385"/>
      <c r="FR40" s="385"/>
      <c r="FS40" s="385"/>
      <c r="FT40" s="385"/>
      <c r="FU40" s="385"/>
      <c r="FV40" s="385"/>
      <c r="FW40" s="385"/>
      <c r="FX40" s="385"/>
      <c r="FY40" s="385"/>
      <c r="FZ40" s="385"/>
      <c r="GA40" s="385"/>
      <c r="GB40" s="385"/>
      <c r="GC40" s="385"/>
      <c r="GD40" s="385"/>
      <c r="GE40" s="385"/>
      <c r="GF40" s="385"/>
      <c r="GG40" s="385"/>
      <c r="GH40" s="385"/>
      <c r="GI40" s="385"/>
      <c r="GJ40" s="385"/>
      <c r="GK40" s="385"/>
      <c r="GL40" s="385"/>
      <c r="GM40" s="385"/>
      <c r="GN40" s="385"/>
      <c r="GO40" s="385"/>
      <c r="GP40" s="385"/>
      <c r="GQ40" s="385"/>
      <c r="GR40" s="385"/>
      <c r="GS40" s="385"/>
      <c r="GT40" s="385"/>
      <c r="GU40" s="385"/>
      <c r="GV40" s="385"/>
      <c r="GW40" s="385"/>
      <c r="GX40" s="385"/>
      <c r="GY40" s="385"/>
      <c r="GZ40" s="385"/>
      <c r="HA40" s="385"/>
      <c r="HB40" s="385"/>
      <c r="HC40" s="385"/>
      <c r="HD40" s="385"/>
      <c r="HE40" s="385"/>
      <c r="HF40" s="385"/>
      <c r="HG40" s="385"/>
      <c r="HH40" s="385"/>
      <c r="HI40" s="385"/>
      <c r="HJ40" s="385"/>
      <c r="HK40" s="385"/>
      <c r="HL40" s="385"/>
      <c r="HM40" s="385"/>
      <c r="HN40" s="385"/>
      <c r="HO40" s="385"/>
      <c r="HP40" s="385"/>
      <c r="HQ40" s="385"/>
      <c r="HR40" s="385"/>
      <c r="HS40" s="385"/>
      <c r="HT40" s="385"/>
      <c r="HU40" s="385"/>
      <c r="HV40" s="385"/>
      <c r="HW40" s="385"/>
      <c r="HX40" s="385"/>
      <c r="HY40" s="385"/>
      <c r="HZ40" s="385"/>
      <c r="IA40" s="385"/>
      <c r="IB40" s="385"/>
      <c r="IC40" s="385"/>
      <c r="ID40" s="385"/>
      <c r="IE40" s="385"/>
      <c r="IF40" s="385"/>
      <c r="IG40" s="385"/>
      <c r="IH40" s="385"/>
      <c r="II40" s="385"/>
      <c r="IJ40" s="385"/>
      <c r="IK40" s="385"/>
      <c r="IL40" s="385"/>
      <c r="IM40" s="385"/>
      <c r="IN40" s="385"/>
      <c r="IO40" s="385"/>
    </row>
    <row r="41" spans="1:249" s="425" customFormat="1" ht="24.95" customHeight="1" x14ac:dyDescent="0.2">
      <c r="A41" s="747">
        <f>+IF(NOVIEMBRE!A41=0,"",NOVIEMBRE!A41)</f>
        <v>1130104</v>
      </c>
      <c r="B41" s="653" t="str">
        <f>+IF(NOVIEMBRE!B41=0,"",NOVIEMBRE!B41)</f>
        <v>SUBSIDIO A LA OFERTA- ACTIVIDADES NO POS-S</v>
      </c>
      <c r="C41" s="375">
        <f>+ENERO!C41</f>
        <v>0</v>
      </c>
      <c r="D41" s="124">
        <f>NOVIEMBRE!D41+DICIEMBRE!P41</f>
        <v>0</v>
      </c>
      <c r="E41" s="124">
        <f>NOVIEMBRE!E41+DICIEMBRE!Q41</f>
        <v>0</v>
      </c>
      <c r="F41" s="124">
        <f t="shared" si="35"/>
        <v>0</v>
      </c>
      <c r="G41" s="124">
        <f>NOVIEMBRE!I41</f>
        <v>0</v>
      </c>
      <c r="H41" s="377">
        <v>0</v>
      </c>
      <c r="I41" s="124">
        <f t="shared" si="36"/>
        <v>0</v>
      </c>
      <c r="J41" s="124">
        <f>NOVIEMBRE!L41</f>
        <v>0</v>
      </c>
      <c r="K41" s="377">
        <v>0</v>
      </c>
      <c r="L41" s="124">
        <f t="shared" si="37"/>
        <v>0</v>
      </c>
      <c r="M41" s="124">
        <f t="shared" si="38"/>
        <v>0</v>
      </c>
      <c r="N41" s="133">
        <f t="shared" si="39"/>
        <v>0</v>
      </c>
      <c r="O41" s="385"/>
      <c r="P41" s="377">
        <v>0</v>
      </c>
      <c r="Q41" s="378">
        <v>0</v>
      </c>
      <c r="R41" s="9"/>
      <c r="S41" s="719">
        <f>+IF(NOVIEMBRE!S41=0,"",NOVIEMBRE!S41)</f>
        <v>1010299</v>
      </c>
      <c r="T41" s="693" t="str">
        <f>+IF(NOVIEMBRE!T41=0,"",NOVIEMBRE!T41)</f>
        <v>Vigencias Anteriores</v>
      </c>
      <c r="U41" s="27">
        <f>+ENERO!U41</f>
        <v>0</v>
      </c>
      <c r="V41" s="15">
        <f>NOVIEMBRE!V41+DICIEMBRE!AL41</f>
        <v>0</v>
      </c>
      <c r="W41" s="15">
        <f>NOVIEMBRE!W41+DICIEMBRE!AM41</f>
        <v>27070478</v>
      </c>
      <c r="X41" s="18">
        <f t="shared" si="40"/>
        <v>27070478</v>
      </c>
      <c r="Y41" s="19">
        <f>NOVIEMBRE!AA41</f>
        <v>27070478</v>
      </c>
      <c r="Z41" s="377">
        <v>0</v>
      </c>
      <c r="AA41" s="18">
        <f t="shared" si="41"/>
        <v>27070478</v>
      </c>
      <c r="AB41" s="19">
        <f>NOVIEMBRE!AD41</f>
        <v>27070478</v>
      </c>
      <c r="AC41" s="377">
        <v>0</v>
      </c>
      <c r="AD41" s="18">
        <f t="shared" si="42"/>
        <v>27070478</v>
      </c>
      <c r="AE41" s="19">
        <f>NOVIEMBRE!AG41</f>
        <v>20120624</v>
      </c>
      <c r="AF41" s="377">
        <v>0</v>
      </c>
      <c r="AG41" s="18">
        <f t="shared" si="43"/>
        <v>20120624</v>
      </c>
      <c r="AH41" s="19">
        <f t="shared" si="44"/>
        <v>0</v>
      </c>
      <c r="AI41" s="15">
        <f t="shared" si="45"/>
        <v>0</v>
      </c>
      <c r="AJ41" s="16">
        <f t="shared" si="46"/>
        <v>6949854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c r="BQ41" s="532"/>
      <c r="BS41" s="385"/>
      <c r="BT41" s="385"/>
      <c r="BU41" s="385"/>
      <c r="BV41" s="385"/>
      <c r="BW41" s="385"/>
      <c r="BX41" s="385"/>
      <c r="BY41" s="385"/>
      <c r="BZ41" s="385"/>
      <c r="CA41" s="385"/>
      <c r="CB41" s="385"/>
      <c r="CC41" s="385"/>
      <c r="CD41" s="385"/>
      <c r="CE41" s="385"/>
      <c r="CF41" s="385"/>
      <c r="CG41" s="385"/>
      <c r="CH41" s="385"/>
      <c r="CI41" s="385"/>
      <c r="CJ41" s="385"/>
      <c r="CK41" s="385"/>
      <c r="CL41" s="385"/>
      <c r="CM41" s="385"/>
      <c r="CN41" s="385"/>
      <c r="CO41" s="385"/>
      <c r="CP41" s="385"/>
      <c r="CQ41" s="385"/>
      <c r="CR41" s="385"/>
      <c r="CS41" s="385"/>
      <c r="CT41" s="385"/>
      <c r="CU41" s="385"/>
      <c r="CV41" s="385"/>
      <c r="CW41" s="385"/>
      <c r="CX41" s="385"/>
      <c r="CY41" s="385"/>
      <c r="CZ41" s="385"/>
      <c r="DA41" s="385"/>
      <c r="DB41" s="385"/>
      <c r="DC41" s="385"/>
      <c r="DD41" s="385"/>
      <c r="DE41" s="385"/>
      <c r="DF41" s="385"/>
      <c r="DG41" s="385"/>
      <c r="DH41" s="385"/>
      <c r="DI41" s="385"/>
      <c r="DJ41" s="385"/>
      <c r="DK41" s="385"/>
      <c r="DL41" s="385"/>
      <c r="DM41" s="385"/>
      <c r="DN41" s="385"/>
      <c r="DO41" s="385"/>
      <c r="DP41" s="385"/>
      <c r="DQ41" s="385"/>
      <c r="DR41" s="385"/>
      <c r="DS41" s="385"/>
      <c r="DT41" s="385"/>
      <c r="DU41" s="385"/>
      <c r="DV41" s="385"/>
      <c r="DW41" s="385"/>
      <c r="DX41" s="385"/>
      <c r="DY41" s="385"/>
      <c r="DZ41" s="385"/>
      <c r="EA41" s="385"/>
      <c r="EB41" s="385"/>
      <c r="EC41" s="385"/>
      <c r="ED41" s="385"/>
      <c r="EE41" s="385"/>
      <c r="EF41" s="385"/>
      <c r="EG41" s="385"/>
      <c r="EH41" s="385"/>
      <c r="EI41" s="385"/>
      <c r="EJ41" s="385"/>
      <c r="EK41" s="385"/>
      <c r="EL41" s="385"/>
      <c r="EM41" s="385"/>
      <c r="EN41" s="385"/>
      <c r="EO41" s="385"/>
      <c r="EP41" s="385"/>
      <c r="EQ41" s="385"/>
      <c r="ER41" s="385"/>
      <c r="ES41" s="385"/>
      <c r="ET41" s="385"/>
      <c r="EU41" s="385"/>
      <c r="EV41" s="385"/>
      <c r="EW41" s="385"/>
      <c r="EX41" s="385"/>
      <c r="EY41" s="385"/>
      <c r="EZ41" s="385"/>
      <c r="FA41" s="385"/>
      <c r="FB41" s="385"/>
      <c r="FC41" s="385"/>
      <c r="FD41" s="385"/>
      <c r="FE41" s="385"/>
      <c r="FF41" s="385"/>
      <c r="FG41" s="385"/>
      <c r="FH41" s="385"/>
      <c r="FI41" s="385"/>
      <c r="FJ41" s="385"/>
      <c r="FK41" s="385"/>
      <c r="FL41" s="385"/>
      <c r="FM41" s="385"/>
      <c r="FN41" s="385"/>
      <c r="FO41" s="385"/>
      <c r="FP41" s="385"/>
      <c r="FQ41" s="385"/>
      <c r="FR41" s="385"/>
      <c r="FS41" s="385"/>
      <c r="FT41" s="385"/>
      <c r="FU41" s="385"/>
      <c r="FV41" s="385"/>
      <c r="FW41" s="385"/>
      <c r="FX41" s="385"/>
      <c r="FY41" s="385"/>
      <c r="FZ41" s="385"/>
      <c r="GA41" s="385"/>
      <c r="GB41" s="385"/>
      <c r="GC41" s="385"/>
      <c r="GD41" s="385"/>
      <c r="GE41" s="385"/>
      <c r="GF41" s="385"/>
      <c r="GG41" s="385"/>
      <c r="GH41" s="385"/>
      <c r="GI41" s="385"/>
      <c r="GJ41" s="385"/>
      <c r="GK41" s="385"/>
      <c r="GL41" s="385"/>
      <c r="GM41" s="385"/>
      <c r="GN41" s="385"/>
      <c r="GO41" s="385"/>
      <c r="GP41" s="385"/>
      <c r="GQ41" s="385"/>
      <c r="GR41" s="385"/>
      <c r="GS41" s="385"/>
      <c r="GT41" s="385"/>
      <c r="GU41" s="385"/>
      <c r="GV41" s="385"/>
      <c r="GW41" s="385"/>
      <c r="GX41" s="385"/>
      <c r="GY41" s="385"/>
      <c r="GZ41" s="385"/>
      <c r="HA41" s="385"/>
      <c r="HB41" s="385"/>
      <c r="HC41" s="385"/>
      <c r="HD41" s="385"/>
      <c r="HE41" s="385"/>
      <c r="HF41" s="385"/>
      <c r="HG41" s="385"/>
      <c r="HH41" s="385"/>
      <c r="HI41" s="385"/>
      <c r="HJ41" s="385"/>
      <c r="HK41" s="385"/>
      <c r="HL41" s="385"/>
      <c r="HM41" s="385"/>
      <c r="HN41" s="385"/>
      <c r="HO41" s="385"/>
      <c r="HP41" s="385"/>
      <c r="HQ41" s="385"/>
      <c r="HR41" s="385"/>
      <c r="HS41" s="385"/>
      <c r="HT41" s="385"/>
      <c r="HU41" s="385"/>
      <c r="HV41" s="385"/>
      <c r="HW41" s="385"/>
      <c r="HX41" s="385"/>
      <c r="HY41" s="385"/>
      <c r="HZ41" s="385"/>
      <c r="IA41" s="385"/>
      <c r="IB41" s="385"/>
      <c r="IC41" s="385"/>
      <c r="ID41" s="385"/>
      <c r="IE41" s="385"/>
      <c r="IF41" s="385"/>
      <c r="IG41" s="385"/>
      <c r="IH41" s="385"/>
      <c r="II41" s="385"/>
      <c r="IJ41" s="385"/>
      <c r="IK41" s="385"/>
      <c r="IL41" s="385"/>
      <c r="IM41" s="385"/>
      <c r="IN41" s="385"/>
      <c r="IO41" s="385"/>
    </row>
    <row r="42" spans="1:249" s="385" customFormat="1" ht="24.95" customHeight="1" x14ac:dyDescent="0.2">
      <c r="A42" s="747">
        <f>+IF(NOVIEMBRE!A42=0,"",NOVIEMBRE!A42)</f>
        <v>1130106</v>
      </c>
      <c r="B42" s="653" t="str">
        <f>+IF(NOVIEMBRE!B42=0,"",NOVIEMBRE!B42)</f>
        <v>SALUD PUBLICA - PLAN DE INTERVENCIONES COLECTIVAS</v>
      </c>
      <c r="C42" s="43">
        <f t="shared" ref="C42:N42" si="47">SUM(C43:C44)</f>
        <v>94000000</v>
      </c>
      <c r="D42" s="44">
        <f t="shared" si="47"/>
        <v>0</v>
      </c>
      <c r="E42" s="44">
        <f t="shared" si="47"/>
        <v>17280673</v>
      </c>
      <c r="F42" s="44">
        <f t="shared" si="47"/>
        <v>111280673</v>
      </c>
      <c r="G42" s="44">
        <f t="shared" si="47"/>
        <v>67464121</v>
      </c>
      <c r="H42" s="44">
        <f t="shared" si="47"/>
        <v>0</v>
      </c>
      <c r="I42" s="44">
        <f t="shared" si="47"/>
        <v>67464121</v>
      </c>
      <c r="J42" s="44">
        <f t="shared" si="47"/>
        <v>65005392</v>
      </c>
      <c r="K42" s="44">
        <f t="shared" si="47"/>
        <v>0</v>
      </c>
      <c r="L42" s="44">
        <f t="shared" si="47"/>
        <v>65005392</v>
      </c>
      <c r="M42" s="44">
        <f t="shared" si="47"/>
        <v>43816552</v>
      </c>
      <c r="N42" s="45">
        <f t="shared" si="47"/>
        <v>46275281</v>
      </c>
      <c r="P42" s="43">
        <f>SUM(P43:P44)</f>
        <v>0</v>
      </c>
      <c r="Q42" s="45">
        <f>SUM(Q43:Q44)</f>
        <v>0</v>
      </c>
      <c r="R42" s="9"/>
      <c r="S42" s="369" t="str">
        <f>+IF(NOVIEMBRE!S42=0,"",NOVIEMBRE!S42)</f>
        <v/>
      </c>
      <c r="T42" s="708" t="str">
        <f>+IF(NOVIEMBRE!T42=0,"",NOVIEMBRE!T42)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c r="BQ42" s="464"/>
    </row>
    <row r="43" spans="1:249" s="425" customFormat="1" ht="24.95" customHeight="1" x14ac:dyDescent="0.2">
      <c r="A43" s="618" t="str">
        <f>+IF(NOVIEMBRE!A43=0,"",NOVIEMBRE!A43)</f>
        <v>1130106-1</v>
      </c>
      <c r="B43" s="654" t="str">
        <f>+CONCATENATE("Vigencia ",INSTRUCCIONES!$F$3)</f>
        <v>Vigencia 2015</v>
      </c>
      <c r="C43" s="375">
        <f>+ENERO!C43</f>
        <v>94000000</v>
      </c>
      <c r="D43" s="376">
        <f>NOVIEMBRE!D43+DICIEMBRE!P43</f>
        <v>0</v>
      </c>
      <c r="E43" s="376">
        <f>NOVIEMBRE!E43+DICIEMBRE!Q43</f>
        <v>17280673</v>
      </c>
      <c r="F43" s="376">
        <f>SUM(C43:E43)</f>
        <v>111280673</v>
      </c>
      <c r="G43" s="376">
        <f>NOVIEMBRE!I43</f>
        <v>67464121</v>
      </c>
      <c r="H43" s="377">
        <v>0</v>
      </c>
      <c r="I43" s="376">
        <f>SUM(G43:H43)</f>
        <v>67464121</v>
      </c>
      <c r="J43" s="376">
        <f>NOVIEMBRE!L43</f>
        <v>65005392</v>
      </c>
      <c r="K43" s="377">
        <v>0</v>
      </c>
      <c r="L43" s="376">
        <f>SUM(J43:K43)</f>
        <v>65005392</v>
      </c>
      <c r="M43" s="376">
        <f>F43-I43</f>
        <v>43816552</v>
      </c>
      <c r="N43" s="146">
        <f>F43-L43</f>
        <v>46275281</v>
      </c>
      <c r="O43" s="385"/>
      <c r="P43" s="375">
        <v>0</v>
      </c>
      <c r="Q43" s="378">
        <v>0</v>
      </c>
      <c r="R43" s="9"/>
      <c r="S43" s="718">
        <f>+IF(NOVIEMBRE!S43=0,"",NOVIEMBRE!S43)</f>
        <v>1010300</v>
      </c>
      <c r="T43" s="692" t="str">
        <f>+IF(NOVIEMBRE!T43=0,"",NOVIEMBRE!T43)</f>
        <v>Contribuciones Inherentes nómina al Sector Privado</v>
      </c>
      <c r="U43" s="135">
        <f t="shared" ref="U43:AJ43" si="48">U44+U49+U55</f>
        <v>111328187</v>
      </c>
      <c r="V43" s="124">
        <f t="shared" si="48"/>
        <v>0</v>
      </c>
      <c r="W43" s="124">
        <f t="shared" si="48"/>
        <v>43373015</v>
      </c>
      <c r="X43" s="132">
        <f t="shared" si="48"/>
        <v>154701202</v>
      </c>
      <c r="Y43" s="131">
        <f t="shared" si="48"/>
        <v>102418545</v>
      </c>
      <c r="Z43" s="124">
        <f t="shared" si="48"/>
        <v>0</v>
      </c>
      <c r="AA43" s="132">
        <f t="shared" si="48"/>
        <v>102418545</v>
      </c>
      <c r="AB43" s="131">
        <f t="shared" si="48"/>
        <v>102418545</v>
      </c>
      <c r="AC43" s="124">
        <f t="shared" si="48"/>
        <v>0</v>
      </c>
      <c r="AD43" s="132">
        <f t="shared" si="48"/>
        <v>102418545</v>
      </c>
      <c r="AE43" s="131">
        <f t="shared" si="48"/>
        <v>86453036</v>
      </c>
      <c r="AF43" s="124">
        <f t="shared" si="48"/>
        <v>0</v>
      </c>
      <c r="AG43" s="132">
        <f t="shared" si="48"/>
        <v>86453036</v>
      </c>
      <c r="AH43" s="131">
        <f t="shared" si="48"/>
        <v>52282657</v>
      </c>
      <c r="AI43" s="124">
        <f t="shared" si="48"/>
        <v>52282657</v>
      </c>
      <c r="AJ43" s="133">
        <f t="shared" si="48"/>
        <v>68248166</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464"/>
      <c r="BR43" s="385"/>
      <c r="BS43" s="385"/>
      <c r="BT43" s="385"/>
      <c r="BU43" s="385"/>
      <c r="BV43" s="385"/>
      <c r="BW43" s="385"/>
      <c r="BX43" s="385"/>
      <c r="BY43" s="385"/>
      <c r="BZ43" s="385"/>
      <c r="CA43" s="385"/>
      <c r="CB43" s="385"/>
      <c r="CC43" s="385"/>
      <c r="CD43" s="385"/>
      <c r="CE43" s="385"/>
      <c r="CF43" s="385"/>
      <c r="CG43" s="385"/>
      <c r="CH43" s="385"/>
      <c r="CI43" s="385"/>
      <c r="CJ43" s="385"/>
      <c r="CK43" s="385"/>
      <c r="CL43" s="385"/>
      <c r="CM43" s="385"/>
      <c r="CN43" s="385"/>
      <c r="CO43" s="385"/>
      <c r="CP43" s="385"/>
      <c r="CQ43" s="385"/>
      <c r="CR43" s="385"/>
      <c r="CS43" s="385"/>
      <c r="CT43" s="385"/>
      <c r="CU43" s="385"/>
      <c r="CV43" s="385"/>
      <c r="CW43" s="385"/>
      <c r="CX43" s="385"/>
      <c r="CY43" s="385"/>
      <c r="CZ43" s="385"/>
      <c r="DA43" s="385"/>
      <c r="DB43" s="385"/>
      <c r="DC43" s="385"/>
      <c r="DD43" s="385"/>
      <c r="DE43" s="385"/>
      <c r="DF43" s="385"/>
      <c r="DG43" s="385"/>
      <c r="DH43" s="385"/>
      <c r="DI43" s="385"/>
      <c r="DJ43" s="385"/>
      <c r="DK43" s="385"/>
      <c r="DL43" s="385"/>
      <c r="DM43" s="385"/>
      <c r="DN43" s="385"/>
      <c r="DO43" s="385"/>
      <c r="DP43" s="385"/>
      <c r="DQ43" s="385"/>
      <c r="DR43" s="385"/>
      <c r="DS43" s="385"/>
      <c r="DT43" s="385"/>
      <c r="DU43" s="385"/>
      <c r="DV43" s="385"/>
      <c r="DW43" s="385"/>
      <c r="DX43" s="385"/>
      <c r="DY43" s="385"/>
      <c r="DZ43" s="385"/>
      <c r="EA43" s="385"/>
      <c r="EB43" s="385"/>
      <c r="EC43" s="385"/>
      <c r="ED43" s="385"/>
      <c r="EE43" s="385"/>
      <c r="EF43" s="385"/>
      <c r="EG43" s="385"/>
      <c r="EH43" s="385"/>
      <c r="EI43" s="385"/>
      <c r="EJ43" s="385"/>
      <c r="EK43" s="385"/>
      <c r="EL43" s="385"/>
      <c r="EM43" s="385"/>
      <c r="EN43" s="385"/>
      <c r="EO43" s="385"/>
      <c r="EP43" s="385"/>
      <c r="EQ43" s="385"/>
      <c r="ER43" s="385"/>
      <c r="ES43" s="385"/>
      <c r="ET43" s="385"/>
      <c r="EU43" s="385"/>
      <c r="EV43" s="385"/>
      <c r="EW43" s="385"/>
      <c r="EX43" s="385"/>
      <c r="EY43" s="385"/>
      <c r="EZ43" s="385"/>
      <c r="FA43" s="385"/>
      <c r="FB43" s="385"/>
      <c r="FC43" s="385"/>
      <c r="FD43" s="385"/>
      <c r="FE43" s="385"/>
      <c r="FF43" s="385"/>
      <c r="FG43" s="385"/>
      <c r="FH43" s="385"/>
      <c r="FI43" s="385"/>
      <c r="FJ43" s="385"/>
      <c r="FK43" s="385"/>
      <c r="FL43" s="385"/>
      <c r="FM43" s="385"/>
      <c r="FN43" s="385"/>
      <c r="FO43" s="385"/>
      <c r="FP43" s="385"/>
      <c r="FQ43" s="385"/>
      <c r="FR43" s="385"/>
      <c r="FS43" s="385"/>
      <c r="FT43" s="385"/>
      <c r="FU43" s="385"/>
      <c r="FV43" s="385"/>
      <c r="FW43" s="385"/>
      <c r="FX43" s="385"/>
      <c r="FY43" s="385"/>
      <c r="FZ43" s="385"/>
      <c r="GA43" s="385"/>
      <c r="GB43" s="385"/>
      <c r="GC43" s="385"/>
      <c r="GD43" s="385"/>
      <c r="GE43" s="385"/>
      <c r="GF43" s="385"/>
      <c r="GG43" s="385"/>
      <c r="GH43" s="385"/>
      <c r="GI43" s="385"/>
      <c r="GJ43" s="385"/>
      <c r="GK43" s="385"/>
      <c r="GL43" s="385"/>
      <c r="GM43" s="385"/>
      <c r="GN43" s="385"/>
      <c r="GO43" s="385"/>
      <c r="GP43" s="385"/>
      <c r="GQ43" s="385"/>
      <c r="GR43" s="385"/>
      <c r="GS43" s="385"/>
      <c r="GT43" s="385"/>
      <c r="GU43" s="385"/>
      <c r="GV43" s="385"/>
      <c r="GW43" s="385"/>
      <c r="GX43" s="385"/>
      <c r="GY43" s="385"/>
      <c r="GZ43" s="385"/>
      <c r="HA43" s="385"/>
      <c r="HB43" s="385"/>
      <c r="HC43" s="385"/>
      <c r="HD43" s="385"/>
      <c r="HE43" s="385"/>
      <c r="HF43" s="385"/>
      <c r="HG43" s="385"/>
      <c r="HH43" s="385"/>
      <c r="HI43" s="385"/>
      <c r="HJ43" s="385"/>
      <c r="HK43" s="385"/>
      <c r="HL43" s="385"/>
      <c r="HM43" s="385"/>
      <c r="HN43" s="385"/>
      <c r="HO43" s="385"/>
      <c r="HP43" s="385"/>
      <c r="HQ43" s="385"/>
      <c r="HR43" s="385"/>
      <c r="HS43" s="385"/>
      <c r="HT43" s="385"/>
      <c r="HU43" s="385"/>
      <c r="HV43" s="385"/>
      <c r="HW43" s="385"/>
      <c r="HX43" s="385"/>
      <c r="HY43" s="385"/>
      <c r="HZ43" s="385"/>
      <c r="IA43" s="385"/>
      <c r="IB43" s="385"/>
      <c r="IC43" s="385"/>
      <c r="ID43" s="385"/>
      <c r="IE43" s="385"/>
      <c r="IF43" s="385"/>
      <c r="IG43" s="385"/>
      <c r="IH43" s="385"/>
      <c r="II43" s="385"/>
      <c r="IJ43" s="385"/>
      <c r="IK43" s="385"/>
      <c r="IL43" s="385"/>
      <c r="IM43" s="385"/>
      <c r="IN43" s="385"/>
      <c r="IO43" s="385"/>
    </row>
    <row r="44" spans="1:249" s="425" customFormat="1" ht="24.95" customHeight="1" x14ac:dyDescent="0.2">
      <c r="A44" s="618" t="str">
        <f>+IF(NOVIEMBRE!A44=0,"",NOVIEMBRE!A44)</f>
        <v>1130106-2</v>
      </c>
      <c r="B44" s="654" t="str">
        <f>+IF(NOVIEMBRE!B44=0,"",NOVIEMBRE!B44)</f>
        <v>Vigencia Anterior</v>
      </c>
      <c r="C44" s="375">
        <f>+ENERO!C44</f>
        <v>0</v>
      </c>
      <c r="D44" s="376">
        <f>NOVIEMBRE!D44+DICIEMBRE!P44</f>
        <v>0</v>
      </c>
      <c r="E44" s="376">
        <f>NOVIEMBRE!E44+DICIEMBRE!Q44</f>
        <v>0</v>
      </c>
      <c r="F44" s="376">
        <f>SUM(C44:E44)</f>
        <v>0</v>
      </c>
      <c r="G44" s="376">
        <f>NOVIEMBRE!I44</f>
        <v>0</v>
      </c>
      <c r="H44" s="377">
        <v>0</v>
      </c>
      <c r="I44" s="376">
        <f>SUM(G44:H44)</f>
        <v>0</v>
      </c>
      <c r="J44" s="376">
        <f>NOVIEMBRE!L44</f>
        <v>0</v>
      </c>
      <c r="K44" s="377">
        <v>0</v>
      </c>
      <c r="L44" s="376">
        <f>SUM(J44:K44)</f>
        <v>0</v>
      </c>
      <c r="M44" s="376">
        <f>F44-I44</f>
        <v>0</v>
      </c>
      <c r="N44" s="146">
        <f>F44-L44</f>
        <v>0</v>
      </c>
      <c r="O44" s="385"/>
      <c r="P44" s="375">
        <v>0</v>
      </c>
      <c r="Q44" s="378">
        <v>0</v>
      </c>
      <c r="R44" s="9"/>
      <c r="S44" s="719">
        <f>+IF(NOVIEMBRE!S44=0,"",NOVIEMBRE!S44)</f>
        <v>1010301</v>
      </c>
      <c r="T44" s="693" t="str">
        <f>+IF(NOVIEMBRE!T44=0,"",NOVIEMBRE!T44)</f>
        <v>Contribuciones - Sin Situación de Fondos</v>
      </c>
      <c r="U44" s="27">
        <f t="shared" ref="U44:AJ44" si="49">SUM(U45:U48)</f>
        <v>96536264</v>
      </c>
      <c r="V44" s="15">
        <f t="shared" si="49"/>
        <v>0</v>
      </c>
      <c r="W44" s="15">
        <f t="shared" si="49"/>
        <v>0</v>
      </c>
      <c r="X44" s="18">
        <f t="shared" si="49"/>
        <v>96536264</v>
      </c>
      <c r="Y44" s="19">
        <f t="shared" si="49"/>
        <v>50222830</v>
      </c>
      <c r="Z44" s="145">
        <f t="shared" si="49"/>
        <v>0</v>
      </c>
      <c r="AA44" s="18">
        <f t="shared" si="49"/>
        <v>50222830</v>
      </c>
      <c r="AB44" s="19">
        <f t="shared" si="49"/>
        <v>50222830</v>
      </c>
      <c r="AC44" s="145">
        <f t="shared" si="49"/>
        <v>0</v>
      </c>
      <c r="AD44" s="18">
        <f t="shared" si="49"/>
        <v>50222830</v>
      </c>
      <c r="AE44" s="19">
        <f t="shared" si="49"/>
        <v>48937576</v>
      </c>
      <c r="AF44" s="145">
        <f t="shared" si="49"/>
        <v>0</v>
      </c>
      <c r="AG44" s="18">
        <f t="shared" si="49"/>
        <v>48937576</v>
      </c>
      <c r="AH44" s="19">
        <f t="shared" si="49"/>
        <v>46313434</v>
      </c>
      <c r="AI44" s="15">
        <f t="shared" si="49"/>
        <v>46313434</v>
      </c>
      <c r="AJ44" s="16">
        <f t="shared" si="49"/>
        <v>47598688</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464"/>
      <c r="BR44" s="385"/>
      <c r="BS44" s="385"/>
      <c r="BT44" s="385"/>
      <c r="BU44" s="385"/>
      <c r="BV44" s="385"/>
      <c r="BW44" s="385"/>
      <c r="BX44" s="385"/>
      <c r="BY44" s="385"/>
      <c r="BZ44" s="385"/>
      <c r="CA44" s="385"/>
      <c r="CB44" s="385"/>
      <c r="CC44" s="385"/>
      <c r="CD44" s="385"/>
      <c r="CE44" s="385"/>
      <c r="CF44" s="385"/>
      <c r="CG44" s="385"/>
      <c r="CH44" s="385"/>
      <c r="CI44" s="385"/>
      <c r="CJ44" s="385"/>
      <c r="CK44" s="385"/>
      <c r="CL44" s="385"/>
      <c r="CM44" s="385"/>
      <c r="CN44" s="385"/>
      <c r="CO44" s="385"/>
      <c r="CP44" s="385"/>
      <c r="CQ44" s="385"/>
      <c r="CR44" s="385"/>
      <c r="CS44" s="385"/>
      <c r="CT44" s="385"/>
      <c r="CU44" s="385"/>
      <c r="CV44" s="385"/>
      <c r="CW44" s="385"/>
      <c r="CX44" s="385"/>
      <c r="CY44" s="385"/>
      <c r="CZ44" s="385"/>
      <c r="DA44" s="385"/>
      <c r="DB44" s="385"/>
      <c r="DC44" s="385"/>
      <c r="DD44" s="385"/>
      <c r="DE44" s="385"/>
      <c r="DF44" s="385"/>
      <c r="DG44" s="385"/>
      <c r="DH44" s="385"/>
      <c r="DI44" s="385"/>
      <c r="DJ44" s="385"/>
      <c r="DK44" s="385"/>
      <c r="DL44" s="385"/>
      <c r="DM44" s="385"/>
      <c r="DN44" s="385"/>
      <c r="DO44" s="385"/>
      <c r="DP44" s="385"/>
      <c r="DQ44" s="385"/>
      <c r="DR44" s="385"/>
      <c r="DS44" s="385"/>
      <c r="DT44" s="385"/>
      <c r="DU44" s="385"/>
      <c r="DV44" s="385"/>
      <c r="DW44" s="385"/>
      <c r="DX44" s="385"/>
      <c r="DY44" s="385"/>
      <c r="DZ44" s="385"/>
      <c r="EA44" s="385"/>
      <c r="EB44" s="385"/>
      <c r="EC44" s="385"/>
      <c r="ED44" s="385"/>
      <c r="EE44" s="385"/>
      <c r="EF44" s="385"/>
      <c r="EG44" s="385"/>
      <c r="EH44" s="385"/>
      <c r="EI44" s="385"/>
      <c r="EJ44" s="385"/>
      <c r="EK44" s="385"/>
      <c r="EL44" s="385"/>
      <c r="EM44" s="385"/>
      <c r="EN44" s="385"/>
      <c r="EO44" s="385"/>
      <c r="EP44" s="385"/>
      <c r="EQ44" s="385"/>
      <c r="ER44" s="385"/>
      <c r="ES44" s="385"/>
      <c r="ET44" s="385"/>
      <c r="EU44" s="385"/>
      <c r="EV44" s="385"/>
      <c r="EW44" s="385"/>
      <c r="EX44" s="385"/>
      <c r="EY44" s="385"/>
      <c r="EZ44" s="385"/>
      <c r="FA44" s="385"/>
      <c r="FB44" s="385"/>
      <c r="FC44" s="385"/>
      <c r="FD44" s="385"/>
      <c r="FE44" s="385"/>
      <c r="FF44" s="385"/>
      <c r="FG44" s="385"/>
      <c r="FH44" s="385"/>
      <c r="FI44" s="385"/>
      <c r="FJ44" s="385"/>
      <c r="FK44" s="385"/>
      <c r="FL44" s="385"/>
      <c r="FM44" s="385"/>
      <c r="FN44" s="385"/>
      <c r="FO44" s="385"/>
      <c r="FP44" s="385"/>
      <c r="FQ44" s="385"/>
      <c r="FR44" s="385"/>
      <c r="FS44" s="385"/>
      <c r="FT44" s="385"/>
      <c r="FU44" s="385"/>
      <c r="FV44" s="385"/>
      <c r="FW44" s="385"/>
      <c r="FX44" s="385"/>
      <c r="FY44" s="385"/>
      <c r="FZ44" s="385"/>
      <c r="GA44" s="385"/>
      <c r="GB44" s="385"/>
      <c r="GC44" s="385"/>
      <c r="GD44" s="385"/>
      <c r="GE44" s="385"/>
      <c r="GF44" s="385"/>
      <c r="GG44" s="385"/>
      <c r="GH44" s="385"/>
      <c r="GI44" s="385"/>
      <c r="GJ44" s="385"/>
      <c r="GK44" s="385"/>
      <c r="GL44" s="385"/>
      <c r="GM44" s="385"/>
      <c r="GN44" s="385"/>
      <c r="GO44" s="385"/>
      <c r="GP44" s="385"/>
      <c r="GQ44" s="385"/>
      <c r="GR44" s="385"/>
      <c r="GS44" s="385"/>
      <c r="GT44" s="385"/>
      <c r="GU44" s="385"/>
      <c r="GV44" s="385"/>
      <c r="GW44" s="385"/>
      <c r="GX44" s="385"/>
      <c r="GY44" s="385"/>
      <c r="GZ44" s="385"/>
      <c r="HA44" s="385"/>
      <c r="HB44" s="385"/>
      <c r="HC44" s="385"/>
      <c r="HD44" s="385"/>
      <c r="HE44" s="385"/>
      <c r="HF44" s="385"/>
      <c r="HG44" s="385"/>
      <c r="HH44" s="385"/>
      <c r="HI44" s="385"/>
      <c r="HJ44" s="385"/>
      <c r="HK44" s="385"/>
      <c r="HL44" s="385"/>
      <c r="HM44" s="385"/>
      <c r="HN44" s="385"/>
      <c r="HO44" s="385"/>
      <c r="HP44" s="385"/>
      <c r="HQ44" s="385"/>
      <c r="HR44" s="385"/>
      <c r="HS44" s="385"/>
      <c r="HT44" s="385"/>
      <c r="HU44" s="385"/>
      <c r="HV44" s="385"/>
      <c r="HW44" s="385"/>
      <c r="HX44" s="385"/>
      <c r="HY44" s="385"/>
      <c r="HZ44" s="385"/>
      <c r="IA44" s="385"/>
      <c r="IB44" s="385"/>
      <c r="IC44" s="385"/>
      <c r="ID44" s="385"/>
      <c r="IE44" s="385"/>
      <c r="IF44" s="385"/>
      <c r="IG44" s="385"/>
      <c r="IH44" s="385"/>
      <c r="II44" s="385"/>
      <c r="IJ44" s="385"/>
      <c r="IK44" s="385"/>
      <c r="IL44" s="385"/>
      <c r="IM44" s="385"/>
      <c r="IN44" s="385"/>
      <c r="IO44" s="385"/>
    </row>
    <row r="45" spans="1:249" s="385" customFormat="1" ht="24.95" customHeight="1" x14ac:dyDescent="0.2">
      <c r="A45" s="747">
        <f>+IF(NOVIEMBRE!A45=0,"",NOVIEMBRE!A45)</f>
        <v>1130107</v>
      </c>
      <c r="B45" s="653" t="str">
        <f>+IF(NOVIEMBRE!B45=0,"",NOVIEMBRE!B45)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+IF(NOVIEMBRE!S45=0,"",NOVIEMBRE!S45)</f>
        <v>1010301-1</v>
      </c>
      <c r="T45" s="694" t="str">
        <f>+IF(NOVIEMBRE!T45=0,"",NOVIEMBRE!T45)</f>
        <v>Aportes a E.P.S.- Sin sit. Fondos</v>
      </c>
      <c r="U45" s="27">
        <f>+ENERO!U45</f>
        <v>26843256</v>
      </c>
      <c r="V45" s="15">
        <f>NOVIEMBRE!V45+DICIEMBRE!AL45</f>
        <v>0</v>
      </c>
      <c r="W45" s="15">
        <f>NOVIEMBRE!W45+DICIEMBRE!AM45</f>
        <v>0</v>
      </c>
      <c r="X45" s="18">
        <f>SUM(U45:W45)</f>
        <v>26843256</v>
      </c>
      <c r="Y45" s="19">
        <f>NOVIEMBRE!AA45</f>
        <v>20327463</v>
      </c>
      <c r="Z45" s="377">
        <v>0</v>
      </c>
      <c r="AA45" s="18">
        <f>SUM(Y45:Z45)</f>
        <v>20327463</v>
      </c>
      <c r="AB45" s="19">
        <f>NOVIEMBRE!AD45</f>
        <v>20327463</v>
      </c>
      <c r="AC45" s="377">
        <v>0</v>
      </c>
      <c r="AD45" s="18">
        <f>SUM(AB45:AC45)</f>
        <v>20327463</v>
      </c>
      <c r="AE45" s="19">
        <f>NOVIEMBRE!AG45</f>
        <v>20327463</v>
      </c>
      <c r="AF45" s="377">
        <v>0</v>
      </c>
      <c r="AG45" s="18">
        <f>SUM(AE45:AF45)</f>
        <v>20327463</v>
      </c>
      <c r="AH45" s="19">
        <f>X45-AA45</f>
        <v>6515793</v>
      </c>
      <c r="AI45" s="15">
        <f>X45-AD45</f>
        <v>6515793</v>
      </c>
      <c r="AJ45" s="16">
        <f>X45-AG45</f>
        <v>6515793</v>
      </c>
      <c r="AK45" s="9"/>
      <c r="AL45" s="375">
        <v>0</v>
      </c>
      <c r="AM45" s="378">
        <v>0</v>
      </c>
      <c r="AN45" s="9"/>
      <c r="AO45" s="297"/>
      <c r="AP45" s="297"/>
      <c r="AQ45" s="297"/>
      <c r="AR45" s="297"/>
      <c r="AS45" s="297"/>
      <c r="AT45" s="297"/>
      <c r="AU45" s="297"/>
      <c r="AV45" s="297"/>
      <c r="AW45" s="297"/>
      <c r="AX45" s="297"/>
      <c r="AY45" s="297"/>
      <c r="AZ45" s="297"/>
      <c r="BQ45" s="464"/>
    </row>
    <row r="46" spans="1:249" s="425" customFormat="1" ht="24.95" customHeight="1" x14ac:dyDescent="0.2">
      <c r="A46" s="618" t="str">
        <f>+IF(NOVIEMBRE!A46=0,"",NOVIEMBRE!A46)</f>
        <v>1130107-1</v>
      </c>
      <c r="B46" s="654" t="str">
        <f>+CONCATENATE("Vigencia ",INSTRUCCIONES!$F$3)</f>
        <v>Vigencia 2015</v>
      </c>
      <c r="C46" s="375">
        <f>+ENERO!C46</f>
        <v>0</v>
      </c>
      <c r="D46" s="376">
        <f>NOVIEMBRE!D46+DICIEMBRE!P46</f>
        <v>0</v>
      </c>
      <c r="E46" s="376">
        <f>NOVIEMBRE!E46+DICIEMBRE!Q46</f>
        <v>0</v>
      </c>
      <c r="F46" s="376">
        <f>SUM(C46:E46)</f>
        <v>0</v>
      </c>
      <c r="G46" s="376">
        <f>NOVIEMBRE!I46</f>
        <v>0</v>
      </c>
      <c r="H46" s="377">
        <v>0</v>
      </c>
      <c r="I46" s="376">
        <f>SUM(G46:H46)</f>
        <v>0</v>
      </c>
      <c r="J46" s="376">
        <f>NOVIEMBRE!L46</f>
        <v>0</v>
      </c>
      <c r="K46" s="377">
        <v>0</v>
      </c>
      <c r="L46" s="376">
        <f>SUM(J46:K46)</f>
        <v>0</v>
      </c>
      <c r="M46" s="376">
        <f>F46-I46</f>
        <v>0</v>
      </c>
      <c r="N46" s="146">
        <f>F46-L46</f>
        <v>0</v>
      </c>
      <c r="O46" s="385"/>
      <c r="P46" s="375">
        <v>0</v>
      </c>
      <c r="Q46" s="378">
        <v>0</v>
      </c>
      <c r="R46" s="9"/>
      <c r="S46" s="720" t="str">
        <f>+IF(NOVIEMBRE!S46=0,"",NOVIEMBRE!S46)</f>
        <v>1010301-2</v>
      </c>
      <c r="T46" s="694" t="str">
        <f>+IF(NOVIEMBRE!T46=0,"",NOVIEMBRE!T46)</f>
        <v>Aportes Fondos Pensionales - Sin Sit. Fondos</v>
      </c>
      <c r="U46" s="27">
        <f>+ENERO!U46</f>
        <v>37896396</v>
      </c>
      <c r="V46" s="15">
        <f>NOVIEMBRE!V46+DICIEMBRE!AL46</f>
        <v>0</v>
      </c>
      <c r="W46" s="15">
        <f>NOVIEMBRE!W46+DICIEMBRE!AM46</f>
        <v>0</v>
      </c>
      <c r="X46" s="18">
        <f>SUM(U46:W46)</f>
        <v>37896396</v>
      </c>
      <c r="Y46" s="19">
        <f>NOVIEMBRE!AA46</f>
        <v>28697600</v>
      </c>
      <c r="Z46" s="377">
        <v>0</v>
      </c>
      <c r="AA46" s="18">
        <f>SUM(Y46:Z46)</f>
        <v>28697600</v>
      </c>
      <c r="AB46" s="19">
        <f>NOVIEMBRE!AD46</f>
        <v>28697600</v>
      </c>
      <c r="AC46" s="377">
        <v>0</v>
      </c>
      <c r="AD46" s="18">
        <f>SUM(AB46:AC46)</f>
        <v>28697600</v>
      </c>
      <c r="AE46" s="19">
        <f>NOVIEMBRE!AG46</f>
        <v>27412346</v>
      </c>
      <c r="AF46" s="377">
        <v>0</v>
      </c>
      <c r="AG46" s="18">
        <f>SUM(AE46:AF46)</f>
        <v>27412346</v>
      </c>
      <c r="AH46" s="19">
        <f>X46-AA46</f>
        <v>9198796</v>
      </c>
      <c r="AI46" s="15">
        <f>X46-AD46</f>
        <v>9198796</v>
      </c>
      <c r="AJ46" s="16">
        <f>X46-AG46</f>
        <v>10484050</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c r="BQ46" s="532"/>
      <c r="BS46" s="385"/>
      <c r="BT46" s="385"/>
      <c r="BU46" s="385"/>
      <c r="BV46" s="385"/>
      <c r="BW46" s="385"/>
      <c r="BX46" s="385"/>
      <c r="BY46" s="385"/>
      <c r="BZ46" s="385"/>
      <c r="CA46" s="385"/>
      <c r="CB46" s="385"/>
      <c r="CC46" s="385"/>
      <c r="CD46" s="385"/>
      <c r="CE46" s="385"/>
      <c r="CF46" s="385"/>
      <c r="CG46" s="385"/>
      <c r="CH46" s="385"/>
      <c r="CI46" s="385"/>
      <c r="CJ46" s="385"/>
      <c r="CK46" s="385"/>
      <c r="CL46" s="385"/>
      <c r="CM46" s="385"/>
      <c r="CN46" s="385"/>
      <c r="CO46" s="385"/>
      <c r="CP46" s="385"/>
      <c r="CQ46" s="385"/>
      <c r="CR46" s="385"/>
      <c r="CS46" s="385"/>
      <c r="CT46" s="385"/>
      <c r="CU46" s="385"/>
      <c r="CV46" s="385"/>
      <c r="CW46" s="385"/>
      <c r="CX46" s="385"/>
      <c r="CY46" s="385"/>
      <c r="CZ46" s="385"/>
      <c r="DA46" s="385"/>
      <c r="DB46" s="385"/>
      <c r="DC46" s="385"/>
      <c r="DD46" s="385"/>
      <c r="DE46" s="385"/>
      <c r="DF46" s="385"/>
      <c r="DG46" s="385"/>
      <c r="DH46" s="385"/>
      <c r="DI46" s="385"/>
      <c r="DJ46" s="385"/>
      <c r="DK46" s="385"/>
      <c r="DL46" s="385"/>
      <c r="DM46" s="385"/>
      <c r="DN46" s="385"/>
      <c r="DO46" s="385"/>
      <c r="DP46" s="385"/>
      <c r="DQ46" s="385"/>
      <c r="DR46" s="385"/>
      <c r="DS46" s="385"/>
      <c r="DT46" s="385"/>
      <c r="DU46" s="385"/>
      <c r="DV46" s="385"/>
      <c r="DW46" s="385"/>
      <c r="DX46" s="385"/>
      <c r="DY46" s="385"/>
      <c r="DZ46" s="385"/>
      <c r="EA46" s="385"/>
      <c r="EB46" s="385"/>
      <c r="EC46" s="385"/>
      <c r="ED46" s="385"/>
      <c r="EE46" s="385"/>
      <c r="EF46" s="385"/>
      <c r="EG46" s="385"/>
      <c r="EH46" s="385"/>
      <c r="EI46" s="385"/>
      <c r="EJ46" s="385"/>
      <c r="EK46" s="385"/>
      <c r="EL46" s="385"/>
      <c r="EM46" s="385"/>
      <c r="EN46" s="385"/>
      <c r="EO46" s="385"/>
      <c r="EP46" s="385"/>
      <c r="EQ46" s="385"/>
      <c r="ER46" s="385"/>
      <c r="ES46" s="385"/>
      <c r="ET46" s="385"/>
      <c r="EU46" s="385"/>
      <c r="EV46" s="385"/>
      <c r="EW46" s="385"/>
      <c r="EX46" s="385"/>
      <c r="EY46" s="385"/>
      <c r="EZ46" s="385"/>
      <c r="FA46" s="385"/>
      <c r="FB46" s="385"/>
      <c r="FC46" s="385"/>
      <c r="FD46" s="385"/>
      <c r="FE46" s="385"/>
      <c r="FF46" s="385"/>
      <c r="FG46" s="385"/>
      <c r="FH46" s="385"/>
      <c r="FI46" s="385"/>
      <c r="FJ46" s="385"/>
      <c r="FK46" s="385"/>
      <c r="FL46" s="385"/>
      <c r="FM46" s="385"/>
      <c r="FN46" s="385"/>
      <c r="FO46" s="385"/>
      <c r="FP46" s="385"/>
      <c r="FQ46" s="385"/>
      <c r="FR46" s="385"/>
      <c r="FS46" s="385"/>
      <c r="FT46" s="385"/>
      <c r="FU46" s="385"/>
      <c r="FV46" s="385"/>
      <c r="FW46" s="385"/>
      <c r="FX46" s="385"/>
      <c r="FY46" s="385"/>
      <c r="FZ46" s="385"/>
      <c r="GA46" s="385"/>
      <c r="GB46" s="385"/>
      <c r="GC46" s="385"/>
      <c r="GD46" s="385"/>
      <c r="GE46" s="385"/>
      <c r="GF46" s="385"/>
      <c r="GG46" s="385"/>
      <c r="GH46" s="385"/>
      <c r="GI46" s="385"/>
      <c r="GJ46" s="385"/>
      <c r="GK46" s="385"/>
      <c r="GL46" s="385"/>
      <c r="GM46" s="385"/>
      <c r="GN46" s="385"/>
      <c r="GO46" s="385"/>
      <c r="GP46" s="385"/>
      <c r="GQ46" s="385"/>
      <c r="GR46" s="385"/>
      <c r="GS46" s="385"/>
      <c r="GT46" s="385"/>
      <c r="GU46" s="385"/>
      <c r="GV46" s="385"/>
      <c r="GW46" s="385"/>
      <c r="GX46" s="385"/>
      <c r="GY46" s="385"/>
      <c r="GZ46" s="385"/>
      <c r="HA46" s="385"/>
      <c r="HB46" s="385"/>
      <c r="HC46" s="385"/>
      <c r="HD46" s="385"/>
      <c r="HE46" s="385"/>
      <c r="HF46" s="385"/>
      <c r="HG46" s="385"/>
      <c r="HH46" s="385"/>
      <c r="HI46" s="385"/>
      <c r="HJ46" s="385"/>
      <c r="HK46" s="385"/>
      <c r="HL46" s="385"/>
      <c r="HM46" s="385"/>
      <c r="HN46" s="385"/>
      <c r="HO46" s="385"/>
      <c r="HP46" s="385"/>
      <c r="HQ46" s="385"/>
      <c r="HR46" s="385"/>
      <c r="HS46" s="385"/>
      <c r="HT46" s="385"/>
      <c r="HU46" s="385"/>
      <c r="HV46" s="385"/>
      <c r="HW46" s="385"/>
      <c r="HX46" s="385"/>
      <c r="HY46" s="385"/>
      <c r="HZ46" s="385"/>
      <c r="IA46" s="385"/>
      <c r="IB46" s="385"/>
      <c r="IC46" s="385"/>
      <c r="ID46" s="385"/>
      <c r="IE46" s="385"/>
      <c r="IF46" s="385"/>
      <c r="IG46" s="385"/>
      <c r="IH46" s="385"/>
      <c r="II46" s="385"/>
      <c r="IJ46" s="385"/>
      <c r="IK46" s="385"/>
      <c r="IL46" s="385"/>
      <c r="IM46" s="385"/>
      <c r="IN46" s="385"/>
      <c r="IO46" s="385"/>
    </row>
    <row r="47" spans="1:249" s="425" customFormat="1" ht="24.95" customHeight="1" x14ac:dyDescent="0.2">
      <c r="A47" s="618" t="str">
        <f>+IF(NOVIEMBRE!A47=0,"",NOVIEMBRE!A47)</f>
        <v>1130107-2</v>
      </c>
      <c r="B47" s="654" t="str">
        <f>+IF(NOVIEMBRE!B47=0,"",NOVIEMBRE!B47)</f>
        <v>Vigencia Anterior</v>
      </c>
      <c r="C47" s="375">
        <f>+ENERO!C47</f>
        <v>0</v>
      </c>
      <c r="D47" s="376">
        <f>NOVIEMBRE!D47+DICIEMBRE!P47</f>
        <v>0</v>
      </c>
      <c r="E47" s="376">
        <f>NOVIEMBRE!E47+DICIEMBRE!Q47</f>
        <v>0</v>
      </c>
      <c r="F47" s="376">
        <f>SUM(C47:E47)</f>
        <v>0</v>
      </c>
      <c r="G47" s="376">
        <f>NOVIEMBRE!I47</f>
        <v>0</v>
      </c>
      <c r="H47" s="377">
        <v>0</v>
      </c>
      <c r="I47" s="376">
        <f>SUM(G47:H47)</f>
        <v>0</v>
      </c>
      <c r="J47" s="376">
        <f>NOVIEMBRE!L47</f>
        <v>0</v>
      </c>
      <c r="K47" s="377">
        <v>0</v>
      </c>
      <c r="L47" s="376">
        <f>SUM(J47:K47)</f>
        <v>0</v>
      </c>
      <c r="M47" s="376">
        <f>F47-I47</f>
        <v>0</v>
      </c>
      <c r="N47" s="146">
        <f>F47-L47</f>
        <v>0</v>
      </c>
      <c r="O47" s="385"/>
      <c r="P47" s="375">
        <v>0</v>
      </c>
      <c r="Q47" s="378">
        <v>0</v>
      </c>
      <c r="R47" s="9"/>
      <c r="S47" s="720" t="str">
        <f>+IF(NOVIEMBRE!S47=0,"",NOVIEMBRE!S47)</f>
        <v>1010301-3</v>
      </c>
      <c r="T47" s="694" t="str">
        <f>+IF(NOVIEMBRE!T47=0,"",NOVIEMBRE!T47)</f>
        <v xml:space="preserve">Aportes a Fondos de Cesantia - Sin Sit. de Fondos </v>
      </c>
      <c r="U47" s="27">
        <f>+ENERO!U47</f>
        <v>30148119</v>
      </c>
      <c r="V47" s="15">
        <f>NOVIEMBRE!V47+DICIEMBRE!AL47</f>
        <v>0</v>
      </c>
      <c r="W47" s="15">
        <f>NOVIEMBRE!W47+DICIEMBRE!AM47</f>
        <v>0</v>
      </c>
      <c r="X47" s="18">
        <f>SUM(U47:W47)</f>
        <v>30148119</v>
      </c>
      <c r="Y47" s="19">
        <f>NOVIEMBRE!AA47</f>
        <v>0</v>
      </c>
      <c r="Z47" s="377">
        <v>0</v>
      </c>
      <c r="AA47" s="18">
        <f>SUM(Y47:Z47)</f>
        <v>0</v>
      </c>
      <c r="AB47" s="19">
        <f>NOVIEMBRE!AD47</f>
        <v>0</v>
      </c>
      <c r="AC47" s="377">
        <v>0</v>
      </c>
      <c r="AD47" s="18">
        <f>SUM(AB47:AC47)</f>
        <v>0</v>
      </c>
      <c r="AE47" s="19">
        <f>NOVIEMBRE!AG47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464"/>
      <c r="BR47" s="385"/>
      <c r="BS47" s="385"/>
      <c r="BT47" s="385"/>
      <c r="BU47" s="385"/>
      <c r="BV47" s="385"/>
      <c r="BW47" s="385"/>
      <c r="BX47" s="385"/>
      <c r="BY47" s="385"/>
      <c r="BZ47" s="385"/>
      <c r="CA47" s="385"/>
      <c r="CB47" s="385"/>
      <c r="CC47" s="385"/>
      <c r="CD47" s="385"/>
      <c r="CE47" s="385"/>
      <c r="CF47" s="385"/>
      <c r="CG47" s="385"/>
      <c r="CH47" s="385"/>
      <c r="CI47" s="385"/>
      <c r="CJ47" s="385"/>
      <c r="CK47" s="385"/>
      <c r="CL47" s="385"/>
      <c r="CM47" s="385"/>
      <c r="CN47" s="385"/>
      <c r="CO47" s="385"/>
      <c r="CP47" s="385"/>
      <c r="CQ47" s="385"/>
      <c r="CR47" s="385"/>
      <c r="CS47" s="385"/>
      <c r="CT47" s="385"/>
      <c r="CU47" s="385"/>
      <c r="CV47" s="385"/>
      <c r="CW47" s="385"/>
      <c r="CX47" s="385"/>
      <c r="CY47" s="385"/>
      <c r="CZ47" s="385"/>
      <c r="DA47" s="385"/>
      <c r="DB47" s="385"/>
      <c r="DC47" s="385"/>
      <c r="DD47" s="385"/>
      <c r="DE47" s="385"/>
      <c r="DF47" s="385"/>
      <c r="DG47" s="385"/>
      <c r="DH47" s="385"/>
      <c r="DI47" s="385"/>
      <c r="DJ47" s="385"/>
      <c r="DK47" s="385"/>
      <c r="DL47" s="385"/>
      <c r="DM47" s="385"/>
      <c r="DN47" s="385"/>
      <c r="DO47" s="385"/>
      <c r="DP47" s="385"/>
      <c r="DQ47" s="385"/>
      <c r="DR47" s="385"/>
      <c r="DS47" s="385"/>
      <c r="DT47" s="385"/>
      <c r="DU47" s="385"/>
      <c r="DV47" s="385"/>
      <c r="DW47" s="385"/>
      <c r="DX47" s="385"/>
      <c r="DY47" s="385"/>
      <c r="DZ47" s="385"/>
      <c r="EA47" s="385"/>
      <c r="EB47" s="385"/>
      <c r="EC47" s="385"/>
      <c r="ED47" s="385"/>
      <c r="EE47" s="385"/>
      <c r="EF47" s="385"/>
      <c r="EG47" s="385"/>
      <c r="EH47" s="385"/>
      <c r="EI47" s="385"/>
      <c r="EJ47" s="385"/>
      <c r="EK47" s="385"/>
      <c r="EL47" s="385"/>
      <c r="EM47" s="385"/>
      <c r="EN47" s="385"/>
      <c r="EO47" s="385"/>
      <c r="EP47" s="385"/>
      <c r="EQ47" s="385"/>
      <c r="ER47" s="385"/>
      <c r="ES47" s="385"/>
      <c r="ET47" s="385"/>
      <c r="EU47" s="385"/>
      <c r="EV47" s="385"/>
      <c r="EW47" s="385"/>
      <c r="EX47" s="385"/>
      <c r="EY47" s="385"/>
      <c r="EZ47" s="385"/>
      <c r="FA47" s="385"/>
      <c r="FB47" s="385"/>
      <c r="FC47" s="385"/>
      <c r="FD47" s="385"/>
      <c r="FE47" s="385"/>
      <c r="FF47" s="385"/>
      <c r="FG47" s="385"/>
      <c r="FH47" s="385"/>
      <c r="FI47" s="385"/>
      <c r="FJ47" s="385"/>
      <c r="FK47" s="385"/>
      <c r="FL47" s="385"/>
      <c r="FM47" s="385"/>
      <c r="FN47" s="385"/>
      <c r="FO47" s="385"/>
      <c r="FP47" s="385"/>
      <c r="FQ47" s="385"/>
      <c r="FR47" s="385"/>
      <c r="FS47" s="385"/>
      <c r="FT47" s="385"/>
      <c r="FU47" s="385"/>
      <c r="FV47" s="385"/>
      <c r="FW47" s="385"/>
      <c r="FX47" s="385"/>
      <c r="FY47" s="385"/>
      <c r="FZ47" s="385"/>
      <c r="GA47" s="385"/>
      <c r="GB47" s="385"/>
      <c r="GC47" s="385"/>
      <c r="GD47" s="385"/>
      <c r="GE47" s="385"/>
      <c r="GF47" s="385"/>
      <c r="GG47" s="385"/>
      <c r="GH47" s="385"/>
      <c r="GI47" s="385"/>
      <c r="GJ47" s="385"/>
      <c r="GK47" s="385"/>
      <c r="GL47" s="385"/>
      <c r="GM47" s="385"/>
      <c r="GN47" s="385"/>
      <c r="GO47" s="385"/>
      <c r="GP47" s="385"/>
      <c r="GQ47" s="385"/>
      <c r="GR47" s="385"/>
      <c r="GS47" s="385"/>
      <c r="GT47" s="385"/>
      <c r="GU47" s="385"/>
      <c r="GV47" s="385"/>
      <c r="GW47" s="385"/>
      <c r="GX47" s="385"/>
      <c r="GY47" s="385"/>
      <c r="GZ47" s="385"/>
      <c r="HA47" s="385"/>
      <c r="HB47" s="385"/>
      <c r="HC47" s="385"/>
      <c r="HD47" s="385"/>
      <c r="HE47" s="385"/>
      <c r="HF47" s="385"/>
      <c r="HG47" s="385"/>
      <c r="HH47" s="385"/>
      <c r="HI47" s="385"/>
      <c r="HJ47" s="385"/>
      <c r="HK47" s="385"/>
      <c r="HL47" s="385"/>
      <c r="HM47" s="385"/>
      <c r="HN47" s="385"/>
      <c r="HO47" s="385"/>
      <c r="HP47" s="385"/>
      <c r="HQ47" s="385"/>
      <c r="HR47" s="385"/>
      <c r="HS47" s="385"/>
      <c r="HT47" s="385"/>
      <c r="HU47" s="385"/>
      <c r="HV47" s="385"/>
      <c r="HW47" s="385"/>
      <c r="HX47" s="385"/>
      <c r="HY47" s="385"/>
      <c r="HZ47" s="385"/>
      <c r="IA47" s="385"/>
      <c r="IB47" s="385"/>
      <c r="IC47" s="385"/>
      <c r="ID47" s="385"/>
      <c r="IE47" s="385"/>
      <c r="IF47" s="385"/>
      <c r="IG47" s="385"/>
      <c r="IH47" s="385"/>
      <c r="II47" s="385"/>
      <c r="IJ47" s="385"/>
      <c r="IK47" s="385"/>
      <c r="IL47" s="385"/>
      <c r="IM47" s="385"/>
      <c r="IN47" s="385"/>
      <c r="IO47" s="385"/>
    </row>
    <row r="48" spans="1:249" s="385" customFormat="1" ht="24.95" customHeight="1" x14ac:dyDescent="0.2">
      <c r="A48" s="747">
        <f>+IF(NOVIEMBRE!A48=0,"",NOVIEMBRE!A48)</f>
        <v>1130108</v>
      </c>
      <c r="B48" s="653" t="str">
        <f>+IF(NOVIEMBRE!B48=0,"",NOVIEMBRE!B48)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+IF(NOVIEMBRE!S48=0,"",NOVIEMBRE!S48)</f>
        <v>1010301-4</v>
      </c>
      <c r="T48" s="694" t="str">
        <f>+IF(NOVIEMBRE!T48=0,"",NOVIEMBRE!T48)</f>
        <v xml:space="preserve">Aporte a ARL. - Sin Sit. de Fondos </v>
      </c>
      <c r="U48" s="27">
        <f>+ENERO!U48</f>
        <v>1648493</v>
      </c>
      <c r="V48" s="15">
        <f>NOVIEMBRE!V48+DICIEMBRE!AL48</f>
        <v>0</v>
      </c>
      <c r="W48" s="15">
        <f>NOVIEMBRE!W48+DICIEMBRE!AM48</f>
        <v>0</v>
      </c>
      <c r="X48" s="18">
        <f>SUM(U48:W48)</f>
        <v>1648493</v>
      </c>
      <c r="Y48" s="19">
        <f>NOVIEMBRE!AA48</f>
        <v>1197767</v>
      </c>
      <c r="Z48" s="377">
        <v>0</v>
      </c>
      <c r="AA48" s="18">
        <f>SUM(Y48:Z48)</f>
        <v>1197767</v>
      </c>
      <c r="AB48" s="19">
        <f>NOVIEMBRE!AD48</f>
        <v>1197767</v>
      </c>
      <c r="AC48" s="377">
        <v>0</v>
      </c>
      <c r="AD48" s="18">
        <f>SUM(AB48:AC48)</f>
        <v>1197767</v>
      </c>
      <c r="AE48" s="19">
        <f>NOVIEMBRE!AG48</f>
        <v>1197767</v>
      </c>
      <c r="AF48" s="377">
        <v>0</v>
      </c>
      <c r="AG48" s="18">
        <f>SUM(AE48:AF48)</f>
        <v>1197767</v>
      </c>
      <c r="AH48" s="19">
        <f>X48-AA48</f>
        <v>450726</v>
      </c>
      <c r="AI48" s="15">
        <f>X48-AD48</f>
        <v>450726</v>
      </c>
      <c r="AJ48" s="16">
        <f>X48-AG48</f>
        <v>450726</v>
      </c>
      <c r="AK48" s="9"/>
      <c r="AL48" s="375">
        <v>0</v>
      </c>
      <c r="AM48" s="378">
        <v>0</v>
      </c>
      <c r="AN48" s="9"/>
      <c r="AO48" s="297"/>
      <c r="AP48" s="297"/>
      <c r="AQ48" s="297"/>
      <c r="AR48" s="297"/>
      <c r="AS48" s="297"/>
      <c r="AT48" s="297"/>
      <c r="AU48" s="297"/>
      <c r="AV48" s="297"/>
      <c r="AW48" s="297"/>
      <c r="AX48" s="297"/>
      <c r="AY48" s="297"/>
      <c r="AZ48" s="297"/>
      <c r="BQ48" s="464"/>
    </row>
    <row r="49" spans="1:249" s="425" customFormat="1" ht="24.95" customHeight="1" x14ac:dyDescent="0.2">
      <c r="A49" s="618" t="str">
        <f>+IF(NOVIEMBRE!A49=0,"",NOVIEMBRE!A49)</f>
        <v>1130108-1</v>
      </c>
      <c r="B49" s="654" t="str">
        <f>+CONCATENATE("Vigencia ",INSTRUCCIONES!$F$3)</f>
        <v>Vigencia 2015</v>
      </c>
      <c r="C49" s="375">
        <f>+ENERO!C49</f>
        <v>0</v>
      </c>
      <c r="D49" s="376">
        <f>NOVIEMBRE!D49+DICIEMBRE!P49</f>
        <v>0</v>
      </c>
      <c r="E49" s="376">
        <f>NOVIEMBRE!E49+DICIEMBRE!Q49</f>
        <v>0</v>
      </c>
      <c r="F49" s="376">
        <f>SUM(C49:E49)</f>
        <v>0</v>
      </c>
      <c r="G49" s="376">
        <f>NOVIEMBRE!I49</f>
        <v>0</v>
      </c>
      <c r="H49" s="377">
        <v>0</v>
      </c>
      <c r="I49" s="376">
        <f>SUM(G49:H49)</f>
        <v>0</v>
      </c>
      <c r="J49" s="376">
        <f>NOVIEMBRE!L49</f>
        <v>0</v>
      </c>
      <c r="K49" s="377">
        <v>0</v>
      </c>
      <c r="L49" s="376">
        <f>SUM(J49:K49)</f>
        <v>0</v>
      </c>
      <c r="M49" s="376">
        <f>F49-I49</f>
        <v>0</v>
      </c>
      <c r="N49" s="146">
        <f>F49-L49</f>
        <v>0</v>
      </c>
      <c r="O49" s="385"/>
      <c r="P49" s="375">
        <v>0</v>
      </c>
      <c r="Q49" s="378">
        <v>0</v>
      </c>
      <c r="R49" s="9"/>
      <c r="S49" s="719">
        <f>+IF(NOVIEMBRE!S49=0,"",NOVIEMBRE!S49)</f>
        <v>1010302</v>
      </c>
      <c r="T49" s="693" t="str">
        <f>+IF(NOVIEMBRE!T49=0,"",NOVIEMBRE!T49)</f>
        <v>Contribuciones - Otros</v>
      </c>
      <c r="U49" s="27">
        <f t="shared" ref="U49:AJ49" si="52">SUM(U50:U54)</f>
        <v>14791923</v>
      </c>
      <c r="V49" s="15">
        <f t="shared" si="52"/>
        <v>0</v>
      </c>
      <c r="W49" s="15">
        <f t="shared" si="52"/>
        <v>13408841</v>
      </c>
      <c r="X49" s="18">
        <f t="shared" si="52"/>
        <v>28200764</v>
      </c>
      <c r="Y49" s="19">
        <f t="shared" si="52"/>
        <v>22231541</v>
      </c>
      <c r="Z49" s="145">
        <f t="shared" si="52"/>
        <v>0</v>
      </c>
      <c r="AA49" s="18">
        <f t="shared" si="52"/>
        <v>22231541</v>
      </c>
      <c r="AB49" s="19">
        <f t="shared" si="52"/>
        <v>22231541</v>
      </c>
      <c r="AC49" s="145">
        <f t="shared" si="52"/>
        <v>0</v>
      </c>
      <c r="AD49" s="18">
        <f t="shared" si="52"/>
        <v>22231541</v>
      </c>
      <c r="AE49" s="19">
        <f t="shared" si="52"/>
        <v>7744400</v>
      </c>
      <c r="AF49" s="145">
        <f t="shared" si="52"/>
        <v>0</v>
      </c>
      <c r="AG49" s="18">
        <f t="shared" si="52"/>
        <v>7744400</v>
      </c>
      <c r="AH49" s="19">
        <f t="shared" si="52"/>
        <v>5969223</v>
      </c>
      <c r="AI49" s="15">
        <f t="shared" si="52"/>
        <v>5969223</v>
      </c>
      <c r="AJ49" s="16">
        <f t="shared" si="52"/>
        <v>20456364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464"/>
      <c r="BR49" s="385"/>
      <c r="BS49" s="385"/>
      <c r="BT49" s="385"/>
      <c r="BU49" s="385"/>
      <c r="BV49" s="385"/>
      <c r="BW49" s="385"/>
      <c r="BX49" s="385"/>
      <c r="BY49" s="385"/>
      <c r="BZ49" s="385"/>
      <c r="CA49" s="385"/>
      <c r="CB49" s="385"/>
      <c r="CC49" s="385"/>
      <c r="CD49" s="385"/>
      <c r="CE49" s="385"/>
      <c r="CF49" s="385"/>
      <c r="CG49" s="385"/>
      <c r="CH49" s="385"/>
      <c r="CI49" s="385"/>
      <c r="CJ49" s="385"/>
      <c r="CK49" s="385"/>
      <c r="CL49" s="385"/>
      <c r="CM49" s="385"/>
      <c r="CN49" s="385"/>
      <c r="CO49" s="385"/>
      <c r="CP49" s="385"/>
      <c r="CQ49" s="385"/>
      <c r="CR49" s="385"/>
      <c r="CS49" s="385"/>
      <c r="CT49" s="385"/>
      <c r="CU49" s="385"/>
      <c r="CV49" s="385"/>
      <c r="CW49" s="385"/>
      <c r="CX49" s="385"/>
      <c r="CY49" s="385"/>
      <c r="CZ49" s="385"/>
      <c r="DA49" s="385"/>
      <c r="DB49" s="385"/>
      <c r="DC49" s="385"/>
      <c r="DD49" s="385"/>
      <c r="DE49" s="385"/>
      <c r="DF49" s="385"/>
      <c r="DG49" s="385"/>
      <c r="DH49" s="385"/>
      <c r="DI49" s="385"/>
      <c r="DJ49" s="385"/>
      <c r="DK49" s="385"/>
      <c r="DL49" s="385"/>
      <c r="DM49" s="385"/>
      <c r="DN49" s="385"/>
      <c r="DO49" s="385"/>
      <c r="DP49" s="385"/>
      <c r="DQ49" s="385"/>
      <c r="DR49" s="385"/>
      <c r="DS49" s="385"/>
      <c r="DT49" s="385"/>
      <c r="DU49" s="385"/>
      <c r="DV49" s="385"/>
      <c r="DW49" s="385"/>
      <c r="DX49" s="385"/>
      <c r="DY49" s="385"/>
      <c r="DZ49" s="385"/>
      <c r="EA49" s="385"/>
      <c r="EB49" s="385"/>
      <c r="EC49" s="385"/>
      <c r="ED49" s="385"/>
      <c r="EE49" s="385"/>
      <c r="EF49" s="385"/>
      <c r="EG49" s="385"/>
      <c r="EH49" s="385"/>
      <c r="EI49" s="385"/>
      <c r="EJ49" s="385"/>
      <c r="EK49" s="385"/>
      <c r="EL49" s="385"/>
      <c r="EM49" s="385"/>
      <c r="EN49" s="385"/>
      <c r="EO49" s="385"/>
      <c r="EP49" s="385"/>
      <c r="EQ49" s="385"/>
      <c r="ER49" s="385"/>
      <c r="ES49" s="385"/>
      <c r="ET49" s="385"/>
      <c r="EU49" s="385"/>
      <c r="EV49" s="385"/>
      <c r="EW49" s="385"/>
      <c r="EX49" s="385"/>
      <c r="EY49" s="385"/>
      <c r="EZ49" s="385"/>
      <c r="FA49" s="385"/>
      <c r="FB49" s="385"/>
      <c r="FC49" s="385"/>
      <c r="FD49" s="385"/>
      <c r="FE49" s="385"/>
      <c r="FF49" s="385"/>
      <c r="FG49" s="385"/>
      <c r="FH49" s="385"/>
      <c r="FI49" s="385"/>
      <c r="FJ49" s="385"/>
      <c r="FK49" s="385"/>
      <c r="FL49" s="385"/>
      <c r="FM49" s="385"/>
      <c r="FN49" s="385"/>
      <c r="FO49" s="385"/>
      <c r="FP49" s="385"/>
      <c r="FQ49" s="385"/>
      <c r="FR49" s="385"/>
      <c r="FS49" s="385"/>
      <c r="FT49" s="385"/>
      <c r="FU49" s="385"/>
      <c r="FV49" s="385"/>
      <c r="FW49" s="385"/>
      <c r="FX49" s="385"/>
      <c r="FY49" s="385"/>
      <c r="FZ49" s="385"/>
      <c r="GA49" s="385"/>
      <c r="GB49" s="385"/>
      <c r="GC49" s="385"/>
      <c r="GD49" s="385"/>
      <c r="GE49" s="385"/>
      <c r="GF49" s="385"/>
      <c r="GG49" s="385"/>
      <c r="GH49" s="385"/>
      <c r="GI49" s="385"/>
      <c r="GJ49" s="385"/>
      <c r="GK49" s="385"/>
      <c r="GL49" s="385"/>
      <c r="GM49" s="385"/>
      <c r="GN49" s="385"/>
      <c r="GO49" s="385"/>
      <c r="GP49" s="385"/>
      <c r="GQ49" s="385"/>
      <c r="GR49" s="385"/>
      <c r="GS49" s="385"/>
      <c r="GT49" s="385"/>
      <c r="GU49" s="385"/>
      <c r="GV49" s="385"/>
      <c r="GW49" s="385"/>
      <c r="GX49" s="385"/>
      <c r="GY49" s="385"/>
      <c r="GZ49" s="385"/>
      <c r="HA49" s="385"/>
      <c r="HB49" s="385"/>
      <c r="HC49" s="385"/>
      <c r="HD49" s="385"/>
      <c r="HE49" s="385"/>
      <c r="HF49" s="385"/>
      <c r="HG49" s="385"/>
      <c r="HH49" s="385"/>
      <c r="HI49" s="385"/>
      <c r="HJ49" s="385"/>
      <c r="HK49" s="385"/>
      <c r="HL49" s="385"/>
      <c r="HM49" s="385"/>
      <c r="HN49" s="385"/>
      <c r="HO49" s="385"/>
      <c r="HP49" s="385"/>
      <c r="HQ49" s="385"/>
      <c r="HR49" s="385"/>
      <c r="HS49" s="385"/>
      <c r="HT49" s="385"/>
      <c r="HU49" s="385"/>
      <c r="HV49" s="385"/>
      <c r="HW49" s="385"/>
      <c r="HX49" s="385"/>
      <c r="HY49" s="385"/>
      <c r="HZ49" s="385"/>
      <c r="IA49" s="385"/>
      <c r="IB49" s="385"/>
      <c r="IC49" s="385"/>
      <c r="ID49" s="385"/>
      <c r="IE49" s="385"/>
      <c r="IF49" s="385"/>
      <c r="IG49" s="385"/>
      <c r="IH49" s="385"/>
      <c r="II49" s="385"/>
      <c r="IJ49" s="385"/>
      <c r="IK49" s="385"/>
      <c r="IL49" s="385"/>
      <c r="IM49" s="385"/>
      <c r="IN49" s="385"/>
      <c r="IO49" s="385"/>
    </row>
    <row r="50" spans="1:249" s="425" customFormat="1" ht="24.95" customHeight="1" x14ac:dyDescent="0.2">
      <c r="A50" s="618" t="str">
        <f>+IF(NOVIEMBRE!A50=0,"",NOVIEMBRE!A50)</f>
        <v>1130108-2</v>
      </c>
      <c r="B50" s="654" t="str">
        <f>+IF(NOVIEMBRE!B50=0,"",NOVIEMBRE!B50)</f>
        <v>Vigencia Anterior</v>
      </c>
      <c r="C50" s="375">
        <f>+ENERO!C50</f>
        <v>0</v>
      </c>
      <c r="D50" s="376">
        <f>NOVIEMBRE!D50+DICIEMBRE!P50</f>
        <v>0</v>
      </c>
      <c r="E50" s="376">
        <f>NOVIEMBRE!E50+DICIEMBRE!Q50</f>
        <v>0</v>
      </c>
      <c r="F50" s="376">
        <f>SUM(C50:E50)</f>
        <v>0</v>
      </c>
      <c r="G50" s="376">
        <f>NOVIEMBRE!I50</f>
        <v>0</v>
      </c>
      <c r="H50" s="377">
        <v>0</v>
      </c>
      <c r="I50" s="376">
        <f>SUM(G50:H50)</f>
        <v>0</v>
      </c>
      <c r="J50" s="376">
        <f>NOVIEMBRE!L50</f>
        <v>0</v>
      </c>
      <c r="K50" s="377">
        <v>0</v>
      </c>
      <c r="L50" s="376">
        <f>SUM(J50:K50)</f>
        <v>0</v>
      </c>
      <c r="M50" s="376">
        <f>F50-I50</f>
        <v>0</v>
      </c>
      <c r="N50" s="146">
        <f>F50-L50</f>
        <v>0</v>
      </c>
      <c r="O50" s="385"/>
      <c r="P50" s="375">
        <v>0</v>
      </c>
      <c r="Q50" s="378">
        <v>0</v>
      </c>
      <c r="R50" s="9"/>
      <c r="S50" s="720" t="str">
        <f>+IF(NOVIEMBRE!S50=0,"",NOVIEMBRE!S50)</f>
        <v>1010302-1</v>
      </c>
      <c r="T50" s="694" t="str">
        <f>+IF(NOVIEMBRE!T50=0,"",NOVIEMBRE!T50)</f>
        <v>Aportes a E.P.S.- Con sit. Fondos</v>
      </c>
      <c r="U50" s="27">
        <f>+ENERO!U50</f>
        <v>0</v>
      </c>
      <c r="V50" s="15">
        <f>NOVIEMBRE!V50+DICIEMBRE!AL50</f>
        <v>0</v>
      </c>
      <c r="W50" s="15">
        <f>NOVIEMBRE!W50+DICIEMBRE!AM50</f>
        <v>13408841</v>
      </c>
      <c r="X50" s="18">
        <f t="shared" ref="X50:X55" si="53">SUM(U50:W50)</f>
        <v>13408841</v>
      </c>
      <c r="Y50" s="19">
        <f>NOVIEMBRE!AA50</f>
        <v>13408841</v>
      </c>
      <c r="Z50" s="377">
        <v>0</v>
      </c>
      <c r="AA50" s="18">
        <f t="shared" ref="AA50:AA55" si="54">SUM(Y50:Z50)</f>
        <v>13408841</v>
      </c>
      <c r="AB50" s="19">
        <f>NOVIEMBRE!AD50</f>
        <v>13408841</v>
      </c>
      <c r="AC50" s="377">
        <v>0</v>
      </c>
      <c r="AD50" s="18">
        <f t="shared" ref="AD50:AD55" si="55">SUM(AB50:AC50)</f>
        <v>13408841</v>
      </c>
      <c r="AE50" s="19">
        <f>NOVIEMBRE!AG50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464"/>
      <c r="BR50" s="385"/>
      <c r="BS50" s="385"/>
      <c r="BT50" s="385"/>
      <c r="BU50" s="385"/>
      <c r="BV50" s="385"/>
      <c r="BW50" s="385"/>
      <c r="BX50" s="385"/>
      <c r="BY50" s="385"/>
      <c r="BZ50" s="385"/>
      <c r="CA50" s="385"/>
      <c r="CB50" s="385"/>
      <c r="CC50" s="385"/>
      <c r="CD50" s="385"/>
      <c r="CE50" s="385"/>
      <c r="CF50" s="385"/>
      <c r="CG50" s="385"/>
      <c r="CH50" s="385"/>
      <c r="CI50" s="385"/>
      <c r="CJ50" s="385"/>
      <c r="CK50" s="385"/>
      <c r="CL50" s="385"/>
      <c r="CM50" s="385"/>
      <c r="CN50" s="385"/>
      <c r="CO50" s="385"/>
      <c r="CP50" s="385"/>
      <c r="CQ50" s="385"/>
      <c r="CR50" s="385"/>
      <c r="CS50" s="385"/>
      <c r="CT50" s="385"/>
      <c r="CU50" s="385"/>
      <c r="CV50" s="385"/>
      <c r="CW50" s="385"/>
      <c r="CX50" s="385"/>
      <c r="CY50" s="385"/>
      <c r="CZ50" s="385"/>
      <c r="DA50" s="385"/>
      <c r="DB50" s="385"/>
      <c r="DC50" s="385"/>
      <c r="DD50" s="385"/>
      <c r="DE50" s="385"/>
      <c r="DF50" s="385"/>
      <c r="DG50" s="385"/>
      <c r="DH50" s="385"/>
      <c r="DI50" s="385"/>
      <c r="DJ50" s="385"/>
      <c r="DK50" s="385"/>
      <c r="DL50" s="385"/>
      <c r="DM50" s="385"/>
      <c r="DN50" s="385"/>
      <c r="DO50" s="385"/>
      <c r="DP50" s="385"/>
      <c r="DQ50" s="385"/>
      <c r="DR50" s="385"/>
      <c r="DS50" s="385"/>
      <c r="DT50" s="385"/>
      <c r="DU50" s="385"/>
      <c r="DV50" s="385"/>
      <c r="DW50" s="385"/>
      <c r="DX50" s="385"/>
      <c r="DY50" s="385"/>
      <c r="DZ50" s="385"/>
      <c r="EA50" s="385"/>
      <c r="EB50" s="385"/>
      <c r="EC50" s="385"/>
      <c r="ED50" s="385"/>
      <c r="EE50" s="385"/>
      <c r="EF50" s="385"/>
      <c r="EG50" s="385"/>
      <c r="EH50" s="385"/>
      <c r="EI50" s="385"/>
      <c r="EJ50" s="385"/>
      <c r="EK50" s="385"/>
      <c r="EL50" s="385"/>
      <c r="EM50" s="385"/>
      <c r="EN50" s="385"/>
      <c r="EO50" s="385"/>
      <c r="EP50" s="385"/>
      <c r="EQ50" s="385"/>
      <c r="ER50" s="385"/>
      <c r="ES50" s="385"/>
      <c r="ET50" s="385"/>
      <c r="EU50" s="385"/>
      <c r="EV50" s="385"/>
      <c r="EW50" s="385"/>
      <c r="EX50" s="385"/>
      <c r="EY50" s="385"/>
      <c r="EZ50" s="385"/>
      <c r="FA50" s="385"/>
      <c r="FB50" s="385"/>
      <c r="FC50" s="385"/>
      <c r="FD50" s="385"/>
      <c r="FE50" s="385"/>
      <c r="FF50" s="385"/>
      <c r="FG50" s="385"/>
      <c r="FH50" s="385"/>
      <c r="FI50" s="385"/>
      <c r="FJ50" s="385"/>
      <c r="FK50" s="385"/>
      <c r="FL50" s="385"/>
      <c r="FM50" s="385"/>
      <c r="FN50" s="385"/>
      <c r="FO50" s="385"/>
      <c r="FP50" s="385"/>
      <c r="FQ50" s="385"/>
      <c r="FR50" s="385"/>
      <c r="FS50" s="385"/>
      <c r="FT50" s="385"/>
      <c r="FU50" s="385"/>
      <c r="FV50" s="385"/>
      <c r="FW50" s="385"/>
      <c r="FX50" s="385"/>
      <c r="FY50" s="385"/>
      <c r="FZ50" s="385"/>
      <c r="GA50" s="385"/>
      <c r="GB50" s="385"/>
      <c r="GC50" s="385"/>
      <c r="GD50" s="385"/>
      <c r="GE50" s="385"/>
      <c r="GF50" s="385"/>
      <c r="GG50" s="385"/>
      <c r="GH50" s="385"/>
      <c r="GI50" s="385"/>
      <c r="GJ50" s="385"/>
      <c r="GK50" s="385"/>
      <c r="GL50" s="385"/>
      <c r="GM50" s="385"/>
      <c r="GN50" s="385"/>
      <c r="GO50" s="385"/>
      <c r="GP50" s="385"/>
      <c r="GQ50" s="385"/>
      <c r="GR50" s="385"/>
      <c r="GS50" s="385"/>
      <c r="GT50" s="385"/>
      <c r="GU50" s="385"/>
      <c r="GV50" s="385"/>
      <c r="GW50" s="385"/>
      <c r="GX50" s="385"/>
      <c r="GY50" s="385"/>
      <c r="GZ50" s="385"/>
      <c r="HA50" s="385"/>
      <c r="HB50" s="385"/>
      <c r="HC50" s="385"/>
      <c r="HD50" s="385"/>
      <c r="HE50" s="385"/>
      <c r="HF50" s="385"/>
      <c r="HG50" s="385"/>
      <c r="HH50" s="385"/>
      <c r="HI50" s="385"/>
      <c r="HJ50" s="385"/>
      <c r="HK50" s="385"/>
      <c r="HL50" s="385"/>
      <c r="HM50" s="385"/>
      <c r="HN50" s="385"/>
      <c r="HO50" s="385"/>
      <c r="HP50" s="385"/>
      <c r="HQ50" s="385"/>
      <c r="HR50" s="385"/>
      <c r="HS50" s="385"/>
      <c r="HT50" s="385"/>
      <c r="HU50" s="385"/>
      <c r="HV50" s="385"/>
      <c r="HW50" s="385"/>
      <c r="HX50" s="385"/>
      <c r="HY50" s="385"/>
      <c r="HZ50" s="385"/>
      <c r="IA50" s="385"/>
      <c r="IB50" s="385"/>
      <c r="IC50" s="385"/>
      <c r="ID50" s="385"/>
      <c r="IE50" s="385"/>
      <c r="IF50" s="385"/>
      <c r="IG50" s="385"/>
      <c r="IH50" s="385"/>
      <c r="II50" s="385"/>
      <c r="IJ50" s="385"/>
      <c r="IK50" s="385"/>
      <c r="IL50" s="385"/>
      <c r="IM50" s="385"/>
      <c r="IN50" s="385"/>
      <c r="IO50" s="385"/>
    </row>
    <row r="51" spans="1:249" s="385" customFormat="1" ht="24.95" customHeight="1" x14ac:dyDescent="0.2">
      <c r="A51" s="747">
        <f>+IF(NOVIEMBRE!A51=0,"",NOVIEMBRE!A51)</f>
        <v>1130109</v>
      </c>
      <c r="B51" s="653" t="str">
        <f>+IF(NOVIEMBRE!B51=0,"",NOVIEMBRE!B51)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+IF(NOVIEMBRE!S51=0,"",NOVIEMBRE!S51)</f>
        <v>1010302-2</v>
      </c>
      <c r="T51" s="694" t="str">
        <f>+IF(NOVIEMBRE!T51=0,"",NOVIEMBRE!T51)</f>
        <v>Aportes Fondos Pensionales - Con Sit. Fondos</v>
      </c>
      <c r="U51" s="27">
        <f>+ENERO!U51</f>
        <v>0</v>
      </c>
      <c r="V51" s="15">
        <f>NOVIEMBRE!V51+DICIEMBRE!AL51</f>
        <v>0</v>
      </c>
      <c r="W51" s="15">
        <f>NOVIEMBRE!W51+DICIEMBRE!AM51</f>
        <v>0</v>
      </c>
      <c r="X51" s="18">
        <f t="shared" si="53"/>
        <v>0</v>
      </c>
      <c r="Y51" s="19">
        <f>NOVIEMBRE!AA51</f>
        <v>0</v>
      </c>
      <c r="Z51" s="377">
        <v>0</v>
      </c>
      <c r="AA51" s="18">
        <f t="shared" si="54"/>
        <v>0</v>
      </c>
      <c r="AB51" s="19">
        <f>NOVIEMBRE!AD51</f>
        <v>0</v>
      </c>
      <c r="AC51" s="377">
        <v>0</v>
      </c>
      <c r="AD51" s="18">
        <f t="shared" si="55"/>
        <v>0</v>
      </c>
      <c r="AE51" s="19">
        <f>NOVIEMBRE!AG51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c r="BQ51" s="464"/>
    </row>
    <row r="52" spans="1:249" s="425" customFormat="1" ht="24.95" customHeight="1" x14ac:dyDescent="0.2">
      <c r="A52" s="618" t="str">
        <f>+IF(NOVIEMBRE!A52=0,"",NOVIEMBRE!A52)</f>
        <v>1130109-1</v>
      </c>
      <c r="B52" s="654" t="str">
        <f>+CONCATENATE("Vigencia ",INSTRUCCIONES!$F$3)</f>
        <v>Vigencia 2015</v>
      </c>
      <c r="C52" s="375">
        <f>+ENERO!C52</f>
        <v>0</v>
      </c>
      <c r="D52" s="376">
        <f>NOVIEMBRE!D52+DICIEMBRE!P52</f>
        <v>0</v>
      </c>
      <c r="E52" s="376">
        <f>NOVIEMBRE!E52+DICIEMBRE!Q52</f>
        <v>0</v>
      </c>
      <c r="F52" s="376">
        <f>SUM(C52:E52)</f>
        <v>0</v>
      </c>
      <c r="G52" s="376">
        <f>NOVIEMBRE!I52</f>
        <v>0</v>
      </c>
      <c r="H52" s="377">
        <v>0</v>
      </c>
      <c r="I52" s="376">
        <f>SUM(G52:H52)</f>
        <v>0</v>
      </c>
      <c r="J52" s="376">
        <f>NOVIEMBRE!L52</f>
        <v>0</v>
      </c>
      <c r="K52" s="377">
        <v>0</v>
      </c>
      <c r="L52" s="376">
        <f>SUM(J52:K52)</f>
        <v>0</v>
      </c>
      <c r="M52" s="376">
        <f>F52-I52</f>
        <v>0</v>
      </c>
      <c r="N52" s="146">
        <f>F52-L52</f>
        <v>0</v>
      </c>
      <c r="O52" s="385"/>
      <c r="P52" s="375">
        <v>0</v>
      </c>
      <c r="Q52" s="378">
        <v>0</v>
      </c>
      <c r="R52" s="9"/>
      <c r="S52" s="720" t="str">
        <f>+IF(NOVIEMBRE!S52=0,"",NOVIEMBRE!S52)</f>
        <v>1010302-3</v>
      </c>
      <c r="T52" s="694" t="str">
        <f>+IF(NOVIEMBRE!T52=0,"",NOVIEMBRE!T52)</f>
        <v xml:space="preserve">Aportes a Fondos de Cesantia - Con Sit. de Fondos </v>
      </c>
      <c r="U52" s="27">
        <f>+ENERO!U52</f>
        <v>0</v>
      </c>
      <c r="V52" s="15">
        <f>NOVIEMBRE!V52+DICIEMBRE!AL52</f>
        <v>0</v>
      </c>
      <c r="W52" s="15">
        <f>NOVIEMBRE!W52+DICIEMBRE!AM52</f>
        <v>0</v>
      </c>
      <c r="X52" s="18">
        <f t="shared" si="53"/>
        <v>0</v>
      </c>
      <c r="Y52" s="19">
        <f>NOVIEMBRE!AA52</f>
        <v>0</v>
      </c>
      <c r="Z52" s="377">
        <v>0</v>
      </c>
      <c r="AA52" s="18">
        <f t="shared" si="54"/>
        <v>0</v>
      </c>
      <c r="AB52" s="19">
        <f>NOVIEMBRE!AD52</f>
        <v>0</v>
      </c>
      <c r="AC52" s="377">
        <v>0</v>
      </c>
      <c r="AD52" s="18">
        <f t="shared" si="55"/>
        <v>0</v>
      </c>
      <c r="AE52" s="19">
        <f>NOVIEMBRE!AG52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464"/>
      <c r="BR52" s="385"/>
      <c r="BS52" s="385"/>
      <c r="BT52" s="385"/>
      <c r="BU52" s="385"/>
      <c r="BV52" s="385"/>
      <c r="BW52" s="385"/>
      <c r="BX52" s="385"/>
      <c r="BY52" s="385"/>
      <c r="BZ52" s="385"/>
      <c r="CA52" s="385"/>
      <c r="CB52" s="385"/>
      <c r="CC52" s="385"/>
      <c r="CD52" s="385"/>
      <c r="CE52" s="385"/>
      <c r="CF52" s="385"/>
      <c r="CG52" s="385"/>
      <c r="CH52" s="385"/>
      <c r="CI52" s="385"/>
      <c r="CJ52" s="385"/>
      <c r="CK52" s="385"/>
      <c r="CL52" s="385"/>
      <c r="CM52" s="385"/>
      <c r="CN52" s="385"/>
      <c r="CO52" s="385"/>
      <c r="CP52" s="385"/>
      <c r="CQ52" s="385"/>
      <c r="CR52" s="385"/>
      <c r="CS52" s="385"/>
      <c r="CT52" s="385"/>
      <c r="CU52" s="385"/>
      <c r="CV52" s="385"/>
      <c r="CW52" s="385"/>
      <c r="CX52" s="385"/>
      <c r="CY52" s="385"/>
      <c r="CZ52" s="385"/>
      <c r="DA52" s="385"/>
      <c r="DB52" s="385"/>
      <c r="DC52" s="385"/>
      <c r="DD52" s="385"/>
      <c r="DE52" s="385"/>
      <c r="DF52" s="385"/>
      <c r="DG52" s="385"/>
      <c r="DH52" s="385"/>
      <c r="DI52" s="385"/>
      <c r="DJ52" s="385"/>
      <c r="DK52" s="385"/>
      <c r="DL52" s="385"/>
      <c r="DM52" s="385"/>
      <c r="DN52" s="385"/>
      <c r="DO52" s="385"/>
      <c r="DP52" s="385"/>
      <c r="DQ52" s="385"/>
      <c r="DR52" s="385"/>
      <c r="DS52" s="385"/>
      <c r="DT52" s="385"/>
      <c r="DU52" s="385"/>
      <c r="DV52" s="385"/>
      <c r="DW52" s="385"/>
      <c r="DX52" s="385"/>
      <c r="DY52" s="385"/>
      <c r="DZ52" s="385"/>
      <c r="EA52" s="385"/>
      <c r="EB52" s="385"/>
      <c r="EC52" s="385"/>
      <c r="ED52" s="385"/>
      <c r="EE52" s="385"/>
      <c r="EF52" s="385"/>
      <c r="EG52" s="385"/>
      <c r="EH52" s="385"/>
      <c r="EI52" s="385"/>
      <c r="EJ52" s="385"/>
      <c r="EK52" s="385"/>
      <c r="EL52" s="385"/>
      <c r="EM52" s="385"/>
      <c r="EN52" s="385"/>
      <c r="EO52" s="385"/>
      <c r="EP52" s="385"/>
      <c r="EQ52" s="385"/>
      <c r="ER52" s="385"/>
      <c r="ES52" s="385"/>
      <c r="ET52" s="385"/>
      <c r="EU52" s="385"/>
      <c r="EV52" s="385"/>
      <c r="EW52" s="385"/>
      <c r="EX52" s="385"/>
      <c r="EY52" s="385"/>
      <c r="EZ52" s="385"/>
      <c r="FA52" s="385"/>
      <c r="FB52" s="385"/>
      <c r="FC52" s="385"/>
      <c r="FD52" s="385"/>
      <c r="FE52" s="385"/>
      <c r="FF52" s="385"/>
      <c r="FG52" s="385"/>
      <c r="FH52" s="385"/>
      <c r="FI52" s="385"/>
      <c r="FJ52" s="385"/>
      <c r="FK52" s="385"/>
      <c r="FL52" s="385"/>
      <c r="FM52" s="385"/>
      <c r="FN52" s="385"/>
      <c r="FO52" s="385"/>
      <c r="FP52" s="385"/>
      <c r="FQ52" s="385"/>
      <c r="FR52" s="385"/>
      <c r="FS52" s="385"/>
      <c r="FT52" s="385"/>
      <c r="FU52" s="385"/>
      <c r="FV52" s="385"/>
      <c r="FW52" s="385"/>
      <c r="FX52" s="385"/>
      <c r="FY52" s="385"/>
      <c r="FZ52" s="385"/>
      <c r="GA52" s="385"/>
      <c r="GB52" s="385"/>
      <c r="GC52" s="385"/>
      <c r="GD52" s="385"/>
      <c r="GE52" s="385"/>
      <c r="GF52" s="385"/>
      <c r="GG52" s="385"/>
      <c r="GH52" s="385"/>
      <c r="GI52" s="385"/>
      <c r="GJ52" s="385"/>
      <c r="GK52" s="385"/>
      <c r="GL52" s="385"/>
      <c r="GM52" s="385"/>
      <c r="GN52" s="385"/>
      <c r="GO52" s="385"/>
      <c r="GP52" s="385"/>
      <c r="GQ52" s="385"/>
      <c r="GR52" s="385"/>
      <c r="GS52" s="385"/>
      <c r="GT52" s="385"/>
      <c r="GU52" s="385"/>
      <c r="GV52" s="385"/>
      <c r="GW52" s="385"/>
      <c r="GX52" s="385"/>
      <c r="GY52" s="385"/>
      <c r="GZ52" s="385"/>
      <c r="HA52" s="385"/>
      <c r="HB52" s="385"/>
      <c r="HC52" s="385"/>
      <c r="HD52" s="385"/>
      <c r="HE52" s="385"/>
      <c r="HF52" s="385"/>
      <c r="HG52" s="385"/>
      <c r="HH52" s="385"/>
      <c r="HI52" s="385"/>
      <c r="HJ52" s="385"/>
      <c r="HK52" s="385"/>
      <c r="HL52" s="385"/>
      <c r="HM52" s="385"/>
      <c r="HN52" s="385"/>
      <c r="HO52" s="385"/>
      <c r="HP52" s="385"/>
      <c r="HQ52" s="385"/>
      <c r="HR52" s="385"/>
      <c r="HS52" s="385"/>
      <c r="HT52" s="385"/>
      <c r="HU52" s="385"/>
      <c r="HV52" s="385"/>
      <c r="HW52" s="385"/>
      <c r="HX52" s="385"/>
      <c r="HY52" s="385"/>
      <c r="HZ52" s="385"/>
      <c r="IA52" s="385"/>
      <c r="IB52" s="385"/>
      <c r="IC52" s="385"/>
      <c r="ID52" s="385"/>
      <c r="IE52" s="385"/>
      <c r="IF52" s="385"/>
      <c r="IG52" s="385"/>
      <c r="IH52" s="385"/>
      <c r="II52" s="385"/>
      <c r="IJ52" s="385"/>
      <c r="IK52" s="385"/>
      <c r="IL52" s="385"/>
      <c r="IM52" s="385"/>
      <c r="IN52" s="385"/>
      <c r="IO52" s="385"/>
    </row>
    <row r="53" spans="1:249" s="425" customFormat="1" ht="24.95" customHeight="1" x14ac:dyDescent="0.2">
      <c r="A53" s="618" t="str">
        <f>+IF(NOVIEMBRE!A53=0,"",NOVIEMBRE!A53)</f>
        <v>1130109-2</v>
      </c>
      <c r="B53" s="654" t="str">
        <f>+IF(NOVIEMBRE!B53=0,"",NOVIEMBRE!B53)</f>
        <v>Vigencia Anterior</v>
      </c>
      <c r="C53" s="375">
        <f>+ENERO!C53</f>
        <v>0</v>
      </c>
      <c r="D53" s="376">
        <f>NOVIEMBRE!D53+DICIEMBRE!P53</f>
        <v>0</v>
      </c>
      <c r="E53" s="376">
        <f>NOVIEMBRE!E53+DICIEMBRE!Q53</f>
        <v>0</v>
      </c>
      <c r="F53" s="376">
        <f>SUM(C53:E53)</f>
        <v>0</v>
      </c>
      <c r="G53" s="376">
        <f>NOVIEMBRE!I53</f>
        <v>0</v>
      </c>
      <c r="H53" s="377">
        <v>0</v>
      </c>
      <c r="I53" s="376">
        <f>SUM(G53:H53)</f>
        <v>0</v>
      </c>
      <c r="J53" s="376">
        <f>NOVIEMBRE!L53</f>
        <v>0</v>
      </c>
      <c r="K53" s="377">
        <v>0</v>
      </c>
      <c r="L53" s="376">
        <f>SUM(J53:K53)</f>
        <v>0</v>
      </c>
      <c r="M53" s="376">
        <f>F53-I53</f>
        <v>0</v>
      </c>
      <c r="N53" s="146">
        <f>F53-L53</f>
        <v>0</v>
      </c>
      <c r="O53" s="385"/>
      <c r="P53" s="375">
        <v>0</v>
      </c>
      <c r="Q53" s="378">
        <v>0</v>
      </c>
      <c r="R53" s="9"/>
      <c r="S53" s="720" t="str">
        <f>+IF(NOVIEMBRE!S53=0,"",NOVIEMBRE!S53)</f>
        <v>1010302-4</v>
      </c>
      <c r="T53" s="694" t="str">
        <f>+IF(NOVIEMBRE!T53=0,"",NOVIEMBRE!T53)</f>
        <v>Aporte a ARL. - Con Sit. de Fondos</v>
      </c>
      <c r="U53" s="27">
        <f>+ENERO!U53</f>
        <v>0</v>
      </c>
      <c r="V53" s="15">
        <f>NOVIEMBRE!V53+DICIEMBRE!AL53</f>
        <v>0</v>
      </c>
      <c r="W53" s="15">
        <f>NOVIEMBRE!W53+DICIEMBRE!AM53</f>
        <v>0</v>
      </c>
      <c r="X53" s="18">
        <f t="shared" si="53"/>
        <v>0</v>
      </c>
      <c r="Y53" s="19">
        <f>NOVIEMBRE!AA53</f>
        <v>0</v>
      </c>
      <c r="Z53" s="377">
        <v>0</v>
      </c>
      <c r="AA53" s="18">
        <f t="shared" si="54"/>
        <v>0</v>
      </c>
      <c r="AB53" s="19">
        <f>NOVIEMBRE!AD53</f>
        <v>0</v>
      </c>
      <c r="AC53" s="377">
        <v>0</v>
      </c>
      <c r="AD53" s="18">
        <f t="shared" si="55"/>
        <v>0</v>
      </c>
      <c r="AE53" s="19">
        <f>NOVIEMBRE!AG53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464"/>
      <c r="BR53" s="385"/>
      <c r="BS53" s="385"/>
      <c r="BT53" s="385"/>
      <c r="BU53" s="385"/>
      <c r="BV53" s="385"/>
      <c r="BW53" s="385"/>
      <c r="BX53" s="385"/>
      <c r="BY53" s="385"/>
      <c r="BZ53" s="385"/>
      <c r="CA53" s="385"/>
      <c r="CB53" s="385"/>
      <c r="CC53" s="385"/>
      <c r="CD53" s="385"/>
      <c r="CE53" s="385"/>
      <c r="CF53" s="385"/>
      <c r="CG53" s="385"/>
      <c r="CH53" s="385"/>
      <c r="CI53" s="385"/>
      <c r="CJ53" s="385"/>
      <c r="CK53" s="385"/>
      <c r="CL53" s="385"/>
      <c r="CM53" s="385"/>
      <c r="CN53" s="385"/>
      <c r="CO53" s="385"/>
      <c r="CP53" s="385"/>
      <c r="CQ53" s="385"/>
      <c r="CR53" s="385"/>
      <c r="CS53" s="385"/>
      <c r="CT53" s="385"/>
      <c r="CU53" s="385"/>
      <c r="CV53" s="385"/>
      <c r="CW53" s="385"/>
      <c r="CX53" s="385"/>
      <c r="CY53" s="385"/>
      <c r="CZ53" s="385"/>
      <c r="DA53" s="385"/>
      <c r="DB53" s="385"/>
      <c r="DC53" s="385"/>
      <c r="DD53" s="385"/>
      <c r="DE53" s="385"/>
      <c r="DF53" s="385"/>
      <c r="DG53" s="385"/>
      <c r="DH53" s="385"/>
      <c r="DI53" s="385"/>
      <c r="DJ53" s="385"/>
      <c r="DK53" s="385"/>
      <c r="DL53" s="385"/>
      <c r="DM53" s="385"/>
      <c r="DN53" s="385"/>
      <c r="DO53" s="385"/>
      <c r="DP53" s="385"/>
      <c r="DQ53" s="385"/>
      <c r="DR53" s="385"/>
      <c r="DS53" s="385"/>
      <c r="DT53" s="385"/>
      <c r="DU53" s="385"/>
      <c r="DV53" s="385"/>
      <c r="DW53" s="385"/>
      <c r="DX53" s="385"/>
      <c r="DY53" s="385"/>
      <c r="DZ53" s="385"/>
      <c r="EA53" s="385"/>
      <c r="EB53" s="385"/>
      <c r="EC53" s="385"/>
      <c r="ED53" s="385"/>
      <c r="EE53" s="385"/>
      <c r="EF53" s="385"/>
      <c r="EG53" s="385"/>
      <c r="EH53" s="385"/>
      <c r="EI53" s="385"/>
      <c r="EJ53" s="385"/>
      <c r="EK53" s="385"/>
      <c r="EL53" s="385"/>
      <c r="EM53" s="385"/>
      <c r="EN53" s="385"/>
      <c r="EO53" s="385"/>
      <c r="EP53" s="385"/>
      <c r="EQ53" s="385"/>
      <c r="ER53" s="385"/>
      <c r="ES53" s="385"/>
      <c r="ET53" s="385"/>
      <c r="EU53" s="385"/>
      <c r="EV53" s="385"/>
      <c r="EW53" s="385"/>
      <c r="EX53" s="385"/>
      <c r="EY53" s="385"/>
      <c r="EZ53" s="385"/>
      <c r="FA53" s="385"/>
      <c r="FB53" s="385"/>
      <c r="FC53" s="385"/>
      <c r="FD53" s="385"/>
      <c r="FE53" s="385"/>
      <c r="FF53" s="385"/>
      <c r="FG53" s="385"/>
      <c r="FH53" s="385"/>
      <c r="FI53" s="385"/>
      <c r="FJ53" s="385"/>
      <c r="FK53" s="385"/>
      <c r="FL53" s="385"/>
      <c r="FM53" s="385"/>
      <c r="FN53" s="385"/>
      <c r="FO53" s="385"/>
      <c r="FP53" s="385"/>
      <c r="FQ53" s="385"/>
      <c r="FR53" s="385"/>
      <c r="FS53" s="385"/>
      <c r="FT53" s="385"/>
      <c r="FU53" s="385"/>
      <c r="FV53" s="385"/>
      <c r="FW53" s="385"/>
      <c r="FX53" s="385"/>
      <c r="FY53" s="385"/>
      <c r="FZ53" s="385"/>
      <c r="GA53" s="385"/>
      <c r="GB53" s="385"/>
      <c r="GC53" s="385"/>
      <c r="GD53" s="385"/>
      <c r="GE53" s="385"/>
      <c r="GF53" s="385"/>
      <c r="GG53" s="385"/>
      <c r="GH53" s="385"/>
      <c r="GI53" s="385"/>
      <c r="GJ53" s="385"/>
      <c r="GK53" s="385"/>
      <c r="GL53" s="385"/>
      <c r="GM53" s="385"/>
      <c r="GN53" s="385"/>
      <c r="GO53" s="385"/>
      <c r="GP53" s="385"/>
      <c r="GQ53" s="385"/>
      <c r="GR53" s="385"/>
      <c r="GS53" s="385"/>
      <c r="GT53" s="385"/>
      <c r="GU53" s="385"/>
      <c r="GV53" s="385"/>
      <c r="GW53" s="385"/>
      <c r="GX53" s="385"/>
      <c r="GY53" s="385"/>
      <c r="GZ53" s="385"/>
      <c r="HA53" s="385"/>
      <c r="HB53" s="385"/>
      <c r="HC53" s="385"/>
      <c r="HD53" s="385"/>
      <c r="HE53" s="385"/>
      <c r="HF53" s="385"/>
      <c r="HG53" s="385"/>
      <c r="HH53" s="385"/>
      <c r="HI53" s="385"/>
      <c r="HJ53" s="385"/>
      <c r="HK53" s="385"/>
      <c r="HL53" s="385"/>
      <c r="HM53" s="385"/>
      <c r="HN53" s="385"/>
      <c r="HO53" s="385"/>
      <c r="HP53" s="385"/>
      <c r="HQ53" s="385"/>
      <c r="HR53" s="385"/>
      <c r="HS53" s="385"/>
      <c r="HT53" s="385"/>
      <c r="HU53" s="385"/>
      <c r="HV53" s="385"/>
      <c r="HW53" s="385"/>
      <c r="HX53" s="385"/>
      <c r="HY53" s="385"/>
      <c r="HZ53" s="385"/>
      <c r="IA53" s="385"/>
      <c r="IB53" s="385"/>
      <c r="IC53" s="385"/>
      <c r="ID53" s="385"/>
      <c r="IE53" s="385"/>
      <c r="IF53" s="385"/>
      <c r="IG53" s="385"/>
      <c r="IH53" s="385"/>
      <c r="II53" s="385"/>
      <c r="IJ53" s="385"/>
      <c r="IK53" s="385"/>
      <c r="IL53" s="385"/>
      <c r="IM53" s="385"/>
      <c r="IN53" s="385"/>
      <c r="IO53" s="385"/>
    </row>
    <row r="54" spans="1:249" s="385" customFormat="1" ht="24.95" customHeight="1" x14ac:dyDescent="0.2">
      <c r="A54" s="747">
        <f>+IF(NOVIEMBRE!A54=0,"",NOVIEMBRE!A54)</f>
        <v>1130110</v>
      </c>
      <c r="B54" s="653" t="str">
        <f>+IF(NOVIEMBRE!B54=0,"",NOVIEMBRE!B54)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+IF(NOVIEMBRE!S54=0,"",NOVIEMBRE!S54)</f>
        <v>1010302-5</v>
      </c>
      <c r="T54" s="694" t="str">
        <f>+IF(NOVIEMBRE!T54=0,"",NOVIEMBRE!T54)</f>
        <v>Aporte a Caja Compensación Familiar</v>
      </c>
      <c r="U54" s="27">
        <f>+ENERO!U54</f>
        <v>14791923</v>
      </c>
      <c r="V54" s="15">
        <f>NOVIEMBRE!V54+DICIEMBRE!AL54</f>
        <v>0</v>
      </c>
      <c r="W54" s="15">
        <f>NOVIEMBRE!W54+DICIEMBRE!AM54</f>
        <v>0</v>
      </c>
      <c r="X54" s="18">
        <f t="shared" si="53"/>
        <v>14791923</v>
      </c>
      <c r="Y54" s="19">
        <f>NOVIEMBRE!AA54</f>
        <v>8822700</v>
      </c>
      <c r="Z54" s="377">
        <v>0</v>
      </c>
      <c r="AA54" s="18">
        <f t="shared" si="54"/>
        <v>8822700</v>
      </c>
      <c r="AB54" s="19">
        <f>NOVIEMBRE!AD54</f>
        <v>8822700</v>
      </c>
      <c r="AC54" s="377">
        <v>0</v>
      </c>
      <c r="AD54" s="18">
        <f t="shared" si="55"/>
        <v>8822700</v>
      </c>
      <c r="AE54" s="19">
        <f>NOVIEMBRE!AG54</f>
        <v>7744400</v>
      </c>
      <c r="AF54" s="377">
        <v>0</v>
      </c>
      <c r="AG54" s="18">
        <f t="shared" si="56"/>
        <v>7744400</v>
      </c>
      <c r="AH54" s="19">
        <f t="shared" si="57"/>
        <v>5969223</v>
      </c>
      <c r="AI54" s="15">
        <f t="shared" si="58"/>
        <v>5969223</v>
      </c>
      <c r="AJ54" s="16">
        <f t="shared" si="59"/>
        <v>7047523</v>
      </c>
      <c r="AK54" s="9"/>
      <c r="AL54" s="375">
        <v>0</v>
      </c>
      <c r="AM54" s="378">
        <v>0</v>
      </c>
      <c r="AN54" s="9"/>
      <c r="AO54" s="297"/>
      <c r="AP54" s="297"/>
      <c r="AQ54" s="297"/>
      <c r="AR54" s="297"/>
      <c r="AS54" s="297"/>
      <c r="AT54" s="297"/>
      <c r="AU54" s="297"/>
      <c r="AV54" s="297"/>
      <c r="AW54" s="297"/>
      <c r="AX54" s="297"/>
      <c r="AY54" s="297"/>
      <c r="AZ54" s="297"/>
      <c r="BQ54" s="464"/>
    </row>
    <row r="55" spans="1:249" s="425" customFormat="1" ht="24.95" customHeight="1" x14ac:dyDescent="0.2">
      <c r="A55" s="618" t="str">
        <f>+IF(NOVIEMBRE!A55=0,"",NOVIEMBRE!A55)</f>
        <v>1130110-1</v>
      </c>
      <c r="B55" s="654" t="str">
        <f>+CONCATENATE("Vigencia ",INSTRUCCIONES!$F$3)</f>
        <v>Vigencia 2015</v>
      </c>
      <c r="C55" s="375">
        <f>+ENERO!C55</f>
        <v>0</v>
      </c>
      <c r="D55" s="376">
        <f>NOVIEMBRE!D55+DICIEMBRE!P55</f>
        <v>0</v>
      </c>
      <c r="E55" s="376">
        <f>NOVIEMBRE!E55+DICIEMBRE!Q55</f>
        <v>0</v>
      </c>
      <c r="F55" s="376">
        <f>SUM(C55:E55)</f>
        <v>0</v>
      </c>
      <c r="G55" s="376">
        <f>NOVIEMBRE!I55</f>
        <v>0</v>
      </c>
      <c r="H55" s="377">
        <v>0</v>
      </c>
      <c r="I55" s="376">
        <f>SUM(G55:H55)</f>
        <v>0</v>
      </c>
      <c r="J55" s="376">
        <f>NOVIEMBRE!L55</f>
        <v>0</v>
      </c>
      <c r="K55" s="377">
        <v>0</v>
      </c>
      <c r="L55" s="376">
        <f>SUM(J55:K55)</f>
        <v>0</v>
      </c>
      <c r="M55" s="376">
        <f>F55-I55</f>
        <v>0</v>
      </c>
      <c r="N55" s="146">
        <f>F55-L55</f>
        <v>0</v>
      </c>
      <c r="O55" s="385"/>
      <c r="P55" s="375">
        <v>0</v>
      </c>
      <c r="Q55" s="378">
        <v>0</v>
      </c>
      <c r="R55" s="9"/>
      <c r="S55" s="719">
        <f>+IF(NOVIEMBRE!S55=0,"",NOVIEMBRE!S55)</f>
        <v>1010399</v>
      </c>
      <c r="T55" s="693" t="str">
        <f>+IF(NOVIEMBRE!T55=0,"",NOVIEMBRE!T55)</f>
        <v>Vigencias Anteriores</v>
      </c>
      <c r="U55" s="27">
        <f>+ENERO!U55</f>
        <v>0</v>
      </c>
      <c r="V55" s="15">
        <f>NOVIEMBRE!V55+DICIEMBRE!AL55</f>
        <v>0</v>
      </c>
      <c r="W55" s="15">
        <f>NOVIEMBRE!W55+DICIEMBRE!AM55</f>
        <v>29964174</v>
      </c>
      <c r="X55" s="18">
        <f t="shared" si="53"/>
        <v>29964174</v>
      </c>
      <c r="Y55" s="19">
        <f>NOVIEMBRE!AA55</f>
        <v>29964174</v>
      </c>
      <c r="Z55" s="377">
        <v>0</v>
      </c>
      <c r="AA55" s="18">
        <f t="shared" si="54"/>
        <v>29964174</v>
      </c>
      <c r="AB55" s="19">
        <f>NOVIEMBRE!AD55</f>
        <v>29964174</v>
      </c>
      <c r="AC55" s="377">
        <v>0</v>
      </c>
      <c r="AD55" s="18">
        <f t="shared" si="55"/>
        <v>29964174</v>
      </c>
      <c r="AE55" s="19">
        <f>NOVIEMBRE!AG55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464"/>
      <c r="BR55" s="385"/>
      <c r="BS55" s="385"/>
      <c r="BT55" s="385"/>
      <c r="BU55" s="385"/>
      <c r="BV55" s="385"/>
      <c r="BW55" s="385"/>
      <c r="BX55" s="385"/>
      <c r="BY55" s="385"/>
      <c r="BZ55" s="385"/>
      <c r="CA55" s="385"/>
      <c r="CB55" s="385"/>
      <c r="CC55" s="385"/>
      <c r="CD55" s="385"/>
      <c r="CE55" s="385"/>
      <c r="CF55" s="385"/>
      <c r="CG55" s="385"/>
      <c r="CH55" s="385"/>
      <c r="CI55" s="385"/>
      <c r="CJ55" s="385"/>
      <c r="CK55" s="385"/>
      <c r="CL55" s="385"/>
      <c r="CM55" s="385"/>
      <c r="CN55" s="385"/>
      <c r="CO55" s="385"/>
      <c r="CP55" s="385"/>
      <c r="CQ55" s="385"/>
      <c r="CR55" s="385"/>
      <c r="CS55" s="385"/>
      <c r="CT55" s="385"/>
      <c r="CU55" s="385"/>
      <c r="CV55" s="385"/>
      <c r="CW55" s="385"/>
      <c r="CX55" s="385"/>
      <c r="CY55" s="385"/>
      <c r="CZ55" s="385"/>
      <c r="DA55" s="385"/>
      <c r="DB55" s="385"/>
      <c r="DC55" s="385"/>
      <c r="DD55" s="385"/>
      <c r="DE55" s="385"/>
      <c r="DF55" s="385"/>
      <c r="DG55" s="385"/>
      <c r="DH55" s="385"/>
      <c r="DI55" s="385"/>
      <c r="DJ55" s="385"/>
      <c r="DK55" s="385"/>
      <c r="DL55" s="385"/>
      <c r="DM55" s="385"/>
      <c r="DN55" s="385"/>
      <c r="DO55" s="385"/>
      <c r="DP55" s="385"/>
      <c r="DQ55" s="385"/>
      <c r="DR55" s="385"/>
      <c r="DS55" s="385"/>
      <c r="DT55" s="385"/>
      <c r="DU55" s="385"/>
      <c r="DV55" s="385"/>
      <c r="DW55" s="385"/>
      <c r="DX55" s="385"/>
      <c r="DY55" s="385"/>
      <c r="DZ55" s="385"/>
      <c r="EA55" s="385"/>
      <c r="EB55" s="385"/>
      <c r="EC55" s="385"/>
      <c r="ED55" s="385"/>
      <c r="EE55" s="385"/>
      <c r="EF55" s="385"/>
      <c r="EG55" s="385"/>
      <c r="EH55" s="385"/>
      <c r="EI55" s="385"/>
      <c r="EJ55" s="385"/>
      <c r="EK55" s="385"/>
      <c r="EL55" s="385"/>
      <c r="EM55" s="385"/>
      <c r="EN55" s="385"/>
      <c r="EO55" s="385"/>
      <c r="EP55" s="385"/>
      <c r="EQ55" s="385"/>
      <c r="ER55" s="385"/>
      <c r="ES55" s="385"/>
      <c r="ET55" s="385"/>
      <c r="EU55" s="385"/>
      <c r="EV55" s="385"/>
      <c r="EW55" s="385"/>
      <c r="EX55" s="385"/>
      <c r="EY55" s="385"/>
      <c r="EZ55" s="385"/>
      <c r="FA55" s="385"/>
      <c r="FB55" s="385"/>
      <c r="FC55" s="385"/>
      <c r="FD55" s="385"/>
      <c r="FE55" s="385"/>
      <c r="FF55" s="385"/>
      <c r="FG55" s="385"/>
      <c r="FH55" s="385"/>
      <c r="FI55" s="385"/>
      <c r="FJ55" s="385"/>
      <c r="FK55" s="385"/>
      <c r="FL55" s="385"/>
      <c r="FM55" s="385"/>
      <c r="FN55" s="385"/>
      <c r="FO55" s="385"/>
      <c r="FP55" s="385"/>
      <c r="FQ55" s="385"/>
      <c r="FR55" s="385"/>
      <c r="FS55" s="385"/>
      <c r="FT55" s="385"/>
      <c r="FU55" s="385"/>
      <c r="FV55" s="385"/>
      <c r="FW55" s="385"/>
      <c r="FX55" s="385"/>
      <c r="FY55" s="385"/>
      <c r="FZ55" s="385"/>
      <c r="GA55" s="385"/>
      <c r="GB55" s="385"/>
      <c r="GC55" s="385"/>
      <c r="GD55" s="385"/>
      <c r="GE55" s="385"/>
      <c r="GF55" s="385"/>
      <c r="GG55" s="385"/>
      <c r="GH55" s="385"/>
      <c r="GI55" s="385"/>
      <c r="GJ55" s="385"/>
      <c r="GK55" s="385"/>
      <c r="GL55" s="385"/>
      <c r="GM55" s="385"/>
      <c r="GN55" s="385"/>
      <c r="GO55" s="385"/>
      <c r="GP55" s="385"/>
      <c r="GQ55" s="385"/>
      <c r="GR55" s="385"/>
      <c r="GS55" s="385"/>
      <c r="GT55" s="385"/>
      <c r="GU55" s="385"/>
      <c r="GV55" s="385"/>
      <c r="GW55" s="385"/>
      <c r="GX55" s="385"/>
      <c r="GY55" s="385"/>
      <c r="GZ55" s="385"/>
      <c r="HA55" s="385"/>
      <c r="HB55" s="385"/>
      <c r="HC55" s="385"/>
      <c r="HD55" s="385"/>
      <c r="HE55" s="385"/>
      <c r="HF55" s="385"/>
      <c r="HG55" s="385"/>
      <c r="HH55" s="385"/>
      <c r="HI55" s="385"/>
      <c r="HJ55" s="385"/>
      <c r="HK55" s="385"/>
      <c r="HL55" s="385"/>
      <c r="HM55" s="385"/>
      <c r="HN55" s="385"/>
      <c r="HO55" s="385"/>
      <c r="HP55" s="385"/>
      <c r="HQ55" s="385"/>
      <c r="HR55" s="385"/>
      <c r="HS55" s="385"/>
      <c r="HT55" s="385"/>
      <c r="HU55" s="385"/>
      <c r="HV55" s="385"/>
      <c r="HW55" s="385"/>
      <c r="HX55" s="385"/>
      <c r="HY55" s="385"/>
      <c r="HZ55" s="385"/>
      <c r="IA55" s="385"/>
      <c r="IB55" s="385"/>
      <c r="IC55" s="385"/>
      <c r="ID55" s="385"/>
      <c r="IE55" s="385"/>
      <c r="IF55" s="385"/>
      <c r="IG55" s="385"/>
      <c r="IH55" s="385"/>
      <c r="II55" s="385"/>
      <c r="IJ55" s="385"/>
      <c r="IK55" s="385"/>
      <c r="IL55" s="385"/>
      <c r="IM55" s="385"/>
      <c r="IN55" s="385"/>
      <c r="IO55" s="385"/>
    </row>
    <row r="56" spans="1:249" s="425" customFormat="1" ht="24.95" customHeight="1" x14ac:dyDescent="0.2">
      <c r="A56" s="618" t="str">
        <f>+IF(NOVIEMBRE!A56=0,"",NOVIEMBRE!A56)</f>
        <v>1130110-2</v>
      </c>
      <c r="B56" s="654" t="str">
        <f>+IF(NOVIEMBRE!B56=0,"",NOVIEMBRE!B56)</f>
        <v>Vigencia Anterior</v>
      </c>
      <c r="C56" s="375">
        <f>+ENERO!C56</f>
        <v>0</v>
      </c>
      <c r="D56" s="376">
        <f>NOVIEMBRE!D56+DICIEMBRE!P56</f>
        <v>0</v>
      </c>
      <c r="E56" s="376">
        <f>NOVIEMBRE!E56+DICIEMBRE!Q56</f>
        <v>0</v>
      </c>
      <c r="F56" s="376">
        <f>SUM(C56:E56)</f>
        <v>0</v>
      </c>
      <c r="G56" s="376">
        <f>NOVIEMBRE!I56</f>
        <v>0</v>
      </c>
      <c r="H56" s="377">
        <v>0</v>
      </c>
      <c r="I56" s="376">
        <f>SUM(G56:H56)</f>
        <v>0</v>
      </c>
      <c r="J56" s="376">
        <f>NOVIEMBRE!L56</f>
        <v>0</v>
      </c>
      <c r="K56" s="377">
        <v>0</v>
      </c>
      <c r="L56" s="376">
        <f>SUM(J56:K56)</f>
        <v>0</v>
      </c>
      <c r="M56" s="376">
        <f>F56-I56</f>
        <v>0</v>
      </c>
      <c r="N56" s="146">
        <f>F56-L56</f>
        <v>0</v>
      </c>
      <c r="O56" s="385"/>
      <c r="P56" s="375">
        <v>0</v>
      </c>
      <c r="Q56" s="378">
        <v>0</v>
      </c>
      <c r="R56" s="9"/>
      <c r="S56" s="369" t="str">
        <f>+IF(NOVIEMBRE!S56=0,"",NOVIEMBRE!S56)</f>
        <v/>
      </c>
      <c r="T56" s="708" t="str">
        <f>+IF(NOVIEMBRE!T56=0,"",NOVIEMBRE!T56)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464"/>
      <c r="BR56" s="385"/>
      <c r="BS56" s="385"/>
      <c r="BT56" s="385"/>
      <c r="BU56" s="385"/>
      <c r="BV56" s="385"/>
      <c r="BW56" s="385"/>
      <c r="BX56" s="385"/>
      <c r="BY56" s="385"/>
      <c r="BZ56" s="385"/>
      <c r="CA56" s="385"/>
      <c r="CB56" s="385"/>
      <c r="CC56" s="385"/>
      <c r="CD56" s="385"/>
      <c r="CE56" s="385"/>
      <c r="CF56" s="385"/>
      <c r="CG56" s="385"/>
      <c r="CH56" s="385"/>
      <c r="CI56" s="385"/>
      <c r="CJ56" s="385"/>
      <c r="CK56" s="385"/>
      <c r="CL56" s="385"/>
      <c r="CM56" s="385"/>
      <c r="CN56" s="385"/>
      <c r="CO56" s="385"/>
      <c r="CP56" s="385"/>
      <c r="CQ56" s="385"/>
      <c r="CR56" s="385"/>
      <c r="CS56" s="385"/>
      <c r="CT56" s="385"/>
      <c r="CU56" s="385"/>
      <c r="CV56" s="385"/>
      <c r="CW56" s="385"/>
      <c r="CX56" s="385"/>
      <c r="CY56" s="385"/>
      <c r="CZ56" s="385"/>
      <c r="DA56" s="385"/>
      <c r="DB56" s="385"/>
      <c r="DC56" s="385"/>
      <c r="DD56" s="385"/>
      <c r="DE56" s="385"/>
      <c r="DF56" s="385"/>
      <c r="DG56" s="385"/>
      <c r="DH56" s="385"/>
      <c r="DI56" s="385"/>
      <c r="DJ56" s="385"/>
      <c r="DK56" s="385"/>
      <c r="DL56" s="385"/>
      <c r="DM56" s="385"/>
      <c r="DN56" s="385"/>
      <c r="DO56" s="385"/>
      <c r="DP56" s="385"/>
      <c r="DQ56" s="385"/>
      <c r="DR56" s="385"/>
      <c r="DS56" s="385"/>
      <c r="DT56" s="385"/>
      <c r="DU56" s="385"/>
      <c r="DV56" s="385"/>
      <c r="DW56" s="385"/>
      <c r="DX56" s="385"/>
      <c r="DY56" s="385"/>
      <c r="DZ56" s="385"/>
      <c r="EA56" s="385"/>
      <c r="EB56" s="385"/>
      <c r="EC56" s="385"/>
      <c r="ED56" s="385"/>
      <c r="EE56" s="385"/>
      <c r="EF56" s="385"/>
      <c r="EG56" s="385"/>
      <c r="EH56" s="385"/>
      <c r="EI56" s="385"/>
      <c r="EJ56" s="385"/>
      <c r="EK56" s="385"/>
      <c r="EL56" s="385"/>
      <c r="EM56" s="385"/>
      <c r="EN56" s="385"/>
      <c r="EO56" s="385"/>
      <c r="EP56" s="385"/>
      <c r="EQ56" s="385"/>
      <c r="ER56" s="385"/>
      <c r="ES56" s="385"/>
      <c r="ET56" s="385"/>
      <c r="EU56" s="385"/>
      <c r="EV56" s="385"/>
      <c r="EW56" s="385"/>
      <c r="EX56" s="385"/>
      <c r="EY56" s="385"/>
      <c r="EZ56" s="385"/>
      <c r="FA56" s="385"/>
      <c r="FB56" s="385"/>
      <c r="FC56" s="385"/>
      <c r="FD56" s="385"/>
      <c r="FE56" s="385"/>
      <c r="FF56" s="385"/>
      <c r="FG56" s="385"/>
      <c r="FH56" s="385"/>
      <c r="FI56" s="385"/>
      <c r="FJ56" s="385"/>
      <c r="FK56" s="385"/>
      <c r="FL56" s="385"/>
      <c r="FM56" s="385"/>
      <c r="FN56" s="385"/>
      <c r="FO56" s="385"/>
      <c r="FP56" s="385"/>
      <c r="FQ56" s="385"/>
      <c r="FR56" s="385"/>
      <c r="FS56" s="385"/>
      <c r="FT56" s="385"/>
      <c r="FU56" s="385"/>
      <c r="FV56" s="385"/>
      <c r="FW56" s="385"/>
      <c r="FX56" s="385"/>
      <c r="FY56" s="385"/>
      <c r="FZ56" s="385"/>
      <c r="GA56" s="385"/>
      <c r="GB56" s="385"/>
      <c r="GC56" s="385"/>
      <c r="GD56" s="385"/>
      <c r="GE56" s="385"/>
      <c r="GF56" s="385"/>
      <c r="GG56" s="385"/>
      <c r="GH56" s="385"/>
      <c r="GI56" s="385"/>
      <c r="GJ56" s="385"/>
      <c r="GK56" s="385"/>
      <c r="GL56" s="385"/>
      <c r="GM56" s="385"/>
      <c r="GN56" s="385"/>
      <c r="GO56" s="385"/>
      <c r="GP56" s="385"/>
      <c r="GQ56" s="385"/>
      <c r="GR56" s="385"/>
      <c r="GS56" s="385"/>
      <c r="GT56" s="385"/>
      <c r="GU56" s="385"/>
      <c r="GV56" s="385"/>
      <c r="GW56" s="385"/>
      <c r="GX56" s="385"/>
      <c r="GY56" s="385"/>
      <c r="GZ56" s="385"/>
      <c r="HA56" s="385"/>
      <c r="HB56" s="385"/>
      <c r="HC56" s="385"/>
      <c r="HD56" s="385"/>
      <c r="HE56" s="385"/>
      <c r="HF56" s="385"/>
      <c r="HG56" s="385"/>
      <c r="HH56" s="385"/>
      <c r="HI56" s="385"/>
      <c r="HJ56" s="385"/>
      <c r="HK56" s="385"/>
      <c r="HL56" s="385"/>
      <c r="HM56" s="385"/>
      <c r="HN56" s="385"/>
      <c r="HO56" s="385"/>
      <c r="HP56" s="385"/>
      <c r="HQ56" s="385"/>
      <c r="HR56" s="385"/>
      <c r="HS56" s="385"/>
      <c r="HT56" s="385"/>
      <c r="HU56" s="385"/>
      <c r="HV56" s="385"/>
      <c r="HW56" s="385"/>
      <c r="HX56" s="385"/>
      <c r="HY56" s="385"/>
      <c r="HZ56" s="385"/>
      <c r="IA56" s="385"/>
      <c r="IB56" s="385"/>
      <c r="IC56" s="385"/>
      <c r="ID56" s="385"/>
      <c r="IE56" s="385"/>
      <c r="IF56" s="385"/>
      <c r="IG56" s="385"/>
      <c r="IH56" s="385"/>
      <c r="II56" s="385"/>
      <c r="IJ56" s="385"/>
      <c r="IK56" s="385"/>
      <c r="IL56" s="385"/>
      <c r="IM56" s="385"/>
      <c r="IN56" s="385"/>
      <c r="IO56" s="385"/>
    </row>
    <row r="57" spans="1:249" s="385" customFormat="1" ht="24.95" customHeight="1" x14ac:dyDescent="0.2">
      <c r="A57" s="747">
        <f>+IF(NOVIEMBRE!A57=0,"",NOVIEMBRE!A57)</f>
        <v>1130111</v>
      </c>
      <c r="B57" s="653" t="str">
        <f>+IF(NOVIEMBRE!B57=0,"",NOVIEMBRE!B57)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+IF(NOVIEMBRE!S57=0,"",NOVIEMBRE!S57)</f>
        <v>1010400</v>
      </c>
      <c r="T57" s="692" t="str">
        <f>+IF(NOVIEMBRE!T57=0,"",NOVIEMBRE!T57)</f>
        <v>Contribuciones Inherentes nómina del Sector Publico</v>
      </c>
      <c r="U57" s="135">
        <f t="shared" ref="U57:AJ57" si="63">U58+U61</f>
        <v>18489903</v>
      </c>
      <c r="V57" s="124">
        <f t="shared" si="63"/>
        <v>0</v>
      </c>
      <c r="W57" s="124">
        <f t="shared" si="63"/>
        <v>1280600</v>
      </c>
      <c r="X57" s="132">
        <f t="shared" si="63"/>
        <v>19770503</v>
      </c>
      <c r="Y57" s="131">
        <f t="shared" si="63"/>
        <v>13480900</v>
      </c>
      <c r="Z57" s="124">
        <f t="shared" si="63"/>
        <v>0</v>
      </c>
      <c r="AA57" s="132">
        <f t="shared" si="63"/>
        <v>13480900</v>
      </c>
      <c r="AB57" s="131">
        <f t="shared" si="63"/>
        <v>13480900</v>
      </c>
      <c r="AC57" s="124">
        <f t="shared" si="63"/>
        <v>0</v>
      </c>
      <c r="AD57" s="132">
        <f t="shared" si="63"/>
        <v>13480900</v>
      </c>
      <c r="AE57" s="131">
        <f t="shared" si="63"/>
        <v>12132600</v>
      </c>
      <c r="AF57" s="124">
        <f t="shared" si="63"/>
        <v>0</v>
      </c>
      <c r="AG57" s="132">
        <f t="shared" si="63"/>
        <v>12132600</v>
      </c>
      <c r="AH57" s="131">
        <f t="shared" si="63"/>
        <v>6289603</v>
      </c>
      <c r="AI57" s="124">
        <f t="shared" si="63"/>
        <v>6289603</v>
      </c>
      <c r="AJ57" s="133">
        <f t="shared" si="63"/>
        <v>7637903</v>
      </c>
      <c r="AK57" s="9"/>
      <c r="AL57" s="131">
        <f>AL58+AL61</f>
        <v>0</v>
      </c>
      <c r="AM57" s="133">
        <f>AM58+AM61</f>
        <v>0</v>
      </c>
      <c r="AN57" s="9"/>
      <c r="AO57" s="297"/>
      <c r="AP57" s="297"/>
      <c r="AQ57" s="297"/>
      <c r="AR57" s="297"/>
      <c r="AS57" s="297"/>
      <c r="AT57" s="297"/>
      <c r="AU57" s="297"/>
      <c r="AV57" s="297"/>
      <c r="AW57" s="297"/>
      <c r="AX57" s="297"/>
      <c r="AY57" s="297"/>
      <c r="AZ57" s="297"/>
      <c r="BQ57" s="464"/>
    </row>
    <row r="58" spans="1:249" s="425" customFormat="1" ht="24.95" customHeight="1" x14ac:dyDescent="0.2">
      <c r="A58" s="618" t="str">
        <f>+IF(NOVIEMBRE!A58=0,"",NOVIEMBRE!A58)</f>
        <v>1130111-1</v>
      </c>
      <c r="B58" s="654" t="str">
        <f>+CONCATENATE("Vigencia ",INSTRUCCIONES!$F$3)</f>
        <v>Vigencia 2015</v>
      </c>
      <c r="C58" s="375">
        <f>+ENERO!C58</f>
        <v>0</v>
      </c>
      <c r="D58" s="376">
        <f>NOVIEMBRE!D58+DICIEMBRE!P58</f>
        <v>0</v>
      </c>
      <c r="E58" s="376">
        <f>NOVIEMBRE!E58+DICIEMBRE!Q58</f>
        <v>0</v>
      </c>
      <c r="F58" s="376">
        <f>SUM(C58:E58)</f>
        <v>0</v>
      </c>
      <c r="G58" s="376">
        <f>NOVIEMBRE!I58</f>
        <v>0</v>
      </c>
      <c r="H58" s="377">
        <v>0</v>
      </c>
      <c r="I58" s="376">
        <f>SUM(G58:H58)</f>
        <v>0</v>
      </c>
      <c r="J58" s="376">
        <f>NOVIEMBRE!L58</f>
        <v>0</v>
      </c>
      <c r="K58" s="377">
        <v>0</v>
      </c>
      <c r="L58" s="376">
        <f>SUM(J58:K58)</f>
        <v>0</v>
      </c>
      <c r="M58" s="376">
        <f>F58-I58</f>
        <v>0</v>
      </c>
      <c r="N58" s="146">
        <f>F58-L58</f>
        <v>0</v>
      </c>
      <c r="O58" s="385"/>
      <c r="P58" s="375">
        <v>0</v>
      </c>
      <c r="Q58" s="378">
        <v>0</v>
      </c>
      <c r="R58" s="9"/>
      <c r="S58" s="719">
        <f>+IF(NOVIEMBRE!S58=0,"",NOVIEMBRE!S58)</f>
        <v>1010402</v>
      </c>
      <c r="T58" s="693" t="str">
        <f>+IF(NOVIEMBRE!T58=0,"",NOVIEMBRE!T58)</f>
        <v>Contribuciones - Otros</v>
      </c>
      <c r="U58" s="27">
        <f t="shared" ref="U58:AJ58" si="64">SUM(U59:U60)</f>
        <v>18489903</v>
      </c>
      <c r="V58" s="15">
        <f t="shared" si="64"/>
        <v>0</v>
      </c>
      <c r="W58" s="15">
        <f t="shared" si="64"/>
        <v>0</v>
      </c>
      <c r="X58" s="18">
        <f t="shared" si="64"/>
        <v>18489903</v>
      </c>
      <c r="Y58" s="19">
        <f t="shared" si="64"/>
        <v>12200300</v>
      </c>
      <c r="Z58" s="145">
        <f t="shared" si="64"/>
        <v>0</v>
      </c>
      <c r="AA58" s="18">
        <f t="shared" si="64"/>
        <v>12200300</v>
      </c>
      <c r="AB58" s="19">
        <f t="shared" si="64"/>
        <v>12200300</v>
      </c>
      <c r="AC58" s="145">
        <f t="shared" si="64"/>
        <v>0</v>
      </c>
      <c r="AD58" s="18">
        <f t="shared" si="64"/>
        <v>12200300</v>
      </c>
      <c r="AE58" s="19">
        <f t="shared" si="64"/>
        <v>10852000</v>
      </c>
      <c r="AF58" s="145">
        <f t="shared" si="64"/>
        <v>0</v>
      </c>
      <c r="AG58" s="18">
        <f t="shared" si="64"/>
        <v>10852000</v>
      </c>
      <c r="AH58" s="19">
        <f t="shared" si="64"/>
        <v>6289603</v>
      </c>
      <c r="AI58" s="15">
        <f t="shared" si="64"/>
        <v>6289603</v>
      </c>
      <c r="AJ58" s="16">
        <f t="shared" si="64"/>
        <v>7637903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464"/>
      <c r="BR58" s="385"/>
      <c r="BS58" s="385"/>
      <c r="BT58" s="385"/>
      <c r="BU58" s="385"/>
      <c r="BV58" s="385"/>
      <c r="BW58" s="385"/>
      <c r="BX58" s="385"/>
      <c r="BY58" s="385"/>
      <c r="BZ58" s="385"/>
      <c r="CA58" s="385"/>
      <c r="CB58" s="385"/>
      <c r="CC58" s="385"/>
      <c r="CD58" s="385"/>
      <c r="CE58" s="385"/>
      <c r="CF58" s="385"/>
      <c r="CG58" s="385"/>
      <c r="CH58" s="385"/>
      <c r="CI58" s="385"/>
      <c r="CJ58" s="385"/>
      <c r="CK58" s="385"/>
      <c r="CL58" s="385"/>
      <c r="CM58" s="385"/>
      <c r="CN58" s="385"/>
      <c r="CO58" s="385"/>
      <c r="CP58" s="385"/>
      <c r="CQ58" s="385"/>
      <c r="CR58" s="385"/>
      <c r="CS58" s="385"/>
      <c r="CT58" s="385"/>
      <c r="CU58" s="385"/>
      <c r="CV58" s="385"/>
      <c r="CW58" s="385"/>
      <c r="CX58" s="385"/>
      <c r="CY58" s="385"/>
      <c r="CZ58" s="385"/>
      <c r="DA58" s="385"/>
      <c r="DB58" s="385"/>
      <c r="DC58" s="385"/>
      <c r="DD58" s="385"/>
      <c r="DE58" s="385"/>
      <c r="DF58" s="385"/>
      <c r="DG58" s="385"/>
      <c r="DH58" s="385"/>
      <c r="DI58" s="385"/>
      <c r="DJ58" s="385"/>
      <c r="DK58" s="385"/>
      <c r="DL58" s="385"/>
      <c r="DM58" s="385"/>
      <c r="DN58" s="385"/>
      <c r="DO58" s="385"/>
      <c r="DP58" s="385"/>
      <c r="DQ58" s="385"/>
      <c r="DR58" s="385"/>
      <c r="DS58" s="385"/>
      <c r="DT58" s="385"/>
      <c r="DU58" s="385"/>
      <c r="DV58" s="385"/>
      <c r="DW58" s="385"/>
      <c r="DX58" s="385"/>
      <c r="DY58" s="385"/>
      <c r="DZ58" s="385"/>
      <c r="EA58" s="385"/>
      <c r="EB58" s="385"/>
      <c r="EC58" s="385"/>
      <c r="ED58" s="385"/>
      <c r="EE58" s="385"/>
      <c r="EF58" s="385"/>
      <c r="EG58" s="385"/>
      <c r="EH58" s="385"/>
      <c r="EI58" s="385"/>
      <c r="EJ58" s="385"/>
      <c r="EK58" s="385"/>
      <c r="EL58" s="385"/>
      <c r="EM58" s="385"/>
      <c r="EN58" s="385"/>
      <c r="EO58" s="385"/>
      <c r="EP58" s="385"/>
      <c r="EQ58" s="385"/>
      <c r="ER58" s="385"/>
      <c r="ES58" s="385"/>
      <c r="ET58" s="385"/>
      <c r="EU58" s="385"/>
      <c r="EV58" s="385"/>
      <c r="EW58" s="385"/>
      <c r="EX58" s="385"/>
      <c r="EY58" s="385"/>
      <c r="EZ58" s="385"/>
      <c r="FA58" s="385"/>
      <c r="FB58" s="385"/>
      <c r="FC58" s="385"/>
      <c r="FD58" s="385"/>
      <c r="FE58" s="385"/>
      <c r="FF58" s="385"/>
      <c r="FG58" s="385"/>
      <c r="FH58" s="385"/>
      <c r="FI58" s="385"/>
      <c r="FJ58" s="385"/>
      <c r="FK58" s="385"/>
      <c r="FL58" s="385"/>
      <c r="FM58" s="385"/>
      <c r="FN58" s="385"/>
      <c r="FO58" s="385"/>
      <c r="FP58" s="385"/>
      <c r="FQ58" s="385"/>
      <c r="FR58" s="385"/>
      <c r="FS58" s="385"/>
      <c r="FT58" s="385"/>
      <c r="FU58" s="385"/>
      <c r="FV58" s="385"/>
      <c r="FW58" s="385"/>
      <c r="FX58" s="385"/>
      <c r="FY58" s="385"/>
      <c r="FZ58" s="385"/>
      <c r="GA58" s="385"/>
      <c r="GB58" s="385"/>
      <c r="GC58" s="385"/>
      <c r="GD58" s="385"/>
      <c r="GE58" s="385"/>
      <c r="GF58" s="385"/>
      <c r="GG58" s="385"/>
      <c r="GH58" s="385"/>
      <c r="GI58" s="385"/>
      <c r="GJ58" s="385"/>
      <c r="GK58" s="385"/>
      <c r="GL58" s="385"/>
      <c r="GM58" s="385"/>
      <c r="GN58" s="385"/>
      <c r="GO58" s="385"/>
      <c r="GP58" s="385"/>
      <c r="GQ58" s="385"/>
      <c r="GR58" s="385"/>
      <c r="GS58" s="385"/>
      <c r="GT58" s="385"/>
      <c r="GU58" s="385"/>
      <c r="GV58" s="385"/>
      <c r="GW58" s="385"/>
      <c r="GX58" s="385"/>
      <c r="GY58" s="385"/>
      <c r="GZ58" s="385"/>
      <c r="HA58" s="385"/>
      <c r="HB58" s="385"/>
      <c r="HC58" s="385"/>
      <c r="HD58" s="385"/>
      <c r="HE58" s="385"/>
      <c r="HF58" s="385"/>
      <c r="HG58" s="385"/>
      <c r="HH58" s="385"/>
      <c r="HI58" s="385"/>
      <c r="HJ58" s="385"/>
      <c r="HK58" s="385"/>
      <c r="HL58" s="385"/>
      <c r="HM58" s="385"/>
      <c r="HN58" s="385"/>
      <c r="HO58" s="385"/>
      <c r="HP58" s="385"/>
      <c r="HQ58" s="385"/>
      <c r="HR58" s="385"/>
      <c r="HS58" s="385"/>
      <c r="HT58" s="385"/>
      <c r="HU58" s="385"/>
      <c r="HV58" s="385"/>
      <c r="HW58" s="385"/>
      <c r="HX58" s="385"/>
      <c r="HY58" s="385"/>
      <c r="HZ58" s="385"/>
      <c r="IA58" s="385"/>
      <c r="IB58" s="385"/>
      <c r="IC58" s="385"/>
      <c r="ID58" s="385"/>
      <c r="IE58" s="385"/>
      <c r="IF58" s="385"/>
      <c r="IG58" s="385"/>
      <c r="IH58" s="385"/>
      <c r="II58" s="385"/>
      <c r="IJ58" s="385"/>
      <c r="IK58" s="385"/>
      <c r="IL58" s="385"/>
      <c r="IM58" s="385"/>
      <c r="IN58" s="385"/>
      <c r="IO58" s="385"/>
    </row>
    <row r="59" spans="1:249" s="425" customFormat="1" ht="24.95" customHeight="1" x14ac:dyDescent="0.2">
      <c r="A59" s="618" t="str">
        <f>+IF(NOVIEMBRE!A59=0,"",NOVIEMBRE!A59)</f>
        <v>1130111-2</v>
      </c>
      <c r="B59" s="654" t="str">
        <f>+IF(NOVIEMBRE!B59=0,"",NOVIEMBRE!B59)</f>
        <v>Vigencia Anterior</v>
      </c>
      <c r="C59" s="375">
        <f>+ENERO!C59</f>
        <v>0</v>
      </c>
      <c r="D59" s="376">
        <f>NOVIEMBRE!D59+DICIEMBRE!P59</f>
        <v>0</v>
      </c>
      <c r="E59" s="376">
        <f>NOVIEMBRE!E59+DICIEMBRE!Q59</f>
        <v>0</v>
      </c>
      <c r="F59" s="376">
        <f>SUM(C59:E59)</f>
        <v>0</v>
      </c>
      <c r="G59" s="376">
        <f>NOVIEMBRE!I59</f>
        <v>0</v>
      </c>
      <c r="H59" s="377">
        <v>0</v>
      </c>
      <c r="I59" s="376">
        <f>SUM(G59:H59)</f>
        <v>0</v>
      </c>
      <c r="J59" s="376">
        <f>NOVIEMBRE!L59</f>
        <v>0</v>
      </c>
      <c r="K59" s="377">
        <v>0</v>
      </c>
      <c r="L59" s="376">
        <f>SUM(J59:K59)</f>
        <v>0</v>
      </c>
      <c r="M59" s="376">
        <f>F59-I59</f>
        <v>0</v>
      </c>
      <c r="N59" s="146">
        <f>F59-L59</f>
        <v>0</v>
      </c>
      <c r="O59" s="385"/>
      <c r="P59" s="375">
        <v>0</v>
      </c>
      <c r="Q59" s="378">
        <v>0</v>
      </c>
      <c r="R59" s="9"/>
      <c r="S59" s="720" t="str">
        <f>+IF(NOVIEMBRE!S59=0,"",NOVIEMBRE!S59)</f>
        <v>1010402-1</v>
      </c>
      <c r="T59" s="694" t="str">
        <f>+IF(NOVIEMBRE!T59=0,"",NOVIEMBRE!T59)</f>
        <v>S.E.N.A.</v>
      </c>
      <c r="U59" s="27">
        <f>+ENERO!U59</f>
        <v>7395961</v>
      </c>
      <c r="V59" s="15">
        <f>NOVIEMBRE!V59+DICIEMBRE!AL59</f>
        <v>0</v>
      </c>
      <c r="W59" s="15">
        <f>NOVIEMBRE!W59+DICIEMBRE!AM59</f>
        <v>0</v>
      </c>
      <c r="X59" s="18">
        <f>SUM(U59:W59)</f>
        <v>7395961</v>
      </c>
      <c r="Y59" s="19">
        <f>NOVIEMBRE!AA59</f>
        <v>4923900</v>
      </c>
      <c r="Z59" s="377">
        <v>0</v>
      </c>
      <c r="AA59" s="18">
        <f>SUM(Y59:Z59)</f>
        <v>4923900</v>
      </c>
      <c r="AB59" s="19">
        <f>NOVIEMBRE!AD59</f>
        <v>4923900</v>
      </c>
      <c r="AC59" s="377">
        <v>0</v>
      </c>
      <c r="AD59" s="18">
        <f>SUM(AB59:AC59)</f>
        <v>4923900</v>
      </c>
      <c r="AE59" s="19">
        <f>NOVIEMBRE!AG59</f>
        <v>4384400</v>
      </c>
      <c r="AF59" s="377">
        <v>0</v>
      </c>
      <c r="AG59" s="18">
        <f>SUM(AE59:AF59)</f>
        <v>4384400</v>
      </c>
      <c r="AH59" s="19">
        <f>X59-AA59</f>
        <v>2472061</v>
      </c>
      <c r="AI59" s="15">
        <f>X59-AD59</f>
        <v>2472061</v>
      </c>
      <c r="AJ59" s="16">
        <f>X59-AG59</f>
        <v>3011561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464"/>
      <c r="BR59" s="385"/>
      <c r="BS59" s="385"/>
      <c r="BT59" s="385"/>
      <c r="BU59" s="385"/>
      <c r="BV59" s="385"/>
      <c r="BW59" s="385"/>
      <c r="BX59" s="385"/>
      <c r="BY59" s="385"/>
      <c r="BZ59" s="385"/>
      <c r="CA59" s="385"/>
      <c r="CB59" s="385"/>
      <c r="CC59" s="385"/>
      <c r="CD59" s="385"/>
      <c r="CE59" s="385"/>
      <c r="CF59" s="385"/>
      <c r="CG59" s="385"/>
      <c r="CH59" s="385"/>
      <c r="CI59" s="385"/>
      <c r="CJ59" s="385"/>
      <c r="CK59" s="385"/>
      <c r="CL59" s="385"/>
      <c r="CM59" s="385"/>
      <c r="CN59" s="385"/>
      <c r="CO59" s="385"/>
      <c r="CP59" s="385"/>
      <c r="CQ59" s="385"/>
      <c r="CR59" s="385"/>
      <c r="CS59" s="385"/>
      <c r="CT59" s="385"/>
      <c r="CU59" s="385"/>
      <c r="CV59" s="385"/>
      <c r="CW59" s="385"/>
      <c r="CX59" s="385"/>
      <c r="CY59" s="385"/>
      <c r="CZ59" s="385"/>
      <c r="DA59" s="385"/>
      <c r="DB59" s="385"/>
      <c r="DC59" s="385"/>
      <c r="DD59" s="385"/>
      <c r="DE59" s="385"/>
      <c r="DF59" s="385"/>
      <c r="DG59" s="385"/>
      <c r="DH59" s="385"/>
      <c r="DI59" s="385"/>
      <c r="DJ59" s="385"/>
      <c r="DK59" s="385"/>
      <c r="DL59" s="385"/>
      <c r="DM59" s="385"/>
      <c r="DN59" s="385"/>
      <c r="DO59" s="385"/>
      <c r="DP59" s="385"/>
      <c r="DQ59" s="385"/>
      <c r="DR59" s="385"/>
      <c r="DS59" s="385"/>
      <c r="DT59" s="385"/>
      <c r="DU59" s="385"/>
      <c r="DV59" s="385"/>
      <c r="DW59" s="385"/>
      <c r="DX59" s="385"/>
      <c r="DY59" s="385"/>
      <c r="DZ59" s="385"/>
      <c r="EA59" s="385"/>
      <c r="EB59" s="385"/>
      <c r="EC59" s="385"/>
      <c r="ED59" s="385"/>
      <c r="EE59" s="385"/>
      <c r="EF59" s="385"/>
      <c r="EG59" s="385"/>
      <c r="EH59" s="385"/>
      <c r="EI59" s="385"/>
      <c r="EJ59" s="385"/>
      <c r="EK59" s="385"/>
      <c r="EL59" s="385"/>
      <c r="EM59" s="385"/>
      <c r="EN59" s="385"/>
      <c r="EO59" s="385"/>
      <c r="EP59" s="385"/>
      <c r="EQ59" s="385"/>
      <c r="ER59" s="385"/>
      <c r="ES59" s="385"/>
      <c r="ET59" s="385"/>
      <c r="EU59" s="385"/>
      <c r="EV59" s="385"/>
      <c r="EW59" s="385"/>
      <c r="EX59" s="385"/>
      <c r="EY59" s="385"/>
      <c r="EZ59" s="385"/>
      <c r="FA59" s="385"/>
      <c r="FB59" s="385"/>
      <c r="FC59" s="385"/>
      <c r="FD59" s="385"/>
      <c r="FE59" s="385"/>
      <c r="FF59" s="385"/>
      <c r="FG59" s="385"/>
      <c r="FH59" s="385"/>
      <c r="FI59" s="385"/>
      <c r="FJ59" s="385"/>
      <c r="FK59" s="385"/>
      <c r="FL59" s="385"/>
      <c r="FM59" s="385"/>
      <c r="FN59" s="385"/>
      <c r="FO59" s="385"/>
      <c r="FP59" s="385"/>
      <c r="FQ59" s="385"/>
      <c r="FR59" s="385"/>
      <c r="FS59" s="385"/>
      <c r="FT59" s="385"/>
      <c r="FU59" s="385"/>
      <c r="FV59" s="385"/>
      <c r="FW59" s="385"/>
      <c r="FX59" s="385"/>
      <c r="FY59" s="385"/>
      <c r="FZ59" s="385"/>
      <c r="GA59" s="385"/>
      <c r="GB59" s="385"/>
      <c r="GC59" s="385"/>
      <c r="GD59" s="385"/>
      <c r="GE59" s="385"/>
      <c r="GF59" s="385"/>
      <c r="GG59" s="385"/>
      <c r="GH59" s="385"/>
      <c r="GI59" s="385"/>
      <c r="GJ59" s="385"/>
      <c r="GK59" s="385"/>
      <c r="GL59" s="385"/>
      <c r="GM59" s="385"/>
      <c r="GN59" s="385"/>
      <c r="GO59" s="385"/>
      <c r="GP59" s="385"/>
      <c r="GQ59" s="385"/>
      <c r="GR59" s="385"/>
      <c r="GS59" s="385"/>
      <c r="GT59" s="385"/>
      <c r="GU59" s="385"/>
      <c r="GV59" s="385"/>
      <c r="GW59" s="385"/>
      <c r="GX59" s="385"/>
      <c r="GY59" s="385"/>
      <c r="GZ59" s="385"/>
      <c r="HA59" s="385"/>
      <c r="HB59" s="385"/>
      <c r="HC59" s="385"/>
      <c r="HD59" s="385"/>
      <c r="HE59" s="385"/>
      <c r="HF59" s="385"/>
      <c r="HG59" s="385"/>
      <c r="HH59" s="385"/>
      <c r="HI59" s="385"/>
      <c r="HJ59" s="385"/>
      <c r="HK59" s="385"/>
      <c r="HL59" s="385"/>
      <c r="HM59" s="385"/>
      <c r="HN59" s="385"/>
      <c r="HO59" s="385"/>
      <c r="HP59" s="385"/>
      <c r="HQ59" s="385"/>
      <c r="HR59" s="385"/>
      <c r="HS59" s="385"/>
      <c r="HT59" s="385"/>
      <c r="HU59" s="385"/>
      <c r="HV59" s="385"/>
      <c r="HW59" s="385"/>
      <c r="HX59" s="385"/>
      <c r="HY59" s="385"/>
      <c r="HZ59" s="385"/>
      <c r="IA59" s="385"/>
      <c r="IB59" s="385"/>
      <c r="IC59" s="385"/>
      <c r="ID59" s="385"/>
      <c r="IE59" s="385"/>
      <c r="IF59" s="385"/>
      <c r="IG59" s="385"/>
      <c r="IH59" s="385"/>
      <c r="II59" s="385"/>
      <c r="IJ59" s="385"/>
      <c r="IK59" s="385"/>
      <c r="IL59" s="385"/>
      <c r="IM59" s="385"/>
      <c r="IN59" s="385"/>
      <c r="IO59" s="385"/>
    </row>
    <row r="60" spans="1:249" s="385" customFormat="1" ht="24.95" customHeight="1" x14ac:dyDescent="0.2">
      <c r="A60" s="747">
        <f>+IF(NOVIEMBRE!A60=0,"",NOVIEMBRE!A60)</f>
        <v>1130112</v>
      </c>
      <c r="B60" s="653" t="str">
        <f>+IF(NOVIEMBRE!B60=0,"",NOVIEMBRE!B60)</f>
        <v>IPS PUBLICAS</v>
      </c>
      <c r="C60" s="43">
        <f t="shared" ref="C60:N60" si="65">SUM(C61:C62)</f>
        <v>3473660</v>
      </c>
      <c r="D60" s="44">
        <f t="shared" si="65"/>
        <v>0</v>
      </c>
      <c r="E60" s="44">
        <f t="shared" si="65"/>
        <v>0</v>
      </c>
      <c r="F60" s="44">
        <f t="shared" si="65"/>
        <v>3473660</v>
      </c>
      <c r="G60" s="44">
        <f t="shared" si="65"/>
        <v>4629460</v>
      </c>
      <c r="H60" s="44">
        <f t="shared" si="65"/>
        <v>0</v>
      </c>
      <c r="I60" s="44">
        <f t="shared" si="65"/>
        <v>4629460</v>
      </c>
      <c r="J60" s="44">
        <f t="shared" si="65"/>
        <v>1870182</v>
      </c>
      <c r="K60" s="44">
        <f t="shared" si="65"/>
        <v>0</v>
      </c>
      <c r="L60" s="44">
        <f t="shared" si="65"/>
        <v>1870182</v>
      </c>
      <c r="M60" s="44">
        <f t="shared" si="65"/>
        <v>-1155800</v>
      </c>
      <c r="N60" s="45">
        <f t="shared" si="65"/>
        <v>1603478</v>
      </c>
      <c r="P60" s="43">
        <f>SUM(P61:P62)</f>
        <v>0</v>
      </c>
      <c r="Q60" s="45">
        <f>SUM(Q61:Q62)</f>
        <v>0</v>
      </c>
      <c r="R60" s="9"/>
      <c r="S60" s="720" t="str">
        <f>+IF(NOVIEMBRE!S60=0,"",NOVIEMBRE!S60)</f>
        <v>1010402-2</v>
      </c>
      <c r="T60" s="694" t="str">
        <f>+IF(NOVIEMBRE!T60=0,"",NOVIEMBRE!T60)</f>
        <v>I.C.B.F.</v>
      </c>
      <c r="U60" s="27">
        <f>+ENERO!U60</f>
        <v>11093942</v>
      </c>
      <c r="V60" s="15">
        <f>NOVIEMBRE!V60+DICIEMBRE!AL60</f>
        <v>0</v>
      </c>
      <c r="W60" s="15">
        <f>NOVIEMBRE!W60+DICIEMBRE!AM60</f>
        <v>0</v>
      </c>
      <c r="X60" s="18">
        <f>SUM(U60:W60)</f>
        <v>11093942</v>
      </c>
      <c r="Y60" s="19">
        <f>NOVIEMBRE!AA60</f>
        <v>7276400</v>
      </c>
      <c r="Z60" s="377">
        <v>0</v>
      </c>
      <c r="AA60" s="18">
        <f>SUM(Y60:Z60)</f>
        <v>7276400</v>
      </c>
      <c r="AB60" s="19">
        <f>NOVIEMBRE!AD60</f>
        <v>7276400</v>
      </c>
      <c r="AC60" s="377">
        <v>0</v>
      </c>
      <c r="AD60" s="18">
        <f>SUM(AB60:AC60)</f>
        <v>7276400</v>
      </c>
      <c r="AE60" s="19">
        <f>NOVIEMBRE!AG60</f>
        <v>6467600</v>
      </c>
      <c r="AF60" s="377">
        <v>0</v>
      </c>
      <c r="AG60" s="18">
        <f>SUM(AE60:AF60)</f>
        <v>6467600</v>
      </c>
      <c r="AH60" s="19">
        <f>X60-AA60</f>
        <v>3817542</v>
      </c>
      <c r="AI60" s="15">
        <f>X60-AD60</f>
        <v>3817542</v>
      </c>
      <c r="AJ60" s="16">
        <f>X60-AG60</f>
        <v>4626342</v>
      </c>
      <c r="AK60" s="9"/>
      <c r="AL60" s="375">
        <v>0</v>
      </c>
      <c r="AM60" s="378">
        <v>0</v>
      </c>
      <c r="AN60" s="9"/>
      <c r="AO60" s="297"/>
      <c r="AP60" s="297"/>
      <c r="AQ60" s="297"/>
      <c r="AR60" s="297"/>
      <c r="AS60" s="297"/>
      <c r="AT60" s="297"/>
      <c r="AU60" s="297"/>
      <c r="AV60" s="297"/>
      <c r="AW60" s="297"/>
      <c r="AX60" s="297"/>
      <c r="AY60" s="297"/>
      <c r="AZ60" s="297"/>
      <c r="BQ60" s="464"/>
    </row>
    <row r="61" spans="1:249" s="425" customFormat="1" ht="24.95" customHeight="1" x14ac:dyDescent="0.2">
      <c r="A61" s="618" t="str">
        <f>+IF(NOVIEMBRE!A61=0,"",NOVIEMBRE!A61)</f>
        <v>1130112-1</v>
      </c>
      <c r="B61" s="654" t="str">
        <f>+CONCATENATE("Vigencia ",INSTRUCCIONES!$F$3)</f>
        <v>Vigencia 2015</v>
      </c>
      <c r="C61" s="375">
        <f>+ENERO!C61</f>
        <v>3473660</v>
      </c>
      <c r="D61" s="376">
        <f>NOVIEMBRE!D61+DICIEMBRE!P61</f>
        <v>0</v>
      </c>
      <c r="E61" s="376">
        <f>NOVIEMBRE!E61+DICIEMBRE!Q61</f>
        <v>0</v>
      </c>
      <c r="F61" s="376">
        <f>SUM(C61:E61)</f>
        <v>3473660</v>
      </c>
      <c r="G61" s="376">
        <f>NOVIEMBRE!I61</f>
        <v>4252920</v>
      </c>
      <c r="H61" s="377">
        <v>0</v>
      </c>
      <c r="I61" s="376">
        <f>SUM(G61:H61)</f>
        <v>4252920</v>
      </c>
      <c r="J61" s="376">
        <f>NOVIEMBRE!L61</f>
        <v>1493642</v>
      </c>
      <c r="K61" s="377">
        <v>0</v>
      </c>
      <c r="L61" s="376">
        <f>SUM(J61:K61)</f>
        <v>1493642</v>
      </c>
      <c r="M61" s="376">
        <f>F61-I61</f>
        <v>-779260</v>
      </c>
      <c r="N61" s="146">
        <f>F61-L61</f>
        <v>1980018</v>
      </c>
      <c r="O61" s="385"/>
      <c r="P61" s="375">
        <v>0</v>
      </c>
      <c r="Q61" s="378">
        <v>0</v>
      </c>
      <c r="R61" s="9"/>
      <c r="S61" s="719">
        <f>+IF(NOVIEMBRE!S61=0,"",NOVIEMBRE!S61)</f>
        <v>1010499</v>
      </c>
      <c r="T61" s="693" t="str">
        <f>+IF(NOVIEMBRE!T61=0,"",NOVIEMBRE!T61)</f>
        <v>Vigencias Anteriores</v>
      </c>
      <c r="U61" s="27">
        <f>+ENERO!U61</f>
        <v>0</v>
      </c>
      <c r="V61" s="15">
        <f>NOVIEMBRE!V61+DICIEMBRE!AL61</f>
        <v>0</v>
      </c>
      <c r="W61" s="15">
        <f>NOVIEMBRE!W61+DICIEMBRE!AM61</f>
        <v>1280600</v>
      </c>
      <c r="X61" s="18">
        <f>SUM(U61:W61)</f>
        <v>1280600</v>
      </c>
      <c r="Y61" s="19">
        <f>NOVIEMBRE!AA61</f>
        <v>1280600</v>
      </c>
      <c r="Z61" s="377">
        <v>0</v>
      </c>
      <c r="AA61" s="18">
        <f>SUM(Y61:Z61)</f>
        <v>1280600</v>
      </c>
      <c r="AB61" s="19">
        <f>NOVIEMBRE!AD61</f>
        <v>1280600</v>
      </c>
      <c r="AC61" s="377">
        <v>0</v>
      </c>
      <c r="AD61" s="18">
        <f>SUM(AB61:AC61)</f>
        <v>1280600</v>
      </c>
      <c r="AE61" s="19">
        <f>NOVIEMBRE!AG61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464"/>
      <c r="BR61" s="385"/>
      <c r="BS61" s="385"/>
      <c r="BT61" s="385"/>
      <c r="BU61" s="385"/>
      <c r="BV61" s="385"/>
      <c r="BW61" s="385"/>
      <c r="BX61" s="385"/>
      <c r="BY61" s="385"/>
      <c r="BZ61" s="385"/>
      <c r="CA61" s="385"/>
      <c r="CB61" s="385"/>
      <c r="CC61" s="385"/>
      <c r="CD61" s="385"/>
      <c r="CE61" s="385"/>
      <c r="CF61" s="385"/>
      <c r="CG61" s="385"/>
      <c r="CH61" s="385"/>
      <c r="CI61" s="385"/>
      <c r="CJ61" s="385"/>
      <c r="CK61" s="385"/>
      <c r="CL61" s="385"/>
      <c r="CM61" s="385"/>
      <c r="CN61" s="385"/>
      <c r="CO61" s="385"/>
      <c r="CP61" s="385"/>
      <c r="CQ61" s="385"/>
      <c r="CR61" s="385"/>
      <c r="CS61" s="385"/>
      <c r="CT61" s="385"/>
      <c r="CU61" s="385"/>
      <c r="CV61" s="385"/>
      <c r="CW61" s="385"/>
      <c r="CX61" s="385"/>
      <c r="CY61" s="385"/>
      <c r="CZ61" s="385"/>
      <c r="DA61" s="385"/>
      <c r="DB61" s="385"/>
      <c r="DC61" s="385"/>
      <c r="DD61" s="385"/>
      <c r="DE61" s="385"/>
      <c r="DF61" s="385"/>
      <c r="DG61" s="385"/>
      <c r="DH61" s="385"/>
      <c r="DI61" s="385"/>
      <c r="DJ61" s="385"/>
      <c r="DK61" s="385"/>
      <c r="DL61" s="385"/>
      <c r="DM61" s="385"/>
      <c r="DN61" s="385"/>
      <c r="DO61" s="385"/>
      <c r="DP61" s="385"/>
      <c r="DQ61" s="385"/>
      <c r="DR61" s="385"/>
      <c r="DS61" s="385"/>
      <c r="DT61" s="385"/>
      <c r="DU61" s="385"/>
      <c r="DV61" s="385"/>
      <c r="DW61" s="385"/>
      <c r="DX61" s="385"/>
      <c r="DY61" s="385"/>
      <c r="DZ61" s="385"/>
      <c r="EA61" s="385"/>
      <c r="EB61" s="385"/>
      <c r="EC61" s="385"/>
      <c r="ED61" s="385"/>
      <c r="EE61" s="385"/>
      <c r="EF61" s="385"/>
      <c r="EG61" s="385"/>
      <c r="EH61" s="385"/>
      <c r="EI61" s="385"/>
      <c r="EJ61" s="385"/>
      <c r="EK61" s="385"/>
      <c r="EL61" s="385"/>
      <c r="EM61" s="385"/>
      <c r="EN61" s="385"/>
      <c r="EO61" s="385"/>
      <c r="EP61" s="385"/>
      <c r="EQ61" s="385"/>
      <c r="ER61" s="385"/>
      <c r="ES61" s="385"/>
      <c r="ET61" s="385"/>
      <c r="EU61" s="385"/>
      <c r="EV61" s="385"/>
      <c r="EW61" s="385"/>
      <c r="EX61" s="385"/>
      <c r="EY61" s="385"/>
      <c r="EZ61" s="385"/>
      <c r="FA61" s="385"/>
      <c r="FB61" s="385"/>
      <c r="FC61" s="385"/>
      <c r="FD61" s="385"/>
      <c r="FE61" s="385"/>
      <c r="FF61" s="385"/>
      <c r="FG61" s="385"/>
      <c r="FH61" s="385"/>
      <c r="FI61" s="385"/>
      <c r="FJ61" s="385"/>
      <c r="FK61" s="385"/>
      <c r="FL61" s="385"/>
      <c r="FM61" s="385"/>
      <c r="FN61" s="385"/>
      <c r="FO61" s="385"/>
      <c r="FP61" s="385"/>
      <c r="FQ61" s="385"/>
      <c r="FR61" s="385"/>
      <c r="FS61" s="385"/>
      <c r="FT61" s="385"/>
      <c r="FU61" s="385"/>
      <c r="FV61" s="385"/>
      <c r="FW61" s="385"/>
      <c r="FX61" s="385"/>
      <c r="FY61" s="385"/>
      <c r="FZ61" s="385"/>
      <c r="GA61" s="385"/>
      <c r="GB61" s="385"/>
      <c r="GC61" s="385"/>
      <c r="GD61" s="385"/>
      <c r="GE61" s="385"/>
      <c r="GF61" s="385"/>
      <c r="GG61" s="385"/>
      <c r="GH61" s="385"/>
      <c r="GI61" s="385"/>
      <c r="GJ61" s="385"/>
      <c r="GK61" s="385"/>
      <c r="GL61" s="385"/>
      <c r="GM61" s="385"/>
      <c r="GN61" s="385"/>
      <c r="GO61" s="385"/>
      <c r="GP61" s="385"/>
      <c r="GQ61" s="385"/>
      <c r="GR61" s="385"/>
      <c r="GS61" s="385"/>
      <c r="GT61" s="385"/>
      <c r="GU61" s="385"/>
      <c r="GV61" s="385"/>
      <c r="GW61" s="385"/>
      <c r="GX61" s="385"/>
      <c r="GY61" s="385"/>
      <c r="GZ61" s="385"/>
      <c r="HA61" s="385"/>
      <c r="HB61" s="385"/>
      <c r="HC61" s="385"/>
      <c r="HD61" s="385"/>
      <c r="HE61" s="385"/>
      <c r="HF61" s="385"/>
      <c r="HG61" s="385"/>
      <c r="HH61" s="385"/>
      <c r="HI61" s="385"/>
      <c r="HJ61" s="385"/>
      <c r="HK61" s="385"/>
      <c r="HL61" s="385"/>
      <c r="HM61" s="385"/>
      <c r="HN61" s="385"/>
      <c r="HO61" s="385"/>
      <c r="HP61" s="385"/>
      <c r="HQ61" s="385"/>
      <c r="HR61" s="385"/>
      <c r="HS61" s="385"/>
      <c r="HT61" s="385"/>
      <c r="HU61" s="385"/>
      <c r="HV61" s="385"/>
      <c r="HW61" s="385"/>
      <c r="HX61" s="385"/>
      <c r="HY61" s="385"/>
      <c r="HZ61" s="385"/>
      <c r="IA61" s="385"/>
      <c r="IB61" s="385"/>
      <c r="IC61" s="385"/>
      <c r="ID61" s="385"/>
      <c r="IE61" s="385"/>
      <c r="IF61" s="385"/>
      <c r="IG61" s="385"/>
      <c r="IH61" s="385"/>
      <c r="II61" s="385"/>
      <c r="IJ61" s="385"/>
      <c r="IK61" s="385"/>
      <c r="IL61" s="385"/>
      <c r="IM61" s="385"/>
      <c r="IN61" s="385"/>
      <c r="IO61" s="385"/>
    </row>
    <row r="62" spans="1:249" s="425" customFormat="1" ht="24.95" customHeight="1" x14ac:dyDescent="0.2">
      <c r="A62" s="618" t="str">
        <f>+IF(NOVIEMBRE!A62=0,"",NOVIEMBRE!A62)</f>
        <v>1130112-2</v>
      </c>
      <c r="B62" s="654" t="str">
        <f>+IF(NOVIEMBRE!B62=0,"",NOVIEMBRE!B62)</f>
        <v>Vigencia Anterior</v>
      </c>
      <c r="C62" s="375">
        <f>+ENERO!C62</f>
        <v>0</v>
      </c>
      <c r="D62" s="376">
        <f>NOVIEMBRE!D62+DICIEMBRE!P62</f>
        <v>0</v>
      </c>
      <c r="E62" s="376">
        <f>NOVIEMBRE!E62+DICIEMBRE!Q62</f>
        <v>0</v>
      </c>
      <c r="F62" s="376">
        <f>SUM(C62:E62)</f>
        <v>0</v>
      </c>
      <c r="G62" s="376">
        <f>NOVIEMBRE!I62</f>
        <v>376540</v>
      </c>
      <c r="H62" s="377">
        <v>0</v>
      </c>
      <c r="I62" s="376">
        <f>SUM(G62:H62)</f>
        <v>376540</v>
      </c>
      <c r="J62" s="376">
        <f>NOVIEMBRE!L62</f>
        <v>376540</v>
      </c>
      <c r="K62" s="377">
        <v>0</v>
      </c>
      <c r="L62" s="376">
        <f>SUM(J62:K62)</f>
        <v>376540</v>
      </c>
      <c r="M62" s="376">
        <f>F62-I62</f>
        <v>-376540</v>
      </c>
      <c r="N62" s="146">
        <f>F62-L62</f>
        <v>-376540</v>
      </c>
      <c r="O62" s="385"/>
      <c r="P62" s="375">
        <v>0</v>
      </c>
      <c r="Q62" s="378">
        <v>0</v>
      </c>
      <c r="R62" s="9"/>
      <c r="S62" s="369" t="str">
        <f>+IF(NOVIEMBRE!S62=0,"",NOVIEMBRE!S62)</f>
        <v/>
      </c>
      <c r="T62" s="708" t="str">
        <f>+IF(NOVIEMBRE!T62=0,"",NOVIEMBRE!T62)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464"/>
      <c r="BR62" s="385"/>
      <c r="BS62" s="385"/>
      <c r="BT62" s="385"/>
      <c r="BU62" s="385"/>
      <c r="BV62" s="385"/>
      <c r="BW62" s="385"/>
      <c r="BX62" s="385"/>
      <c r="BY62" s="385"/>
      <c r="BZ62" s="385"/>
      <c r="CA62" s="385"/>
      <c r="CB62" s="385"/>
      <c r="CC62" s="385"/>
      <c r="CD62" s="385"/>
      <c r="CE62" s="385"/>
      <c r="CF62" s="385"/>
      <c r="CG62" s="385"/>
      <c r="CH62" s="385"/>
      <c r="CI62" s="385"/>
      <c r="CJ62" s="385"/>
      <c r="CK62" s="385"/>
      <c r="CL62" s="385"/>
      <c r="CM62" s="385"/>
      <c r="CN62" s="385"/>
      <c r="CO62" s="385"/>
      <c r="CP62" s="385"/>
      <c r="CQ62" s="385"/>
      <c r="CR62" s="385"/>
      <c r="CS62" s="385"/>
      <c r="CT62" s="385"/>
      <c r="CU62" s="385"/>
      <c r="CV62" s="385"/>
      <c r="CW62" s="385"/>
      <c r="CX62" s="385"/>
      <c r="CY62" s="385"/>
      <c r="CZ62" s="385"/>
      <c r="DA62" s="385"/>
      <c r="DB62" s="385"/>
      <c r="DC62" s="385"/>
      <c r="DD62" s="385"/>
      <c r="DE62" s="385"/>
      <c r="DF62" s="385"/>
      <c r="DG62" s="385"/>
      <c r="DH62" s="385"/>
      <c r="DI62" s="385"/>
      <c r="DJ62" s="385"/>
      <c r="DK62" s="385"/>
      <c r="DL62" s="385"/>
      <c r="DM62" s="385"/>
      <c r="DN62" s="385"/>
      <c r="DO62" s="385"/>
      <c r="DP62" s="385"/>
      <c r="DQ62" s="385"/>
      <c r="DR62" s="385"/>
      <c r="DS62" s="385"/>
      <c r="DT62" s="385"/>
      <c r="DU62" s="385"/>
      <c r="DV62" s="385"/>
      <c r="DW62" s="385"/>
      <c r="DX62" s="385"/>
      <c r="DY62" s="385"/>
      <c r="DZ62" s="385"/>
      <c r="EA62" s="385"/>
      <c r="EB62" s="385"/>
      <c r="EC62" s="385"/>
      <c r="ED62" s="385"/>
      <c r="EE62" s="385"/>
      <c r="EF62" s="385"/>
      <c r="EG62" s="385"/>
      <c r="EH62" s="385"/>
      <c r="EI62" s="385"/>
      <c r="EJ62" s="385"/>
      <c r="EK62" s="385"/>
      <c r="EL62" s="385"/>
      <c r="EM62" s="385"/>
      <c r="EN62" s="385"/>
      <c r="EO62" s="385"/>
      <c r="EP62" s="385"/>
      <c r="EQ62" s="385"/>
      <c r="ER62" s="385"/>
      <c r="ES62" s="385"/>
      <c r="ET62" s="385"/>
      <c r="EU62" s="385"/>
      <c r="EV62" s="385"/>
      <c r="EW62" s="385"/>
      <c r="EX62" s="385"/>
      <c r="EY62" s="385"/>
      <c r="EZ62" s="385"/>
      <c r="FA62" s="385"/>
      <c r="FB62" s="385"/>
      <c r="FC62" s="385"/>
      <c r="FD62" s="385"/>
      <c r="FE62" s="385"/>
      <c r="FF62" s="385"/>
      <c r="FG62" s="385"/>
      <c r="FH62" s="385"/>
      <c r="FI62" s="385"/>
      <c r="FJ62" s="385"/>
      <c r="FK62" s="385"/>
      <c r="FL62" s="385"/>
      <c r="FM62" s="385"/>
      <c r="FN62" s="385"/>
      <c r="FO62" s="385"/>
      <c r="FP62" s="385"/>
      <c r="FQ62" s="385"/>
      <c r="FR62" s="385"/>
      <c r="FS62" s="385"/>
      <c r="FT62" s="385"/>
      <c r="FU62" s="385"/>
      <c r="FV62" s="385"/>
      <c r="FW62" s="385"/>
      <c r="FX62" s="385"/>
      <c r="FY62" s="385"/>
      <c r="FZ62" s="385"/>
      <c r="GA62" s="385"/>
      <c r="GB62" s="385"/>
      <c r="GC62" s="385"/>
      <c r="GD62" s="385"/>
      <c r="GE62" s="385"/>
      <c r="GF62" s="385"/>
      <c r="GG62" s="385"/>
      <c r="GH62" s="385"/>
      <c r="GI62" s="385"/>
      <c r="GJ62" s="385"/>
      <c r="GK62" s="385"/>
      <c r="GL62" s="385"/>
      <c r="GM62" s="385"/>
      <c r="GN62" s="385"/>
      <c r="GO62" s="385"/>
      <c r="GP62" s="385"/>
      <c r="GQ62" s="385"/>
      <c r="GR62" s="385"/>
      <c r="GS62" s="385"/>
      <c r="GT62" s="385"/>
      <c r="GU62" s="385"/>
      <c r="GV62" s="385"/>
      <c r="GW62" s="385"/>
      <c r="GX62" s="385"/>
      <c r="GY62" s="385"/>
      <c r="GZ62" s="385"/>
      <c r="HA62" s="385"/>
      <c r="HB62" s="385"/>
      <c r="HC62" s="385"/>
      <c r="HD62" s="385"/>
      <c r="HE62" s="385"/>
      <c r="HF62" s="385"/>
      <c r="HG62" s="385"/>
      <c r="HH62" s="385"/>
      <c r="HI62" s="385"/>
      <c r="HJ62" s="385"/>
      <c r="HK62" s="385"/>
      <c r="HL62" s="385"/>
      <c r="HM62" s="385"/>
      <c r="HN62" s="385"/>
      <c r="HO62" s="385"/>
      <c r="HP62" s="385"/>
      <c r="HQ62" s="385"/>
      <c r="HR62" s="385"/>
      <c r="HS62" s="385"/>
      <c r="HT62" s="385"/>
      <c r="HU62" s="385"/>
      <c r="HV62" s="385"/>
      <c r="HW62" s="385"/>
      <c r="HX62" s="385"/>
      <c r="HY62" s="385"/>
      <c r="HZ62" s="385"/>
      <c r="IA62" s="385"/>
      <c r="IB62" s="385"/>
      <c r="IC62" s="385"/>
      <c r="ID62" s="385"/>
      <c r="IE62" s="385"/>
      <c r="IF62" s="385"/>
      <c r="IG62" s="385"/>
      <c r="IH62" s="385"/>
      <c r="II62" s="385"/>
      <c r="IJ62" s="385"/>
      <c r="IK62" s="385"/>
      <c r="IL62" s="385"/>
      <c r="IM62" s="385"/>
      <c r="IN62" s="385"/>
      <c r="IO62" s="385"/>
    </row>
    <row r="63" spans="1:249" s="385" customFormat="1" ht="24.95" customHeight="1" x14ac:dyDescent="0.2">
      <c r="A63" s="747">
        <f>+IF(NOVIEMBRE!A63=0,"",NOVIEMBRE!A63)</f>
        <v>1130113</v>
      </c>
      <c r="B63" s="653" t="str">
        <f>+IF(NOVIEMBRE!B63=0,"",NOVIEMBRE!B63)</f>
        <v>COMPAÑIAS DE SEGUROS  - ACCIDENTES DE TRANSITO (SOAT)</v>
      </c>
      <c r="C63" s="43">
        <f t="shared" ref="C63:N63" si="66">SUM(C64:C65)</f>
        <v>22951026</v>
      </c>
      <c r="D63" s="44">
        <f t="shared" si="66"/>
        <v>0</v>
      </c>
      <c r="E63" s="44">
        <f t="shared" si="66"/>
        <v>2940835</v>
      </c>
      <c r="F63" s="44">
        <f t="shared" si="66"/>
        <v>25891861</v>
      </c>
      <c r="G63" s="44">
        <f t="shared" si="66"/>
        <v>25429005</v>
      </c>
      <c r="H63" s="44">
        <f t="shared" si="66"/>
        <v>0</v>
      </c>
      <c r="I63" s="44">
        <f t="shared" si="66"/>
        <v>25429005</v>
      </c>
      <c r="J63" s="44">
        <f t="shared" si="66"/>
        <v>15070963</v>
      </c>
      <c r="K63" s="44">
        <f t="shared" si="66"/>
        <v>0</v>
      </c>
      <c r="L63" s="44">
        <f t="shared" si="66"/>
        <v>15070963</v>
      </c>
      <c r="M63" s="44">
        <f t="shared" si="66"/>
        <v>462856</v>
      </c>
      <c r="N63" s="45">
        <f t="shared" si="66"/>
        <v>10820898</v>
      </c>
      <c r="P63" s="43">
        <f>SUM(P64:P65)</f>
        <v>0</v>
      </c>
      <c r="Q63" s="45">
        <f>SUM(Q64:Q65)</f>
        <v>0</v>
      </c>
      <c r="R63" s="9"/>
      <c r="S63" s="717">
        <f>+IF(NOVIEMBRE!S63=0,"",NOVIEMBRE!S63)</f>
        <v>1020010</v>
      </c>
      <c r="T63" s="691" t="str">
        <f>+IF(NOVIEMBRE!T63=0,"",NOVIEMBRE!T63)</f>
        <v>Gastos de Operación</v>
      </c>
      <c r="U63" s="135">
        <f t="shared" ref="U63:AJ63" si="67">U65+U83+U90+U104</f>
        <v>1276921669</v>
      </c>
      <c r="V63" s="124">
        <f t="shared" si="67"/>
        <v>87300000</v>
      </c>
      <c r="W63" s="124">
        <f t="shared" si="67"/>
        <v>78294418</v>
      </c>
      <c r="X63" s="132">
        <f t="shared" si="67"/>
        <v>1442516087</v>
      </c>
      <c r="Y63" s="131">
        <f t="shared" si="67"/>
        <v>1066392468</v>
      </c>
      <c r="Z63" s="124">
        <f t="shared" si="67"/>
        <v>0</v>
      </c>
      <c r="AA63" s="132">
        <f t="shared" si="67"/>
        <v>1066392468</v>
      </c>
      <c r="AB63" s="131">
        <f t="shared" si="67"/>
        <v>1025792468</v>
      </c>
      <c r="AC63" s="124">
        <f t="shared" si="67"/>
        <v>0</v>
      </c>
      <c r="AD63" s="132">
        <f t="shared" si="67"/>
        <v>1025792468</v>
      </c>
      <c r="AE63" s="131">
        <f t="shared" si="67"/>
        <v>917649774</v>
      </c>
      <c r="AF63" s="124">
        <f t="shared" si="67"/>
        <v>0</v>
      </c>
      <c r="AG63" s="132">
        <f t="shared" si="67"/>
        <v>917649774</v>
      </c>
      <c r="AH63" s="131">
        <f t="shared" si="67"/>
        <v>376123619</v>
      </c>
      <c r="AI63" s="124">
        <f t="shared" si="67"/>
        <v>416723619</v>
      </c>
      <c r="AJ63" s="133">
        <f t="shared" si="67"/>
        <v>524866313</v>
      </c>
      <c r="AK63" s="9"/>
      <c r="AL63" s="131">
        <f>AL65+AL83+AL90+AL104</f>
        <v>0</v>
      </c>
      <c r="AM63" s="133">
        <f>AM65+AM83+AM90+AM104</f>
        <v>0</v>
      </c>
      <c r="AN63" s="9"/>
      <c r="AO63" s="297"/>
      <c r="AP63" s="297"/>
      <c r="AQ63" s="297"/>
      <c r="AR63" s="297"/>
      <c r="AS63" s="297"/>
      <c r="AT63" s="297"/>
      <c r="AU63" s="297"/>
      <c r="AV63" s="297"/>
      <c r="AW63" s="297"/>
      <c r="AX63" s="297"/>
      <c r="AY63" s="297"/>
      <c r="AZ63" s="297"/>
      <c r="BQ63" s="464"/>
    </row>
    <row r="64" spans="1:249" s="425" customFormat="1" ht="24.95" customHeight="1" x14ac:dyDescent="0.2">
      <c r="A64" s="618" t="str">
        <f>+IF(NOVIEMBRE!A64=0,"",NOVIEMBRE!A64)</f>
        <v>1130113-1</v>
      </c>
      <c r="B64" s="654" t="str">
        <f>+CONCATENATE("Vigencia ",INSTRUCCIONES!$F$3)</f>
        <v>Vigencia 2015</v>
      </c>
      <c r="C64" s="375">
        <f>+ENERO!C64</f>
        <v>22951026</v>
      </c>
      <c r="D64" s="376">
        <f>NOVIEMBRE!D64+DICIEMBRE!P64</f>
        <v>0</v>
      </c>
      <c r="E64" s="376">
        <f>NOVIEMBRE!E64+DICIEMBRE!Q64</f>
        <v>0</v>
      </c>
      <c r="F64" s="376">
        <f>SUM(C64:E64)</f>
        <v>22951026</v>
      </c>
      <c r="G64" s="376">
        <f>NOVIEMBRE!I64</f>
        <v>22121153</v>
      </c>
      <c r="H64" s="377">
        <v>0</v>
      </c>
      <c r="I64" s="376">
        <f>SUM(G64:H64)</f>
        <v>22121153</v>
      </c>
      <c r="J64" s="376">
        <f>NOVIEMBRE!L64</f>
        <v>11763111</v>
      </c>
      <c r="K64" s="377">
        <v>0</v>
      </c>
      <c r="L64" s="376">
        <f>SUM(J64:K64)</f>
        <v>11763111</v>
      </c>
      <c r="M64" s="376">
        <f>F64-I64</f>
        <v>829873</v>
      </c>
      <c r="N64" s="146">
        <f>F64-L64</f>
        <v>11187915</v>
      </c>
      <c r="O64" s="385"/>
      <c r="P64" s="375">
        <v>0</v>
      </c>
      <c r="Q64" s="378">
        <v>0</v>
      </c>
      <c r="R64" s="9"/>
      <c r="S64" s="369" t="str">
        <f>+IF(NOVIEMBRE!S64=0,"",NOVIEMBRE!S64)</f>
        <v/>
      </c>
      <c r="T64" s="708" t="str">
        <f>+IF(NOVIEMBRE!T64=0,"",NOVIEMBRE!T64)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464"/>
      <c r="BR64" s="385"/>
      <c r="BS64" s="385"/>
      <c r="BT64" s="385"/>
      <c r="BU64" s="385"/>
      <c r="BV64" s="385"/>
      <c r="BW64" s="385"/>
      <c r="BX64" s="385"/>
      <c r="BY64" s="385"/>
      <c r="BZ64" s="385"/>
      <c r="CA64" s="385"/>
      <c r="CB64" s="385"/>
      <c r="CC64" s="385"/>
      <c r="CD64" s="385"/>
      <c r="CE64" s="385"/>
      <c r="CF64" s="385"/>
      <c r="CG64" s="385"/>
      <c r="CH64" s="385"/>
      <c r="CI64" s="385"/>
      <c r="CJ64" s="385"/>
      <c r="CK64" s="385"/>
      <c r="CL64" s="385"/>
      <c r="CM64" s="385"/>
      <c r="CN64" s="385"/>
      <c r="CO64" s="385"/>
      <c r="CP64" s="385"/>
      <c r="CQ64" s="385"/>
      <c r="CR64" s="385"/>
      <c r="CS64" s="385"/>
      <c r="CT64" s="385"/>
      <c r="CU64" s="385"/>
      <c r="CV64" s="385"/>
      <c r="CW64" s="385"/>
      <c r="CX64" s="385"/>
      <c r="CY64" s="385"/>
      <c r="CZ64" s="385"/>
      <c r="DA64" s="385"/>
      <c r="DB64" s="385"/>
      <c r="DC64" s="385"/>
      <c r="DD64" s="385"/>
      <c r="DE64" s="385"/>
      <c r="DF64" s="385"/>
      <c r="DG64" s="385"/>
      <c r="DH64" s="385"/>
      <c r="DI64" s="385"/>
      <c r="DJ64" s="385"/>
      <c r="DK64" s="385"/>
      <c r="DL64" s="385"/>
      <c r="DM64" s="385"/>
      <c r="DN64" s="385"/>
      <c r="DO64" s="385"/>
      <c r="DP64" s="385"/>
      <c r="DQ64" s="385"/>
      <c r="DR64" s="385"/>
      <c r="DS64" s="385"/>
      <c r="DT64" s="385"/>
      <c r="DU64" s="385"/>
      <c r="DV64" s="385"/>
      <c r="DW64" s="385"/>
      <c r="DX64" s="385"/>
      <c r="DY64" s="385"/>
      <c r="DZ64" s="385"/>
      <c r="EA64" s="385"/>
      <c r="EB64" s="385"/>
      <c r="EC64" s="385"/>
      <c r="ED64" s="385"/>
      <c r="EE64" s="385"/>
      <c r="EF64" s="385"/>
      <c r="EG64" s="385"/>
      <c r="EH64" s="385"/>
      <c r="EI64" s="385"/>
      <c r="EJ64" s="385"/>
      <c r="EK64" s="385"/>
      <c r="EL64" s="385"/>
      <c r="EM64" s="385"/>
      <c r="EN64" s="385"/>
      <c r="EO64" s="385"/>
      <c r="EP64" s="385"/>
      <c r="EQ64" s="385"/>
      <c r="ER64" s="385"/>
      <c r="ES64" s="385"/>
      <c r="ET64" s="385"/>
      <c r="EU64" s="385"/>
      <c r="EV64" s="385"/>
      <c r="EW64" s="385"/>
      <c r="EX64" s="385"/>
      <c r="EY64" s="385"/>
      <c r="EZ64" s="385"/>
      <c r="FA64" s="385"/>
      <c r="FB64" s="385"/>
      <c r="FC64" s="385"/>
      <c r="FD64" s="385"/>
      <c r="FE64" s="385"/>
      <c r="FF64" s="385"/>
      <c r="FG64" s="385"/>
      <c r="FH64" s="385"/>
      <c r="FI64" s="385"/>
      <c r="FJ64" s="385"/>
      <c r="FK64" s="385"/>
      <c r="FL64" s="385"/>
      <c r="FM64" s="385"/>
      <c r="FN64" s="385"/>
      <c r="FO64" s="385"/>
      <c r="FP64" s="385"/>
      <c r="FQ64" s="385"/>
      <c r="FR64" s="385"/>
      <c r="FS64" s="385"/>
      <c r="FT64" s="385"/>
      <c r="FU64" s="385"/>
      <c r="FV64" s="385"/>
      <c r="FW64" s="385"/>
      <c r="FX64" s="385"/>
      <c r="FY64" s="385"/>
      <c r="FZ64" s="385"/>
      <c r="GA64" s="385"/>
      <c r="GB64" s="385"/>
      <c r="GC64" s="385"/>
      <c r="GD64" s="385"/>
      <c r="GE64" s="385"/>
      <c r="GF64" s="385"/>
      <c r="GG64" s="385"/>
      <c r="GH64" s="385"/>
      <c r="GI64" s="385"/>
      <c r="GJ64" s="385"/>
      <c r="GK64" s="385"/>
      <c r="GL64" s="385"/>
      <c r="GM64" s="385"/>
      <c r="GN64" s="385"/>
      <c r="GO64" s="385"/>
      <c r="GP64" s="385"/>
      <c r="GQ64" s="385"/>
      <c r="GR64" s="385"/>
      <c r="GS64" s="385"/>
      <c r="GT64" s="385"/>
      <c r="GU64" s="385"/>
      <c r="GV64" s="385"/>
      <c r="GW64" s="385"/>
      <c r="GX64" s="385"/>
      <c r="GY64" s="385"/>
      <c r="GZ64" s="385"/>
      <c r="HA64" s="385"/>
      <c r="HB64" s="385"/>
      <c r="HC64" s="385"/>
      <c r="HD64" s="385"/>
      <c r="HE64" s="385"/>
      <c r="HF64" s="385"/>
      <c r="HG64" s="385"/>
      <c r="HH64" s="385"/>
      <c r="HI64" s="385"/>
      <c r="HJ64" s="385"/>
      <c r="HK64" s="385"/>
      <c r="HL64" s="385"/>
      <c r="HM64" s="385"/>
      <c r="HN64" s="385"/>
      <c r="HO64" s="385"/>
      <c r="HP64" s="385"/>
      <c r="HQ64" s="385"/>
      <c r="HR64" s="385"/>
      <c r="HS64" s="385"/>
      <c r="HT64" s="385"/>
      <c r="HU64" s="385"/>
      <c r="HV64" s="385"/>
      <c r="HW64" s="385"/>
      <c r="HX64" s="385"/>
      <c r="HY64" s="385"/>
      <c r="HZ64" s="385"/>
      <c r="IA64" s="385"/>
      <c r="IB64" s="385"/>
      <c r="IC64" s="385"/>
      <c r="ID64" s="385"/>
      <c r="IE64" s="385"/>
      <c r="IF64" s="385"/>
      <c r="IG64" s="385"/>
      <c r="IH64" s="385"/>
      <c r="II64" s="385"/>
      <c r="IJ64" s="385"/>
      <c r="IK64" s="385"/>
      <c r="IL64" s="385"/>
      <c r="IM64" s="385"/>
      <c r="IN64" s="385"/>
      <c r="IO64" s="385"/>
    </row>
    <row r="65" spans="1:249" s="425" customFormat="1" ht="24.95" customHeight="1" x14ac:dyDescent="0.2">
      <c r="A65" s="618" t="str">
        <f>+IF(NOVIEMBRE!A65=0,"",NOVIEMBRE!A65)</f>
        <v>1130113-2</v>
      </c>
      <c r="B65" s="654" t="str">
        <f>+IF(NOVIEMBRE!B65=0,"",NOVIEMBRE!B65)</f>
        <v>Vigencia Anterior</v>
      </c>
      <c r="C65" s="375">
        <f>+ENERO!C65</f>
        <v>0</v>
      </c>
      <c r="D65" s="376">
        <f>NOVIEMBRE!D65+DICIEMBRE!P65</f>
        <v>0</v>
      </c>
      <c r="E65" s="376">
        <f>NOVIEMBRE!E65+DICIEMBRE!Q65</f>
        <v>2940835</v>
      </c>
      <c r="F65" s="376">
        <f>SUM(C65:E65)</f>
        <v>2940835</v>
      </c>
      <c r="G65" s="376">
        <f>NOVIEMBRE!I65</f>
        <v>3307852</v>
      </c>
      <c r="H65" s="377">
        <v>0</v>
      </c>
      <c r="I65" s="376">
        <f>SUM(G65:H65)</f>
        <v>3307852</v>
      </c>
      <c r="J65" s="376">
        <f>NOVIEMBRE!L65</f>
        <v>3307852</v>
      </c>
      <c r="K65" s="377">
        <v>0</v>
      </c>
      <c r="L65" s="376">
        <f>SUM(J65:K65)</f>
        <v>3307852</v>
      </c>
      <c r="M65" s="376">
        <f>F65-I65</f>
        <v>-367017</v>
      </c>
      <c r="N65" s="146">
        <f>F65-L65</f>
        <v>-367017</v>
      </c>
      <c r="O65" s="385"/>
      <c r="P65" s="375">
        <v>0</v>
      </c>
      <c r="Q65" s="378">
        <v>0</v>
      </c>
      <c r="R65" s="9"/>
      <c r="S65" s="718">
        <f>+IF(NOVIEMBRE!S65=0,"",NOVIEMBRE!S65)</f>
        <v>1020100</v>
      </c>
      <c r="T65" s="692" t="str">
        <f>+IF(NOVIEMBRE!T65=0,"",NOVIEMBRE!T65)</f>
        <v>Servicios Personales Asociados a Nómina</v>
      </c>
      <c r="U65" s="135">
        <f t="shared" ref="U65:AJ65" si="68">SUM(U66:U69)+U81</f>
        <v>815343813</v>
      </c>
      <c r="V65" s="124">
        <f t="shared" si="68"/>
        <v>63300000</v>
      </c>
      <c r="W65" s="124">
        <f t="shared" si="68"/>
        <v>13655677</v>
      </c>
      <c r="X65" s="132">
        <f t="shared" si="68"/>
        <v>892299490</v>
      </c>
      <c r="Y65" s="131">
        <f t="shared" si="68"/>
        <v>629540833</v>
      </c>
      <c r="Z65" s="124">
        <f t="shared" si="68"/>
        <v>0</v>
      </c>
      <c r="AA65" s="132">
        <f t="shared" si="68"/>
        <v>629540833</v>
      </c>
      <c r="AB65" s="131">
        <f t="shared" si="68"/>
        <v>629540833</v>
      </c>
      <c r="AC65" s="124">
        <f t="shared" si="68"/>
        <v>0</v>
      </c>
      <c r="AD65" s="132">
        <f t="shared" si="68"/>
        <v>629540833</v>
      </c>
      <c r="AE65" s="131">
        <f t="shared" si="68"/>
        <v>573305329</v>
      </c>
      <c r="AF65" s="124">
        <f t="shared" si="68"/>
        <v>0</v>
      </c>
      <c r="AG65" s="132">
        <f t="shared" si="68"/>
        <v>573305329</v>
      </c>
      <c r="AH65" s="131">
        <f t="shared" si="68"/>
        <v>262758657</v>
      </c>
      <c r="AI65" s="124">
        <f t="shared" si="68"/>
        <v>262758657</v>
      </c>
      <c r="AJ65" s="133">
        <f t="shared" si="68"/>
        <v>318994161</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464"/>
      <c r="BR65" s="385"/>
      <c r="BS65" s="385"/>
      <c r="BT65" s="385"/>
      <c r="BU65" s="385"/>
      <c r="BV65" s="385"/>
      <c r="BW65" s="385"/>
      <c r="BX65" s="385"/>
      <c r="BY65" s="385"/>
      <c r="BZ65" s="385"/>
      <c r="CA65" s="385"/>
      <c r="CB65" s="385"/>
      <c r="CC65" s="385"/>
      <c r="CD65" s="385"/>
      <c r="CE65" s="385"/>
      <c r="CF65" s="385"/>
      <c r="CG65" s="385"/>
      <c r="CH65" s="385"/>
      <c r="CI65" s="385"/>
      <c r="CJ65" s="385"/>
      <c r="CK65" s="385"/>
      <c r="CL65" s="385"/>
      <c r="CM65" s="385"/>
      <c r="CN65" s="385"/>
      <c r="CO65" s="385"/>
      <c r="CP65" s="385"/>
      <c r="CQ65" s="385"/>
      <c r="CR65" s="385"/>
      <c r="CS65" s="385"/>
      <c r="CT65" s="385"/>
      <c r="CU65" s="385"/>
      <c r="CV65" s="385"/>
      <c r="CW65" s="385"/>
      <c r="CX65" s="385"/>
      <c r="CY65" s="385"/>
      <c r="CZ65" s="385"/>
      <c r="DA65" s="385"/>
      <c r="DB65" s="385"/>
      <c r="DC65" s="385"/>
      <c r="DD65" s="385"/>
      <c r="DE65" s="385"/>
      <c r="DF65" s="385"/>
      <c r="DG65" s="385"/>
      <c r="DH65" s="385"/>
      <c r="DI65" s="385"/>
      <c r="DJ65" s="385"/>
      <c r="DK65" s="385"/>
      <c r="DL65" s="385"/>
      <c r="DM65" s="385"/>
      <c r="DN65" s="385"/>
      <c r="DO65" s="385"/>
      <c r="DP65" s="385"/>
      <c r="DQ65" s="385"/>
      <c r="DR65" s="385"/>
      <c r="DS65" s="385"/>
      <c r="DT65" s="385"/>
      <c r="DU65" s="385"/>
      <c r="DV65" s="385"/>
      <c r="DW65" s="385"/>
      <c r="DX65" s="385"/>
      <c r="DY65" s="385"/>
      <c r="DZ65" s="385"/>
      <c r="EA65" s="385"/>
      <c r="EB65" s="385"/>
      <c r="EC65" s="385"/>
      <c r="ED65" s="385"/>
      <c r="EE65" s="385"/>
      <c r="EF65" s="385"/>
      <c r="EG65" s="385"/>
      <c r="EH65" s="385"/>
      <c r="EI65" s="385"/>
      <c r="EJ65" s="385"/>
      <c r="EK65" s="385"/>
      <c r="EL65" s="385"/>
      <c r="EM65" s="385"/>
      <c r="EN65" s="385"/>
      <c r="EO65" s="385"/>
      <c r="EP65" s="385"/>
      <c r="EQ65" s="385"/>
      <c r="ER65" s="385"/>
      <c r="ES65" s="385"/>
      <c r="ET65" s="385"/>
      <c r="EU65" s="385"/>
      <c r="EV65" s="385"/>
      <c r="EW65" s="385"/>
      <c r="EX65" s="385"/>
      <c r="EY65" s="385"/>
      <c r="EZ65" s="385"/>
      <c r="FA65" s="385"/>
      <c r="FB65" s="385"/>
      <c r="FC65" s="385"/>
      <c r="FD65" s="385"/>
      <c r="FE65" s="385"/>
      <c r="FF65" s="385"/>
      <c r="FG65" s="385"/>
      <c r="FH65" s="385"/>
      <c r="FI65" s="385"/>
      <c r="FJ65" s="385"/>
      <c r="FK65" s="385"/>
      <c r="FL65" s="385"/>
      <c r="FM65" s="385"/>
      <c r="FN65" s="385"/>
      <c r="FO65" s="385"/>
      <c r="FP65" s="385"/>
      <c r="FQ65" s="385"/>
      <c r="FR65" s="385"/>
      <c r="FS65" s="385"/>
      <c r="FT65" s="385"/>
      <c r="FU65" s="385"/>
      <c r="FV65" s="385"/>
      <c r="FW65" s="385"/>
      <c r="FX65" s="385"/>
      <c r="FY65" s="385"/>
      <c r="FZ65" s="385"/>
      <c r="GA65" s="385"/>
      <c r="GB65" s="385"/>
      <c r="GC65" s="385"/>
      <c r="GD65" s="385"/>
      <c r="GE65" s="385"/>
      <c r="GF65" s="385"/>
      <c r="GG65" s="385"/>
      <c r="GH65" s="385"/>
      <c r="GI65" s="385"/>
      <c r="GJ65" s="385"/>
      <c r="GK65" s="385"/>
      <c r="GL65" s="385"/>
      <c r="GM65" s="385"/>
      <c r="GN65" s="385"/>
      <c r="GO65" s="385"/>
      <c r="GP65" s="385"/>
      <c r="GQ65" s="385"/>
      <c r="GR65" s="385"/>
      <c r="GS65" s="385"/>
      <c r="GT65" s="385"/>
      <c r="GU65" s="385"/>
      <c r="GV65" s="385"/>
      <c r="GW65" s="385"/>
      <c r="GX65" s="385"/>
      <c r="GY65" s="385"/>
      <c r="GZ65" s="385"/>
      <c r="HA65" s="385"/>
      <c r="HB65" s="385"/>
      <c r="HC65" s="385"/>
      <c r="HD65" s="385"/>
      <c r="HE65" s="385"/>
      <c r="HF65" s="385"/>
      <c r="HG65" s="385"/>
      <c r="HH65" s="385"/>
      <c r="HI65" s="385"/>
      <c r="HJ65" s="385"/>
      <c r="HK65" s="385"/>
      <c r="HL65" s="385"/>
      <c r="HM65" s="385"/>
      <c r="HN65" s="385"/>
      <c r="HO65" s="385"/>
      <c r="HP65" s="385"/>
      <c r="HQ65" s="385"/>
      <c r="HR65" s="385"/>
      <c r="HS65" s="385"/>
      <c r="HT65" s="385"/>
      <c r="HU65" s="385"/>
      <c r="HV65" s="385"/>
      <c r="HW65" s="385"/>
      <c r="HX65" s="385"/>
      <c r="HY65" s="385"/>
      <c r="HZ65" s="385"/>
      <c r="IA65" s="385"/>
      <c r="IB65" s="385"/>
      <c r="IC65" s="385"/>
      <c r="ID65" s="385"/>
      <c r="IE65" s="385"/>
      <c r="IF65" s="385"/>
      <c r="IG65" s="385"/>
      <c r="IH65" s="385"/>
      <c r="II65" s="385"/>
      <c r="IJ65" s="385"/>
      <c r="IK65" s="385"/>
      <c r="IL65" s="385"/>
      <c r="IM65" s="385"/>
      <c r="IN65" s="385"/>
      <c r="IO65" s="385"/>
    </row>
    <row r="66" spans="1:249" s="385" customFormat="1" ht="24.95" customHeight="1" x14ac:dyDescent="0.2">
      <c r="A66" s="747">
        <f>+IF(NOVIEMBRE!A66=0,"",NOVIEMBRE!A66)</f>
        <v>1130114</v>
      </c>
      <c r="B66" s="653" t="str">
        <f>+IF(NOVIEMBRE!B66=0,"",NOVIEMBRE!B66)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+IF(NOVIEMBRE!S66=0,"",NOVIEMBRE!S66)</f>
        <v>1020101</v>
      </c>
      <c r="T66" s="693" t="str">
        <f>+IF(NOVIEMBRE!T66=0,"",NOVIEMBRE!T66)</f>
        <v>Sueldos del Personal de nómina</v>
      </c>
      <c r="U66" s="27">
        <f>+ENERO!U66</f>
        <v>641065344</v>
      </c>
      <c r="V66" s="15">
        <f>NOVIEMBRE!V66+DICIEMBRE!AL66</f>
        <v>-2300000</v>
      </c>
      <c r="W66" s="15">
        <f>NOVIEMBRE!W66+DICIEMBRE!AM66</f>
        <v>0</v>
      </c>
      <c r="X66" s="18">
        <f>SUM(U66:W66)</f>
        <v>638765344</v>
      </c>
      <c r="Y66" s="19">
        <f>NOVIEMBRE!AA66</f>
        <v>475745151</v>
      </c>
      <c r="Z66" s="377">
        <v>0</v>
      </c>
      <c r="AA66" s="18">
        <f>SUM(Y66:Z66)</f>
        <v>475745151</v>
      </c>
      <c r="AB66" s="19">
        <f>NOVIEMBRE!AD66</f>
        <v>475745151</v>
      </c>
      <c r="AC66" s="377">
        <v>0</v>
      </c>
      <c r="AD66" s="18">
        <f>SUM(AB66:AC66)</f>
        <v>475745151</v>
      </c>
      <c r="AE66" s="19">
        <f>NOVIEMBRE!AG66</f>
        <v>445741736</v>
      </c>
      <c r="AF66" s="377">
        <v>0</v>
      </c>
      <c r="AG66" s="18">
        <f>SUM(AE66:AF66)</f>
        <v>445741736</v>
      </c>
      <c r="AH66" s="19">
        <f>X66-AA66</f>
        <v>163020193</v>
      </c>
      <c r="AI66" s="15">
        <f>X66-AD66</f>
        <v>163020193</v>
      </c>
      <c r="AJ66" s="16">
        <f>X66-AG66</f>
        <v>193023608</v>
      </c>
      <c r="AK66" s="9"/>
      <c r="AL66" s="375">
        <v>0</v>
      </c>
      <c r="AM66" s="378">
        <v>0</v>
      </c>
      <c r="AN66" s="9"/>
      <c r="AO66" s="297"/>
      <c r="AP66" s="297"/>
      <c r="AQ66" s="297"/>
      <c r="AR66" s="297"/>
      <c r="AS66" s="297"/>
      <c r="AT66" s="297"/>
      <c r="AU66" s="297"/>
      <c r="AV66" s="297"/>
      <c r="AW66" s="297"/>
      <c r="AX66" s="297"/>
      <c r="AY66" s="297"/>
      <c r="AZ66" s="297"/>
      <c r="BQ66" s="464"/>
    </row>
    <row r="67" spans="1:249" s="425" customFormat="1" ht="24.95" customHeight="1" x14ac:dyDescent="0.2">
      <c r="A67" s="618" t="str">
        <f>+IF(NOVIEMBRE!A67=0,"",NOVIEMBRE!A67)</f>
        <v>1130114-1</v>
      </c>
      <c r="B67" s="654" t="str">
        <f>+CONCATENATE("Vigencia ",INSTRUCCIONES!$F$3)</f>
        <v>Vigencia 2015</v>
      </c>
      <c r="C67" s="375">
        <f>+ENERO!C67</f>
        <v>338898</v>
      </c>
      <c r="D67" s="376">
        <f>NOVIEMBRE!D67+DICIEMBRE!P67</f>
        <v>0</v>
      </c>
      <c r="E67" s="376">
        <f>NOVIEMBRE!E67+DICIEMBRE!Q67</f>
        <v>0</v>
      </c>
      <c r="F67" s="376">
        <f>SUM(C67:E67)</f>
        <v>338898</v>
      </c>
      <c r="G67" s="376">
        <f>NOVIEMBRE!I67</f>
        <v>0</v>
      </c>
      <c r="H67" s="377">
        <v>0</v>
      </c>
      <c r="I67" s="376">
        <f>SUM(G67:H67)</f>
        <v>0</v>
      </c>
      <c r="J67" s="376">
        <f>NOVIEMBRE!L67</f>
        <v>0</v>
      </c>
      <c r="K67" s="377">
        <v>0</v>
      </c>
      <c r="L67" s="376">
        <f>SUM(J67:K67)</f>
        <v>0</v>
      </c>
      <c r="M67" s="376">
        <f>F67-I67</f>
        <v>338898</v>
      </c>
      <c r="N67" s="146">
        <f>F67-L67</f>
        <v>338898</v>
      </c>
      <c r="O67" s="385"/>
      <c r="P67" s="375">
        <v>0</v>
      </c>
      <c r="Q67" s="378">
        <v>0</v>
      </c>
      <c r="R67" s="9"/>
      <c r="S67" s="719">
        <f>+IF(NOVIEMBRE!S67=0,"",NOVIEMBRE!S67)</f>
        <v>1020102</v>
      </c>
      <c r="T67" s="693" t="str">
        <f>+IF(NOVIEMBRE!T67=0,"",NOVIEMBRE!T67)</f>
        <v>Horas Extras,Dominic.,Festivos y Rec. Nocturnos</v>
      </c>
      <c r="U67" s="27">
        <f>+ENERO!U67</f>
        <v>57949728</v>
      </c>
      <c r="V67" s="15">
        <f>NOVIEMBRE!V67+DICIEMBRE!AL67</f>
        <v>65600000</v>
      </c>
      <c r="W67" s="15">
        <f>NOVIEMBRE!W67+DICIEMBRE!AM67</f>
        <v>0</v>
      </c>
      <c r="X67" s="18">
        <f>SUM(U67:W67)</f>
        <v>123549728</v>
      </c>
      <c r="Y67" s="19">
        <f>NOVIEMBRE!AA67</f>
        <v>105802013</v>
      </c>
      <c r="Z67" s="377">
        <v>0</v>
      </c>
      <c r="AA67" s="18">
        <f>SUM(Y67:Z67)</f>
        <v>105802013</v>
      </c>
      <c r="AB67" s="19">
        <f>NOVIEMBRE!AD67</f>
        <v>105802013</v>
      </c>
      <c r="AC67" s="377">
        <v>0</v>
      </c>
      <c r="AD67" s="18">
        <f>SUM(AB67:AC67)</f>
        <v>105802013</v>
      </c>
      <c r="AE67" s="19">
        <f>NOVIEMBRE!AG67</f>
        <v>100265887</v>
      </c>
      <c r="AF67" s="377">
        <v>0</v>
      </c>
      <c r="AG67" s="18">
        <f>SUM(AE67:AF67)</f>
        <v>100265887</v>
      </c>
      <c r="AH67" s="19">
        <f>X67-AA67</f>
        <v>17747715</v>
      </c>
      <c r="AI67" s="15">
        <f>X67-AD67</f>
        <v>17747715</v>
      </c>
      <c r="AJ67" s="16">
        <f>X67-AG67</f>
        <v>23283841</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464"/>
      <c r="BR67" s="385"/>
      <c r="BS67" s="385"/>
      <c r="BT67" s="385"/>
      <c r="BU67" s="385"/>
      <c r="BV67" s="385"/>
      <c r="BW67" s="385"/>
      <c r="BX67" s="385"/>
      <c r="BY67" s="385"/>
      <c r="BZ67" s="385"/>
      <c r="CA67" s="385"/>
      <c r="CB67" s="385"/>
      <c r="CC67" s="385"/>
      <c r="CD67" s="385"/>
      <c r="CE67" s="385"/>
      <c r="CF67" s="385"/>
      <c r="CG67" s="385"/>
      <c r="CH67" s="385"/>
      <c r="CI67" s="385"/>
      <c r="CJ67" s="385"/>
      <c r="CK67" s="385"/>
      <c r="CL67" s="385"/>
      <c r="CM67" s="385"/>
      <c r="CN67" s="385"/>
      <c r="CO67" s="385"/>
      <c r="CP67" s="385"/>
      <c r="CQ67" s="385"/>
      <c r="CR67" s="385"/>
      <c r="CS67" s="385"/>
      <c r="CT67" s="385"/>
      <c r="CU67" s="385"/>
      <c r="CV67" s="385"/>
      <c r="CW67" s="385"/>
      <c r="CX67" s="385"/>
      <c r="CY67" s="385"/>
      <c r="CZ67" s="385"/>
      <c r="DA67" s="385"/>
      <c r="DB67" s="385"/>
      <c r="DC67" s="385"/>
      <c r="DD67" s="385"/>
      <c r="DE67" s="385"/>
      <c r="DF67" s="385"/>
      <c r="DG67" s="385"/>
      <c r="DH67" s="385"/>
      <c r="DI67" s="385"/>
      <c r="DJ67" s="385"/>
      <c r="DK67" s="385"/>
      <c r="DL67" s="385"/>
      <c r="DM67" s="385"/>
      <c r="DN67" s="385"/>
      <c r="DO67" s="385"/>
      <c r="DP67" s="385"/>
      <c r="DQ67" s="385"/>
      <c r="DR67" s="385"/>
      <c r="DS67" s="385"/>
      <c r="DT67" s="385"/>
      <c r="DU67" s="385"/>
      <c r="DV67" s="385"/>
      <c r="DW67" s="385"/>
      <c r="DX67" s="385"/>
      <c r="DY67" s="385"/>
      <c r="DZ67" s="385"/>
      <c r="EA67" s="385"/>
      <c r="EB67" s="385"/>
      <c r="EC67" s="385"/>
      <c r="ED67" s="385"/>
      <c r="EE67" s="385"/>
      <c r="EF67" s="385"/>
      <c r="EG67" s="385"/>
      <c r="EH67" s="385"/>
      <c r="EI67" s="385"/>
      <c r="EJ67" s="385"/>
      <c r="EK67" s="385"/>
      <c r="EL67" s="385"/>
      <c r="EM67" s="385"/>
      <c r="EN67" s="385"/>
      <c r="EO67" s="385"/>
      <c r="EP67" s="385"/>
      <c r="EQ67" s="385"/>
      <c r="ER67" s="385"/>
      <c r="ES67" s="385"/>
      <c r="ET67" s="385"/>
      <c r="EU67" s="385"/>
      <c r="EV67" s="385"/>
      <c r="EW67" s="385"/>
      <c r="EX67" s="385"/>
      <c r="EY67" s="385"/>
      <c r="EZ67" s="385"/>
      <c r="FA67" s="385"/>
      <c r="FB67" s="385"/>
      <c r="FC67" s="385"/>
      <c r="FD67" s="385"/>
      <c r="FE67" s="385"/>
      <c r="FF67" s="385"/>
      <c r="FG67" s="385"/>
      <c r="FH67" s="385"/>
      <c r="FI67" s="385"/>
      <c r="FJ67" s="385"/>
      <c r="FK67" s="385"/>
      <c r="FL67" s="385"/>
      <c r="FM67" s="385"/>
      <c r="FN67" s="385"/>
      <c r="FO67" s="385"/>
      <c r="FP67" s="385"/>
      <c r="FQ67" s="385"/>
      <c r="FR67" s="385"/>
      <c r="FS67" s="385"/>
      <c r="FT67" s="385"/>
      <c r="FU67" s="385"/>
      <c r="FV67" s="385"/>
      <c r="FW67" s="385"/>
      <c r="FX67" s="385"/>
      <c r="FY67" s="385"/>
      <c r="FZ67" s="385"/>
      <c r="GA67" s="385"/>
      <c r="GB67" s="385"/>
      <c r="GC67" s="385"/>
      <c r="GD67" s="385"/>
      <c r="GE67" s="385"/>
      <c r="GF67" s="385"/>
      <c r="GG67" s="385"/>
      <c r="GH67" s="385"/>
      <c r="GI67" s="385"/>
      <c r="GJ67" s="385"/>
      <c r="GK67" s="385"/>
      <c r="GL67" s="385"/>
      <c r="GM67" s="385"/>
      <c r="GN67" s="385"/>
      <c r="GO67" s="385"/>
      <c r="GP67" s="385"/>
      <c r="GQ67" s="385"/>
      <c r="GR67" s="385"/>
      <c r="GS67" s="385"/>
      <c r="GT67" s="385"/>
      <c r="GU67" s="385"/>
      <c r="GV67" s="385"/>
      <c r="GW67" s="385"/>
      <c r="GX67" s="385"/>
      <c r="GY67" s="385"/>
      <c r="GZ67" s="385"/>
      <c r="HA67" s="385"/>
      <c r="HB67" s="385"/>
      <c r="HC67" s="385"/>
      <c r="HD67" s="385"/>
      <c r="HE67" s="385"/>
      <c r="HF67" s="385"/>
      <c r="HG67" s="385"/>
      <c r="HH67" s="385"/>
      <c r="HI67" s="385"/>
      <c r="HJ67" s="385"/>
      <c r="HK67" s="385"/>
      <c r="HL67" s="385"/>
      <c r="HM67" s="385"/>
      <c r="HN67" s="385"/>
      <c r="HO67" s="385"/>
      <c r="HP67" s="385"/>
      <c r="HQ67" s="385"/>
      <c r="HR67" s="385"/>
      <c r="HS67" s="385"/>
      <c r="HT67" s="385"/>
      <c r="HU67" s="385"/>
      <c r="HV67" s="385"/>
      <c r="HW67" s="385"/>
      <c r="HX67" s="385"/>
      <c r="HY67" s="385"/>
      <c r="HZ67" s="385"/>
      <c r="IA67" s="385"/>
      <c r="IB67" s="385"/>
      <c r="IC67" s="385"/>
      <c r="ID67" s="385"/>
      <c r="IE67" s="385"/>
      <c r="IF67" s="385"/>
      <c r="IG67" s="385"/>
      <c r="IH67" s="385"/>
      <c r="II67" s="385"/>
      <c r="IJ67" s="385"/>
      <c r="IK67" s="385"/>
      <c r="IL67" s="385"/>
      <c r="IM67" s="385"/>
      <c r="IN67" s="385"/>
      <c r="IO67" s="385"/>
    </row>
    <row r="68" spans="1:249" s="425" customFormat="1" ht="24.95" customHeight="1" x14ac:dyDescent="0.2">
      <c r="A68" s="618" t="str">
        <f>+IF(NOVIEMBRE!A68=0,"",NOVIEMBRE!A68)</f>
        <v>1130114-2</v>
      </c>
      <c r="B68" s="654" t="str">
        <f>+IF(NOVIEMBRE!B68=0,"",NOVIEMBRE!B68)</f>
        <v>Vigencia Anterior</v>
      </c>
      <c r="C68" s="375">
        <f>+ENERO!C68</f>
        <v>0</v>
      </c>
      <c r="D68" s="376">
        <f>NOVIEMBRE!D68+DICIEMBRE!P68</f>
        <v>0</v>
      </c>
      <c r="E68" s="376">
        <f>NOVIEMBRE!E68+DICIEMBRE!Q68</f>
        <v>0</v>
      </c>
      <c r="F68" s="376">
        <f>SUM(C68:E68)</f>
        <v>0</v>
      </c>
      <c r="G68" s="376">
        <f>NOVIEMBRE!I68</f>
        <v>78500</v>
      </c>
      <c r="H68" s="377">
        <v>0</v>
      </c>
      <c r="I68" s="376">
        <f>SUM(G68:H68)</f>
        <v>78500</v>
      </c>
      <c r="J68" s="376">
        <f>NOVIEMBRE!L68</f>
        <v>78500</v>
      </c>
      <c r="K68" s="377">
        <v>0</v>
      </c>
      <c r="L68" s="376">
        <f>SUM(J68:K68)</f>
        <v>78500</v>
      </c>
      <c r="M68" s="376">
        <f>F68-I68</f>
        <v>-78500</v>
      </c>
      <c r="N68" s="146">
        <f>F68-L68</f>
        <v>-78500</v>
      </c>
      <c r="O68" s="385"/>
      <c r="P68" s="375">
        <v>0</v>
      </c>
      <c r="Q68" s="378">
        <v>0</v>
      </c>
      <c r="R68" s="9"/>
      <c r="S68" s="719">
        <f>+IF(NOVIEMBRE!S68=0,"",NOVIEMBRE!S68)</f>
        <v>1020103</v>
      </c>
      <c r="T68" s="693" t="str">
        <f>+IF(NOVIEMBRE!T68=0,"",NOVIEMBRE!T68)</f>
        <v>Prima Técnica</v>
      </c>
      <c r="U68" s="27">
        <f>+ENERO!U68</f>
        <v>0</v>
      </c>
      <c r="V68" s="15">
        <f>NOVIEMBRE!V68+DICIEMBRE!AL68</f>
        <v>0</v>
      </c>
      <c r="W68" s="15">
        <f>NOVIEMBRE!W68+DICIEMBRE!AM68</f>
        <v>0</v>
      </c>
      <c r="X68" s="18">
        <f>SUM(U68:W68)</f>
        <v>0</v>
      </c>
      <c r="Y68" s="19">
        <f>NOVIEMBRE!AA68</f>
        <v>0</v>
      </c>
      <c r="Z68" s="377">
        <v>0</v>
      </c>
      <c r="AA68" s="18">
        <f>SUM(Y68:Z68)</f>
        <v>0</v>
      </c>
      <c r="AB68" s="19">
        <f>NOVIEMBRE!AD68</f>
        <v>0</v>
      </c>
      <c r="AC68" s="377">
        <v>0</v>
      </c>
      <c r="AD68" s="18">
        <f>SUM(AB68:AC68)</f>
        <v>0</v>
      </c>
      <c r="AE68" s="19">
        <f>NOVIEMBRE!AG68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464"/>
      <c r="BR68" s="385"/>
      <c r="BS68" s="385"/>
      <c r="BT68" s="385"/>
      <c r="BU68" s="385"/>
      <c r="BV68" s="385"/>
      <c r="BW68" s="385"/>
      <c r="BX68" s="385"/>
      <c r="BY68" s="385"/>
      <c r="BZ68" s="385"/>
      <c r="CA68" s="385"/>
      <c r="CB68" s="385"/>
      <c r="CC68" s="385"/>
      <c r="CD68" s="385"/>
      <c r="CE68" s="385"/>
      <c r="CF68" s="385"/>
      <c r="CG68" s="385"/>
      <c r="CH68" s="385"/>
      <c r="CI68" s="385"/>
      <c r="CJ68" s="385"/>
      <c r="CK68" s="385"/>
      <c r="CL68" s="385"/>
      <c r="CM68" s="385"/>
      <c r="CN68" s="385"/>
      <c r="CO68" s="385"/>
      <c r="CP68" s="385"/>
      <c r="CQ68" s="385"/>
      <c r="CR68" s="385"/>
      <c r="CS68" s="385"/>
      <c r="CT68" s="385"/>
      <c r="CU68" s="385"/>
      <c r="CV68" s="385"/>
      <c r="CW68" s="385"/>
      <c r="CX68" s="385"/>
      <c r="CY68" s="385"/>
      <c r="CZ68" s="385"/>
      <c r="DA68" s="385"/>
      <c r="DB68" s="385"/>
      <c r="DC68" s="385"/>
      <c r="DD68" s="385"/>
      <c r="DE68" s="385"/>
      <c r="DF68" s="385"/>
      <c r="DG68" s="385"/>
      <c r="DH68" s="385"/>
      <c r="DI68" s="385"/>
      <c r="DJ68" s="385"/>
      <c r="DK68" s="385"/>
      <c r="DL68" s="385"/>
      <c r="DM68" s="385"/>
      <c r="DN68" s="385"/>
      <c r="DO68" s="385"/>
      <c r="DP68" s="385"/>
      <c r="DQ68" s="385"/>
      <c r="DR68" s="385"/>
      <c r="DS68" s="385"/>
      <c r="DT68" s="385"/>
      <c r="DU68" s="385"/>
      <c r="DV68" s="385"/>
      <c r="DW68" s="385"/>
      <c r="DX68" s="385"/>
      <c r="DY68" s="385"/>
      <c r="DZ68" s="385"/>
      <c r="EA68" s="385"/>
      <c r="EB68" s="385"/>
      <c r="EC68" s="385"/>
      <c r="ED68" s="385"/>
      <c r="EE68" s="385"/>
      <c r="EF68" s="385"/>
      <c r="EG68" s="385"/>
      <c r="EH68" s="385"/>
      <c r="EI68" s="385"/>
      <c r="EJ68" s="385"/>
      <c r="EK68" s="385"/>
      <c r="EL68" s="385"/>
      <c r="EM68" s="385"/>
      <c r="EN68" s="385"/>
      <c r="EO68" s="385"/>
      <c r="EP68" s="385"/>
      <c r="EQ68" s="385"/>
      <c r="ER68" s="385"/>
      <c r="ES68" s="385"/>
      <c r="ET68" s="385"/>
      <c r="EU68" s="385"/>
      <c r="EV68" s="385"/>
      <c r="EW68" s="385"/>
      <c r="EX68" s="385"/>
      <c r="EY68" s="385"/>
      <c r="EZ68" s="385"/>
      <c r="FA68" s="385"/>
      <c r="FB68" s="385"/>
      <c r="FC68" s="385"/>
      <c r="FD68" s="385"/>
      <c r="FE68" s="385"/>
      <c r="FF68" s="385"/>
      <c r="FG68" s="385"/>
      <c r="FH68" s="385"/>
      <c r="FI68" s="385"/>
      <c r="FJ68" s="385"/>
      <c r="FK68" s="385"/>
      <c r="FL68" s="385"/>
      <c r="FM68" s="385"/>
      <c r="FN68" s="385"/>
      <c r="FO68" s="385"/>
      <c r="FP68" s="385"/>
      <c r="FQ68" s="385"/>
      <c r="FR68" s="385"/>
      <c r="FS68" s="385"/>
      <c r="FT68" s="385"/>
      <c r="FU68" s="385"/>
      <c r="FV68" s="385"/>
      <c r="FW68" s="385"/>
      <c r="FX68" s="385"/>
      <c r="FY68" s="385"/>
      <c r="FZ68" s="385"/>
      <c r="GA68" s="385"/>
      <c r="GB68" s="385"/>
      <c r="GC68" s="385"/>
      <c r="GD68" s="385"/>
      <c r="GE68" s="385"/>
      <c r="GF68" s="385"/>
      <c r="GG68" s="385"/>
      <c r="GH68" s="385"/>
      <c r="GI68" s="385"/>
      <c r="GJ68" s="385"/>
      <c r="GK68" s="385"/>
      <c r="GL68" s="385"/>
      <c r="GM68" s="385"/>
      <c r="GN68" s="385"/>
      <c r="GO68" s="385"/>
      <c r="GP68" s="385"/>
      <c r="GQ68" s="385"/>
      <c r="GR68" s="385"/>
      <c r="GS68" s="385"/>
      <c r="GT68" s="385"/>
      <c r="GU68" s="385"/>
      <c r="GV68" s="385"/>
      <c r="GW68" s="385"/>
      <c r="GX68" s="385"/>
      <c r="GY68" s="385"/>
      <c r="GZ68" s="385"/>
      <c r="HA68" s="385"/>
      <c r="HB68" s="385"/>
      <c r="HC68" s="385"/>
      <c r="HD68" s="385"/>
      <c r="HE68" s="385"/>
      <c r="HF68" s="385"/>
      <c r="HG68" s="385"/>
      <c r="HH68" s="385"/>
      <c r="HI68" s="385"/>
      <c r="HJ68" s="385"/>
      <c r="HK68" s="385"/>
      <c r="HL68" s="385"/>
      <c r="HM68" s="385"/>
      <c r="HN68" s="385"/>
      <c r="HO68" s="385"/>
      <c r="HP68" s="385"/>
      <c r="HQ68" s="385"/>
      <c r="HR68" s="385"/>
      <c r="HS68" s="385"/>
      <c r="HT68" s="385"/>
      <c r="HU68" s="385"/>
      <c r="HV68" s="385"/>
      <c r="HW68" s="385"/>
      <c r="HX68" s="385"/>
      <c r="HY68" s="385"/>
      <c r="HZ68" s="385"/>
      <c r="IA68" s="385"/>
      <c r="IB68" s="385"/>
      <c r="IC68" s="385"/>
      <c r="ID68" s="385"/>
      <c r="IE68" s="385"/>
      <c r="IF68" s="385"/>
      <c r="IG68" s="385"/>
      <c r="IH68" s="385"/>
      <c r="II68" s="385"/>
      <c r="IJ68" s="385"/>
      <c r="IK68" s="385"/>
      <c r="IL68" s="385"/>
      <c r="IM68" s="385"/>
      <c r="IN68" s="385"/>
      <c r="IO68" s="385"/>
    </row>
    <row r="69" spans="1:249" s="385" customFormat="1" ht="24.95" customHeight="1" x14ac:dyDescent="0.2">
      <c r="A69" s="747">
        <f>+IF(NOVIEMBRE!A69=0,"",NOVIEMBRE!A69)</f>
        <v>1130115</v>
      </c>
      <c r="B69" s="653" t="str">
        <f>+IF(NOVIEMBRE!B69=0,"",NOVIEMBRE!B69)</f>
        <v>ENTIDADES DE REGIMEN ESPECIAL (Magisterio, Fuerza Pca.)</v>
      </c>
      <c r="C69" s="43">
        <f t="shared" ref="C69:N69" si="70">SUM(C70:C71)</f>
        <v>53468516</v>
      </c>
      <c r="D69" s="44">
        <f t="shared" si="70"/>
        <v>0</v>
      </c>
      <c r="E69" s="44">
        <f t="shared" si="70"/>
        <v>27541841</v>
      </c>
      <c r="F69" s="44">
        <f t="shared" si="70"/>
        <v>81010357</v>
      </c>
      <c r="G69" s="44">
        <f t="shared" si="70"/>
        <v>66778556</v>
      </c>
      <c r="H69" s="44">
        <f t="shared" si="70"/>
        <v>0</v>
      </c>
      <c r="I69" s="44">
        <f t="shared" si="70"/>
        <v>66778556</v>
      </c>
      <c r="J69" s="44">
        <f t="shared" si="70"/>
        <v>37904074</v>
      </c>
      <c r="K69" s="44">
        <f t="shared" si="70"/>
        <v>0</v>
      </c>
      <c r="L69" s="44">
        <f t="shared" si="70"/>
        <v>37904074</v>
      </c>
      <c r="M69" s="44">
        <f t="shared" si="70"/>
        <v>14231801</v>
      </c>
      <c r="N69" s="45">
        <f t="shared" si="70"/>
        <v>43106283</v>
      </c>
      <c r="P69" s="43">
        <f>SUM(P70:P71)</f>
        <v>0</v>
      </c>
      <c r="Q69" s="45">
        <f>SUM(Q70:Q71)</f>
        <v>0</v>
      </c>
      <c r="R69" s="9"/>
      <c r="S69" s="719">
        <f>+IF(NOVIEMBRE!S69=0,"",NOVIEMBRE!S69)</f>
        <v>1020104</v>
      </c>
      <c r="T69" s="693" t="str">
        <f>+IF(NOVIEMBRE!T69=0,"",NOVIEMBRE!T69)</f>
        <v>Otros</v>
      </c>
      <c r="U69" s="27">
        <f t="shared" ref="U69:AJ69" si="71">SUM(U70:U80)</f>
        <v>116328741</v>
      </c>
      <c r="V69" s="15">
        <f t="shared" si="71"/>
        <v>0</v>
      </c>
      <c r="W69" s="15">
        <f t="shared" si="71"/>
        <v>0</v>
      </c>
      <c r="X69" s="18">
        <f t="shared" si="71"/>
        <v>116328741</v>
      </c>
      <c r="Y69" s="19">
        <f t="shared" si="71"/>
        <v>34337992</v>
      </c>
      <c r="Z69" s="145">
        <f t="shared" si="71"/>
        <v>0</v>
      </c>
      <c r="AA69" s="18">
        <f t="shared" si="71"/>
        <v>34337992</v>
      </c>
      <c r="AB69" s="19">
        <f t="shared" si="71"/>
        <v>34337992</v>
      </c>
      <c r="AC69" s="145">
        <f t="shared" si="71"/>
        <v>0</v>
      </c>
      <c r="AD69" s="18">
        <f t="shared" si="71"/>
        <v>34337992</v>
      </c>
      <c r="AE69" s="19">
        <f t="shared" si="71"/>
        <v>20167208</v>
      </c>
      <c r="AF69" s="145">
        <f t="shared" si="71"/>
        <v>0</v>
      </c>
      <c r="AG69" s="18">
        <f t="shared" si="71"/>
        <v>20167208</v>
      </c>
      <c r="AH69" s="19">
        <f t="shared" si="71"/>
        <v>81990749</v>
      </c>
      <c r="AI69" s="15">
        <f t="shared" si="71"/>
        <v>81990749</v>
      </c>
      <c r="AJ69" s="16">
        <f t="shared" si="71"/>
        <v>96161533</v>
      </c>
      <c r="AK69" s="9"/>
      <c r="AL69" s="29">
        <f>SUM(AL70:AL80)</f>
        <v>0</v>
      </c>
      <c r="AM69" s="26">
        <f>SUM(AM70:AM80)</f>
        <v>0</v>
      </c>
      <c r="AN69" s="9"/>
      <c r="AO69" s="297"/>
      <c r="AP69" s="297"/>
      <c r="AQ69" s="297"/>
      <c r="AR69" s="297"/>
      <c r="AS69" s="297"/>
      <c r="AT69" s="297"/>
      <c r="AU69" s="297"/>
      <c r="AV69" s="297"/>
      <c r="AW69" s="297"/>
      <c r="AX69" s="297"/>
      <c r="AY69" s="297"/>
      <c r="AZ69" s="297"/>
      <c r="BQ69" s="464"/>
    </row>
    <row r="70" spans="1:249" s="425" customFormat="1" ht="24.95" customHeight="1" x14ac:dyDescent="0.2">
      <c r="A70" s="618" t="str">
        <f>+IF(NOVIEMBRE!A70=0,"",NOVIEMBRE!A70)</f>
        <v>1130115-1</v>
      </c>
      <c r="B70" s="654" t="str">
        <f>+CONCATENATE("Vigencia ",INSTRUCCIONES!$F$3)</f>
        <v>Vigencia 2015</v>
      </c>
      <c r="C70" s="375">
        <f>+ENERO!C70</f>
        <v>53468516</v>
      </c>
      <c r="D70" s="376">
        <f>NOVIEMBRE!D70+DICIEMBRE!P70</f>
        <v>0</v>
      </c>
      <c r="E70" s="376">
        <f>NOVIEMBRE!E70+DICIEMBRE!Q70</f>
        <v>0</v>
      </c>
      <c r="F70" s="376">
        <f>SUM(C70:E70)</f>
        <v>53468516</v>
      </c>
      <c r="G70" s="376">
        <f>NOVIEMBRE!I70</f>
        <v>42397459</v>
      </c>
      <c r="H70" s="377">
        <v>0</v>
      </c>
      <c r="I70" s="376">
        <f>SUM(G70:H70)</f>
        <v>42397459</v>
      </c>
      <c r="J70" s="376">
        <f>NOVIEMBRE!L70</f>
        <v>13522977</v>
      </c>
      <c r="K70" s="377">
        <v>0</v>
      </c>
      <c r="L70" s="376">
        <f>SUM(J70:K70)</f>
        <v>13522977</v>
      </c>
      <c r="M70" s="376">
        <f>F70-I70</f>
        <v>11071057</v>
      </c>
      <c r="N70" s="146">
        <f>F70-L70</f>
        <v>39945539</v>
      </c>
      <c r="O70" s="385"/>
      <c r="P70" s="375">
        <v>0</v>
      </c>
      <c r="Q70" s="378">
        <v>0</v>
      </c>
      <c r="R70" s="9"/>
      <c r="S70" s="720" t="str">
        <f>+IF(NOVIEMBRE!S70=0,"",NOVIEMBRE!S70)</f>
        <v>1020104-1</v>
      </c>
      <c r="T70" s="694" t="str">
        <f>+IF(NOVIEMBRE!T70=0,"",NOVIEMBRE!T70)</f>
        <v xml:space="preserve">Prima de Navidad </v>
      </c>
      <c r="U70" s="27">
        <f>+ENERO!U70</f>
        <v>57873955</v>
      </c>
      <c r="V70" s="15">
        <f>NOVIEMBRE!V70+DICIEMBRE!AL70</f>
        <v>0</v>
      </c>
      <c r="W70" s="15">
        <f>NOVIEMBRE!W70+DICIEMBRE!AM70</f>
        <v>0</v>
      </c>
      <c r="X70" s="18">
        <f t="shared" ref="X70:X81" si="72">SUM(U70:W70)</f>
        <v>57873955</v>
      </c>
      <c r="Y70" s="19">
        <f>NOVIEMBRE!AA70</f>
        <v>11237469</v>
      </c>
      <c r="Z70" s="377">
        <v>0</v>
      </c>
      <c r="AA70" s="18">
        <f t="shared" ref="AA70:AA81" si="73">SUM(Y70:Z70)</f>
        <v>11237469</v>
      </c>
      <c r="AB70" s="19">
        <f>NOVIEMBRE!AD70</f>
        <v>11237469</v>
      </c>
      <c r="AC70" s="377">
        <v>0</v>
      </c>
      <c r="AD70" s="18">
        <f t="shared" ref="AD70:AD81" si="74">SUM(AB70:AC70)</f>
        <v>11237469</v>
      </c>
      <c r="AE70" s="19">
        <f>NOVIEMBRE!AG70</f>
        <v>4223171</v>
      </c>
      <c r="AF70" s="377">
        <v>0</v>
      </c>
      <c r="AG70" s="18">
        <f t="shared" ref="AG70:AG81" si="75">SUM(AE70:AF70)</f>
        <v>4223171</v>
      </c>
      <c r="AH70" s="19">
        <f t="shared" ref="AH70:AH81" si="76">X70-AA70</f>
        <v>46636486</v>
      </c>
      <c r="AI70" s="15">
        <f t="shared" ref="AI70:AI81" si="77">X70-AD70</f>
        <v>46636486</v>
      </c>
      <c r="AJ70" s="16">
        <f t="shared" ref="AJ70:AJ81" si="78">X70-AG70</f>
        <v>53650784</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464"/>
      <c r="BR70" s="385"/>
      <c r="BS70" s="385"/>
      <c r="BT70" s="385"/>
      <c r="BU70" s="385"/>
      <c r="BV70" s="385"/>
      <c r="BW70" s="385"/>
      <c r="BX70" s="385"/>
      <c r="BY70" s="385"/>
      <c r="BZ70" s="385"/>
      <c r="CA70" s="385"/>
      <c r="CB70" s="385"/>
      <c r="CC70" s="385"/>
      <c r="CD70" s="385"/>
      <c r="CE70" s="385"/>
      <c r="CF70" s="385"/>
      <c r="CG70" s="385"/>
      <c r="CH70" s="385"/>
      <c r="CI70" s="385"/>
      <c r="CJ70" s="385"/>
      <c r="CK70" s="385"/>
      <c r="CL70" s="385"/>
      <c r="CM70" s="385"/>
      <c r="CN70" s="385"/>
      <c r="CO70" s="385"/>
      <c r="CP70" s="385"/>
      <c r="CQ70" s="385"/>
      <c r="CR70" s="385"/>
      <c r="CS70" s="385"/>
      <c r="CT70" s="385"/>
      <c r="CU70" s="385"/>
      <c r="CV70" s="385"/>
      <c r="CW70" s="385"/>
      <c r="CX70" s="385"/>
      <c r="CY70" s="385"/>
      <c r="CZ70" s="385"/>
      <c r="DA70" s="385"/>
      <c r="DB70" s="385"/>
      <c r="DC70" s="385"/>
      <c r="DD70" s="385"/>
      <c r="DE70" s="385"/>
      <c r="DF70" s="385"/>
      <c r="DG70" s="385"/>
      <c r="DH70" s="385"/>
      <c r="DI70" s="385"/>
      <c r="DJ70" s="385"/>
      <c r="DK70" s="385"/>
      <c r="DL70" s="385"/>
      <c r="DM70" s="385"/>
      <c r="DN70" s="385"/>
      <c r="DO70" s="385"/>
      <c r="DP70" s="385"/>
      <c r="DQ70" s="385"/>
      <c r="DR70" s="385"/>
      <c r="DS70" s="385"/>
      <c r="DT70" s="385"/>
      <c r="DU70" s="385"/>
      <c r="DV70" s="385"/>
      <c r="DW70" s="385"/>
      <c r="DX70" s="385"/>
      <c r="DY70" s="385"/>
      <c r="DZ70" s="385"/>
      <c r="EA70" s="385"/>
      <c r="EB70" s="385"/>
      <c r="EC70" s="385"/>
      <c r="ED70" s="385"/>
      <c r="EE70" s="385"/>
      <c r="EF70" s="385"/>
      <c r="EG70" s="385"/>
      <c r="EH70" s="385"/>
      <c r="EI70" s="385"/>
      <c r="EJ70" s="385"/>
      <c r="EK70" s="385"/>
      <c r="EL70" s="385"/>
      <c r="EM70" s="385"/>
      <c r="EN70" s="385"/>
      <c r="EO70" s="385"/>
      <c r="EP70" s="385"/>
      <c r="EQ70" s="385"/>
      <c r="ER70" s="385"/>
      <c r="ES70" s="385"/>
      <c r="ET70" s="385"/>
      <c r="EU70" s="385"/>
      <c r="EV70" s="385"/>
      <c r="EW70" s="385"/>
      <c r="EX70" s="385"/>
      <c r="EY70" s="385"/>
      <c r="EZ70" s="385"/>
      <c r="FA70" s="385"/>
      <c r="FB70" s="385"/>
      <c r="FC70" s="385"/>
      <c r="FD70" s="385"/>
      <c r="FE70" s="385"/>
      <c r="FF70" s="385"/>
      <c r="FG70" s="385"/>
      <c r="FH70" s="385"/>
      <c r="FI70" s="385"/>
      <c r="FJ70" s="385"/>
      <c r="FK70" s="385"/>
      <c r="FL70" s="385"/>
      <c r="FM70" s="385"/>
      <c r="FN70" s="385"/>
      <c r="FO70" s="385"/>
      <c r="FP70" s="385"/>
      <c r="FQ70" s="385"/>
      <c r="FR70" s="385"/>
      <c r="FS70" s="385"/>
      <c r="FT70" s="385"/>
      <c r="FU70" s="385"/>
      <c r="FV70" s="385"/>
      <c r="FW70" s="385"/>
      <c r="FX70" s="385"/>
      <c r="FY70" s="385"/>
      <c r="FZ70" s="385"/>
      <c r="GA70" s="385"/>
      <c r="GB70" s="385"/>
      <c r="GC70" s="385"/>
      <c r="GD70" s="385"/>
      <c r="GE70" s="385"/>
      <c r="GF70" s="385"/>
      <c r="GG70" s="385"/>
      <c r="GH70" s="385"/>
      <c r="GI70" s="385"/>
      <c r="GJ70" s="385"/>
      <c r="GK70" s="385"/>
      <c r="GL70" s="385"/>
      <c r="GM70" s="385"/>
      <c r="GN70" s="385"/>
      <c r="GO70" s="385"/>
      <c r="GP70" s="385"/>
      <c r="GQ70" s="385"/>
      <c r="GR70" s="385"/>
      <c r="GS70" s="385"/>
      <c r="GT70" s="385"/>
      <c r="GU70" s="385"/>
      <c r="GV70" s="385"/>
      <c r="GW70" s="385"/>
      <c r="GX70" s="385"/>
      <c r="GY70" s="385"/>
      <c r="GZ70" s="385"/>
      <c r="HA70" s="385"/>
      <c r="HB70" s="385"/>
      <c r="HC70" s="385"/>
      <c r="HD70" s="385"/>
      <c r="HE70" s="385"/>
      <c r="HF70" s="385"/>
      <c r="HG70" s="385"/>
      <c r="HH70" s="385"/>
      <c r="HI70" s="385"/>
      <c r="HJ70" s="385"/>
      <c r="HK70" s="385"/>
      <c r="HL70" s="385"/>
      <c r="HM70" s="385"/>
      <c r="HN70" s="385"/>
      <c r="HO70" s="385"/>
      <c r="HP70" s="385"/>
      <c r="HQ70" s="385"/>
      <c r="HR70" s="385"/>
      <c r="HS70" s="385"/>
      <c r="HT70" s="385"/>
      <c r="HU70" s="385"/>
      <c r="HV70" s="385"/>
      <c r="HW70" s="385"/>
      <c r="HX70" s="385"/>
      <c r="HY70" s="385"/>
      <c r="HZ70" s="385"/>
      <c r="IA70" s="385"/>
      <c r="IB70" s="385"/>
      <c r="IC70" s="385"/>
      <c r="ID70" s="385"/>
      <c r="IE70" s="385"/>
      <c r="IF70" s="385"/>
      <c r="IG70" s="385"/>
      <c r="IH70" s="385"/>
      <c r="II70" s="385"/>
      <c r="IJ70" s="385"/>
      <c r="IK70" s="385"/>
      <c r="IL70" s="385"/>
      <c r="IM70" s="385"/>
      <c r="IN70" s="385"/>
      <c r="IO70" s="385"/>
    </row>
    <row r="71" spans="1:249" s="425" customFormat="1" ht="24.95" customHeight="1" x14ac:dyDescent="0.2">
      <c r="A71" s="618" t="str">
        <f>+IF(NOVIEMBRE!A71=0,"",NOVIEMBRE!A71)</f>
        <v>1130115-2</v>
      </c>
      <c r="B71" s="654" t="str">
        <f>+IF(NOVIEMBRE!B71=0,"",NOVIEMBRE!B71)</f>
        <v>Vigencia Anterior</v>
      </c>
      <c r="C71" s="375">
        <f>+ENERO!C71</f>
        <v>0</v>
      </c>
      <c r="D71" s="376">
        <f>NOVIEMBRE!D71+DICIEMBRE!P71</f>
        <v>0</v>
      </c>
      <c r="E71" s="376">
        <f>NOVIEMBRE!E71+DICIEMBRE!Q71</f>
        <v>27541841</v>
      </c>
      <c r="F71" s="376">
        <f>SUM(C71:E71)</f>
        <v>27541841</v>
      </c>
      <c r="G71" s="376">
        <f>NOVIEMBRE!I71</f>
        <v>24381097</v>
      </c>
      <c r="H71" s="377">
        <v>0</v>
      </c>
      <c r="I71" s="376">
        <f>SUM(G71:H71)</f>
        <v>24381097</v>
      </c>
      <c r="J71" s="376">
        <f>NOVIEMBRE!L71</f>
        <v>24381097</v>
      </c>
      <c r="K71" s="377">
        <v>0</v>
      </c>
      <c r="L71" s="376">
        <f>SUM(J71:K71)</f>
        <v>24381097</v>
      </c>
      <c r="M71" s="376">
        <f>F71-I71</f>
        <v>3160744</v>
      </c>
      <c r="N71" s="146">
        <f>F71-L71</f>
        <v>3160744</v>
      </c>
      <c r="O71" s="385"/>
      <c r="P71" s="375">
        <v>0</v>
      </c>
      <c r="Q71" s="378">
        <v>0</v>
      </c>
      <c r="R71" s="9"/>
      <c r="S71" s="720" t="str">
        <f>+IF(NOVIEMBRE!S71=0,"",NOVIEMBRE!S71)</f>
        <v>1020104-2</v>
      </c>
      <c r="T71" s="694" t="str">
        <f>+IF(NOVIEMBRE!T71=0,"",NOVIEMBRE!T71)</f>
        <v>Prima Vida Cara</v>
      </c>
      <c r="U71" s="27">
        <f>+ENERO!U71</f>
        <v>0</v>
      </c>
      <c r="V71" s="15">
        <f>NOVIEMBRE!V71+DICIEMBRE!AL71</f>
        <v>0</v>
      </c>
      <c r="W71" s="15">
        <f>NOVIEMBRE!W71+DICIEMBRE!AM71</f>
        <v>0</v>
      </c>
      <c r="X71" s="18">
        <f t="shared" si="72"/>
        <v>0</v>
      </c>
      <c r="Y71" s="19">
        <f>NOVIEMBRE!AA71</f>
        <v>0</v>
      </c>
      <c r="Z71" s="377">
        <v>0</v>
      </c>
      <c r="AA71" s="18">
        <f t="shared" si="73"/>
        <v>0</v>
      </c>
      <c r="AB71" s="19">
        <f>NOVIEMBRE!AD71</f>
        <v>0</v>
      </c>
      <c r="AC71" s="377">
        <v>0</v>
      </c>
      <c r="AD71" s="18">
        <f t="shared" si="74"/>
        <v>0</v>
      </c>
      <c r="AE71" s="19">
        <f>NOVIEMBRE!AG71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464"/>
      <c r="BR71" s="385"/>
      <c r="BS71" s="385"/>
      <c r="BT71" s="385"/>
      <c r="BU71" s="385"/>
      <c r="BV71" s="385"/>
      <c r="BW71" s="385"/>
      <c r="BX71" s="385"/>
      <c r="BY71" s="385"/>
      <c r="BZ71" s="385"/>
      <c r="CA71" s="385"/>
      <c r="CB71" s="385"/>
      <c r="CC71" s="385"/>
      <c r="CD71" s="385"/>
      <c r="CE71" s="385"/>
      <c r="CF71" s="385"/>
      <c r="CG71" s="385"/>
      <c r="CH71" s="385"/>
      <c r="CI71" s="385"/>
      <c r="CJ71" s="385"/>
      <c r="CK71" s="385"/>
      <c r="CL71" s="385"/>
      <c r="CM71" s="385"/>
      <c r="CN71" s="385"/>
      <c r="CO71" s="385"/>
      <c r="CP71" s="385"/>
      <c r="CQ71" s="385"/>
      <c r="CR71" s="385"/>
      <c r="CS71" s="385"/>
      <c r="CT71" s="385"/>
      <c r="CU71" s="385"/>
      <c r="CV71" s="385"/>
      <c r="CW71" s="385"/>
      <c r="CX71" s="385"/>
      <c r="CY71" s="385"/>
      <c r="CZ71" s="385"/>
      <c r="DA71" s="385"/>
      <c r="DB71" s="385"/>
      <c r="DC71" s="385"/>
      <c r="DD71" s="385"/>
      <c r="DE71" s="385"/>
      <c r="DF71" s="385"/>
      <c r="DG71" s="385"/>
      <c r="DH71" s="385"/>
      <c r="DI71" s="385"/>
      <c r="DJ71" s="385"/>
      <c r="DK71" s="385"/>
      <c r="DL71" s="385"/>
      <c r="DM71" s="385"/>
      <c r="DN71" s="385"/>
      <c r="DO71" s="385"/>
      <c r="DP71" s="385"/>
      <c r="DQ71" s="385"/>
      <c r="DR71" s="385"/>
      <c r="DS71" s="385"/>
      <c r="DT71" s="385"/>
      <c r="DU71" s="385"/>
      <c r="DV71" s="385"/>
      <c r="DW71" s="385"/>
      <c r="DX71" s="385"/>
      <c r="DY71" s="385"/>
      <c r="DZ71" s="385"/>
      <c r="EA71" s="385"/>
      <c r="EB71" s="385"/>
      <c r="EC71" s="385"/>
      <c r="ED71" s="385"/>
      <c r="EE71" s="385"/>
      <c r="EF71" s="385"/>
      <c r="EG71" s="385"/>
      <c r="EH71" s="385"/>
      <c r="EI71" s="385"/>
      <c r="EJ71" s="385"/>
      <c r="EK71" s="385"/>
      <c r="EL71" s="385"/>
      <c r="EM71" s="385"/>
      <c r="EN71" s="385"/>
      <c r="EO71" s="385"/>
      <c r="EP71" s="385"/>
      <c r="EQ71" s="385"/>
      <c r="ER71" s="385"/>
      <c r="ES71" s="385"/>
      <c r="ET71" s="385"/>
      <c r="EU71" s="385"/>
      <c r="EV71" s="385"/>
      <c r="EW71" s="385"/>
      <c r="EX71" s="385"/>
      <c r="EY71" s="385"/>
      <c r="EZ71" s="385"/>
      <c r="FA71" s="385"/>
      <c r="FB71" s="385"/>
      <c r="FC71" s="385"/>
      <c r="FD71" s="385"/>
      <c r="FE71" s="385"/>
      <c r="FF71" s="385"/>
      <c r="FG71" s="385"/>
      <c r="FH71" s="385"/>
      <c r="FI71" s="385"/>
      <c r="FJ71" s="385"/>
      <c r="FK71" s="385"/>
      <c r="FL71" s="385"/>
      <c r="FM71" s="385"/>
      <c r="FN71" s="385"/>
      <c r="FO71" s="385"/>
      <c r="FP71" s="385"/>
      <c r="FQ71" s="385"/>
      <c r="FR71" s="385"/>
      <c r="FS71" s="385"/>
      <c r="FT71" s="385"/>
      <c r="FU71" s="385"/>
      <c r="FV71" s="385"/>
      <c r="FW71" s="385"/>
      <c r="FX71" s="385"/>
      <c r="FY71" s="385"/>
      <c r="FZ71" s="385"/>
      <c r="GA71" s="385"/>
      <c r="GB71" s="385"/>
      <c r="GC71" s="385"/>
      <c r="GD71" s="385"/>
      <c r="GE71" s="385"/>
      <c r="GF71" s="385"/>
      <c r="GG71" s="385"/>
      <c r="GH71" s="385"/>
      <c r="GI71" s="385"/>
      <c r="GJ71" s="385"/>
      <c r="GK71" s="385"/>
      <c r="GL71" s="385"/>
      <c r="GM71" s="385"/>
      <c r="GN71" s="385"/>
      <c r="GO71" s="385"/>
      <c r="GP71" s="385"/>
      <c r="GQ71" s="385"/>
      <c r="GR71" s="385"/>
      <c r="GS71" s="385"/>
      <c r="GT71" s="385"/>
      <c r="GU71" s="385"/>
      <c r="GV71" s="385"/>
      <c r="GW71" s="385"/>
      <c r="GX71" s="385"/>
      <c r="GY71" s="385"/>
      <c r="GZ71" s="385"/>
      <c r="HA71" s="385"/>
      <c r="HB71" s="385"/>
      <c r="HC71" s="385"/>
      <c r="HD71" s="385"/>
      <c r="HE71" s="385"/>
      <c r="HF71" s="385"/>
      <c r="HG71" s="385"/>
      <c r="HH71" s="385"/>
      <c r="HI71" s="385"/>
      <c r="HJ71" s="385"/>
      <c r="HK71" s="385"/>
      <c r="HL71" s="385"/>
      <c r="HM71" s="385"/>
      <c r="HN71" s="385"/>
      <c r="HO71" s="385"/>
      <c r="HP71" s="385"/>
      <c r="HQ71" s="385"/>
      <c r="HR71" s="385"/>
      <c r="HS71" s="385"/>
      <c r="HT71" s="385"/>
      <c r="HU71" s="385"/>
      <c r="HV71" s="385"/>
      <c r="HW71" s="385"/>
      <c r="HX71" s="385"/>
      <c r="HY71" s="385"/>
      <c r="HZ71" s="385"/>
      <c r="IA71" s="385"/>
      <c r="IB71" s="385"/>
      <c r="IC71" s="385"/>
      <c r="ID71" s="385"/>
      <c r="IE71" s="385"/>
      <c r="IF71" s="385"/>
      <c r="IG71" s="385"/>
      <c r="IH71" s="385"/>
      <c r="II71" s="385"/>
      <c r="IJ71" s="385"/>
      <c r="IK71" s="385"/>
      <c r="IL71" s="385"/>
      <c r="IM71" s="385"/>
      <c r="IN71" s="385"/>
      <c r="IO71" s="385"/>
    </row>
    <row r="72" spans="1:249" s="385" customFormat="1" ht="24.95" customHeight="1" x14ac:dyDescent="0.2">
      <c r="A72" s="747">
        <f>+IF(NOVIEMBRE!A72=0,"",NOVIEMBRE!A72)</f>
        <v>1130116</v>
      </c>
      <c r="B72" s="653" t="str">
        <f>+IF(NOVIEMBRE!B72=0,"",NOVIEMBRE!B72)</f>
        <v>ADMINISTRADORAS DE RIESGOS PROFESIONALES</v>
      </c>
      <c r="C72" s="43">
        <f t="shared" ref="C72:N72" si="79">SUM(C73:C74)</f>
        <v>47982534</v>
      </c>
      <c r="D72" s="44">
        <f t="shared" si="79"/>
        <v>0</v>
      </c>
      <c r="E72" s="44">
        <f t="shared" si="79"/>
        <v>7739704</v>
      </c>
      <c r="F72" s="44">
        <f t="shared" si="79"/>
        <v>55722238</v>
      </c>
      <c r="G72" s="44">
        <f t="shared" si="79"/>
        <v>39367403</v>
      </c>
      <c r="H72" s="44">
        <f t="shared" si="79"/>
        <v>0</v>
      </c>
      <c r="I72" s="44">
        <f t="shared" si="79"/>
        <v>39367403</v>
      </c>
      <c r="J72" s="44">
        <f t="shared" si="79"/>
        <v>31763035</v>
      </c>
      <c r="K72" s="44">
        <f t="shared" si="79"/>
        <v>0</v>
      </c>
      <c r="L72" s="44">
        <f t="shared" si="79"/>
        <v>31763035</v>
      </c>
      <c r="M72" s="44">
        <f t="shared" si="79"/>
        <v>16354835</v>
      </c>
      <c r="N72" s="45">
        <f t="shared" si="79"/>
        <v>23959203</v>
      </c>
      <c r="P72" s="43">
        <f>SUM(P73:P74)</f>
        <v>0</v>
      </c>
      <c r="Q72" s="45">
        <f>SUM(Q73:Q74)</f>
        <v>0</v>
      </c>
      <c r="R72" s="9"/>
      <c r="S72" s="720" t="str">
        <f>+IF(NOVIEMBRE!S72=0,"",NOVIEMBRE!S72)</f>
        <v>1020104-3</v>
      </c>
      <c r="T72" s="694" t="str">
        <f>+IF(NOVIEMBRE!T72=0,"",NOVIEMBRE!T72)</f>
        <v>Prima de Vacaciones</v>
      </c>
      <c r="U72" s="27">
        <f>+ENERO!U72</f>
        <v>26711056</v>
      </c>
      <c r="V72" s="15">
        <f>NOVIEMBRE!V72+DICIEMBRE!AL72</f>
        <v>0</v>
      </c>
      <c r="W72" s="15">
        <f>NOVIEMBRE!W72+DICIEMBRE!AM72</f>
        <v>0</v>
      </c>
      <c r="X72" s="18">
        <f t="shared" si="72"/>
        <v>26711056</v>
      </c>
      <c r="Y72" s="19">
        <f>NOVIEMBRE!AA72</f>
        <v>20223199</v>
      </c>
      <c r="Z72" s="377">
        <v>0</v>
      </c>
      <c r="AA72" s="18">
        <f t="shared" si="73"/>
        <v>20223199</v>
      </c>
      <c r="AB72" s="19">
        <f>NOVIEMBRE!AD72</f>
        <v>20223199</v>
      </c>
      <c r="AC72" s="377">
        <v>0</v>
      </c>
      <c r="AD72" s="18">
        <f t="shared" si="74"/>
        <v>20223199</v>
      </c>
      <c r="AE72" s="19">
        <f>NOVIEMBRE!AG72</f>
        <v>13913841</v>
      </c>
      <c r="AF72" s="377">
        <v>0</v>
      </c>
      <c r="AG72" s="18">
        <f t="shared" si="75"/>
        <v>13913841</v>
      </c>
      <c r="AH72" s="19">
        <f t="shared" si="76"/>
        <v>6487857</v>
      </c>
      <c r="AI72" s="15">
        <f t="shared" si="77"/>
        <v>6487857</v>
      </c>
      <c r="AJ72" s="16">
        <f t="shared" si="78"/>
        <v>12797215</v>
      </c>
      <c r="AK72" s="9"/>
      <c r="AL72" s="375">
        <v>0</v>
      </c>
      <c r="AM72" s="378">
        <v>0</v>
      </c>
      <c r="AN72" s="9"/>
      <c r="AO72" s="297"/>
      <c r="AP72" s="297"/>
      <c r="AQ72" s="297"/>
      <c r="AR72" s="297"/>
      <c r="AS72" s="297"/>
      <c r="AT72" s="297"/>
      <c r="AU72" s="297"/>
      <c r="AV72" s="297"/>
      <c r="AW72" s="297"/>
      <c r="AX72" s="297"/>
      <c r="AY72" s="297"/>
      <c r="AZ72" s="297"/>
      <c r="BQ72" s="464"/>
    </row>
    <row r="73" spans="1:249" s="425" customFormat="1" ht="24.95" customHeight="1" x14ac:dyDescent="0.2">
      <c r="A73" s="618" t="str">
        <f>+IF(NOVIEMBRE!A73=0,"",NOVIEMBRE!A73)</f>
        <v>1130116-1</v>
      </c>
      <c r="B73" s="654" t="str">
        <f>+CONCATENATE("Vigencia ",INSTRUCCIONES!$F$3)</f>
        <v>Vigencia 2015</v>
      </c>
      <c r="C73" s="375">
        <f>+ENERO!C73</f>
        <v>47982534</v>
      </c>
      <c r="D73" s="376">
        <f>NOVIEMBRE!D73+DICIEMBRE!P73</f>
        <v>0</v>
      </c>
      <c r="E73" s="376">
        <f>NOVIEMBRE!E73+DICIEMBRE!Q73</f>
        <v>0</v>
      </c>
      <c r="F73" s="376">
        <f>SUM(C73:E73)</f>
        <v>47982534</v>
      </c>
      <c r="G73" s="376">
        <f>NOVIEMBRE!I73</f>
        <v>32095383</v>
      </c>
      <c r="H73" s="377">
        <v>0</v>
      </c>
      <c r="I73" s="376">
        <f>SUM(G73:H73)</f>
        <v>32095383</v>
      </c>
      <c r="J73" s="376">
        <f>NOVIEMBRE!L73</f>
        <v>24491015</v>
      </c>
      <c r="K73" s="377">
        <v>0</v>
      </c>
      <c r="L73" s="376">
        <f>SUM(J73:K73)</f>
        <v>24491015</v>
      </c>
      <c r="M73" s="376">
        <f>F73-I73</f>
        <v>15887151</v>
      </c>
      <c r="N73" s="146">
        <f>F73-L73</f>
        <v>23491519</v>
      </c>
      <c r="O73" s="385"/>
      <c r="P73" s="375">
        <v>0</v>
      </c>
      <c r="Q73" s="378">
        <v>0</v>
      </c>
      <c r="R73" s="9"/>
      <c r="S73" s="720" t="str">
        <f>+IF(NOVIEMBRE!S73=0,"",NOVIEMBRE!S73)</f>
        <v>1020104-4</v>
      </c>
      <c r="T73" s="694" t="str">
        <f>+IF(NOVIEMBRE!T73=0,"",NOVIEMBRE!T73)</f>
        <v>Prima Clima</v>
      </c>
      <c r="U73" s="27">
        <f>+ENERO!U73</f>
        <v>0</v>
      </c>
      <c r="V73" s="15">
        <f>NOVIEMBRE!V73+DICIEMBRE!AL73</f>
        <v>0</v>
      </c>
      <c r="W73" s="15">
        <f>NOVIEMBRE!W73+DICIEMBRE!AM73</f>
        <v>0</v>
      </c>
      <c r="X73" s="18">
        <f t="shared" si="72"/>
        <v>0</v>
      </c>
      <c r="Y73" s="19">
        <f>NOVIEMBRE!AA73</f>
        <v>0</v>
      </c>
      <c r="Z73" s="377">
        <v>0</v>
      </c>
      <c r="AA73" s="18">
        <f t="shared" si="73"/>
        <v>0</v>
      </c>
      <c r="AB73" s="19">
        <f>NOVIEMBRE!AD73</f>
        <v>0</v>
      </c>
      <c r="AC73" s="377">
        <v>0</v>
      </c>
      <c r="AD73" s="18">
        <f t="shared" si="74"/>
        <v>0</v>
      </c>
      <c r="AE73" s="19">
        <f>NOVIEMBRE!AG73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464"/>
      <c r="BR73" s="385"/>
      <c r="BS73" s="385"/>
      <c r="BT73" s="385"/>
      <c r="BU73" s="385"/>
      <c r="BV73" s="385"/>
      <c r="BW73" s="385"/>
      <c r="BX73" s="385"/>
      <c r="BY73" s="385"/>
      <c r="BZ73" s="385"/>
      <c r="CA73" s="385"/>
      <c r="CB73" s="385"/>
      <c r="CC73" s="385"/>
      <c r="CD73" s="385"/>
      <c r="CE73" s="385"/>
      <c r="CF73" s="385"/>
      <c r="CG73" s="385"/>
      <c r="CH73" s="385"/>
      <c r="CI73" s="385"/>
      <c r="CJ73" s="385"/>
      <c r="CK73" s="385"/>
      <c r="CL73" s="385"/>
      <c r="CM73" s="385"/>
      <c r="CN73" s="385"/>
      <c r="CO73" s="385"/>
      <c r="CP73" s="385"/>
      <c r="CQ73" s="385"/>
      <c r="CR73" s="385"/>
      <c r="CS73" s="385"/>
      <c r="CT73" s="385"/>
      <c r="CU73" s="385"/>
      <c r="CV73" s="385"/>
      <c r="CW73" s="385"/>
      <c r="CX73" s="385"/>
      <c r="CY73" s="385"/>
      <c r="CZ73" s="385"/>
      <c r="DA73" s="385"/>
      <c r="DB73" s="385"/>
      <c r="DC73" s="385"/>
      <c r="DD73" s="385"/>
      <c r="DE73" s="385"/>
      <c r="DF73" s="385"/>
      <c r="DG73" s="385"/>
      <c r="DH73" s="385"/>
      <c r="DI73" s="385"/>
      <c r="DJ73" s="385"/>
      <c r="DK73" s="385"/>
      <c r="DL73" s="385"/>
      <c r="DM73" s="385"/>
      <c r="DN73" s="385"/>
      <c r="DO73" s="385"/>
      <c r="DP73" s="385"/>
      <c r="DQ73" s="385"/>
      <c r="DR73" s="385"/>
      <c r="DS73" s="385"/>
      <c r="DT73" s="385"/>
      <c r="DU73" s="385"/>
      <c r="DV73" s="385"/>
      <c r="DW73" s="385"/>
      <c r="DX73" s="385"/>
      <c r="DY73" s="385"/>
      <c r="DZ73" s="385"/>
      <c r="EA73" s="385"/>
      <c r="EB73" s="385"/>
      <c r="EC73" s="385"/>
      <c r="ED73" s="385"/>
      <c r="EE73" s="385"/>
      <c r="EF73" s="385"/>
      <c r="EG73" s="385"/>
      <c r="EH73" s="385"/>
      <c r="EI73" s="385"/>
      <c r="EJ73" s="385"/>
      <c r="EK73" s="385"/>
      <c r="EL73" s="385"/>
      <c r="EM73" s="385"/>
      <c r="EN73" s="385"/>
      <c r="EO73" s="385"/>
      <c r="EP73" s="385"/>
      <c r="EQ73" s="385"/>
      <c r="ER73" s="385"/>
      <c r="ES73" s="385"/>
      <c r="ET73" s="385"/>
      <c r="EU73" s="385"/>
      <c r="EV73" s="385"/>
      <c r="EW73" s="385"/>
      <c r="EX73" s="385"/>
      <c r="EY73" s="385"/>
      <c r="EZ73" s="385"/>
      <c r="FA73" s="385"/>
      <c r="FB73" s="385"/>
      <c r="FC73" s="385"/>
      <c r="FD73" s="385"/>
      <c r="FE73" s="385"/>
      <c r="FF73" s="385"/>
      <c r="FG73" s="385"/>
      <c r="FH73" s="385"/>
      <c r="FI73" s="385"/>
      <c r="FJ73" s="385"/>
      <c r="FK73" s="385"/>
      <c r="FL73" s="385"/>
      <c r="FM73" s="385"/>
      <c r="FN73" s="385"/>
      <c r="FO73" s="385"/>
      <c r="FP73" s="385"/>
      <c r="FQ73" s="385"/>
      <c r="FR73" s="385"/>
      <c r="FS73" s="385"/>
      <c r="FT73" s="385"/>
      <c r="FU73" s="385"/>
      <c r="FV73" s="385"/>
      <c r="FW73" s="385"/>
      <c r="FX73" s="385"/>
      <c r="FY73" s="385"/>
      <c r="FZ73" s="385"/>
      <c r="GA73" s="385"/>
      <c r="GB73" s="385"/>
      <c r="GC73" s="385"/>
      <c r="GD73" s="385"/>
      <c r="GE73" s="385"/>
      <c r="GF73" s="385"/>
      <c r="GG73" s="385"/>
      <c r="GH73" s="385"/>
      <c r="GI73" s="385"/>
      <c r="GJ73" s="385"/>
      <c r="GK73" s="385"/>
      <c r="GL73" s="385"/>
      <c r="GM73" s="385"/>
      <c r="GN73" s="385"/>
      <c r="GO73" s="385"/>
      <c r="GP73" s="385"/>
      <c r="GQ73" s="385"/>
      <c r="GR73" s="385"/>
      <c r="GS73" s="385"/>
      <c r="GT73" s="385"/>
      <c r="GU73" s="385"/>
      <c r="GV73" s="385"/>
      <c r="GW73" s="385"/>
      <c r="GX73" s="385"/>
      <c r="GY73" s="385"/>
      <c r="GZ73" s="385"/>
      <c r="HA73" s="385"/>
      <c r="HB73" s="385"/>
      <c r="HC73" s="385"/>
      <c r="HD73" s="385"/>
      <c r="HE73" s="385"/>
      <c r="HF73" s="385"/>
      <c r="HG73" s="385"/>
      <c r="HH73" s="385"/>
      <c r="HI73" s="385"/>
      <c r="HJ73" s="385"/>
      <c r="HK73" s="385"/>
      <c r="HL73" s="385"/>
      <c r="HM73" s="385"/>
      <c r="HN73" s="385"/>
      <c r="HO73" s="385"/>
      <c r="HP73" s="385"/>
      <c r="HQ73" s="385"/>
      <c r="HR73" s="385"/>
      <c r="HS73" s="385"/>
      <c r="HT73" s="385"/>
      <c r="HU73" s="385"/>
      <c r="HV73" s="385"/>
      <c r="HW73" s="385"/>
      <c r="HX73" s="385"/>
      <c r="HY73" s="385"/>
      <c r="HZ73" s="385"/>
      <c r="IA73" s="385"/>
      <c r="IB73" s="385"/>
      <c r="IC73" s="385"/>
      <c r="ID73" s="385"/>
      <c r="IE73" s="385"/>
      <c r="IF73" s="385"/>
      <c r="IG73" s="385"/>
      <c r="IH73" s="385"/>
      <c r="II73" s="385"/>
      <c r="IJ73" s="385"/>
      <c r="IK73" s="385"/>
      <c r="IL73" s="385"/>
      <c r="IM73" s="385"/>
      <c r="IN73" s="385"/>
      <c r="IO73" s="385"/>
    </row>
    <row r="74" spans="1:249" s="425" customFormat="1" ht="24.95" customHeight="1" x14ac:dyDescent="0.2">
      <c r="A74" s="618" t="str">
        <f>+IF(NOVIEMBRE!A74=0,"",NOVIEMBRE!A74)</f>
        <v>1130116-2</v>
      </c>
      <c r="B74" s="654" t="str">
        <f>+IF(NOVIEMBRE!B74=0,"",NOVIEMBRE!B74)</f>
        <v>Vigencia Anterior</v>
      </c>
      <c r="C74" s="375">
        <f>+ENERO!C74</f>
        <v>0</v>
      </c>
      <c r="D74" s="376">
        <f>NOVIEMBRE!D74+DICIEMBRE!P74</f>
        <v>0</v>
      </c>
      <c r="E74" s="376">
        <f>NOVIEMBRE!E74+DICIEMBRE!Q74</f>
        <v>7739704</v>
      </c>
      <c r="F74" s="376">
        <f>SUM(C74:E74)</f>
        <v>7739704</v>
      </c>
      <c r="G74" s="376">
        <f>NOVIEMBRE!I74</f>
        <v>7272020</v>
      </c>
      <c r="H74" s="377">
        <v>0</v>
      </c>
      <c r="I74" s="376">
        <f>SUM(G74:H74)</f>
        <v>7272020</v>
      </c>
      <c r="J74" s="376">
        <f>NOVIEMBRE!L74</f>
        <v>7272020</v>
      </c>
      <c r="K74" s="377">
        <v>0</v>
      </c>
      <c r="L74" s="376">
        <f>SUM(J74:K74)</f>
        <v>7272020</v>
      </c>
      <c r="M74" s="376">
        <f>F74-I74</f>
        <v>467684</v>
      </c>
      <c r="N74" s="146">
        <f>F74-L74</f>
        <v>467684</v>
      </c>
      <c r="O74" s="385"/>
      <c r="P74" s="375">
        <v>0</v>
      </c>
      <c r="Q74" s="378">
        <v>0</v>
      </c>
      <c r="R74" s="9"/>
      <c r="S74" s="720" t="str">
        <f>+IF(NOVIEMBRE!S74=0,"",NOVIEMBRE!S74)</f>
        <v>1020104-5</v>
      </c>
      <c r="T74" s="694" t="str">
        <f>+IF(NOVIEMBRE!T74=0,"",NOVIEMBRE!T74)</f>
        <v>Prima de Servicios</v>
      </c>
      <c r="U74" s="27">
        <f>+ENERO!U74</f>
        <v>26711056</v>
      </c>
      <c r="V74" s="15">
        <f>NOVIEMBRE!V74+DICIEMBRE!AL74</f>
        <v>0</v>
      </c>
      <c r="W74" s="15">
        <f>NOVIEMBRE!W74+DICIEMBRE!AM74</f>
        <v>0</v>
      </c>
      <c r="X74" s="18">
        <f t="shared" si="72"/>
        <v>26711056</v>
      </c>
      <c r="Y74" s="19">
        <f>NOVIEMBRE!AA74</f>
        <v>0</v>
      </c>
      <c r="Z74" s="377">
        <v>0</v>
      </c>
      <c r="AA74" s="18">
        <f t="shared" si="73"/>
        <v>0</v>
      </c>
      <c r="AB74" s="19">
        <f>NOVIEMBRE!AD74</f>
        <v>0</v>
      </c>
      <c r="AC74" s="377">
        <v>0</v>
      </c>
      <c r="AD74" s="18">
        <f t="shared" si="74"/>
        <v>0</v>
      </c>
      <c r="AE74" s="19">
        <f>NOVIEMBRE!AG74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464"/>
      <c r="BR74" s="385"/>
      <c r="BS74" s="385"/>
      <c r="BT74" s="385"/>
      <c r="BU74" s="385"/>
      <c r="BV74" s="385"/>
      <c r="BW74" s="385"/>
      <c r="BX74" s="385"/>
      <c r="BY74" s="385"/>
      <c r="BZ74" s="385"/>
      <c r="CA74" s="385"/>
      <c r="CB74" s="385"/>
      <c r="CC74" s="385"/>
      <c r="CD74" s="385"/>
      <c r="CE74" s="385"/>
      <c r="CF74" s="385"/>
      <c r="CG74" s="385"/>
      <c r="CH74" s="385"/>
      <c r="CI74" s="385"/>
      <c r="CJ74" s="385"/>
      <c r="CK74" s="385"/>
      <c r="CL74" s="385"/>
      <c r="CM74" s="385"/>
      <c r="CN74" s="385"/>
      <c r="CO74" s="385"/>
      <c r="CP74" s="385"/>
      <c r="CQ74" s="385"/>
      <c r="CR74" s="385"/>
      <c r="CS74" s="385"/>
      <c r="CT74" s="385"/>
      <c r="CU74" s="385"/>
      <c r="CV74" s="385"/>
      <c r="CW74" s="385"/>
      <c r="CX74" s="385"/>
      <c r="CY74" s="385"/>
      <c r="CZ74" s="385"/>
      <c r="DA74" s="385"/>
      <c r="DB74" s="385"/>
      <c r="DC74" s="385"/>
      <c r="DD74" s="385"/>
      <c r="DE74" s="385"/>
      <c r="DF74" s="385"/>
      <c r="DG74" s="385"/>
      <c r="DH74" s="385"/>
      <c r="DI74" s="385"/>
      <c r="DJ74" s="385"/>
      <c r="DK74" s="385"/>
      <c r="DL74" s="385"/>
      <c r="DM74" s="385"/>
      <c r="DN74" s="385"/>
      <c r="DO74" s="385"/>
      <c r="DP74" s="385"/>
      <c r="DQ74" s="385"/>
      <c r="DR74" s="385"/>
      <c r="DS74" s="385"/>
      <c r="DT74" s="385"/>
      <c r="DU74" s="385"/>
      <c r="DV74" s="385"/>
      <c r="DW74" s="385"/>
      <c r="DX74" s="385"/>
      <c r="DY74" s="385"/>
      <c r="DZ74" s="385"/>
      <c r="EA74" s="385"/>
      <c r="EB74" s="385"/>
      <c r="EC74" s="385"/>
      <c r="ED74" s="385"/>
      <c r="EE74" s="385"/>
      <c r="EF74" s="385"/>
      <c r="EG74" s="385"/>
      <c r="EH74" s="385"/>
      <c r="EI74" s="385"/>
      <c r="EJ74" s="385"/>
      <c r="EK74" s="385"/>
      <c r="EL74" s="385"/>
      <c r="EM74" s="385"/>
      <c r="EN74" s="385"/>
      <c r="EO74" s="385"/>
      <c r="EP74" s="385"/>
      <c r="EQ74" s="385"/>
      <c r="ER74" s="385"/>
      <c r="ES74" s="385"/>
      <c r="ET74" s="385"/>
      <c r="EU74" s="385"/>
      <c r="EV74" s="385"/>
      <c r="EW74" s="385"/>
      <c r="EX74" s="385"/>
      <c r="EY74" s="385"/>
      <c r="EZ74" s="385"/>
      <c r="FA74" s="385"/>
      <c r="FB74" s="385"/>
      <c r="FC74" s="385"/>
      <c r="FD74" s="385"/>
      <c r="FE74" s="385"/>
      <c r="FF74" s="385"/>
      <c r="FG74" s="385"/>
      <c r="FH74" s="385"/>
      <c r="FI74" s="385"/>
      <c r="FJ74" s="385"/>
      <c r="FK74" s="385"/>
      <c r="FL74" s="385"/>
      <c r="FM74" s="385"/>
      <c r="FN74" s="385"/>
      <c r="FO74" s="385"/>
      <c r="FP74" s="385"/>
      <c r="FQ74" s="385"/>
      <c r="FR74" s="385"/>
      <c r="FS74" s="385"/>
      <c r="FT74" s="385"/>
      <c r="FU74" s="385"/>
      <c r="FV74" s="385"/>
      <c r="FW74" s="385"/>
      <c r="FX74" s="385"/>
      <c r="FY74" s="385"/>
      <c r="FZ74" s="385"/>
      <c r="GA74" s="385"/>
      <c r="GB74" s="385"/>
      <c r="GC74" s="385"/>
      <c r="GD74" s="385"/>
      <c r="GE74" s="385"/>
      <c r="GF74" s="385"/>
      <c r="GG74" s="385"/>
      <c r="GH74" s="385"/>
      <c r="GI74" s="385"/>
      <c r="GJ74" s="385"/>
      <c r="GK74" s="385"/>
      <c r="GL74" s="385"/>
      <c r="GM74" s="385"/>
      <c r="GN74" s="385"/>
      <c r="GO74" s="385"/>
      <c r="GP74" s="385"/>
      <c r="GQ74" s="385"/>
      <c r="GR74" s="385"/>
      <c r="GS74" s="385"/>
      <c r="GT74" s="385"/>
      <c r="GU74" s="385"/>
      <c r="GV74" s="385"/>
      <c r="GW74" s="385"/>
      <c r="GX74" s="385"/>
      <c r="GY74" s="385"/>
      <c r="GZ74" s="385"/>
      <c r="HA74" s="385"/>
      <c r="HB74" s="385"/>
      <c r="HC74" s="385"/>
      <c r="HD74" s="385"/>
      <c r="HE74" s="385"/>
      <c r="HF74" s="385"/>
      <c r="HG74" s="385"/>
      <c r="HH74" s="385"/>
      <c r="HI74" s="385"/>
      <c r="HJ74" s="385"/>
      <c r="HK74" s="385"/>
      <c r="HL74" s="385"/>
      <c r="HM74" s="385"/>
      <c r="HN74" s="385"/>
      <c r="HO74" s="385"/>
      <c r="HP74" s="385"/>
      <c r="HQ74" s="385"/>
      <c r="HR74" s="385"/>
      <c r="HS74" s="385"/>
      <c r="HT74" s="385"/>
      <c r="HU74" s="385"/>
      <c r="HV74" s="385"/>
      <c r="HW74" s="385"/>
      <c r="HX74" s="385"/>
      <c r="HY74" s="385"/>
      <c r="HZ74" s="385"/>
      <c r="IA74" s="385"/>
      <c r="IB74" s="385"/>
      <c r="IC74" s="385"/>
      <c r="ID74" s="385"/>
      <c r="IE74" s="385"/>
      <c r="IF74" s="385"/>
      <c r="IG74" s="385"/>
      <c r="IH74" s="385"/>
      <c r="II74" s="385"/>
      <c r="IJ74" s="385"/>
      <c r="IK74" s="385"/>
      <c r="IL74" s="385"/>
      <c r="IM74" s="385"/>
      <c r="IN74" s="385"/>
      <c r="IO74" s="385"/>
    </row>
    <row r="75" spans="1:249" s="385" customFormat="1" ht="24.95" customHeight="1" x14ac:dyDescent="0.2">
      <c r="A75" s="747">
        <f>+IF(NOVIEMBRE!A75=0,"",NOVIEMBRE!A75)</f>
        <v>1130117</v>
      </c>
      <c r="B75" s="653" t="str">
        <f>+IF(NOVIEMBRE!B75=0,"",NOVIEMBRE!B75)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+IF(NOVIEMBRE!S75=0,"",NOVIEMBRE!S75)</f>
        <v>1020104-8</v>
      </c>
      <c r="T75" s="694" t="str">
        <f>+IF(NOVIEMBRE!T75=0,"",NOVIEMBRE!T75)</f>
        <v>Bonific. por Servicios Prestados (Convencional)</v>
      </c>
      <c r="U75" s="27">
        <f>+ENERO!U75</f>
        <v>0</v>
      </c>
      <c r="V75" s="15">
        <f>NOVIEMBRE!V75+DICIEMBRE!AL75</f>
        <v>0</v>
      </c>
      <c r="W75" s="15">
        <f>NOVIEMBRE!W75+DICIEMBRE!AM75</f>
        <v>0</v>
      </c>
      <c r="X75" s="18">
        <f t="shared" si="72"/>
        <v>0</v>
      </c>
      <c r="Y75" s="19">
        <f>NOVIEMBRE!AA75</f>
        <v>0</v>
      </c>
      <c r="Z75" s="377">
        <v>0</v>
      </c>
      <c r="AA75" s="18">
        <f t="shared" si="73"/>
        <v>0</v>
      </c>
      <c r="AB75" s="19">
        <f>NOVIEMBRE!AD75</f>
        <v>0</v>
      </c>
      <c r="AC75" s="377">
        <v>0</v>
      </c>
      <c r="AD75" s="18">
        <f t="shared" si="74"/>
        <v>0</v>
      </c>
      <c r="AE75" s="19">
        <f>NOVIEMBRE!AG75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c r="BQ75" s="464"/>
    </row>
    <row r="76" spans="1:249" s="425" customFormat="1" ht="24.95" customHeight="1" x14ac:dyDescent="0.2">
      <c r="A76" s="618" t="str">
        <f>+IF(NOVIEMBRE!A76=0,"",NOVIEMBRE!A76)</f>
        <v>1130117-1</v>
      </c>
      <c r="B76" s="654" t="str">
        <f>+CONCATENATE("Vigencia ",INSTRUCCIONES!$F$3)</f>
        <v>Vigencia 2015</v>
      </c>
      <c r="C76" s="375">
        <f>+ENERO!C76</f>
        <v>0</v>
      </c>
      <c r="D76" s="376">
        <f>NOVIEMBRE!D76+DICIEMBRE!P76</f>
        <v>0</v>
      </c>
      <c r="E76" s="376">
        <f>NOVIEMBRE!E76+DICIEMBRE!Q76</f>
        <v>0</v>
      </c>
      <c r="F76" s="376">
        <f t="shared" ref="F76:F83" si="81">SUM(C76:E76)</f>
        <v>0</v>
      </c>
      <c r="G76" s="376">
        <f>NOVIEMBRE!I76</f>
        <v>0</v>
      </c>
      <c r="H76" s="377">
        <v>0</v>
      </c>
      <c r="I76" s="376">
        <f t="shared" ref="I76:I83" si="82">SUM(G76:H76)</f>
        <v>0</v>
      </c>
      <c r="J76" s="376">
        <f>NOVIEMBRE!L76</f>
        <v>0</v>
      </c>
      <c r="K76" s="377">
        <v>0</v>
      </c>
      <c r="L76" s="376">
        <f t="shared" ref="L76:L83" si="83">SUM(J76:K76)</f>
        <v>0</v>
      </c>
      <c r="M76" s="376">
        <f t="shared" ref="M76:M83" si="84">F76-I76</f>
        <v>0</v>
      </c>
      <c r="N76" s="146">
        <f t="shared" ref="N76:N83" si="85">F76-L76</f>
        <v>0</v>
      </c>
      <c r="O76" s="385"/>
      <c r="P76" s="375">
        <v>0</v>
      </c>
      <c r="Q76" s="378">
        <v>0</v>
      </c>
      <c r="R76" s="9"/>
      <c r="S76" s="720" t="str">
        <f>+IF(NOVIEMBRE!S76=0,"",NOVIEMBRE!S76)</f>
        <v>1020104-9</v>
      </c>
      <c r="T76" s="694" t="str">
        <f>+IF(NOVIEMBRE!T76=0,"",NOVIEMBRE!T76)</f>
        <v>Auxilio de Transporte</v>
      </c>
      <c r="U76" s="27">
        <f>+ENERO!U76</f>
        <v>1471200</v>
      </c>
      <c r="V76" s="15">
        <f>NOVIEMBRE!V76+DICIEMBRE!AL76</f>
        <v>0</v>
      </c>
      <c r="W76" s="15">
        <f>NOVIEMBRE!W76+DICIEMBRE!AM76</f>
        <v>0</v>
      </c>
      <c r="X76" s="18">
        <f t="shared" si="72"/>
        <v>1471200</v>
      </c>
      <c r="Y76" s="19">
        <f>NOVIEMBRE!AA76</f>
        <v>146000</v>
      </c>
      <c r="Z76" s="377">
        <v>0</v>
      </c>
      <c r="AA76" s="18">
        <f t="shared" si="73"/>
        <v>146000</v>
      </c>
      <c r="AB76" s="19">
        <f>NOVIEMBRE!AD76</f>
        <v>146000</v>
      </c>
      <c r="AC76" s="377">
        <v>0</v>
      </c>
      <c r="AD76" s="18">
        <f t="shared" si="74"/>
        <v>146000</v>
      </c>
      <c r="AE76" s="19">
        <f>NOVIEMBRE!AG76</f>
        <v>140121</v>
      </c>
      <c r="AF76" s="377">
        <v>0</v>
      </c>
      <c r="AG76" s="18">
        <f t="shared" si="75"/>
        <v>140121</v>
      </c>
      <c r="AH76" s="19">
        <f t="shared" si="76"/>
        <v>1325200</v>
      </c>
      <c r="AI76" s="15">
        <f t="shared" si="77"/>
        <v>1325200</v>
      </c>
      <c r="AJ76" s="16">
        <f t="shared" si="78"/>
        <v>1331079</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464"/>
      <c r="BR76" s="385"/>
      <c r="BS76" s="385"/>
      <c r="BT76" s="385"/>
      <c r="BU76" s="385"/>
      <c r="BV76" s="385"/>
      <c r="BW76" s="385"/>
      <c r="BX76" s="385"/>
      <c r="BY76" s="385"/>
      <c r="BZ76" s="385"/>
      <c r="CA76" s="385"/>
      <c r="CB76" s="385"/>
      <c r="CC76" s="385"/>
      <c r="CD76" s="385"/>
      <c r="CE76" s="385"/>
      <c r="CF76" s="385"/>
      <c r="CG76" s="385"/>
      <c r="CH76" s="385"/>
      <c r="CI76" s="385"/>
      <c r="CJ76" s="385"/>
      <c r="CK76" s="385"/>
      <c r="CL76" s="385"/>
      <c r="CM76" s="385"/>
      <c r="CN76" s="385"/>
      <c r="CO76" s="385"/>
      <c r="CP76" s="385"/>
      <c r="CQ76" s="385"/>
      <c r="CR76" s="385"/>
      <c r="CS76" s="385"/>
      <c r="CT76" s="385"/>
      <c r="CU76" s="385"/>
      <c r="CV76" s="385"/>
      <c r="CW76" s="385"/>
      <c r="CX76" s="385"/>
      <c r="CY76" s="385"/>
      <c r="CZ76" s="385"/>
      <c r="DA76" s="385"/>
      <c r="DB76" s="385"/>
      <c r="DC76" s="385"/>
      <c r="DD76" s="385"/>
      <c r="DE76" s="385"/>
      <c r="DF76" s="385"/>
      <c r="DG76" s="385"/>
      <c r="DH76" s="385"/>
      <c r="DI76" s="385"/>
      <c r="DJ76" s="385"/>
      <c r="DK76" s="385"/>
      <c r="DL76" s="385"/>
      <c r="DM76" s="385"/>
      <c r="DN76" s="385"/>
      <c r="DO76" s="385"/>
      <c r="DP76" s="385"/>
      <c r="DQ76" s="385"/>
      <c r="DR76" s="385"/>
      <c r="DS76" s="385"/>
      <c r="DT76" s="385"/>
      <c r="DU76" s="385"/>
      <c r="DV76" s="385"/>
      <c r="DW76" s="385"/>
      <c r="DX76" s="385"/>
      <c r="DY76" s="385"/>
      <c r="DZ76" s="385"/>
      <c r="EA76" s="385"/>
      <c r="EB76" s="385"/>
      <c r="EC76" s="385"/>
      <c r="ED76" s="385"/>
      <c r="EE76" s="385"/>
      <c r="EF76" s="385"/>
      <c r="EG76" s="385"/>
      <c r="EH76" s="385"/>
      <c r="EI76" s="385"/>
      <c r="EJ76" s="385"/>
      <c r="EK76" s="385"/>
      <c r="EL76" s="385"/>
      <c r="EM76" s="385"/>
      <c r="EN76" s="385"/>
      <c r="EO76" s="385"/>
      <c r="EP76" s="385"/>
      <c r="EQ76" s="385"/>
      <c r="ER76" s="385"/>
      <c r="ES76" s="385"/>
      <c r="ET76" s="385"/>
      <c r="EU76" s="385"/>
      <c r="EV76" s="385"/>
      <c r="EW76" s="385"/>
      <c r="EX76" s="385"/>
      <c r="EY76" s="385"/>
      <c r="EZ76" s="385"/>
      <c r="FA76" s="385"/>
      <c r="FB76" s="385"/>
      <c r="FC76" s="385"/>
      <c r="FD76" s="385"/>
      <c r="FE76" s="385"/>
      <c r="FF76" s="385"/>
      <c r="FG76" s="385"/>
      <c r="FH76" s="385"/>
      <c r="FI76" s="385"/>
      <c r="FJ76" s="385"/>
      <c r="FK76" s="385"/>
      <c r="FL76" s="385"/>
      <c r="FM76" s="385"/>
      <c r="FN76" s="385"/>
      <c r="FO76" s="385"/>
      <c r="FP76" s="385"/>
      <c r="FQ76" s="385"/>
      <c r="FR76" s="385"/>
      <c r="FS76" s="385"/>
      <c r="FT76" s="385"/>
      <c r="FU76" s="385"/>
      <c r="FV76" s="385"/>
      <c r="FW76" s="385"/>
      <c r="FX76" s="385"/>
      <c r="FY76" s="385"/>
      <c r="FZ76" s="385"/>
      <c r="GA76" s="385"/>
      <c r="GB76" s="385"/>
      <c r="GC76" s="385"/>
      <c r="GD76" s="385"/>
      <c r="GE76" s="385"/>
      <c r="GF76" s="385"/>
      <c r="GG76" s="385"/>
      <c r="GH76" s="385"/>
      <c r="GI76" s="385"/>
      <c r="GJ76" s="385"/>
      <c r="GK76" s="385"/>
      <c r="GL76" s="385"/>
      <c r="GM76" s="385"/>
      <c r="GN76" s="385"/>
      <c r="GO76" s="385"/>
      <c r="GP76" s="385"/>
      <c r="GQ76" s="385"/>
      <c r="GR76" s="385"/>
      <c r="GS76" s="385"/>
      <c r="GT76" s="385"/>
      <c r="GU76" s="385"/>
      <c r="GV76" s="385"/>
      <c r="GW76" s="385"/>
      <c r="GX76" s="385"/>
      <c r="GY76" s="385"/>
      <c r="GZ76" s="385"/>
      <c r="HA76" s="385"/>
      <c r="HB76" s="385"/>
      <c r="HC76" s="385"/>
      <c r="HD76" s="385"/>
      <c r="HE76" s="385"/>
      <c r="HF76" s="385"/>
      <c r="HG76" s="385"/>
      <c r="HH76" s="385"/>
      <c r="HI76" s="385"/>
      <c r="HJ76" s="385"/>
      <c r="HK76" s="385"/>
      <c r="HL76" s="385"/>
      <c r="HM76" s="385"/>
      <c r="HN76" s="385"/>
      <c r="HO76" s="385"/>
      <c r="HP76" s="385"/>
      <c r="HQ76" s="385"/>
      <c r="HR76" s="385"/>
      <c r="HS76" s="385"/>
      <c r="HT76" s="385"/>
      <c r="HU76" s="385"/>
      <c r="HV76" s="385"/>
      <c r="HW76" s="385"/>
      <c r="HX76" s="385"/>
      <c r="HY76" s="385"/>
      <c r="HZ76" s="385"/>
      <c r="IA76" s="385"/>
      <c r="IB76" s="385"/>
      <c r="IC76" s="385"/>
      <c r="ID76" s="385"/>
      <c r="IE76" s="385"/>
      <c r="IF76" s="385"/>
      <c r="IG76" s="385"/>
      <c r="IH76" s="385"/>
      <c r="II76" s="385"/>
      <c r="IJ76" s="385"/>
      <c r="IK76" s="385"/>
      <c r="IL76" s="385"/>
      <c r="IM76" s="385"/>
      <c r="IN76" s="385"/>
      <c r="IO76" s="385"/>
    </row>
    <row r="77" spans="1:249" s="425" customFormat="1" ht="24.95" customHeight="1" x14ac:dyDescent="0.2">
      <c r="A77" s="618" t="str">
        <f>+IF(NOVIEMBRE!A77=0,"",NOVIEMBRE!A77)</f>
        <v>1130117-2</v>
      </c>
      <c r="B77" s="654" t="str">
        <f>+IF(NOVIEMBRE!B77=0,"",NOVIEMBRE!B77)</f>
        <v>Vigencia Anterior</v>
      </c>
      <c r="C77" s="375">
        <f>+ENERO!C77</f>
        <v>0</v>
      </c>
      <c r="D77" s="376">
        <f>NOVIEMBRE!D77+DICIEMBRE!P77</f>
        <v>0</v>
      </c>
      <c r="E77" s="376">
        <f>NOVIEMBRE!E77+DICIEMBRE!Q77</f>
        <v>0</v>
      </c>
      <c r="F77" s="376">
        <f t="shared" si="81"/>
        <v>0</v>
      </c>
      <c r="G77" s="376">
        <f>NOVIEMBRE!I77</f>
        <v>0</v>
      </c>
      <c r="H77" s="377">
        <v>0</v>
      </c>
      <c r="I77" s="376">
        <f t="shared" si="82"/>
        <v>0</v>
      </c>
      <c r="J77" s="376">
        <f>NOVIEMBRE!L77</f>
        <v>0</v>
      </c>
      <c r="K77" s="377">
        <v>0</v>
      </c>
      <c r="L77" s="376">
        <f t="shared" si="83"/>
        <v>0</v>
      </c>
      <c r="M77" s="376">
        <f t="shared" si="84"/>
        <v>0</v>
      </c>
      <c r="N77" s="146">
        <f t="shared" si="85"/>
        <v>0</v>
      </c>
      <c r="O77" s="385"/>
      <c r="P77" s="375">
        <v>0</v>
      </c>
      <c r="Q77" s="378">
        <v>0</v>
      </c>
      <c r="R77" s="9"/>
      <c r="S77" s="720" t="str">
        <f>+IF(NOVIEMBRE!S77=0,"",NOVIEMBRE!S77)</f>
        <v>1020104-10</v>
      </c>
      <c r="T77" s="694" t="str">
        <f>+IF(NOVIEMBRE!T77=0,"",NOVIEMBRE!T77)</f>
        <v>Subsidio de Alimentación</v>
      </c>
      <c r="U77" s="27">
        <f>+ENERO!U77</f>
        <v>0</v>
      </c>
      <c r="V77" s="15">
        <f>NOVIEMBRE!V77+DICIEMBRE!AL77</f>
        <v>0</v>
      </c>
      <c r="W77" s="15">
        <f>NOVIEMBRE!W77+DICIEMBRE!AM77</f>
        <v>0</v>
      </c>
      <c r="X77" s="18">
        <f t="shared" si="72"/>
        <v>0</v>
      </c>
      <c r="Y77" s="19">
        <f>NOVIEMBRE!AA77</f>
        <v>0</v>
      </c>
      <c r="Z77" s="377">
        <v>0</v>
      </c>
      <c r="AA77" s="18">
        <f t="shared" si="73"/>
        <v>0</v>
      </c>
      <c r="AB77" s="19">
        <f>NOVIEMBRE!AD77</f>
        <v>0</v>
      </c>
      <c r="AC77" s="377">
        <v>0</v>
      </c>
      <c r="AD77" s="18">
        <f t="shared" si="74"/>
        <v>0</v>
      </c>
      <c r="AE77" s="19">
        <f>NOVIEMBRE!AG77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464"/>
      <c r="BR77" s="385"/>
      <c r="BS77" s="385"/>
      <c r="BT77" s="385"/>
      <c r="BU77" s="385"/>
      <c r="BV77" s="385"/>
      <c r="BW77" s="385"/>
      <c r="BX77" s="385"/>
      <c r="BY77" s="385"/>
      <c r="BZ77" s="385"/>
      <c r="CA77" s="385"/>
      <c r="CB77" s="385"/>
      <c r="CC77" s="385"/>
      <c r="CD77" s="385"/>
      <c r="CE77" s="385"/>
      <c r="CF77" s="385"/>
      <c r="CG77" s="385"/>
      <c r="CH77" s="385"/>
      <c r="CI77" s="385"/>
      <c r="CJ77" s="385"/>
      <c r="CK77" s="385"/>
      <c r="CL77" s="385"/>
      <c r="CM77" s="385"/>
      <c r="CN77" s="385"/>
      <c r="CO77" s="385"/>
      <c r="CP77" s="385"/>
      <c r="CQ77" s="385"/>
      <c r="CR77" s="385"/>
      <c r="CS77" s="385"/>
      <c r="CT77" s="385"/>
      <c r="CU77" s="385"/>
      <c r="CV77" s="385"/>
      <c r="CW77" s="385"/>
      <c r="CX77" s="385"/>
      <c r="CY77" s="385"/>
      <c r="CZ77" s="385"/>
      <c r="DA77" s="385"/>
      <c r="DB77" s="385"/>
      <c r="DC77" s="385"/>
      <c r="DD77" s="385"/>
      <c r="DE77" s="385"/>
      <c r="DF77" s="385"/>
      <c r="DG77" s="385"/>
      <c r="DH77" s="385"/>
      <c r="DI77" s="385"/>
      <c r="DJ77" s="385"/>
      <c r="DK77" s="385"/>
      <c r="DL77" s="385"/>
      <c r="DM77" s="385"/>
      <c r="DN77" s="385"/>
      <c r="DO77" s="385"/>
      <c r="DP77" s="385"/>
      <c r="DQ77" s="385"/>
      <c r="DR77" s="385"/>
      <c r="DS77" s="385"/>
      <c r="DT77" s="385"/>
      <c r="DU77" s="385"/>
      <c r="DV77" s="385"/>
      <c r="DW77" s="385"/>
      <c r="DX77" s="385"/>
      <c r="DY77" s="385"/>
      <c r="DZ77" s="385"/>
      <c r="EA77" s="385"/>
      <c r="EB77" s="385"/>
      <c r="EC77" s="385"/>
      <c r="ED77" s="385"/>
      <c r="EE77" s="385"/>
      <c r="EF77" s="385"/>
      <c r="EG77" s="385"/>
      <c r="EH77" s="385"/>
      <c r="EI77" s="385"/>
      <c r="EJ77" s="385"/>
      <c r="EK77" s="385"/>
      <c r="EL77" s="385"/>
      <c r="EM77" s="385"/>
      <c r="EN77" s="385"/>
      <c r="EO77" s="385"/>
      <c r="EP77" s="385"/>
      <c r="EQ77" s="385"/>
      <c r="ER77" s="385"/>
      <c r="ES77" s="385"/>
      <c r="ET77" s="385"/>
      <c r="EU77" s="385"/>
      <c r="EV77" s="385"/>
      <c r="EW77" s="385"/>
      <c r="EX77" s="385"/>
      <c r="EY77" s="385"/>
      <c r="EZ77" s="385"/>
      <c r="FA77" s="385"/>
      <c r="FB77" s="385"/>
      <c r="FC77" s="385"/>
      <c r="FD77" s="385"/>
      <c r="FE77" s="385"/>
      <c r="FF77" s="385"/>
      <c r="FG77" s="385"/>
      <c r="FH77" s="385"/>
      <c r="FI77" s="385"/>
      <c r="FJ77" s="385"/>
      <c r="FK77" s="385"/>
      <c r="FL77" s="385"/>
      <c r="FM77" s="385"/>
      <c r="FN77" s="385"/>
      <c r="FO77" s="385"/>
      <c r="FP77" s="385"/>
      <c r="FQ77" s="385"/>
      <c r="FR77" s="385"/>
      <c r="FS77" s="385"/>
      <c r="FT77" s="385"/>
      <c r="FU77" s="385"/>
      <c r="FV77" s="385"/>
      <c r="FW77" s="385"/>
      <c r="FX77" s="385"/>
      <c r="FY77" s="385"/>
      <c r="FZ77" s="385"/>
      <c r="GA77" s="385"/>
      <c r="GB77" s="385"/>
      <c r="GC77" s="385"/>
      <c r="GD77" s="385"/>
      <c r="GE77" s="385"/>
      <c r="GF77" s="385"/>
      <c r="GG77" s="385"/>
      <c r="GH77" s="385"/>
      <c r="GI77" s="385"/>
      <c r="GJ77" s="385"/>
      <c r="GK77" s="385"/>
      <c r="GL77" s="385"/>
      <c r="GM77" s="385"/>
      <c r="GN77" s="385"/>
      <c r="GO77" s="385"/>
      <c r="GP77" s="385"/>
      <c r="GQ77" s="385"/>
      <c r="GR77" s="385"/>
      <c r="GS77" s="385"/>
      <c r="GT77" s="385"/>
      <c r="GU77" s="385"/>
      <c r="GV77" s="385"/>
      <c r="GW77" s="385"/>
      <c r="GX77" s="385"/>
      <c r="GY77" s="385"/>
      <c r="GZ77" s="385"/>
      <c r="HA77" s="385"/>
      <c r="HB77" s="385"/>
      <c r="HC77" s="385"/>
      <c r="HD77" s="385"/>
      <c r="HE77" s="385"/>
      <c r="HF77" s="385"/>
      <c r="HG77" s="385"/>
      <c r="HH77" s="385"/>
      <c r="HI77" s="385"/>
      <c r="HJ77" s="385"/>
      <c r="HK77" s="385"/>
      <c r="HL77" s="385"/>
      <c r="HM77" s="385"/>
      <c r="HN77" s="385"/>
      <c r="HO77" s="385"/>
      <c r="HP77" s="385"/>
      <c r="HQ77" s="385"/>
      <c r="HR77" s="385"/>
      <c r="HS77" s="385"/>
      <c r="HT77" s="385"/>
      <c r="HU77" s="385"/>
      <c r="HV77" s="385"/>
      <c r="HW77" s="385"/>
      <c r="HX77" s="385"/>
      <c r="HY77" s="385"/>
      <c r="HZ77" s="385"/>
      <c r="IA77" s="385"/>
      <c r="IB77" s="385"/>
      <c r="IC77" s="385"/>
      <c r="ID77" s="385"/>
      <c r="IE77" s="385"/>
      <c r="IF77" s="385"/>
      <c r="IG77" s="385"/>
      <c r="IH77" s="385"/>
      <c r="II77" s="385"/>
      <c r="IJ77" s="385"/>
      <c r="IK77" s="385"/>
      <c r="IL77" s="385"/>
      <c r="IM77" s="385"/>
      <c r="IN77" s="385"/>
      <c r="IO77" s="385"/>
    </row>
    <row r="78" spans="1:249" s="425" customFormat="1" ht="24.95" customHeight="1" x14ac:dyDescent="0.2">
      <c r="A78" s="747">
        <f>+IF(NOVIEMBRE!A78=0,"",NOVIEMBRE!A78)</f>
        <v>1130118</v>
      </c>
      <c r="B78" s="653" t="str">
        <f>+IF(NOVIEMBRE!B78=0,"",NOVIEMBRE!B78)</f>
        <v>PARTICULARES   (Venta de Contado)</v>
      </c>
      <c r="C78" s="43">
        <f>SUM(C79:C80)</f>
        <v>151788162</v>
      </c>
      <c r="D78" s="44">
        <f>SUM(D79:D80)</f>
        <v>0</v>
      </c>
      <c r="E78" s="44">
        <f>SUM(E79:E80)</f>
        <v>0</v>
      </c>
      <c r="F78" s="44">
        <f t="shared" si="81"/>
        <v>151788162</v>
      </c>
      <c r="G78" s="44">
        <f>SUM(G79:G80)</f>
        <v>100784494</v>
      </c>
      <c r="H78" s="44">
        <f>SUM(H79:H80)</f>
        <v>0</v>
      </c>
      <c r="I78" s="44">
        <f t="shared" si="82"/>
        <v>100784494</v>
      </c>
      <c r="J78" s="44">
        <f>SUM(J79:J80)</f>
        <v>100784494</v>
      </c>
      <c r="K78" s="44">
        <f>SUM(K79:K80)</f>
        <v>0</v>
      </c>
      <c r="L78" s="44">
        <f t="shared" si="83"/>
        <v>100784494</v>
      </c>
      <c r="M78" s="44">
        <f t="shared" si="84"/>
        <v>51003668</v>
      </c>
      <c r="N78" s="45">
        <f t="shared" si="85"/>
        <v>51003668</v>
      </c>
      <c r="O78" s="385"/>
      <c r="P78" s="43">
        <f>SUM(P79:P80)</f>
        <v>0</v>
      </c>
      <c r="Q78" s="45">
        <f>SUM(Q79:Q80)</f>
        <v>0</v>
      </c>
      <c r="R78" s="9"/>
      <c r="S78" s="720" t="str">
        <f>+IF(NOVIEMBRE!S78=0,"",NOVIEMBRE!S78)</f>
        <v>1020104-12</v>
      </c>
      <c r="T78" s="694" t="str">
        <f>+IF(NOVIEMBRE!T78=0,"",NOVIEMBRE!T78)</f>
        <v>Indemnizaciones por Vacaciones o Supresión de Cargos por Reestructuración</v>
      </c>
      <c r="U78" s="27">
        <f>+ENERO!U78</f>
        <v>0</v>
      </c>
      <c r="V78" s="15">
        <f>NOVIEMBRE!V78+DICIEMBRE!AL78</f>
        <v>0</v>
      </c>
      <c r="W78" s="15">
        <f>NOVIEMBRE!W78+DICIEMBRE!AM78</f>
        <v>0</v>
      </c>
      <c r="X78" s="18">
        <f t="shared" si="72"/>
        <v>0</v>
      </c>
      <c r="Y78" s="19">
        <f>NOVIEMBRE!AA78</f>
        <v>0</v>
      </c>
      <c r="Z78" s="377">
        <v>0</v>
      </c>
      <c r="AA78" s="18">
        <f t="shared" si="73"/>
        <v>0</v>
      </c>
      <c r="AB78" s="19">
        <f>NOVIEMBRE!AD78</f>
        <v>0</v>
      </c>
      <c r="AC78" s="377">
        <v>0</v>
      </c>
      <c r="AD78" s="18">
        <f t="shared" si="74"/>
        <v>0</v>
      </c>
      <c r="AE78" s="19">
        <f>NOVIEMBRE!AG78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464"/>
      <c r="BR78" s="385"/>
      <c r="BS78" s="385"/>
      <c r="BT78" s="385"/>
      <c r="BU78" s="385"/>
      <c r="BV78" s="385"/>
      <c r="BW78" s="385"/>
      <c r="BX78" s="385"/>
      <c r="BY78" s="385"/>
      <c r="BZ78" s="385"/>
      <c r="CA78" s="385"/>
      <c r="CB78" s="385"/>
      <c r="CC78" s="385"/>
      <c r="CD78" s="385"/>
      <c r="CE78" s="385"/>
      <c r="CF78" s="385"/>
      <c r="CG78" s="385"/>
      <c r="CH78" s="385"/>
      <c r="CI78" s="385"/>
      <c r="CJ78" s="385"/>
      <c r="CK78" s="385"/>
      <c r="CL78" s="385"/>
      <c r="CM78" s="385"/>
      <c r="CN78" s="385"/>
      <c r="CO78" s="385"/>
      <c r="CP78" s="385"/>
      <c r="CQ78" s="385"/>
      <c r="CR78" s="385"/>
      <c r="CS78" s="385"/>
      <c r="CT78" s="385"/>
      <c r="CU78" s="385"/>
      <c r="CV78" s="385"/>
      <c r="CW78" s="385"/>
      <c r="CX78" s="385"/>
      <c r="CY78" s="385"/>
      <c r="CZ78" s="385"/>
      <c r="DA78" s="385"/>
      <c r="DB78" s="385"/>
      <c r="DC78" s="385"/>
      <c r="DD78" s="385"/>
      <c r="DE78" s="385"/>
      <c r="DF78" s="385"/>
      <c r="DG78" s="385"/>
      <c r="DH78" s="385"/>
      <c r="DI78" s="385"/>
      <c r="DJ78" s="385"/>
      <c r="DK78" s="385"/>
      <c r="DL78" s="385"/>
      <c r="DM78" s="385"/>
      <c r="DN78" s="385"/>
      <c r="DO78" s="385"/>
      <c r="DP78" s="385"/>
      <c r="DQ78" s="385"/>
      <c r="DR78" s="385"/>
      <c r="DS78" s="385"/>
      <c r="DT78" s="385"/>
      <c r="DU78" s="385"/>
      <c r="DV78" s="385"/>
      <c r="DW78" s="385"/>
      <c r="DX78" s="385"/>
      <c r="DY78" s="385"/>
      <c r="DZ78" s="385"/>
      <c r="EA78" s="385"/>
      <c r="EB78" s="385"/>
      <c r="EC78" s="385"/>
      <c r="ED78" s="385"/>
      <c r="EE78" s="385"/>
      <c r="EF78" s="385"/>
      <c r="EG78" s="385"/>
      <c r="EH78" s="385"/>
      <c r="EI78" s="385"/>
      <c r="EJ78" s="385"/>
      <c r="EK78" s="385"/>
      <c r="EL78" s="385"/>
      <c r="EM78" s="385"/>
      <c r="EN78" s="385"/>
      <c r="EO78" s="385"/>
      <c r="EP78" s="385"/>
      <c r="EQ78" s="385"/>
      <c r="ER78" s="385"/>
      <c r="ES78" s="385"/>
      <c r="ET78" s="385"/>
      <c r="EU78" s="385"/>
      <c r="EV78" s="385"/>
      <c r="EW78" s="385"/>
      <c r="EX78" s="385"/>
      <c r="EY78" s="385"/>
      <c r="EZ78" s="385"/>
      <c r="FA78" s="385"/>
      <c r="FB78" s="385"/>
      <c r="FC78" s="385"/>
      <c r="FD78" s="385"/>
      <c r="FE78" s="385"/>
      <c r="FF78" s="385"/>
      <c r="FG78" s="385"/>
      <c r="FH78" s="385"/>
      <c r="FI78" s="385"/>
      <c r="FJ78" s="385"/>
      <c r="FK78" s="385"/>
      <c r="FL78" s="385"/>
      <c r="FM78" s="385"/>
      <c r="FN78" s="385"/>
      <c r="FO78" s="385"/>
      <c r="FP78" s="385"/>
      <c r="FQ78" s="385"/>
      <c r="FR78" s="385"/>
      <c r="FS78" s="385"/>
      <c r="FT78" s="385"/>
      <c r="FU78" s="385"/>
      <c r="FV78" s="385"/>
      <c r="FW78" s="385"/>
      <c r="FX78" s="385"/>
      <c r="FY78" s="385"/>
      <c r="FZ78" s="385"/>
      <c r="GA78" s="385"/>
      <c r="GB78" s="385"/>
      <c r="GC78" s="385"/>
      <c r="GD78" s="385"/>
      <c r="GE78" s="385"/>
      <c r="GF78" s="385"/>
      <c r="GG78" s="385"/>
      <c r="GH78" s="385"/>
      <c r="GI78" s="385"/>
      <c r="GJ78" s="385"/>
      <c r="GK78" s="385"/>
      <c r="GL78" s="385"/>
      <c r="GM78" s="385"/>
      <c r="GN78" s="385"/>
      <c r="GO78" s="385"/>
      <c r="GP78" s="385"/>
      <c r="GQ78" s="385"/>
      <c r="GR78" s="385"/>
      <c r="GS78" s="385"/>
      <c r="GT78" s="385"/>
      <c r="GU78" s="385"/>
      <c r="GV78" s="385"/>
      <c r="GW78" s="385"/>
      <c r="GX78" s="385"/>
      <c r="GY78" s="385"/>
      <c r="GZ78" s="385"/>
      <c r="HA78" s="385"/>
      <c r="HB78" s="385"/>
      <c r="HC78" s="385"/>
      <c r="HD78" s="385"/>
      <c r="HE78" s="385"/>
      <c r="HF78" s="385"/>
      <c r="HG78" s="385"/>
      <c r="HH78" s="385"/>
      <c r="HI78" s="385"/>
      <c r="HJ78" s="385"/>
      <c r="HK78" s="385"/>
      <c r="HL78" s="385"/>
      <c r="HM78" s="385"/>
      <c r="HN78" s="385"/>
      <c r="HO78" s="385"/>
      <c r="HP78" s="385"/>
      <c r="HQ78" s="385"/>
      <c r="HR78" s="385"/>
      <c r="HS78" s="385"/>
      <c r="HT78" s="385"/>
      <c r="HU78" s="385"/>
      <c r="HV78" s="385"/>
      <c r="HW78" s="385"/>
      <c r="HX78" s="385"/>
      <c r="HY78" s="385"/>
      <c r="HZ78" s="385"/>
      <c r="IA78" s="385"/>
      <c r="IB78" s="385"/>
      <c r="IC78" s="385"/>
      <c r="ID78" s="385"/>
      <c r="IE78" s="385"/>
      <c r="IF78" s="385"/>
      <c r="IG78" s="385"/>
      <c r="IH78" s="385"/>
      <c r="II78" s="385"/>
      <c r="IJ78" s="385"/>
      <c r="IK78" s="385"/>
      <c r="IL78" s="385"/>
      <c r="IM78" s="385"/>
      <c r="IN78" s="385"/>
      <c r="IO78" s="385"/>
    </row>
    <row r="79" spans="1:249" s="385" customFormat="1" ht="24.95" customHeight="1" x14ac:dyDescent="0.2">
      <c r="A79" s="618" t="str">
        <f>+IF(NOVIEMBRE!A79=0,"",NOVIEMBRE!A79)</f>
        <v>1130118-1</v>
      </c>
      <c r="B79" s="654" t="str">
        <f>+CONCATENATE("Vigencia ",INSTRUCCIONES!$F$3)</f>
        <v>Vigencia 2015</v>
      </c>
      <c r="C79" s="375">
        <f>+ENERO!C79</f>
        <v>151788162</v>
      </c>
      <c r="D79" s="376">
        <f>NOVIEMBRE!D79+DICIEMBRE!P79</f>
        <v>0</v>
      </c>
      <c r="E79" s="376">
        <f>NOVIEMBRE!E79+DICIEMBRE!Q79</f>
        <v>0</v>
      </c>
      <c r="F79" s="376">
        <f t="shared" si="81"/>
        <v>151788162</v>
      </c>
      <c r="G79" s="376">
        <f>NOVIEMBRE!I79</f>
        <v>100784494</v>
      </c>
      <c r="H79" s="377">
        <v>0</v>
      </c>
      <c r="I79" s="376">
        <f t="shared" si="82"/>
        <v>100784494</v>
      </c>
      <c r="J79" s="376">
        <f>NOVIEMBRE!L79</f>
        <v>100784494</v>
      </c>
      <c r="K79" s="377">
        <v>0</v>
      </c>
      <c r="L79" s="376">
        <f t="shared" si="83"/>
        <v>100784494</v>
      </c>
      <c r="M79" s="376">
        <f t="shared" si="84"/>
        <v>51003668</v>
      </c>
      <c r="N79" s="146">
        <f t="shared" si="85"/>
        <v>51003668</v>
      </c>
      <c r="P79" s="375">
        <v>0</v>
      </c>
      <c r="Q79" s="378">
        <v>0</v>
      </c>
      <c r="R79" s="9"/>
      <c r="S79" s="720" t="str">
        <f>+IF(NOVIEMBRE!S79=0,"",NOVIEMBRE!S79)</f>
        <v>1020104-13</v>
      </c>
      <c r="T79" s="694" t="str">
        <f>+IF(NOVIEMBRE!T79=0,"",NOVIEMBRE!T79)</f>
        <v>Bonificación Especial por Recreación</v>
      </c>
      <c r="U79" s="27">
        <f>+ENERO!U79</f>
        <v>3561474</v>
      </c>
      <c r="V79" s="15">
        <f>NOVIEMBRE!V79+DICIEMBRE!AL79</f>
        <v>0</v>
      </c>
      <c r="W79" s="15">
        <f>NOVIEMBRE!W79+DICIEMBRE!AM79</f>
        <v>0</v>
      </c>
      <c r="X79" s="18">
        <f t="shared" si="72"/>
        <v>3561474</v>
      </c>
      <c r="Y79" s="19">
        <f>NOVIEMBRE!AA79</f>
        <v>2731324</v>
      </c>
      <c r="Z79" s="377">
        <v>0</v>
      </c>
      <c r="AA79" s="18">
        <f t="shared" si="73"/>
        <v>2731324</v>
      </c>
      <c r="AB79" s="19">
        <f>NOVIEMBRE!AD79</f>
        <v>2731324</v>
      </c>
      <c r="AC79" s="377">
        <v>0</v>
      </c>
      <c r="AD79" s="18">
        <f t="shared" si="74"/>
        <v>2731324</v>
      </c>
      <c r="AE79" s="19">
        <f>NOVIEMBRE!AG79</f>
        <v>1890075</v>
      </c>
      <c r="AF79" s="377">
        <v>0</v>
      </c>
      <c r="AG79" s="18">
        <f t="shared" si="75"/>
        <v>1890075</v>
      </c>
      <c r="AH79" s="19">
        <f t="shared" si="76"/>
        <v>830150</v>
      </c>
      <c r="AI79" s="15">
        <f t="shared" si="77"/>
        <v>830150</v>
      </c>
      <c r="AJ79" s="16">
        <f t="shared" si="78"/>
        <v>1671399</v>
      </c>
      <c r="AK79" s="9"/>
      <c r="AL79" s="375">
        <v>0</v>
      </c>
      <c r="AM79" s="378">
        <v>0</v>
      </c>
      <c r="AN79" s="9"/>
      <c r="AO79" s="297"/>
      <c r="AP79" s="297"/>
      <c r="AQ79" s="297"/>
      <c r="AR79" s="297"/>
      <c r="AS79" s="297"/>
      <c r="AT79" s="297"/>
      <c r="AU79" s="297"/>
      <c r="AV79" s="297"/>
      <c r="AW79" s="297"/>
      <c r="AX79" s="297"/>
      <c r="AY79" s="297"/>
      <c r="AZ79" s="297"/>
      <c r="BL79" s="9"/>
      <c r="BQ79" s="464"/>
    </row>
    <row r="80" spans="1:249" s="9" customFormat="1" ht="24.95" customHeight="1" x14ac:dyDescent="0.2">
      <c r="A80" s="618" t="str">
        <f>+IF(NOVIEMBRE!A80=0,"",NOVIEMBRE!A80)</f>
        <v>1130118-2</v>
      </c>
      <c r="B80" s="654" t="str">
        <f>+IF(NOVIEMBRE!B80=0,"",NOVIEMBRE!B80)</f>
        <v>Vigencia Anterior</v>
      </c>
      <c r="C80" s="375">
        <f>+ENERO!C80</f>
        <v>0</v>
      </c>
      <c r="D80" s="376">
        <f>NOVIEMBRE!D80+DICIEMBRE!P80</f>
        <v>0</v>
      </c>
      <c r="E80" s="376">
        <f>NOVIEMBRE!E80+DICIEMBRE!Q80</f>
        <v>0</v>
      </c>
      <c r="F80" s="376">
        <f t="shared" si="81"/>
        <v>0</v>
      </c>
      <c r="G80" s="376">
        <f>NOVIEMBRE!I80</f>
        <v>0</v>
      </c>
      <c r="H80" s="377">
        <v>0</v>
      </c>
      <c r="I80" s="376">
        <f t="shared" si="82"/>
        <v>0</v>
      </c>
      <c r="J80" s="376">
        <f>NOVIEMBRE!L80</f>
        <v>0</v>
      </c>
      <c r="K80" s="377">
        <v>0</v>
      </c>
      <c r="L80" s="376">
        <f t="shared" si="83"/>
        <v>0</v>
      </c>
      <c r="M80" s="376">
        <f t="shared" si="84"/>
        <v>0</v>
      </c>
      <c r="N80" s="146">
        <f t="shared" si="85"/>
        <v>0</v>
      </c>
      <c r="O80" s="385"/>
      <c r="P80" s="375">
        <v>0</v>
      </c>
      <c r="Q80" s="378">
        <v>0</v>
      </c>
      <c r="S80" s="720" t="str">
        <f>+IF(NOVIEMBRE!S80=0,"",NOVIEMBRE!S80)</f>
        <v>1020104-14</v>
      </c>
      <c r="T80" s="694" t="str">
        <f>+IF(NOVIEMBRE!T80=0,"",NOVIEMBRE!T80)</f>
        <v/>
      </c>
      <c r="U80" s="27">
        <f>+ENERO!U80</f>
        <v>0</v>
      </c>
      <c r="V80" s="15">
        <f>NOVIEMBRE!V80+DICIEMBRE!AL80</f>
        <v>0</v>
      </c>
      <c r="W80" s="15">
        <f>NOVIEMBRE!W80+DICIEMBRE!AM80</f>
        <v>0</v>
      </c>
      <c r="X80" s="18">
        <f t="shared" si="72"/>
        <v>0</v>
      </c>
      <c r="Y80" s="19">
        <f>NOVIEMBRE!AA80</f>
        <v>0</v>
      </c>
      <c r="Z80" s="377">
        <v>0</v>
      </c>
      <c r="AA80" s="18">
        <f t="shared" si="73"/>
        <v>0</v>
      </c>
      <c r="AB80" s="19">
        <f>NOVIEMBRE!AD80</f>
        <v>0</v>
      </c>
      <c r="AC80" s="377">
        <v>0</v>
      </c>
      <c r="AD80" s="18">
        <f t="shared" si="74"/>
        <v>0</v>
      </c>
      <c r="AE80" s="19">
        <f>NOVIEMBRE!AG80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F80" s="385"/>
      <c r="BL80" s="385"/>
      <c r="BM80" s="385"/>
      <c r="BN80" s="385"/>
      <c r="BO80" s="385"/>
      <c r="BP80" s="385"/>
      <c r="BQ80" s="464"/>
      <c r="BR80" s="385"/>
    </row>
    <row r="81" spans="1:70" s="385" customFormat="1" ht="24.95" customHeight="1" x14ac:dyDescent="0.2">
      <c r="A81" s="747">
        <f>+IF(NOVIEMBRE!A81=0,"",NOVIEMBRE!A81)</f>
        <v>1130119</v>
      </c>
      <c r="B81" s="657" t="str">
        <f>+IF(NOVIEMBRE!B81=0,"",NOVIEMBRE!B81)</f>
        <v>Digitar nombre de Nuevo Rubro. Si lo Requiere</v>
      </c>
      <c r="C81" s="43">
        <f>SUM(C82:C83)</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+IF(NOVIEMBRE!S81=0,"",NOVIEMBRE!S81)</f>
        <v>1020199</v>
      </c>
      <c r="T81" s="693" t="str">
        <f>+IF(NOVIEMBRE!T81=0,"",NOVIEMBRE!T81)</f>
        <v>Vigencias Anteriores</v>
      </c>
      <c r="U81" s="27">
        <f>+ENERO!U81</f>
        <v>0</v>
      </c>
      <c r="V81" s="15">
        <f>NOVIEMBRE!V81+DICIEMBRE!AL81</f>
        <v>0</v>
      </c>
      <c r="W81" s="15">
        <f>NOVIEMBRE!W81+DICIEMBRE!AM81</f>
        <v>13655677</v>
      </c>
      <c r="X81" s="18">
        <f t="shared" si="72"/>
        <v>13655677</v>
      </c>
      <c r="Y81" s="19">
        <f>NOVIEMBRE!AA81</f>
        <v>13655677</v>
      </c>
      <c r="Z81" s="377">
        <v>0</v>
      </c>
      <c r="AA81" s="18">
        <f t="shared" si="73"/>
        <v>13655677</v>
      </c>
      <c r="AB81" s="19">
        <f>NOVIEMBRE!AD81</f>
        <v>13655677</v>
      </c>
      <c r="AC81" s="377">
        <v>0</v>
      </c>
      <c r="AD81" s="18">
        <f t="shared" si="74"/>
        <v>13655677</v>
      </c>
      <c r="AE81" s="19">
        <f>NOVIEMBRE!AG81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c r="BQ81" s="464"/>
    </row>
    <row r="82" spans="1:70" s="385" customFormat="1" ht="24.95" customHeight="1" x14ac:dyDescent="0.2">
      <c r="A82" s="618" t="str">
        <f>+IF(NOVIEMBRE!A82=0,"",NOVIEMBRE!A82)</f>
        <v>1130119-1</v>
      </c>
      <c r="B82" s="654" t="str">
        <f>+CONCATENATE("Vigencia ",INSTRUCCIONES!$F$3)</f>
        <v>Vigencia 2015</v>
      </c>
      <c r="C82" s="375">
        <f>+ENERO!C82</f>
        <v>0</v>
      </c>
      <c r="D82" s="376">
        <f>NOVIEMBRE!D82+DICIEMBRE!P82</f>
        <v>0</v>
      </c>
      <c r="E82" s="376">
        <f>NOVIEMBRE!E82+DICIEMBRE!Q82</f>
        <v>0</v>
      </c>
      <c r="F82" s="376">
        <f t="shared" si="81"/>
        <v>0</v>
      </c>
      <c r="G82" s="376">
        <f>NOVIEMBRE!I82</f>
        <v>0</v>
      </c>
      <c r="H82" s="377">
        <v>0</v>
      </c>
      <c r="I82" s="376">
        <f t="shared" si="82"/>
        <v>0</v>
      </c>
      <c r="J82" s="376">
        <f>NOVIEMBRE!L82</f>
        <v>0</v>
      </c>
      <c r="K82" s="377">
        <v>0</v>
      </c>
      <c r="L82" s="376">
        <f t="shared" si="83"/>
        <v>0</v>
      </c>
      <c r="M82" s="376">
        <f t="shared" si="84"/>
        <v>0</v>
      </c>
      <c r="N82" s="146">
        <f t="shared" si="85"/>
        <v>0</v>
      </c>
      <c r="P82" s="375">
        <v>0</v>
      </c>
      <c r="Q82" s="378">
        <v>0</v>
      </c>
      <c r="R82" s="9"/>
      <c r="S82" s="369" t="str">
        <f>+IF(NOVIEMBRE!S82=0,"",NOVIEMBRE!S82)</f>
        <v/>
      </c>
      <c r="T82" s="708" t="str">
        <f>+IF(NOVIEMBRE!T82=0,"",NOVIEMBRE!T82)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30"/>
      <c r="BR82" s="9"/>
    </row>
    <row r="83" spans="1:70" s="385" customFormat="1" ht="24.95" customHeight="1" thickBot="1" x14ac:dyDescent="0.25">
      <c r="A83" s="618" t="str">
        <f>+IF(NOVIEMBRE!A83=0,"",NOVIEMBRE!A83)</f>
        <v>1130119-2</v>
      </c>
      <c r="B83" s="658" t="str">
        <f>+IF(NOVIEMBRE!B83=0,"",NOVIEMBRE!B83)</f>
        <v>Vigencia Anterior</v>
      </c>
      <c r="C83" s="387">
        <f>+ENERO!C83</f>
        <v>0</v>
      </c>
      <c r="D83" s="388">
        <f>NOVIEMBRE!D83+DICIEMBRE!P83</f>
        <v>0</v>
      </c>
      <c r="E83" s="388">
        <f>NOVIEMBRE!E83+DICIEMBRE!Q83</f>
        <v>0</v>
      </c>
      <c r="F83" s="388">
        <f t="shared" si="81"/>
        <v>0</v>
      </c>
      <c r="G83" s="388">
        <f>NOVIEMBRE!I83</f>
        <v>0</v>
      </c>
      <c r="H83" s="391">
        <v>0</v>
      </c>
      <c r="I83" s="388">
        <f t="shared" si="82"/>
        <v>0</v>
      </c>
      <c r="J83" s="388">
        <f>NOVIEMBRE!L83</f>
        <v>0</v>
      </c>
      <c r="K83" s="391">
        <v>0</v>
      </c>
      <c r="L83" s="388">
        <f t="shared" si="83"/>
        <v>0</v>
      </c>
      <c r="M83" s="388">
        <f t="shared" si="84"/>
        <v>0</v>
      </c>
      <c r="N83" s="389">
        <f t="shared" si="85"/>
        <v>0</v>
      </c>
      <c r="P83" s="375">
        <v>0</v>
      </c>
      <c r="Q83" s="378">
        <v>0</v>
      </c>
      <c r="R83" s="9"/>
      <c r="S83" s="718">
        <f>+IF(NOVIEMBRE!S83=0,"",NOVIEMBRE!S83)</f>
        <v>1020200</v>
      </c>
      <c r="T83" s="692" t="str">
        <f>+IF(NOVIEMBRE!T83=0,"",NOVIEMBRE!T83)</f>
        <v>Servicios Personales Indirectos</v>
      </c>
      <c r="U83" s="135">
        <f t="shared" ref="U83:AJ83" si="87">SUM(U84:U88)</f>
        <v>151257124</v>
      </c>
      <c r="V83" s="124">
        <f t="shared" si="87"/>
        <v>24000000</v>
      </c>
      <c r="W83" s="124">
        <f t="shared" si="87"/>
        <v>6884000</v>
      </c>
      <c r="X83" s="132">
        <f t="shared" si="87"/>
        <v>182141124</v>
      </c>
      <c r="Y83" s="131">
        <f t="shared" si="87"/>
        <v>163262000</v>
      </c>
      <c r="Z83" s="124">
        <f t="shared" si="87"/>
        <v>0</v>
      </c>
      <c r="AA83" s="132">
        <f t="shared" si="87"/>
        <v>163262000</v>
      </c>
      <c r="AB83" s="131">
        <f t="shared" si="87"/>
        <v>122662000</v>
      </c>
      <c r="AC83" s="124">
        <f t="shared" si="87"/>
        <v>0</v>
      </c>
      <c r="AD83" s="132">
        <f t="shared" si="87"/>
        <v>122662000</v>
      </c>
      <c r="AE83" s="131">
        <f t="shared" si="87"/>
        <v>115924500</v>
      </c>
      <c r="AF83" s="124">
        <f t="shared" si="87"/>
        <v>0</v>
      </c>
      <c r="AG83" s="132">
        <f t="shared" si="87"/>
        <v>115924500</v>
      </c>
      <c r="AH83" s="131">
        <f t="shared" si="87"/>
        <v>18879124</v>
      </c>
      <c r="AI83" s="124">
        <f t="shared" si="87"/>
        <v>59479124</v>
      </c>
      <c r="AJ83" s="133">
        <f t="shared" si="87"/>
        <v>66216624</v>
      </c>
      <c r="AK83" s="9"/>
      <c r="AL83" s="131">
        <f>SUM(AL84:AL88)</f>
        <v>0</v>
      </c>
      <c r="AM83" s="133">
        <f>SUM(AM84:AM88)</f>
        <v>0</v>
      </c>
      <c r="AN83" s="9"/>
      <c r="AO83" s="297"/>
      <c r="AP83" s="297"/>
      <c r="AQ83" s="297"/>
      <c r="AR83" s="297"/>
      <c r="AS83" s="297"/>
      <c r="AT83" s="297"/>
      <c r="AU83" s="297"/>
      <c r="AV83" s="297"/>
      <c r="AW83" s="297"/>
      <c r="AX83" s="297"/>
      <c r="AY83" s="297"/>
      <c r="AZ83" s="297"/>
      <c r="BM83" s="9"/>
      <c r="BQ83" s="464"/>
    </row>
    <row r="84" spans="1:70" s="385" customFormat="1" ht="24.95" customHeight="1" thickBot="1" x14ac:dyDescent="0.25">
      <c r="A84" s="750" t="str">
        <f>+IF(NOVIEMBRE!A84=0,"",NOVIEMBRE!A84)</f>
        <v/>
      </c>
      <c r="B84" s="659" t="str">
        <f>+IF(NOVIEMBRE!B84=0,"",NOVIEMBRE!B84)</f>
        <v/>
      </c>
      <c r="C84" s="297"/>
      <c r="D84" s="297"/>
      <c r="E84" s="297"/>
      <c r="F84" s="297"/>
      <c r="G84" s="297"/>
      <c r="H84" s="297"/>
      <c r="I84" s="297"/>
      <c r="J84" s="297"/>
      <c r="K84" s="297"/>
      <c r="L84" s="297"/>
      <c r="M84" s="297"/>
      <c r="N84" s="466"/>
      <c r="O84" s="464"/>
      <c r="P84" s="470"/>
      <c r="Q84" s="394"/>
      <c r="R84" s="9"/>
      <c r="S84" s="719" t="str">
        <f>+IF(NOVIEMBRE!S84=0,"",NOVIEMBRE!S84)</f>
        <v>1020200-1</v>
      </c>
      <c r="T84" s="693" t="str">
        <f>+IF(NOVIEMBRE!T84=0,"",NOVIEMBRE!T84)</f>
        <v>Remuneración y Honorarios por Servicios Técnicos y Profesionales</v>
      </c>
      <c r="U84" s="27">
        <f>+ENERO!U84</f>
        <v>151257124</v>
      </c>
      <c r="V84" s="15">
        <f>NOVIEMBRE!V84+DICIEMBRE!AL84</f>
        <v>24000000</v>
      </c>
      <c r="W84" s="15">
        <f>NOVIEMBRE!W84+DICIEMBRE!AM84</f>
        <v>0</v>
      </c>
      <c r="X84" s="18">
        <f>SUM(U84:W84)</f>
        <v>175257124</v>
      </c>
      <c r="Y84" s="19">
        <f>NOVIEMBRE!AA84</f>
        <v>156378000</v>
      </c>
      <c r="Z84" s="377">
        <v>0</v>
      </c>
      <c r="AA84" s="18">
        <f>SUM(Y84:Z84)</f>
        <v>156378000</v>
      </c>
      <c r="AB84" s="19">
        <f>NOVIEMBRE!AD84</f>
        <v>115778000</v>
      </c>
      <c r="AC84" s="377">
        <v>0</v>
      </c>
      <c r="AD84" s="18">
        <f>SUM(AB84:AC84)</f>
        <v>115778000</v>
      </c>
      <c r="AE84" s="19">
        <f>NOVIEMBRE!AG84</f>
        <v>109040500</v>
      </c>
      <c r="AF84" s="377">
        <v>0</v>
      </c>
      <c r="AG84" s="18">
        <f>SUM(AE84:AF84)</f>
        <v>109040500</v>
      </c>
      <c r="AH84" s="19">
        <f>X84-AA84</f>
        <v>18879124</v>
      </c>
      <c r="AI84" s="15">
        <f>X84-AD84</f>
        <v>59479124</v>
      </c>
      <c r="AJ84" s="16">
        <f>X84-AG84</f>
        <v>66216624</v>
      </c>
      <c r="AK84" s="9"/>
      <c r="AL84" s="375">
        <v>0</v>
      </c>
      <c r="AM84" s="378">
        <v>0</v>
      </c>
      <c r="AN84" s="9"/>
      <c r="AO84" s="297"/>
      <c r="AP84" s="297"/>
      <c r="AQ84" s="297"/>
      <c r="AR84" s="297"/>
      <c r="AS84" s="297"/>
      <c r="AT84" s="297"/>
      <c r="AU84" s="297"/>
      <c r="AV84" s="297"/>
      <c r="AW84" s="297"/>
      <c r="AX84" s="297"/>
      <c r="AY84" s="297"/>
      <c r="AZ84" s="297"/>
      <c r="BQ84" s="464"/>
    </row>
    <row r="85" spans="1:70" s="385" customFormat="1" ht="24.95" customHeight="1" x14ac:dyDescent="0.2">
      <c r="A85" s="751">
        <f>+IF(NOVIEMBRE!A85=0,"",NOVIEMBRE!A85)</f>
        <v>11302</v>
      </c>
      <c r="B85" s="660" t="str">
        <f>+IF(NOVIEMBRE!B85=0,"",NOVIEMBRE!B85)</f>
        <v>Otras Ventas de Servicios de Salud</v>
      </c>
      <c r="C85" s="625">
        <f t="shared" ref="C85:N85" si="88">SUM(C86:C92)</f>
        <v>74000000</v>
      </c>
      <c r="D85" s="623">
        <f t="shared" si="88"/>
        <v>0</v>
      </c>
      <c r="E85" s="623">
        <f t="shared" si="88"/>
        <v>0</v>
      </c>
      <c r="F85" s="623">
        <f t="shared" si="88"/>
        <v>74000000</v>
      </c>
      <c r="G85" s="623">
        <f t="shared" si="88"/>
        <v>39258686</v>
      </c>
      <c r="H85" s="623">
        <f t="shared" si="88"/>
        <v>0</v>
      </c>
      <c r="I85" s="623">
        <f t="shared" si="88"/>
        <v>39258686</v>
      </c>
      <c r="J85" s="623">
        <f t="shared" si="88"/>
        <v>31929343</v>
      </c>
      <c r="K85" s="623">
        <f t="shared" si="88"/>
        <v>0</v>
      </c>
      <c r="L85" s="623">
        <f t="shared" si="88"/>
        <v>31929343</v>
      </c>
      <c r="M85" s="623">
        <f t="shared" si="88"/>
        <v>34741314</v>
      </c>
      <c r="N85" s="624">
        <f t="shared" si="88"/>
        <v>42070657</v>
      </c>
      <c r="P85" s="43">
        <f>SUM(P86:P92)</f>
        <v>0</v>
      </c>
      <c r="Q85" s="45">
        <f>SUM(Q86:Q92)</f>
        <v>0</v>
      </c>
      <c r="R85" s="9"/>
      <c r="S85" s="719" t="str">
        <f>+IF(NOVIEMBRE!S85=0,"",NOVIEMBRE!S85)</f>
        <v>1020200-2</v>
      </c>
      <c r="T85" s="693" t="str">
        <f>+IF(NOVIEMBRE!T85=0,"",NOVIEMBRE!T85)</f>
        <v>Personal Supernumerario</v>
      </c>
      <c r="U85" s="27">
        <f>+ENERO!U85</f>
        <v>0</v>
      </c>
      <c r="V85" s="15">
        <f>NOVIEMBRE!V85+DICIEMBRE!AL85</f>
        <v>0</v>
      </c>
      <c r="W85" s="15">
        <f>NOVIEMBRE!W85+DICIEMBRE!AM85</f>
        <v>0</v>
      </c>
      <c r="X85" s="18">
        <f>SUM(U85:W85)</f>
        <v>0</v>
      </c>
      <c r="Y85" s="19">
        <f>NOVIEMBRE!AA85</f>
        <v>0</v>
      </c>
      <c r="Z85" s="377">
        <v>0</v>
      </c>
      <c r="AA85" s="18">
        <f>SUM(Y85:Z85)</f>
        <v>0</v>
      </c>
      <c r="AB85" s="19">
        <f>NOVIEMBRE!AD85</f>
        <v>0</v>
      </c>
      <c r="AC85" s="377">
        <v>0</v>
      </c>
      <c r="AD85" s="18">
        <f>SUM(AB85:AC85)</f>
        <v>0</v>
      </c>
      <c r="AE85" s="19">
        <f>NOVIEMBRE!AG85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c r="BQ85" s="464"/>
    </row>
    <row r="86" spans="1:70" s="9" customFormat="1" ht="24.95" customHeight="1" x14ac:dyDescent="0.2">
      <c r="A86" s="752">
        <f>+IF(NOVIEMBRE!A86=0,"",NOVIEMBRE!A86)</f>
        <v>1130201</v>
      </c>
      <c r="B86" s="634" t="str">
        <f>+IF(NOVIEMBRE!B86=0,"",NOVIEMBRE!B86)</f>
        <v/>
      </c>
      <c r="C86" s="401">
        <f>+ENERO!C86</f>
        <v>0</v>
      </c>
      <c r="D86" s="376">
        <f>NOVIEMBRE!D86+DICIEMBRE!P86</f>
        <v>0</v>
      </c>
      <c r="E86" s="376">
        <f>NOVIEMBRE!E86+DICIEMBRE!Q86</f>
        <v>0</v>
      </c>
      <c r="F86" s="376">
        <f t="shared" ref="F86:F92" si="89">SUM(C86:E86)</f>
        <v>0</v>
      </c>
      <c r="G86" s="376">
        <f>NOVIEMBRE!I86</f>
        <v>0</v>
      </c>
      <c r="H86" s="377">
        <v>0</v>
      </c>
      <c r="I86" s="376">
        <f t="shared" ref="I86:I92" si="90">SUM(G86:H86)</f>
        <v>0</v>
      </c>
      <c r="J86" s="376">
        <f>NOVIEMBRE!L86</f>
        <v>0</v>
      </c>
      <c r="K86" s="377">
        <v>0</v>
      </c>
      <c r="L86" s="376">
        <f t="shared" ref="L86:L92" si="91">SUM(J86:K86)</f>
        <v>0</v>
      </c>
      <c r="M86" s="376">
        <f t="shared" ref="M86:M92" si="92">F86-I86</f>
        <v>0</v>
      </c>
      <c r="N86" s="146">
        <f t="shared" ref="N86:N92" si="93">F86-L86</f>
        <v>0</v>
      </c>
      <c r="O86" s="385"/>
      <c r="P86" s="375">
        <v>0</v>
      </c>
      <c r="Q86" s="378">
        <v>0</v>
      </c>
      <c r="S86" s="719" t="str">
        <f>+IF(NOVIEMBRE!S86=0,"",NOVIEMBRE!S86)</f>
        <v>1020200-4</v>
      </c>
      <c r="T86" s="693" t="str">
        <f>+IF(NOVIEMBRE!T86=0,"",NOVIEMBRE!T86)</f>
        <v>Otros Honorarios (Servicios de Cooperativa)</v>
      </c>
      <c r="U86" s="27">
        <f>+ENERO!U86</f>
        <v>0</v>
      </c>
      <c r="V86" s="15">
        <f>NOVIEMBRE!V86+DICIEMBRE!AL86</f>
        <v>0</v>
      </c>
      <c r="W86" s="15">
        <f>NOVIEMBRE!W86+DICIEMBRE!AM86</f>
        <v>0</v>
      </c>
      <c r="X86" s="18">
        <f>SUM(U86:W86)</f>
        <v>0</v>
      </c>
      <c r="Y86" s="19">
        <f>NOVIEMBRE!AA86</f>
        <v>0</v>
      </c>
      <c r="Z86" s="377">
        <v>0</v>
      </c>
      <c r="AA86" s="18">
        <f>SUM(Y86:Z86)</f>
        <v>0</v>
      </c>
      <c r="AB86" s="19">
        <f>NOVIEMBRE!AD86</f>
        <v>0</v>
      </c>
      <c r="AC86" s="377">
        <v>0</v>
      </c>
      <c r="AD86" s="18">
        <f>SUM(AB86:AC86)</f>
        <v>0</v>
      </c>
      <c r="AE86" s="19">
        <f>NOVIEMBRE!AG86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F86" s="385"/>
      <c r="BL86" s="385"/>
      <c r="BM86" s="385"/>
      <c r="BN86" s="385"/>
      <c r="BO86" s="385"/>
      <c r="BP86" s="385"/>
      <c r="BQ86" s="464"/>
      <c r="BR86" s="385"/>
    </row>
    <row r="87" spans="1:70" s="385" customFormat="1" ht="24.95" customHeight="1" x14ac:dyDescent="0.2">
      <c r="A87" s="752">
        <f>+IF(NOVIEMBRE!A87=0,"",NOVIEMBRE!A87)</f>
        <v>1130202</v>
      </c>
      <c r="B87" s="634" t="str">
        <f>+IF(NOVIEMBRE!B87=0,"",NOVIEMBRE!B87)</f>
        <v/>
      </c>
      <c r="C87" s="401">
        <f>+ENERO!C87</f>
        <v>0</v>
      </c>
      <c r="D87" s="376">
        <f>NOVIEMBRE!D87+DICIEMBRE!P87</f>
        <v>0</v>
      </c>
      <c r="E87" s="376">
        <f>NOVIEMBRE!E87+DICIEMBRE!Q87</f>
        <v>0</v>
      </c>
      <c r="F87" s="376">
        <f t="shared" si="89"/>
        <v>0</v>
      </c>
      <c r="G87" s="376">
        <f>NOVIEMBRE!I87</f>
        <v>0</v>
      </c>
      <c r="H87" s="377">
        <v>0</v>
      </c>
      <c r="I87" s="376">
        <f t="shared" si="90"/>
        <v>0</v>
      </c>
      <c r="J87" s="376">
        <f>NOVIEMBRE!L87</f>
        <v>0</v>
      </c>
      <c r="K87" s="377">
        <v>0</v>
      </c>
      <c r="L87" s="376">
        <f t="shared" si="91"/>
        <v>0</v>
      </c>
      <c r="M87" s="376">
        <f t="shared" si="92"/>
        <v>0</v>
      </c>
      <c r="N87" s="146">
        <f t="shared" si="93"/>
        <v>0</v>
      </c>
      <c r="P87" s="375">
        <v>0</v>
      </c>
      <c r="Q87" s="378">
        <v>0</v>
      </c>
      <c r="R87" s="9"/>
      <c r="S87" s="719" t="str">
        <f>+IF(NOVIEMBRE!S87=0,"",NOVIEMBRE!S87)</f>
        <v/>
      </c>
      <c r="T87" s="693" t="str">
        <f>+IF(NOVIEMBRE!T87=0,"",NOVIEMBRE!T87)</f>
        <v/>
      </c>
      <c r="U87" s="27">
        <f>+ENERO!U87</f>
        <v>0</v>
      </c>
      <c r="V87" s="15">
        <f>NOVIEMBRE!V87+DICIEMBRE!AL87</f>
        <v>0</v>
      </c>
      <c r="W87" s="15">
        <f>NOVIEMBRE!W87+DICIEMBRE!AM87</f>
        <v>0</v>
      </c>
      <c r="X87" s="18">
        <f>SUM(U87:W87)</f>
        <v>0</v>
      </c>
      <c r="Y87" s="19">
        <f>NOVIEMBRE!AA87</f>
        <v>0</v>
      </c>
      <c r="Z87" s="377">
        <v>0</v>
      </c>
      <c r="AA87" s="18">
        <f>SUM(Y87:Z87)</f>
        <v>0</v>
      </c>
      <c r="AB87" s="19">
        <f>NOVIEMBRE!AD87</f>
        <v>0</v>
      </c>
      <c r="AC87" s="377">
        <v>0</v>
      </c>
      <c r="AD87" s="18">
        <f>SUM(AB87:AC87)</f>
        <v>0</v>
      </c>
      <c r="AE87" s="19">
        <f>NOVIEMBRE!AG87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c r="BQ87" s="464"/>
    </row>
    <row r="88" spans="1:70" s="385" customFormat="1" ht="24.95" customHeight="1" x14ac:dyDescent="0.2">
      <c r="A88" s="752">
        <f>+IF(NOVIEMBRE!A88=0,"",NOVIEMBRE!A88)</f>
        <v>1130203</v>
      </c>
      <c r="B88" s="635" t="str">
        <f>+IF(NOVIEMBRE!B88=0,"",NOVIEMBRE!B88)</f>
        <v>CONVENIOS CON LA NACION LIGADOS A LA VENTA DE SERVICIOS</v>
      </c>
      <c r="C88" s="401">
        <f>+ENERO!C88</f>
        <v>0</v>
      </c>
      <c r="D88" s="376">
        <f>NOVIEMBRE!D88+DICIEMBRE!P88</f>
        <v>0</v>
      </c>
      <c r="E88" s="376">
        <f>NOVIEMBRE!E88+DICIEMBRE!Q88</f>
        <v>0</v>
      </c>
      <c r="F88" s="376">
        <f t="shared" si="89"/>
        <v>0</v>
      </c>
      <c r="G88" s="376">
        <f>NOVIEMBRE!I88</f>
        <v>0</v>
      </c>
      <c r="H88" s="377">
        <v>0</v>
      </c>
      <c r="I88" s="376">
        <f t="shared" si="90"/>
        <v>0</v>
      </c>
      <c r="J88" s="376">
        <f>NOVIEMBRE!L88</f>
        <v>0</v>
      </c>
      <c r="K88" s="377">
        <v>0</v>
      </c>
      <c r="L88" s="376">
        <f t="shared" si="91"/>
        <v>0</v>
      </c>
      <c r="M88" s="376">
        <f t="shared" si="92"/>
        <v>0</v>
      </c>
      <c r="N88" s="146">
        <f t="shared" si="93"/>
        <v>0</v>
      </c>
      <c r="P88" s="375">
        <v>0</v>
      </c>
      <c r="Q88" s="378">
        <v>0</v>
      </c>
      <c r="R88" s="9"/>
      <c r="S88" s="719">
        <f>+IF(NOVIEMBRE!S88=0,"",NOVIEMBRE!S88)</f>
        <v>1020299</v>
      </c>
      <c r="T88" s="693" t="str">
        <f>+IF(NOVIEMBRE!T88=0,"",NOVIEMBRE!T88)</f>
        <v>Vigencias Anteriores</v>
      </c>
      <c r="U88" s="27">
        <f>+ENERO!U88</f>
        <v>0</v>
      </c>
      <c r="V88" s="15">
        <f>NOVIEMBRE!V88+DICIEMBRE!AL88</f>
        <v>0</v>
      </c>
      <c r="W88" s="15">
        <f>NOVIEMBRE!W88+DICIEMBRE!AM88</f>
        <v>6884000</v>
      </c>
      <c r="X88" s="18">
        <f>SUM(U88:W88)</f>
        <v>6884000</v>
      </c>
      <c r="Y88" s="19">
        <f>NOVIEMBRE!AA88</f>
        <v>6884000</v>
      </c>
      <c r="Z88" s="377">
        <v>0</v>
      </c>
      <c r="AA88" s="18">
        <f>SUM(Y88:Z88)</f>
        <v>6884000</v>
      </c>
      <c r="AB88" s="19">
        <f>NOVIEMBRE!AD88</f>
        <v>6884000</v>
      </c>
      <c r="AC88" s="377">
        <v>0</v>
      </c>
      <c r="AD88" s="18">
        <f>SUM(AB88:AC88)</f>
        <v>6884000</v>
      </c>
      <c r="AE88" s="19">
        <f>NOVIEMBRE!AG88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30"/>
      <c r="BR88" s="9"/>
    </row>
    <row r="89" spans="1:70" s="385" customFormat="1" ht="24.95" customHeight="1" x14ac:dyDescent="0.2">
      <c r="A89" s="752">
        <f>+IF(NOVIEMBRE!A89=0,"",NOVIEMBRE!A89)</f>
        <v>1130204</v>
      </c>
      <c r="B89" s="635" t="str">
        <f>+IF(NOVIEMBRE!B89=0,"",NOVIEMBRE!B89)</f>
        <v>CONVENIOS CON EL DEPARTAMENTO LIGADOS A LA VENTA SERVICIOS</v>
      </c>
      <c r="C89" s="401">
        <f>+ENERO!C89</f>
        <v>50000000</v>
      </c>
      <c r="D89" s="376">
        <f>NOVIEMBRE!D89+DICIEMBRE!P89</f>
        <v>0</v>
      </c>
      <c r="E89" s="376">
        <f>NOVIEMBRE!E89+DICIEMBRE!Q89</f>
        <v>0</v>
      </c>
      <c r="F89" s="376">
        <f t="shared" si="89"/>
        <v>50000000</v>
      </c>
      <c r="G89" s="376">
        <f>NOVIEMBRE!I89</f>
        <v>29658686</v>
      </c>
      <c r="H89" s="377">
        <v>0</v>
      </c>
      <c r="I89" s="376">
        <f t="shared" si="90"/>
        <v>29658686</v>
      </c>
      <c r="J89" s="376">
        <f>NOVIEMBRE!L89</f>
        <v>22329343</v>
      </c>
      <c r="K89" s="377">
        <v>0</v>
      </c>
      <c r="L89" s="376">
        <f t="shared" si="91"/>
        <v>22329343</v>
      </c>
      <c r="M89" s="376">
        <f t="shared" si="92"/>
        <v>20341314</v>
      </c>
      <c r="N89" s="146">
        <f t="shared" si="93"/>
        <v>27670657</v>
      </c>
      <c r="P89" s="375">
        <v>0</v>
      </c>
      <c r="Q89" s="378">
        <v>0</v>
      </c>
      <c r="R89" s="9"/>
      <c r="S89" s="369" t="str">
        <f>+IF(NOVIEMBRE!S89=0,"",NOVIEMBRE!S89)</f>
        <v/>
      </c>
      <c r="T89" s="708" t="str">
        <f>+IF(NOVIEMBRE!T89=0,"",NOVIEMBRE!T89)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c r="BQ89" s="464"/>
    </row>
    <row r="90" spans="1:70" s="464" customFormat="1" ht="24.95" customHeight="1" x14ac:dyDescent="0.2">
      <c r="A90" s="752">
        <f>+IF(NOVIEMBRE!A90=0,"",NOVIEMBRE!A90)</f>
        <v>1130205</v>
      </c>
      <c r="B90" s="635" t="str">
        <f>+IF(NOVIEMBRE!B90=0,"",NOVIEMBRE!B90)</f>
        <v>CONVENIOS CON EL MUNICIPIO LIGADOS A LA VENTA DE SERVICIOS</v>
      </c>
      <c r="C90" s="401">
        <f>+ENERO!C90</f>
        <v>24000000</v>
      </c>
      <c r="D90" s="376">
        <f>NOVIEMBRE!D90+DICIEMBRE!P90</f>
        <v>0</v>
      </c>
      <c r="E90" s="376">
        <f>NOVIEMBRE!E90+DICIEMBRE!Q90</f>
        <v>0</v>
      </c>
      <c r="F90" s="376">
        <f t="shared" si="89"/>
        <v>24000000</v>
      </c>
      <c r="G90" s="376">
        <f>NOVIEMBRE!I90</f>
        <v>9600000</v>
      </c>
      <c r="H90" s="377">
        <v>0</v>
      </c>
      <c r="I90" s="376">
        <f t="shared" si="90"/>
        <v>9600000</v>
      </c>
      <c r="J90" s="376">
        <f>NOVIEMBRE!L90</f>
        <v>9600000</v>
      </c>
      <c r="K90" s="377">
        <v>0</v>
      </c>
      <c r="L90" s="376">
        <f t="shared" si="91"/>
        <v>9600000</v>
      </c>
      <c r="M90" s="376">
        <f t="shared" si="92"/>
        <v>14400000</v>
      </c>
      <c r="N90" s="146">
        <f t="shared" si="93"/>
        <v>14400000</v>
      </c>
      <c r="O90" s="385"/>
      <c r="P90" s="375">
        <v>0</v>
      </c>
      <c r="Q90" s="378">
        <v>0</v>
      </c>
      <c r="R90" s="30"/>
      <c r="S90" s="718">
        <f>+IF(NOVIEMBRE!S90=0,"",NOVIEMBRE!S90)</f>
        <v>1020300</v>
      </c>
      <c r="T90" s="692" t="str">
        <f>+IF(NOVIEMBRE!T90=0,"",NOVIEMBRE!T90)</f>
        <v>Contribuciones Inherentes nómina al Sector Privado</v>
      </c>
      <c r="U90" s="135">
        <f t="shared" ref="U90:AJ90" si="94">U91+U96+U102</f>
        <v>269700847</v>
      </c>
      <c r="V90" s="124">
        <f t="shared" si="94"/>
        <v>0</v>
      </c>
      <c r="W90" s="124">
        <f t="shared" si="94"/>
        <v>54740941</v>
      </c>
      <c r="X90" s="132">
        <f t="shared" si="94"/>
        <v>324441788</v>
      </c>
      <c r="Y90" s="131">
        <f t="shared" si="94"/>
        <v>242285035</v>
      </c>
      <c r="Z90" s="124">
        <f t="shared" si="94"/>
        <v>0</v>
      </c>
      <c r="AA90" s="132">
        <f t="shared" si="94"/>
        <v>242285035</v>
      </c>
      <c r="AB90" s="131">
        <f t="shared" si="94"/>
        <v>242285035</v>
      </c>
      <c r="AC90" s="124">
        <f t="shared" si="94"/>
        <v>0</v>
      </c>
      <c r="AD90" s="132">
        <f t="shared" si="94"/>
        <v>242285035</v>
      </c>
      <c r="AE90" s="131">
        <f t="shared" si="94"/>
        <v>200069145</v>
      </c>
      <c r="AF90" s="124">
        <f t="shared" si="94"/>
        <v>0</v>
      </c>
      <c r="AG90" s="132">
        <f t="shared" si="94"/>
        <v>200069145</v>
      </c>
      <c r="AH90" s="131">
        <f t="shared" si="94"/>
        <v>82156753</v>
      </c>
      <c r="AI90" s="124">
        <f t="shared" si="94"/>
        <v>82156753</v>
      </c>
      <c r="AJ90" s="133">
        <f t="shared" si="94"/>
        <v>124372643</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R90" s="385"/>
    </row>
    <row r="91" spans="1:70" s="464" customFormat="1" ht="24.95" customHeight="1" x14ac:dyDescent="0.2">
      <c r="A91" s="752">
        <f>+IF(NOVIEMBRE!A91=0,"",NOVIEMBRE!A91)</f>
        <v>1130206</v>
      </c>
      <c r="B91" s="635" t="str">
        <f>+IF(NOVIEMBRE!B91=0,"",NOVIEMBRE!B91)</f>
        <v>OTROS CONVENIOS LIGADOS A LA VENTA DE SERVICIOS</v>
      </c>
      <c r="C91" s="401">
        <f>+ENERO!C91</f>
        <v>0</v>
      </c>
      <c r="D91" s="376">
        <f>NOVIEMBRE!D91+DICIEMBRE!P91</f>
        <v>0</v>
      </c>
      <c r="E91" s="376">
        <f>NOVIEMBRE!E91+DICIEMBRE!Q91</f>
        <v>0</v>
      </c>
      <c r="F91" s="376">
        <f t="shared" si="89"/>
        <v>0</v>
      </c>
      <c r="G91" s="376">
        <f>NOVIEMBRE!I91</f>
        <v>0</v>
      </c>
      <c r="H91" s="377">
        <v>0</v>
      </c>
      <c r="I91" s="376">
        <f t="shared" si="90"/>
        <v>0</v>
      </c>
      <c r="J91" s="376">
        <f>NOVIEMBRE!L91</f>
        <v>0</v>
      </c>
      <c r="K91" s="377">
        <v>0</v>
      </c>
      <c r="L91" s="376">
        <f t="shared" si="91"/>
        <v>0</v>
      </c>
      <c r="M91" s="376">
        <f t="shared" si="92"/>
        <v>0</v>
      </c>
      <c r="N91" s="146">
        <f t="shared" si="93"/>
        <v>0</v>
      </c>
      <c r="O91" s="385"/>
      <c r="P91" s="375">
        <v>0</v>
      </c>
      <c r="Q91" s="378">
        <v>0</v>
      </c>
      <c r="R91" s="30"/>
      <c r="S91" s="719">
        <f>+IF(NOVIEMBRE!S91=0,"",NOVIEMBRE!S91)</f>
        <v>1020301</v>
      </c>
      <c r="T91" s="693" t="str">
        <f>+IF(NOVIEMBRE!T91=0,"",NOVIEMBRE!T91)</f>
        <v>Contribuciones - Sin Situación de Fondos</v>
      </c>
      <c r="U91" s="27">
        <f t="shared" ref="U91:AJ91" si="95">SUM(U92:U95)</f>
        <v>230094736</v>
      </c>
      <c r="V91" s="15">
        <f t="shared" si="95"/>
        <v>0</v>
      </c>
      <c r="W91" s="15">
        <f t="shared" si="95"/>
        <v>0</v>
      </c>
      <c r="X91" s="18">
        <f t="shared" si="95"/>
        <v>230094736</v>
      </c>
      <c r="Y91" s="19">
        <f t="shared" si="95"/>
        <v>164137494</v>
      </c>
      <c r="Z91" s="145">
        <f t="shared" si="95"/>
        <v>0</v>
      </c>
      <c r="AA91" s="18">
        <f t="shared" si="95"/>
        <v>164137494</v>
      </c>
      <c r="AB91" s="19">
        <f t="shared" si="95"/>
        <v>164137494</v>
      </c>
      <c r="AC91" s="145">
        <f t="shared" si="95"/>
        <v>0</v>
      </c>
      <c r="AD91" s="18">
        <f t="shared" si="95"/>
        <v>164137494</v>
      </c>
      <c r="AE91" s="19">
        <f t="shared" si="95"/>
        <v>126064609</v>
      </c>
      <c r="AF91" s="145">
        <f t="shared" si="95"/>
        <v>0</v>
      </c>
      <c r="AG91" s="18">
        <f t="shared" si="95"/>
        <v>126064609</v>
      </c>
      <c r="AH91" s="19">
        <f t="shared" si="95"/>
        <v>65957242</v>
      </c>
      <c r="AI91" s="15">
        <f t="shared" si="95"/>
        <v>65957242</v>
      </c>
      <c r="AJ91" s="16">
        <f t="shared" si="95"/>
        <v>104030127</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R91" s="385"/>
    </row>
    <row r="92" spans="1:70" s="464" customFormat="1" ht="24.95" customHeight="1" thickBot="1" x14ac:dyDescent="0.25">
      <c r="A92" s="752">
        <f>+IF(NOVIEMBRE!A92=0,"",NOVIEMBRE!A92)</f>
        <v>1130207</v>
      </c>
      <c r="B92" s="636" t="str">
        <f>+IF(NOVIEMBRE!B92=0,"",NOVIEMBRE!B92)</f>
        <v>Vigencia Anterior</v>
      </c>
      <c r="C92" s="491">
        <f>+ENERO!C92</f>
        <v>0</v>
      </c>
      <c r="D92" s="388">
        <f>NOVIEMBRE!D92+DICIEMBRE!P92</f>
        <v>0</v>
      </c>
      <c r="E92" s="388">
        <f>NOVIEMBRE!E92+DICIEMBRE!Q92</f>
        <v>0</v>
      </c>
      <c r="F92" s="388">
        <f t="shared" si="89"/>
        <v>0</v>
      </c>
      <c r="G92" s="388">
        <f>NOVIEMBRE!I92</f>
        <v>0</v>
      </c>
      <c r="H92" s="391">
        <v>0</v>
      </c>
      <c r="I92" s="388">
        <f t="shared" si="90"/>
        <v>0</v>
      </c>
      <c r="J92" s="388">
        <f>NOVIEMBRE!L92</f>
        <v>0</v>
      </c>
      <c r="K92" s="391">
        <v>0</v>
      </c>
      <c r="L92" s="388">
        <f t="shared" si="91"/>
        <v>0</v>
      </c>
      <c r="M92" s="388">
        <f t="shared" si="92"/>
        <v>0</v>
      </c>
      <c r="N92" s="389">
        <f t="shared" si="93"/>
        <v>0</v>
      </c>
      <c r="O92" s="385"/>
      <c r="P92" s="375">
        <v>0</v>
      </c>
      <c r="Q92" s="378">
        <v>0</v>
      </c>
      <c r="R92" s="30"/>
      <c r="S92" s="720" t="str">
        <f>+IF(NOVIEMBRE!S92=0,"",NOVIEMBRE!S92)</f>
        <v>1020301-1</v>
      </c>
      <c r="T92" s="694" t="str">
        <f>+IF(NOVIEMBRE!T92=0,"",NOVIEMBRE!T92)</f>
        <v>Aportes a E.P.S.- Sin sit. Fondos</v>
      </c>
      <c r="U92" s="27">
        <f>+ENERO!U92</f>
        <v>59416260</v>
      </c>
      <c r="V92" s="15">
        <f>NOVIEMBRE!V92+DICIEMBRE!AL92</f>
        <v>0</v>
      </c>
      <c r="W92" s="15">
        <f>NOVIEMBRE!W92+DICIEMBRE!AM92</f>
        <v>0</v>
      </c>
      <c r="X92" s="18">
        <f>SUM(U92:W92)</f>
        <v>59416260</v>
      </c>
      <c r="Y92" s="19">
        <f>NOVIEMBRE!AA92</f>
        <v>47924897</v>
      </c>
      <c r="Z92" s="377">
        <v>0</v>
      </c>
      <c r="AA92" s="18">
        <f>SUM(Y92:Z92)</f>
        <v>47924897</v>
      </c>
      <c r="AB92" s="19">
        <f>NOVIEMBRE!AD92</f>
        <v>47924897</v>
      </c>
      <c r="AC92" s="377">
        <v>0</v>
      </c>
      <c r="AD92" s="18">
        <f>SUM(AB92:AC92)</f>
        <v>47924897</v>
      </c>
      <c r="AE92" s="19">
        <f>NOVIEMBRE!AG92</f>
        <v>47924897</v>
      </c>
      <c r="AF92" s="377">
        <v>0</v>
      </c>
      <c r="AG92" s="18">
        <f>SUM(AE92:AF92)</f>
        <v>47924897</v>
      </c>
      <c r="AH92" s="19">
        <f>X92-AA92</f>
        <v>11491363</v>
      </c>
      <c r="AI92" s="15">
        <f>X92-AD92</f>
        <v>11491363</v>
      </c>
      <c r="AJ92" s="16">
        <f>X92-AG92</f>
        <v>11491363</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+IF(NOVIEMBRE!A93=0,"",NOVIEMBRE!A93)</f>
        <v/>
      </c>
      <c r="B93" s="659" t="str">
        <f>+IF(NOVIEMBRE!B93=0,"",NOVIEMBRE!B93)</f>
        <v/>
      </c>
      <c r="C93" s="297"/>
      <c r="D93" s="297"/>
      <c r="E93" s="297"/>
      <c r="F93" s="297"/>
      <c r="G93" s="297"/>
      <c r="H93" s="297"/>
      <c r="I93" s="297"/>
      <c r="J93" s="297"/>
      <c r="K93" s="297"/>
      <c r="L93" s="297"/>
      <c r="M93" s="297"/>
      <c r="N93" s="466"/>
      <c r="P93" s="470"/>
      <c r="Q93" s="394"/>
      <c r="R93" s="30"/>
      <c r="S93" s="720" t="str">
        <f>+IF(NOVIEMBRE!S93=0,"",NOVIEMBRE!S93)</f>
        <v>1020301-2</v>
      </c>
      <c r="T93" s="694" t="str">
        <f>+IF(NOVIEMBRE!T93=0,"",NOVIEMBRE!T93)</f>
        <v>Aportes Fondos Pensionales - Sin Sit. Fondos</v>
      </c>
      <c r="U93" s="27">
        <f>+ENERO!U93</f>
        <v>81857136</v>
      </c>
      <c r="V93" s="15">
        <f>NOVIEMBRE!V93+DICIEMBRE!AL93</f>
        <v>0</v>
      </c>
      <c r="W93" s="15">
        <f>NOVIEMBRE!W93+DICIEMBRE!AM93</f>
        <v>0</v>
      </c>
      <c r="X93" s="18">
        <f>SUM(U93:W93)</f>
        <v>81857136</v>
      </c>
      <c r="Y93" s="19">
        <f>NOVIEMBRE!AA93</f>
        <v>68463183</v>
      </c>
      <c r="Z93" s="377">
        <v>0</v>
      </c>
      <c r="AA93" s="18">
        <f>SUM(Y93:Z93)</f>
        <v>68463183</v>
      </c>
      <c r="AB93" s="19">
        <f>NOVIEMBRE!AD93</f>
        <v>68463183</v>
      </c>
      <c r="AC93" s="377">
        <v>0</v>
      </c>
      <c r="AD93" s="18">
        <f>SUM(AB93:AC93)</f>
        <v>68463183</v>
      </c>
      <c r="AE93" s="19">
        <f>NOVIEMBRE!AG93</f>
        <v>63364539</v>
      </c>
      <c r="AF93" s="377">
        <v>0</v>
      </c>
      <c r="AG93" s="18">
        <f>SUM(AE93:AF93)</f>
        <v>63364539</v>
      </c>
      <c r="AH93" s="19">
        <f>X93-AA93</f>
        <v>13393953</v>
      </c>
      <c r="AI93" s="15">
        <f>X93-AD93</f>
        <v>13393953</v>
      </c>
      <c r="AJ93" s="16">
        <f>X93-AG93</f>
        <v>18492597</v>
      </c>
      <c r="AK93" s="9"/>
      <c r="AL93" s="375">
        <v>0</v>
      </c>
      <c r="AM93" s="378">
        <v>0</v>
      </c>
      <c r="AN93" s="30"/>
      <c r="AO93" s="463"/>
      <c r="AP93" s="463"/>
      <c r="AQ93" s="463"/>
      <c r="AR93" s="463"/>
      <c r="AS93" s="463"/>
      <c r="AT93" s="463"/>
      <c r="AU93" s="463"/>
      <c r="AV93" s="463"/>
      <c r="AW93" s="463"/>
      <c r="AX93" s="463"/>
      <c r="AY93" s="463"/>
      <c r="AZ93" s="463"/>
      <c r="BL93" s="30"/>
    </row>
    <row r="94" spans="1:70" s="464" customFormat="1" ht="24.95" customHeight="1" x14ac:dyDescent="0.2">
      <c r="A94" s="753">
        <f>+IF(NOVIEMBRE!A94=0,"",NOVIEMBRE!A94)</f>
        <v>11303</v>
      </c>
      <c r="B94" s="626" t="str">
        <f>+IF(NOVIEMBRE!B94=0,"",NOVIEMBRE!B94)</f>
        <v>Aportes (No ligados a la venta de servicios de salud)</v>
      </c>
      <c r="C94" s="625">
        <f>SUM(C95:C102)</f>
        <v>0</v>
      </c>
      <c r="D94" s="623">
        <f t="shared" ref="D94:N94" si="96">SUM(D95:D102)</f>
        <v>0</v>
      </c>
      <c r="E94" s="623">
        <f t="shared" si="96"/>
        <v>74713971</v>
      </c>
      <c r="F94" s="623">
        <f t="shared" si="96"/>
        <v>74713971</v>
      </c>
      <c r="G94" s="623">
        <f t="shared" si="96"/>
        <v>137871796</v>
      </c>
      <c r="H94" s="623">
        <f t="shared" si="96"/>
        <v>0</v>
      </c>
      <c r="I94" s="623">
        <f t="shared" si="96"/>
        <v>137871796</v>
      </c>
      <c r="J94" s="623">
        <f t="shared" si="96"/>
        <v>137871796</v>
      </c>
      <c r="K94" s="623">
        <f t="shared" si="96"/>
        <v>0</v>
      </c>
      <c r="L94" s="623">
        <f t="shared" si="96"/>
        <v>137871796</v>
      </c>
      <c r="M94" s="623">
        <f t="shared" si="96"/>
        <v>-63157825</v>
      </c>
      <c r="N94" s="624">
        <f t="shared" si="96"/>
        <v>-63157825</v>
      </c>
      <c r="O94" s="385"/>
      <c r="P94" s="43">
        <f>SUM(P95:P102)</f>
        <v>0</v>
      </c>
      <c r="Q94" s="45">
        <f>SUM(Q95:Q102)</f>
        <v>0</v>
      </c>
      <c r="R94" s="30"/>
      <c r="S94" s="720" t="str">
        <f>+IF(NOVIEMBRE!S94=0,"",NOVIEMBRE!S94)</f>
        <v>1020301-3</v>
      </c>
      <c r="T94" s="694" t="str">
        <f>+IF(NOVIEMBRE!T94=0,"",NOVIEMBRE!T94)</f>
        <v xml:space="preserve">Aportes a Fondos de Cesantia - Sin Sit. de Fondos </v>
      </c>
      <c r="U94" s="27">
        <f>+ENERO!U94</f>
        <v>71793333</v>
      </c>
      <c r="V94" s="15">
        <f>NOVIEMBRE!V94+DICIEMBRE!AL94</f>
        <v>0</v>
      </c>
      <c r="W94" s="15">
        <f>NOVIEMBRE!W94+DICIEMBRE!AM94</f>
        <v>0</v>
      </c>
      <c r="X94" s="18">
        <f>SUM(U94:W94)</f>
        <v>71793333</v>
      </c>
      <c r="Y94" s="19">
        <f>NOVIEMBRE!AA94</f>
        <v>34253599</v>
      </c>
      <c r="Z94" s="377">
        <v>0</v>
      </c>
      <c r="AA94" s="18">
        <f>SUM(Y94:Z94)</f>
        <v>34253599</v>
      </c>
      <c r="AB94" s="19">
        <f>NOVIEMBRE!AD94</f>
        <v>34253599</v>
      </c>
      <c r="AC94" s="377">
        <v>0</v>
      </c>
      <c r="AD94" s="18">
        <f>SUM(AB94:AC94)</f>
        <v>34253599</v>
      </c>
      <c r="AE94" s="19">
        <f>NOVIEMBRE!AG94</f>
        <v>1279358</v>
      </c>
      <c r="AF94" s="377">
        <v>0</v>
      </c>
      <c r="AG94" s="18">
        <f>SUM(AE94:AF94)</f>
        <v>1279358</v>
      </c>
      <c r="AH94" s="19">
        <f>X94-AA94</f>
        <v>37539734</v>
      </c>
      <c r="AI94" s="15">
        <f>X94-AD94</f>
        <v>37539734</v>
      </c>
      <c r="AJ94" s="16">
        <f>X94-AG94</f>
        <v>70513975</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+IF(NOVIEMBRE!A95=0,"",NOVIEMBRE!A95)</f>
        <v>11303-1</v>
      </c>
      <c r="B95" s="627" t="str">
        <f>+IF(NOVIEMBRE!B95=0,"",NOVIEMBRE!B95)</f>
        <v>NACION</v>
      </c>
      <c r="C95" s="401">
        <f>+ENERO!C95</f>
        <v>0</v>
      </c>
      <c r="D95" s="376">
        <f>NOVIEMBRE!D95+DICIEMBRE!P95</f>
        <v>0</v>
      </c>
      <c r="E95" s="376">
        <f>NOVIEMBRE!E95+DICIEMBRE!Q95</f>
        <v>0</v>
      </c>
      <c r="F95" s="376">
        <f t="shared" ref="F95:F102" si="97">SUM(C95:E95)</f>
        <v>0</v>
      </c>
      <c r="G95" s="376">
        <f>NOVIEMBRE!I95</f>
        <v>0</v>
      </c>
      <c r="H95" s="377">
        <v>0</v>
      </c>
      <c r="I95" s="376">
        <f t="shared" ref="I95:I102" si="98">SUM(G95:H95)</f>
        <v>0</v>
      </c>
      <c r="J95" s="376">
        <f>NOVIEMBRE!L95</f>
        <v>0</v>
      </c>
      <c r="K95" s="377">
        <v>0</v>
      </c>
      <c r="L95" s="376">
        <f t="shared" ref="L95:L102" si="99">SUM(J95:K95)</f>
        <v>0</v>
      </c>
      <c r="M95" s="376">
        <f t="shared" ref="M95:M102" si="100">F95-I95</f>
        <v>0</v>
      </c>
      <c r="N95" s="146">
        <f t="shared" ref="N95:N102" si="101">F95-L95</f>
        <v>0</v>
      </c>
      <c r="O95" s="385"/>
      <c r="P95" s="375">
        <v>0</v>
      </c>
      <c r="Q95" s="378">
        <v>0</v>
      </c>
      <c r="R95" s="30"/>
      <c r="S95" s="720" t="str">
        <f>+IF(NOVIEMBRE!S95=0,"",NOVIEMBRE!S95)</f>
        <v>1020301-4</v>
      </c>
      <c r="T95" s="694" t="str">
        <f>+IF(NOVIEMBRE!T95=0,"",NOVIEMBRE!T95)</f>
        <v>Aporte a ARL. - Sin Sit. de Fondos</v>
      </c>
      <c r="U95" s="27">
        <f>+ENERO!U95</f>
        <v>17028007</v>
      </c>
      <c r="V95" s="15">
        <f>NOVIEMBRE!V95+DICIEMBRE!AL95</f>
        <v>0</v>
      </c>
      <c r="W95" s="15">
        <f>NOVIEMBRE!W95+DICIEMBRE!AM95</f>
        <v>0</v>
      </c>
      <c r="X95" s="18">
        <f>SUM(U95:W95)</f>
        <v>17028007</v>
      </c>
      <c r="Y95" s="19">
        <f>NOVIEMBRE!AA95</f>
        <v>13495815</v>
      </c>
      <c r="Z95" s="377">
        <v>0</v>
      </c>
      <c r="AA95" s="18">
        <f>SUM(Y95:Z95)</f>
        <v>13495815</v>
      </c>
      <c r="AB95" s="19">
        <f>NOVIEMBRE!AD95</f>
        <v>13495815</v>
      </c>
      <c r="AC95" s="377">
        <v>0</v>
      </c>
      <c r="AD95" s="18">
        <f>SUM(AB95:AC95)</f>
        <v>13495815</v>
      </c>
      <c r="AE95" s="19">
        <f>NOVIEMBRE!AG95</f>
        <v>13495815</v>
      </c>
      <c r="AF95" s="377">
        <v>0</v>
      </c>
      <c r="AG95" s="18">
        <f>SUM(AE95:AF95)</f>
        <v>13495815</v>
      </c>
      <c r="AH95" s="19">
        <f>X95-AA95</f>
        <v>3532192</v>
      </c>
      <c r="AI95" s="15">
        <f>X95-AD95</f>
        <v>3532192</v>
      </c>
      <c r="AJ95" s="16">
        <f>X95-AG95</f>
        <v>3532192</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+IF(NOVIEMBRE!A96=0,"",NOVIEMBRE!A96)</f>
        <v>11303-2</v>
      </c>
      <c r="B96" s="627" t="str">
        <f>+IF(NOVIEMBRE!B96=0,"",NOVIEMBRE!B96)</f>
        <v>DEPARTAMENTO</v>
      </c>
      <c r="C96" s="401">
        <f>+ENERO!C96</f>
        <v>0</v>
      </c>
      <c r="D96" s="376">
        <f>NOVIEMBRE!D96+DICIEMBRE!P96</f>
        <v>0</v>
      </c>
      <c r="E96" s="376">
        <f>NOVIEMBRE!E96+DICIEMBRE!Q96</f>
        <v>61305130</v>
      </c>
      <c r="F96" s="376">
        <f t="shared" si="97"/>
        <v>61305130</v>
      </c>
      <c r="G96" s="376">
        <f>NOVIEMBRE!I96</f>
        <v>137871796</v>
      </c>
      <c r="H96" s="377">
        <v>0</v>
      </c>
      <c r="I96" s="376">
        <f t="shared" si="98"/>
        <v>137871796</v>
      </c>
      <c r="J96" s="376">
        <f>NOVIEMBRE!L96</f>
        <v>137871796</v>
      </c>
      <c r="K96" s="377">
        <v>0</v>
      </c>
      <c r="L96" s="376">
        <f t="shared" si="99"/>
        <v>137871796</v>
      </c>
      <c r="M96" s="376">
        <f t="shared" si="100"/>
        <v>-76566666</v>
      </c>
      <c r="N96" s="146">
        <f t="shared" si="101"/>
        <v>-76566666</v>
      </c>
      <c r="O96" s="385"/>
      <c r="P96" s="375">
        <v>0</v>
      </c>
      <c r="Q96" s="378">
        <v>0</v>
      </c>
      <c r="S96" s="719">
        <f>+IF(NOVIEMBRE!S96=0,"",NOVIEMBRE!S96)</f>
        <v>1020302</v>
      </c>
      <c r="T96" s="693" t="str">
        <f>+IF(NOVIEMBRE!T96=0,"",NOVIEMBRE!T96)</f>
        <v>Contribuciones - Otros</v>
      </c>
      <c r="U96" s="27">
        <f t="shared" ref="U96:AJ96" si="102">SUM(U97:U101)</f>
        <v>39606111</v>
      </c>
      <c r="V96" s="15">
        <f t="shared" si="102"/>
        <v>0</v>
      </c>
      <c r="W96" s="15">
        <f t="shared" si="102"/>
        <v>0</v>
      </c>
      <c r="X96" s="18">
        <f t="shared" si="102"/>
        <v>39606111</v>
      </c>
      <c r="Y96" s="19">
        <f t="shared" si="102"/>
        <v>23406600</v>
      </c>
      <c r="Z96" s="145">
        <f t="shared" si="102"/>
        <v>0</v>
      </c>
      <c r="AA96" s="18">
        <f t="shared" si="102"/>
        <v>23406600</v>
      </c>
      <c r="AB96" s="19">
        <f t="shared" si="102"/>
        <v>23406600</v>
      </c>
      <c r="AC96" s="145">
        <f t="shared" si="102"/>
        <v>0</v>
      </c>
      <c r="AD96" s="18">
        <f t="shared" si="102"/>
        <v>23406600</v>
      </c>
      <c r="AE96" s="19">
        <f t="shared" si="102"/>
        <v>21043400</v>
      </c>
      <c r="AF96" s="145">
        <f t="shared" si="102"/>
        <v>0</v>
      </c>
      <c r="AG96" s="18">
        <f t="shared" si="102"/>
        <v>21043400</v>
      </c>
      <c r="AH96" s="19">
        <f t="shared" si="102"/>
        <v>16199511</v>
      </c>
      <c r="AI96" s="15">
        <f t="shared" si="102"/>
        <v>16199511</v>
      </c>
      <c r="AJ96" s="16">
        <f t="shared" si="102"/>
        <v>18562711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F96" s="464"/>
      <c r="BL96" s="464"/>
      <c r="BM96" s="464"/>
      <c r="BN96" s="464"/>
      <c r="BO96" s="464"/>
      <c r="BP96" s="464"/>
      <c r="BQ96" s="464"/>
      <c r="BR96" s="464"/>
    </row>
    <row r="97" spans="1:70" s="464" customFormat="1" ht="24.95" customHeight="1" x14ac:dyDescent="0.2">
      <c r="A97" s="754" t="str">
        <f>+IF(NOVIEMBRE!A97=0,"",NOVIEMBRE!A97)</f>
        <v>11303-3</v>
      </c>
      <c r="B97" s="627" t="str">
        <f>+IF(NOVIEMBRE!B97=0,"",NOVIEMBRE!B97)</f>
        <v>MUNICIPIO</v>
      </c>
      <c r="C97" s="401">
        <f>+ENERO!C97</f>
        <v>0</v>
      </c>
      <c r="D97" s="376">
        <f>NOVIEMBRE!D97+DICIEMBRE!P97</f>
        <v>0</v>
      </c>
      <c r="E97" s="376">
        <f>NOVIEMBRE!E97+DICIEMBRE!Q97</f>
        <v>0</v>
      </c>
      <c r="F97" s="376">
        <f t="shared" si="97"/>
        <v>0</v>
      </c>
      <c r="G97" s="376">
        <f>NOVIEMBRE!I97</f>
        <v>0</v>
      </c>
      <c r="H97" s="377">
        <v>0</v>
      </c>
      <c r="I97" s="376">
        <f t="shared" si="98"/>
        <v>0</v>
      </c>
      <c r="J97" s="376">
        <f>NOVIEMBRE!L97</f>
        <v>0</v>
      </c>
      <c r="K97" s="377">
        <v>0</v>
      </c>
      <c r="L97" s="376">
        <f t="shared" si="99"/>
        <v>0</v>
      </c>
      <c r="M97" s="376">
        <f t="shared" si="100"/>
        <v>0</v>
      </c>
      <c r="N97" s="146">
        <f t="shared" si="101"/>
        <v>0</v>
      </c>
      <c r="O97" s="385"/>
      <c r="P97" s="375">
        <v>0</v>
      </c>
      <c r="Q97" s="378">
        <v>0</v>
      </c>
      <c r="R97" s="30"/>
      <c r="S97" s="720" t="str">
        <f>+IF(NOVIEMBRE!S97=0,"",NOVIEMBRE!S97)</f>
        <v>1020302-1</v>
      </c>
      <c r="T97" s="694" t="str">
        <f>+IF(NOVIEMBRE!T97=0,"",NOVIEMBRE!T97)</f>
        <v>Aportes a E.P.S.- Con sit. Fondos</v>
      </c>
      <c r="U97" s="27">
        <f>+ENERO!U97</f>
        <v>1005165</v>
      </c>
      <c r="V97" s="15">
        <f>NOVIEMBRE!V97+DICIEMBRE!AL97</f>
        <v>0</v>
      </c>
      <c r="W97" s="15">
        <f>NOVIEMBRE!W97+DICIEMBRE!AM97</f>
        <v>0</v>
      </c>
      <c r="X97" s="18">
        <f t="shared" ref="X97:X102" si="103">SUM(U97:W97)</f>
        <v>1005165</v>
      </c>
      <c r="Y97" s="19">
        <f>NOVIEMBRE!AA97</f>
        <v>773500</v>
      </c>
      <c r="Z97" s="377">
        <v>0</v>
      </c>
      <c r="AA97" s="18">
        <f t="shared" ref="AA97:AA102" si="104">SUM(Y97:Z97)</f>
        <v>773500</v>
      </c>
      <c r="AB97" s="19">
        <f>NOVIEMBRE!AD97</f>
        <v>773500</v>
      </c>
      <c r="AC97" s="377">
        <v>0</v>
      </c>
      <c r="AD97" s="18">
        <f t="shared" ref="AD97:AD102" si="105">SUM(AB97:AC97)</f>
        <v>773500</v>
      </c>
      <c r="AE97" s="19">
        <f>NOVIEMBRE!AG97</f>
        <v>773500</v>
      </c>
      <c r="AF97" s="377">
        <v>0</v>
      </c>
      <c r="AG97" s="18">
        <f t="shared" ref="AG97:AG102" si="106">SUM(AE97:AF97)</f>
        <v>773500</v>
      </c>
      <c r="AH97" s="19">
        <f t="shared" ref="AH97:AH102" si="107">X97-AA97</f>
        <v>231665</v>
      </c>
      <c r="AI97" s="15">
        <f t="shared" ref="AI97:AI102" si="108">X97-AD97</f>
        <v>231665</v>
      </c>
      <c r="AJ97" s="16">
        <f t="shared" ref="AJ97:AJ102" si="109">X97-AG97</f>
        <v>231665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+IF(NOVIEMBRE!A98=0,"",NOVIEMBRE!A98)</f>
        <v>11303-4</v>
      </c>
      <c r="B98" s="627" t="str">
        <f>+IF(NOVIEMBRE!B98=0,"",NOVIEMBRE!B98)</f>
        <v>CONVENIOS (EMPRESTITO)</v>
      </c>
      <c r="C98" s="401">
        <f>+ENERO!C98</f>
        <v>0</v>
      </c>
      <c r="D98" s="376">
        <f>NOVIEMBRE!D98+DICIEMBRE!P98</f>
        <v>0</v>
      </c>
      <c r="E98" s="376">
        <f>NOVIEMBRE!E98+DICIEMBRE!Q98</f>
        <v>0</v>
      </c>
      <c r="F98" s="376">
        <f t="shared" si="97"/>
        <v>0</v>
      </c>
      <c r="G98" s="376">
        <f>NOVIEMBRE!I98</f>
        <v>0</v>
      </c>
      <c r="H98" s="377">
        <v>0</v>
      </c>
      <c r="I98" s="376">
        <f t="shared" si="98"/>
        <v>0</v>
      </c>
      <c r="J98" s="376">
        <f>NOVIEMBRE!L98</f>
        <v>0</v>
      </c>
      <c r="K98" s="377">
        <v>0</v>
      </c>
      <c r="L98" s="376">
        <f t="shared" si="99"/>
        <v>0</v>
      </c>
      <c r="M98" s="376">
        <f t="shared" si="100"/>
        <v>0</v>
      </c>
      <c r="N98" s="146">
        <f t="shared" si="101"/>
        <v>0</v>
      </c>
      <c r="O98" s="385"/>
      <c r="P98" s="375">
        <v>0</v>
      </c>
      <c r="Q98" s="378">
        <v>0</v>
      </c>
      <c r="R98" s="30"/>
      <c r="S98" s="720" t="str">
        <f>+IF(NOVIEMBRE!S98=0,"",NOVIEMBRE!S98)</f>
        <v>1020302-2</v>
      </c>
      <c r="T98" s="694" t="str">
        <f>+IF(NOVIEMBRE!T98=0,"",NOVIEMBRE!T98)</f>
        <v>Aportes Fondos Pensionales - Con Sit. Fondos</v>
      </c>
      <c r="U98" s="27">
        <f>+ENERO!U98</f>
        <v>3635130</v>
      </c>
      <c r="V98" s="15">
        <f>NOVIEMBRE!V98+DICIEMBRE!AL98</f>
        <v>0</v>
      </c>
      <c r="W98" s="15">
        <f>NOVIEMBRE!W98+DICIEMBRE!AM98</f>
        <v>0</v>
      </c>
      <c r="X98" s="18">
        <f t="shared" si="103"/>
        <v>3635130</v>
      </c>
      <c r="Y98" s="19">
        <f>NOVIEMBRE!AA98</f>
        <v>0</v>
      </c>
      <c r="Z98" s="377">
        <v>0</v>
      </c>
      <c r="AA98" s="18">
        <f t="shared" si="104"/>
        <v>0</v>
      </c>
      <c r="AB98" s="19">
        <f>NOVIEMBRE!AD98</f>
        <v>0</v>
      </c>
      <c r="AC98" s="377">
        <v>0</v>
      </c>
      <c r="AD98" s="18">
        <f t="shared" si="105"/>
        <v>0</v>
      </c>
      <c r="AE98" s="19">
        <f>NOVIEMBRE!AG98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+IF(NOVIEMBRE!A99=0,"",NOVIEMBRE!A99)</f>
        <v>11303-5</v>
      </c>
      <c r="B99" s="627" t="str">
        <f>+IF(NOVIEMBRE!B99=0,"",NOVIEMBRE!B99)</f>
        <v>APORTES PATRONALES - MUNICIPIO / DEPARTAMENTO</v>
      </c>
      <c r="C99" s="681">
        <f>+ENERO!C99</f>
        <v>0</v>
      </c>
      <c r="D99" s="376">
        <f>NOVIEMBRE!D99+DICIEMBRE!P99</f>
        <v>0</v>
      </c>
      <c r="E99" s="376">
        <f>NOVIEMBRE!E99+DICIEMBRE!Q99</f>
        <v>0</v>
      </c>
      <c r="F99" s="376">
        <f t="shared" si="97"/>
        <v>0</v>
      </c>
      <c r="G99" s="376">
        <f>NOVIEMBRE!I99</f>
        <v>0</v>
      </c>
      <c r="H99" s="682">
        <v>0</v>
      </c>
      <c r="I99" s="376">
        <f t="shared" si="98"/>
        <v>0</v>
      </c>
      <c r="J99" s="376">
        <f>NOVIEMBRE!L99</f>
        <v>0</v>
      </c>
      <c r="K99" s="682">
        <v>0</v>
      </c>
      <c r="L99" s="376">
        <f t="shared" si="99"/>
        <v>0</v>
      </c>
      <c r="M99" s="376">
        <f t="shared" si="100"/>
        <v>0</v>
      </c>
      <c r="N99" s="146">
        <f t="shared" si="101"/>
        <v>0</v>
      </c>
      <c r="O99" s="385"/>
      <c r="P99" s="683">
        <v>0</v>
      </c>
      <c r="Q99" s="684">
        <v>0</v>
      </c>
      <c r="R99" s="30"/>
      <c r="S99" s="720" t="str">
        <f>+IF(NOVIEMBRE!S99=0,"",NOVIEMBRE!S99)</f>
        <v>1020302-3</v>
      </c>
      <c r="T99" s="694" t="str">
        <f>+IF(NOVIEMBRE!T99=0,"",NOVIEMBRE!T99)</f>
        <v xml:space="preserve">Aportes a Fondos de Cesantia - Con Sit. de Fondos </v>
      </c>
      <c r="U99" s="27">
        <f>+ENERO!U99</f>
        <v>2469908</v>
      </c>
      <c r="V99" s="15">
        <f>NOVIEMBRE!V99+DICIEMBRE!AL99</f>
        <v>0</v>
      </c>
      <c r="W99" s="15">
        <f>NOVIEMBRE!W99+DICIEMBRE!AM99</f>
        <v>0</v>
      </c>
      <c r="X99" s="18">
        <f t="shared" si="103"/>
        <v>2469908</v>
      </c>
      <c r="Y99" s="19">
        <f>NOVIEMBRE!AA99</f>
        <v>0</v>
      </c>
      <c r="Z99" s="377">
        <v>0</v>
      </c>
      <c r="AA99" s="18">
        <f t="shared" si="104"/>
        <v>0</v>
      </c>
      <c r="AB99" s="19">
        <f>NOVIEMBRE!AD99</f>
        <v>0</v>
      </c>
      <c r="AC99" s="377">
        <v>0</v>
      </c>
      <c r="AD99" s="18">
        <f t="shared" si="105"/>
        <v>0</v>
      </c>
      <c r="AE99" s="19">
        <f>NOVIEMBRE!AG99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+IF(NOVIEMBRE!A100=0,"",NOVIEMBRE!A100)</f>
        <v>11303-6</v>
      </c>
      <c r="B100" s="627" t="str">
        <f>+IF(NOVIEMBRE!B100=0,"",NOVIEMBRE!B100)</f>
        <v>RECURSOS PARA PROGRAMA DE SANEAMIENTO FINANCIERO</v>
      </c>
      <c r="C100" s="401">
        <f>+ENERO!C100</f>
        <v>0</v>
      </c>
      <c r="D100" s="376">
        <f>NOVIEMBRE!D100+DICIEMBRE!P100</f>
        <v>0</v>
      </c>
      <c r="E100" s="376">
        <f>NOVIEMBRE!E100+DICIEMBRE!Q100</f>
        <v>0</v>
      </c>
      <c r="F100" s="376">
        <f t="shared" si="97"/>
        <v>0</v>
      </c>
      <c r="G100" s="376">
        <f>NOVIEMBRE!I100</f>
        <v>0</v>
      </c>
      <c r="H100" s="377">
        <v>0</v>
      </c>
      <c r="I100" s="376">
        <f t="shared" si="98"/>
        <v>0</v>
      </c>
      <c r="J100" s="376">
        <f>NOVIEMBRE!L100</f>
        <v>0</v>
      </c>
      <c r="K100" s="377">
        <v>0</v>
      </c>
      <c r="L100" s="376">
        <f t="shared" si="99"/>
        <v>0</v>
      </c>
      <c r="M100" s="376">
        <f t="shared" si="100"/>
        <v>0</v>
      </c>
      <c r="N100" s="146">
        <f t="shared" si="101"/>
        <v>0</v>
      </c>
      <c r="P100" s="375">
        <v>0</v>
      </c>
      <c r="Q100" s="378">
        <v>0</v>
      </c>
      <c r="R100" s="9"/>
      <c r="S100" s="720" t="str">
        <f>+IF(NOVIEMBRE!S100=0,"",NOVIEMBRE!S100)</f>
        <v>1020302-4</v>
      </c>
      <c r="T100" s="694" t="str">
        <f>+IF(NOVIEMBRE!T100=0,"",NOVIEMBRE!T100)</f>
        <v>Aporte a ARL. - Con Sit. de Fondos</v>
      </c>
      <c r="U100" s="27">
        <f>+ENERO!U100</f>
        <v>0</v>
      </c>
      <c r="V100" s="15">
        <f>NOVIEMBRE!V100+DICIEMBRE!AL100</f>
        <v>0</v>
      </c>
      <c r="W100" s="15">
        <f>NOVIEMBRE!W100+DICIEMBRE!AM100</f>
        <v>0</v>
      </c>
      <c r="X100" s="18">
        <f t="shared" si="103"/>
        <v>0</v>
      </c>
      <c r="Y100" s="19">
        <f>NOVIEMBRE!AA100</f>
        <v>0</v>
      </c>
      <c r="Z100" s="377">
        <v>0</v>
      </c>
      <c r="AA100" s="18">
        <f t="shared" si="104"/>
        <v>0</v>
      </c>
      <c r="AB100" s="19">
        <f>NOVIEMBRE!AD100</f>
        <v>0</v>
      </c>
      <c r="AC100" s="377">
        <v>0</v>
      </c>
      <c r="AD100" s="18">
        <f t="shared" si="105"/>
        <v>0</v>
      </c>
      <c r="AE100" s="19">
        <f>NOVIEMBRE!AG100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+IF(NOVIEMBRE!A101=0,"",NOVIEMBRE!A101)</f>
        <v>11303-7</v>
      </c>
      <c r="B101" s="627" t="str">
        <f>+IF(NOVIEMBRE!B101=0,"",NOVIEMBRE!B101)</f>
        <v xml:space="preserve">SANEAMIENTO APORTES PATRONALES </v>
      </c>
      <c r="C101" s="401">
        <f>+ENERO!C101</f>
        <v>0</v>
      </c>
      <c r="D101" s="376">
        <f>NOVIEMBRE!D101+DICIEMBRE!P101</f>
        <v>0</v>
      </c>
      <c r="E101" s="376">
        <f>NOVIEMBRE!E101+DICIEMBRE!Q101</f>
        <v>13408841</v>
      </c>
      <c r="F101" s="376">
        <f t="shared" si="97"/>
        <v>13408841</v>
      </c>
      <c r="G101" s="376">
        <f>NOVIEMBRE!I101</f>
        <v>0</v>
      </c>
      <c r="H101" s="377">
        <v>0</v>
      </c>
      <c r="I101" s="376">
        <f t="shared" si="98"/>
        <v>0</v>
      </c>
      <c r="J101" s="376">
        <f>NOVIEMBRE!L101</f>
        <v>0</v>
      </c>
      <c r="K101" s="377">
        <v>0</v>
      </c>
      <c r="L101" s="376">
        <f t="shared" si="99"/>
        <v>0</v>
      </c>
      <c r="M101" s="376">
        <f t="shared" si="100"/>
        <v>13408841</v>
      </c>
      <c r="N101" s="146">
        <f t="shared" si="101"/>
        <v>13408841</v>
      </c>
      <c r="P101" s="375">
        <v>0</v>
      </c>
      <c r="Q101" s="378">
        <v>0</v>
      </c>
      <c r="R101" s="9"/>
      <c r="S101" s="720" t="str">
        <f>+IF(NOVIEMBRE!S101=0,"",NOVIEMBRE!S101)</f>
        <v>1020302-5</v>
      </c>
      <c r="T101" s="694" t="str">
        <f>+IF(NOVIEMBRE!T101=0,"",NOVIEMBRE!T101)</f>
        <v>Aporte a Caja Compensación Familiar</v>
      </c>
      <c r="U101" s="27">
        <f>+ENERO!U101</f>
        <v>32495908</v>
      </c>
      <c r="V101" s="15">
        <f>NOVIEMBRE!V101+DICIEMBRE!AL101</f>
        <v>0</v>
      </c>
      <c r="W101" s="15">
        <f>NOVIEMBRE!W101+DICIEMBRE!AM101</f>
        <v>0</v>
      </c>
      <c r="X101" s="18">
        <f t="shared" si="103"/>
        <v>32495908</v>
      </c>
      <c r="Y101" s="19">
        <f>NOVIEMBRE!AA101</f>
        <v>22633100</v>
      </c>
      <c r="Z101" s="377">
        <v>0</v>
      </c>
      <c r="AA101" s="18">
        <f t="shared" si="104"/>
        <v>22633100</v>
      </c>
      <c r="AB101" s="19">
        <f>NOVIEMBRE!AD101</f>
        <v>22633100</v>
      </c>
      <c r="AC101" s="377">
        <v>0</v>
      </c>
      <c r="AD101" s="18">
        <f t="shared" si="105"/>
        <v>22633100</v>
      </c>
      <c r="AE101" s="19">
        <f>NOVIEMBRE!AG101</f>
        <v>20269900</v>
      </c>
      <c r="AF101" s="377">
        <v>0</v>
      </c>
      <c r="AG101" s="18">
        <f t="shared" si="106"/>
        <v>20269900</v>
      </c>
      <c r="AH101" s="19">
        <f t="shared" si="107"/>
        <v>9862808</v>
      </c>
      <c r="AI101" s="15">
        <f t="shared" si="108"/>
        <v>9862808</v>
      </c>
      <c r="AJ101" s="16">
        <f t="shared" si="109"/>
        <v>12226008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+IF(NOVIEMBRE!A102=0,"",NOVIEMBRE!A102)</f>
        <v>11303-8</v>
      </c>
      <c r="B102" s="636" t="str">
        <f>+IF(NOVIEMBRE!B102=0,"",NOVIEMBRE!B102)</f>
        <v>Vigencia Anterior</v>
      </c>
      <c r="C102" s="491">
        <f>+ENERO!C102</f>
        <v>0</v>
      </c>
      <c r="D102" s="388">
        <f>NOVIEMBRE!D102+DICIEMBRE!P102</f>
        <v>0</v>
      </c>
      <c r="E102" s="388">
        <f>NOVIEMBRE!E102+DICIEMBRE!Q102</f>
        <v>0</v>
      </c>
      <c r="F102" s="388">
        <f t="shared" si="97"/>
        <v>0</v>
      </c>
      <c r="G102" s="388">
        <f>NOVIEMBRE!I102</f>
        <v>0</v>
      </c>
      <c r="H102" s="391">
        <v>0</v>
      </c>
      <c r="I102" s="388">
        <f t="shared" si="98"/>
        <v>0</v>
      </c>
      <c r="J102" s="388">
        <f>NOVIEMBRE!L102</f>
        <v>0</v>
      </c>
      <c r="K102" s="391">
        <v>0</v>
      </c>
      <c r="L102" s="388">
        <f t="shared" si="99"/>
        <v>0</v>
      </c>
      <c r="M102" s="388">
        <f t="shared" si="100"/>
        <v>0</v>
      </c>
      <c r="N102" s="389">
        <f t="shared" si="101"/>
        <v>0</v>
      </c>
      <c r="P102" s="375">
        <v>0</v>
      </c>
      <c r="Q102" s="378">
        <v>0</v>
      </c>
      <c r="R102" s="9"/>
      <c r="S102" s="719">
        <f>+IF(NOVIEMBRE!S102=0,"",NOVIEMBRE!S102)</f>
        <v>1020399</v>
      </c>
      <c r="T102" s="693" t="str">
        <f>+IF(NOVIEMBRE!T102=0,"",NOVIEMBRE!T102)</f>
        <v>Vigencias Anteriores</v>
      </c>
      <c r="U102" s="27">
        <f>+ENERO!U102</f>
        <v>0</v>
      </c>
      <c r="V102" s="15">
        <f>NOVIEMBRE!V102+DICIEMBRE!AL102</f>
        <v>0</v>
      </c>
      <c r="W102" s="15">
        <f>NOVIEMBRE!W102+DICIEMBRE!AM102</f>
        <v>54740941</v>
      </c>
      <c r="X102" s="18">
        <f t="shared" si="103"/>
        <v>54740941</v>
      </c>
      <c r="Y102" s="19">
        <f>NOVIEMBRE!AA102</f>
        <v>54740941</v>
      </c>
      <c r="Z102" s="377">
        <v>0</v>
      </c>
      <c r="AA102" s="18">
        <f t="shared" si="104"/>
        <v>54740941</v>
      </c>
      <c r="AB102" s="19">
        <f>NOVIEMBRE!AD102</f>
        <v>54740941</v>
      </c>
      <c r="AC102" s="377">
        <v>0</v>
      </c>
      <c r="AD102" s="18">
        <f t="shared" si="105"/>
        <v>54740941</v>
      </c>
      <c r="AE102" s="19">
        <f>NOVIEMBRE!AG102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c r="BQ102" s="464"/>
    </row>
    <row r="103" spans="1:70" s="385" customFormat="1" ht="24.95" customHeight="1" thickBot="1" x14ac:dyDescent="0.25">
      <c r="A103" s="755" t="str">
        <f>+IF(NOVIEMBRE!A103=0,"",NOVIEMBRE!A103)</f>
        <v/>
      </c>
      <c r="B103" s="661" t="str">
        <f>+IF(NOVIEMBRE!B103=0,"",NOVIEMBRE!B103)</f>
        <v/>
      </c>
      <c r="C103" s="483"/>
      <c r="D103" s="483"/>
      <c r="E103" s="483"/>
      <c r="F103" s="483"/>
      <c r="G103" s="483"/>
      <c r="H103" s="483"/>
      <c r="I103" s="483"/>
      <c r="J103" s="483"/>
      <c r="K103" s="483"/>
      <c r="L103" s="483"/>
      <c r="M103" s="483"/>
      <c r="N103" s="484"/>
      <c r="P103" s="485"/>
      <c r="Q103" s="484"/>
      <c r="R103" s="9"/>
      <c r="S103" s="369" t="str">
        <f>+IF(NOVIEMBRE!S103=0,"",NOVIEMBRE!S103)</f>
        <v/>
      </c>
      <c r="T103" s="708" t="str">
        <f>+IF(NOVIEMBRE!T103=0,"",NOVIEMBRE!T103)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c r="BQ103" s="464"/>
    </row>
    <row r="104" spans="1:70" s="385" customFormat="1" ht="24.95" customHeight="1" x14ac:dyDescent="0.2">
      <c r="A104" s="753">
        <f>+IF(NOVIEMBRE!A104=0,"",NOVIEMBRE!A104)</f>
        <v>11304</v>
      </c>
      <c r="B104" s="626" t="str">
        <f>+IF(NOVIEMBRE!B104=0,"",NOVIEMBRE!B104)</f>
        <v>Otros ingresos corrientes</v>
      </c>
      <c r="C104" s="625">
        <f>SUM(C105:C111)</f>
        <v>107181679</v>
      </c>
      <c r="D104" s="623">
        <f t="shared" ref="D104:N104" si="110">SUM(D105:D111)</f>
        <v>0</v>
      </c>
      <c r="E104" s="623">
        <f t="shared" si="110"/>
        <v>0</v>
      </c>
      <c r="F104" s="623">
        <f t="shared" si="110"/>
        <v>107181679</v>
      </c>
      <c r="G104" s="623">
        <f t="shared" si="110"/>
        <v>77098886</v>
      </c>
      <c r="H104" s="623">
        <f t="shared" si="110"/>
        <v>0</v>
      </c>
      <c r="I104" s="623">
        <f t="shared" si="110"/>
        <v>77098886</v>
      </c>
      <c r="J104" s="623">
        <f t="shared" si="110"/>
        <v>77098886</v>
      </c>
      <c r="K104" s="623">
        <f t="shared" si="110"/>
        <v>0</v>
      </c>
      <c r="L104" s="623">
        <f t="shared" si="110"/>
        <v>77098886</v>
      </c>
      <c r="M104" s="623">
        <f t="shared" si="110"/>
        <v>30082793</v>
      </c>
      <c r="N104" s="624">
        <f t="shared" si="110"/>
        <v>30082793</v>
      </c>
      <c r="P104" s="43">
        <f>SUM(P105:P111)</f>
        <v>0</v>
      </c>
      <c r="Q104" s="45">
        <f>SUM(Q105:Q111)</f>
        <v>0</v>
      </c>
      <c r="R104" s="9"/>
      <c r="S104" s="718">
        <f>+IF(NOVIEMBRE!S104=0,"",NOVIEMBRE!S104)</f>
        <v>1020400</v>
      </c>
      <c r="T104" s="692" t="str">
        <f>+IF(NOVIEMBRE!T104=0,"",NOVIEMBRE!T104)</f>
        <v>Contribuciones Inherentes nómina del Sector Publico</v>
      </c>
      <c r="U104" s="135">
        <f t="shared" ref="U104:AJ104" si="111">U105+U108</f>
        <v>40619885</v>
      </c>
      <c r="V104" s="124">
        <f t="shared" si="111"/>
        <v>0</v>
      </c>
      <c r="W104" s="124">
        <f t="shared" si="111"/>
        <v>3013800</v>
      </c>
      <c r="X104" s="132">
        <f t="shared" si="111"/>
        <v>43633685</v>
      </c>
      <c r="Y104" s="131">
        <f t="shared" si="111"/>
        <v>31304600</v>
      </c>
      <c r="Z104" s="124">
        <f t="shared" si="111"/>
        <v>0</v>
      </c>
      <c r="AA104" s="132">
        <f t="shared" si="111"/>
        <v>31304600</v>
      </c>
      <c r="AB104" s="131">
        <f t="shared" si="111"/>
        <v>31304600</v>
      </c>
      <c r="AC104" s="124">
        <f t="shared" si="111"/>
        <v>0</v>
      </c>
      <c r="AD104" s="132">
        <f t="shared" si="111"/>
        <v>31304600</v>
      </c>
      <c r="AE104" s="131">
        <f t="shared" si="111"/>
        <v>28350800</v>
      </c>
      <c r="AF104" s="124">
        <f t="shared" si="111"/>
        <v>0</v>
      </c>
      <c r="AG104" s="132">
        <f t="shared" si="111"/>
        <v>28350800</v>
      </c>
      <c r="AH104" s="131">
        <f t="shared" si="111"/>
        <v>12329085</v>
      </c>
      <c r="AI104" s="124">
        <f t="shared" si="111"/>
        <v>12329085</v>
      </c>
      <c r="AJ104" s="133">
        <f t="shared" si="111"/>
        <v>15282885</v>
      </c>
      <c r="AK104" s="9"/>
      <c r="AL104" s="131">
        <f>AL105+AL108</f>
        <v>0</v>
      </c>
      <c r="AM104" s="133">
        <f>AM105+AM108</f>
        <v>0</v>
      </c>
      <c r="AN104" s="9"/>
      <c r="AO104" s="297"/>
      <c r="AP104" s="297"/>
      <c r="AQ104" s="297"/>
      <c r="AR104" s="297"/>
      <c r="AS104" s="297"/>
      <c r="AT104" s="297"/>
      <c r="AU104" s="297"/>
      <c r="AV104" s="297"/>
      <c r="AW104" s="297"/>
      <c r="AX104" s="297"/>
      <c r="AY104" s="297"/>
      <c r="AZ104" s="297"/>
      <c r="BQ104" s="464"/>
    </row>
    <row r="105" spans="1:70" s="385" customFormat="1" ht="24.95" customHeight="1" x14ac:dyDescent="0.2">
      <c r="A105" s="754" t="str">
        <f>+IF(NOVIEMBRE!A105=0,"",NOVIEMBRE!A105)</f>
        <v>11304-1</v>
      </c>
      <c r="B105" s="627" t="str">
        <f>+IF(NOVIEMBRE!B105=0,"",NOVIEMBRE!B105)</f>
        <v>ARRENDAMIENTO Y ALQUILER DE BIENES MUEBLES E INMUEBLES</v>
      </c>
      <c r="C105" s="401">
        <f>+ENERO!C105</f>
        <v>916364</v>
      </c>
      <c r="D105" s="376">
        <f>NOVIEMBRE!D105+DICIEMBRE!P105</f>
        <v>0</v>
      </c>
      <c r="E105" s="376">
        <f>NOVIEMBRE!E105+DICIEMBRE!Q105</f>
        <v>0</v>
      </c>
      <c r="F105" s="376">
        <f t="shared" ref="F105:F111" si="112">SUM(C105:E105)</f>
        <v>916364</v>
      </c>
      <c r="G105" s="376">
        <f>NOVIEMBRE!I105</f>
        <v>640000</v>
      </c>
      <c r="H105" s="377">
        <v>0</v>
      </c>
      <c r="I105" s="376">
        <f t="shared" ref="I105:I111" si="113">SUM(G105:H105)</f>
        <v>640000</v>
      </c>
      <c r="J105" s="376">
        <f>NOVIEMBRE!L105</f>
        <v>640000</v>
      </c>
      <c r="K105" s="377">
        <v>0</v>
      </c>
      <c r="L105" s="376">
        <f t="shared" ref="L105:L111" si="114">SUM(J105:K105)</f>
        <v>640000</v>
      </c>
      <c r="M105" s="376">
        <f t="shared" ref="M105:M111" si="115">F105-I105</f>
        <v>276364</v>
      </c>
      <c r="N105" s="146">
        <f t="shared" ref="N105:N111" si="116">F105-L105</f>
        <v>276364</v>
      </c>
      <c r="P105" s="375">
        <v>0</v>
      </c>
      <c r="Q105" s="378">
        <v>0</v>
      </c>
      <c r="R105" s="9"/>
      <c r="S105" s="719">
        <f>+IF(NOVIEMBRE!S105=0,"",NOVIEMBRE!S105)</f>
        <v>1020402</v>
      </c>
      <c r="T105" s="693" t="str">
        <f>+IF(NOVIEMBRE!T105=0,"",NOVIEMBRE!T105)</f>
        <v>Contribuciones - Otros</v>
      </c>
      <c r="U105" s="27">
        <f t="shared" ref="U105:AJ105" si="117">SUM(U106:U107)</f>
        <v>40619885</v>
      </c>
      <c r="V105" s="15">
        <f t="shared" si="117"/>
        <v>0</v>
      </c>
      <c r="W105" s="15">
        <f t="shared" si="117"/>
        <v>0</v>
      </c>
      <c r="X105" s="18">
        <f t="shared" si="117"/>
        <v>40619885</v>
      </c>
      <c r="Y105" s="19">
        <f t="shared" si="117"/>
        <v>28290800</v>
      </c>
      <c r="Z105" s="145">
        <f t="shared" si="117"/>
        <v>0</v>
      </c>
      <c r="AA105" s="18">
        <f t="shared" si="117"/>
        <v>28290800</v>
      </c>
      <c r="AB105" s="19">
        <f t="shared" si="117"/>
        <v>28290800</v>
      </c>
      <c r="AC105" s="145">
        <f t="shared" si="117"/>
        <v>0</v>
      </c>
      <c r="AD105" s="18">
        <f t="shared" si="117"/>
        <v>28290800</v>
      </c>
      <c r="AE105" s="19">
        <f t="shared" si="117"/>
        <v>25337000</v>
      </c>
      <c r="AF105" s="145">
        <f t="shared" si="117"/>
        <v>0</v>
      </c>
      <c r="AG105" s="18">
        <f t="shared" si="117"/>
        <v>25337000</v>
      </c>
      <c r="AH105" s="19">
        <f t="shared" si="117"/>
        <v>12329085</v>
      </c>
      <c r="AI105" s="15">
        <f t="shared" si="117"/>
        <v>12329085</v>
      </c>
      <c r="AJ105" s="16">
        <f t="shared" si="117"/>
        <v>15282885</v>
      </c>
      <c r="AK105" s="10"/>
      <c r="AL105" s="29">
        <f>SUM(AL106:AL107)</f>
        <v>0</v>
      </c>
      <c r="AM105" s="26">
        <f>SUM(AM106:AM107)</f>
        <v>0</v>
      </c>
      <c r="AN105" s="9"/>
      <c r="AO105" s="297"/>
      <c r="AP105" s="297"/>
      <c r="AQ105" s="297"/>
      <c r="AR105" s="297"/>
      <c r="AS105" s="297"/>
      <c r="AT105" s="297"/>
      <c r="AU105" s="297"/>
      <c r="AV105" s="297"/>
      <c r="AW105" s="297"/>
      <c r="AX105" s="297"/>
      <c r="AY105" s="297"/>
      <c r="AZ105" s="297"/>
      <c r="BQ105" s="464"/>
    </row>
    <row r="106" spans="1:70" s="385" customFormat="1" ht="24.95" customHeight="1" x14ac:dyDescent="0.2">
      <c r="A106" s="754" t="str">
        <f>+IF(NOVIEMBRE!A106=0,"",NOVIEMBRE!A106)</f>
        <v>11304-2</v>
      </c>
      <c r="B106" s="628" t="str">
        <f>+IF(NOVIEMBRE!B106=0,"",NOVIEMBRE!B106)</f>
        <v>COMERCIALIZACIÓN DE MERCANCÍAS</v>
      </c>
      <c r="C106" s="401">
        <f>+ENERO!C106</f>
        <v>105119431</v>
      </c>
      <c r="D106" s="376">
        <f>NOVIEMBRE!D106+DICIEMBRE!P106</f>
        <v>0</v>
      </c>
      <c r="E106" s="376">
        <f>NOVIEMBRE!E106+DICIEMBRE!Q106</f>
        <v>0</v>
      </c>
      <c r="F106" s="376">
        <f t="shared" si="112"/>
        <v>105119431</v>
      </c>
      <c r="G106" s="376">
        <f>NOVIEMBRE!I106</f>
        <v>71223447</v>
      </c>
      <c r="H106" s="377">
        <v>0</v>
      </c>
      <c r="I106" s="376">
        <f t="shared" si="113"/>
        <v>71223447</v>
      </c>
      <c r="J106" s="376">
        <f>NOVIEMBRE!L106</f>
        <v>71223447</v>
      </c>
      <c r="K106" s="377">
        <v>0</v>
      </c>
      <c r="L106" s="376">
        <f t="shared" si="114"/>
        <v>71223447</v>
      </c>
      <c r="M106" s="376">
        <f t="shared" si="115"/>
        <v>33895984</v>
      </c>
      <c r="N106" s="146">
        <f t="shared" si="116"/>
        <v>33895984</v>
      </c>
      <c r="P106" s="375">
        <v>0</v>
      </c>
      <c r="Q106" s="378">
        <v>0</v>
      </c>
      <c r="R106" s="9"/>
      <c r="S106" s="720" t="str">
        <f>+IF(NOVIEMBRE!S106=0,"",NOVIEMBRE!S106)</f>
        <v>1020402-1</v>
      </c>
      <c r="T106" s="694" t="str">
        <f>+IF(NOVIEMBRE!T106=0,"",NOVIEMBRE!T106)</f>
        <v>S.E.N.A.</v>
      </c>
      <c r="U106" s="27">
        <f>+ENERO!U106</f>
        <v>16247954</v>
      </c>
      <c r="V106" s="15">
        <f>NOVIEMBRE!V106+DICIEMBRE!AL106</f>
        <v>0</v>
      </c>
      <c r="W106" s="15">
        <f>NOVIEMBRE!W106+DICIEMBRE!AM106</f>
        <v>0</v>
      </c>
      <c r="X106" s="18">
        <f>SUM(U106:W106)</f>
        <v>16247954</v>
      </c>
      <c r="Y106" s="19">
        <f>NOVIEMBRE!AA106</f>
        <v>11317100</v>
      </c>
      <c r="Z106" s="377">
        <v>0</v>
      </c>
      <c r="AA106" s="18">
        <f>SUM(Y106:Z106)</f>
        <v>11317100</v>
      </c>
      <c r="AB106" s="19">
        <f>NOVIEMBRE!AD106</f>
        <v>11317100</v>
      </c>
      <c r="AC106" s="377">
        <v>0</v>
      </c>
      <c r="AD106" s="18">
        <f>SUM(AB106:AC106)</f>
        <v>11317100</v>
      </c>
      <c r="AE106" s="19">
        <f>NOVIEMBRE!AG106</f>
        <v>10135400</v>
      </c>
      <c r="AF106" s="377">
        <v>0</v>
      </c>
      <c r="AG106" s="18">
        <f>SUM(AE106:AF106)</f>
        <v>10135400</v>
      </c>
      <c r="AH106" s="19">
        <f>X106-AA106</f>
        <v>4930854</v>
      </c>
      <c r="AI106" s="15">
        <f>X106-AD106</f>
        <v>4930854</v>
      </c>
      <c r="AJ106" s="16">
        <f>X106-AG106</f>
        <v>6112554</v>
      </c>
      <c r="AK106" s="9"/>
      <c r="AL106" s="375">
        <v>0</v>
      </c>
      <c r="AM106" s="378">
        <v>0</v>
      </c>
      <c r="AN106" s="9"/>
      <c r="AO106" s="297"/>
      <c r="AP106" s="297"/>
      <c r="AQ106" s="297"/>
      <c r="AR106" s="297"/>
      <c r="AS106" s="297"/>
      <c r="AT106" s="297"/>
      <c r="AU106" s="297"/>
      <c r="AV106" s="297"/>
      <c r="AW106" s="297"/>
      <c r="AX106" s="297"/>
      <c r="AY106" s="297"/>
      <c r="AZ106" s="297"/>
      <c r="BQ106" s="464"/>
    </row>
    <row r="107" spans="1:70" s="385" customFormat="1" ht="24.95" customHeight="1" x14ac:dyDescent="0.2">
      <c r="A107" s="754" t="str">
        <f>+IF(NOVIEMBRE!A107=0,"",NOVIEMBRE!A107)</f>
        <v>11304-3</v>
      </c>
      <c r="B107" s="627" t="str">
        <f>+IF(NOVIEMBRE!B107=0,"",NOVIEMBRE!B107)</f>
        <v>Bienestar Social</v>
      </c>
      <c r="C107" s="401">
        <f>+ENERO!C107</f>
        <v>0</v>
      </c>
      <c r="D107" s="376">
        <f>NOVIEMBRE!D107+DICIEMBRE!P107</f>
        <v>0</v>
      </c>
      <c r="E107" s="376">
        <f>NOVIEMBRE!E107+DICIEMBRE!Q107</f>
        <v>0</v>
      </c>
      <c r="F107" s="376">
        <f t="shared" si="112"/>
        <v>0</v>
      </c>
      <c r="G107" s="376">
        <f>NOVIEMBRE!I107</f>
        <v>0</v>
      </c>
      <c r="H107" s="377">
        <v>0</v>
      </c>
      <c r="I107" s="376">
        <f t="shared" si="113"/>
        <v>0</v>
      </c>
      <c r="J107" s="376">
        <f>NOVIEMBRE!L107</f>
        <v>0</v>
      </c>
      <c r="K107" s="377">
        <v>0</v>
      </c>
      <c r="L107" s="376">
        <f t="shared" si="114"/>
        <v>0</v>
      </c>
      <c r="M107" s="376">
        <f t="shared" si="115"/>
        <v>0</v>
      </c>
      <c r="N107" s="146">
        <f t="shared" si="116"/>
        <v>0</v>
      </c>
      <c r="P107" s="375">
        <v>0</v>
      </c>
      <c r="Q107" s="378">
        <v>0</v>
      </c>
      <c r="R107" s="9"/>
      <c r="S107" s="720" t="str">
        <f>+IF(NOVIEMBRE!S107=0,"",NOVIEMBRE!S107)</f>
        <v>1020402-2</v>
      </c>
      <c r="T107" s="694" t="str">
        <f>+IF(NOVIEMBRE!T107=0,"",NOVIEMBRE!T107)</f>
        <v>I.C.B.F.</v>
      </c>
      <c r="U107" s="27">
        <f>+ENERO!U107</f>
        <v>24371931</v>
      </c>
      <c r="V107" s="15">
        <f>NOVIEMBRE!V107+DICIEMBRE!AL107</f>
        <v>0</v>
      </c>
      <c r="W107" s="15">
        <f>NOVIEMBRE!W107+DICIEMBRE!AM107</f>
        <v>0</v>
      </c>
      <c r="X107" s="18">
        <f>SUM(U107:W107)</f>
        <v>24371931</v>
      </c>
      <c r="Y107" s="19">
        <f>NOVIEMBRE!AA107</f>
        <v>16973700</v>
      </c>
      <c r="Z107" s="377">
        <v>0</v>
      </c>
      <c r="AA107" s="18">
        <f>SUM(Y107:Z107)</f>
        <v>16973700</v>
      </c>
      <c r="AB107" s="19">
        <f>NOVIEMBRE!AD107</f>
        <v>16973700</v>
      </c>
      <c r="AC107" s="377">
        <v>0</v>
      </c>
      <c r="AD107" s="18">
        <f>SUM(AB107:AC107)</f>
        <v>16973700</v>
      </c>
      <c r="AE107" s="19">
        <f>NOVIEMBRE!AG107</f>
        <v>15201600</v>
      </c>
      <c r="AF107" s="377">
        <v>0</v>
      </c>
      <c r="AG107" s="18">
        <f>SUM(AE107:AF107)</f>
        <v>15201600</v>
      </c>
      <c r="AH107" s="19">
        <f>X107-AA107</f>
        <v>7398231</v>
      </c>
      <c r="AI107" s="15">
        <f>X107-AD107</f>
        <v>7398231</v>
      </c>
      <c r="AJ107" s="16">
        <f>X107-AG107</f>
        <v>9170331</v>
      </c>
      <c r="AK107" s="9"/>
      <c r="AL107" s="375">
        <v>0</v>
      </c>
      <c r="AM107" s="378">
        <v>0</v>
      </c>
      <c r="AN107" s="9"/>
      <c r="AO107" s="297"/>
      <c r="AP107" s="297"/>
      <c r="AQ107" s="297"/>
      <c r="AR107" s="297"/>
      <c r="AS107" s="297"/>
      <c r="AT107" s="297"/>
      <c r="AU107" s="297"/>
      <c r="AV107" s="297"/>
      <c r="AW107" s="297"/>
      <c r="AX107" s="297"/>
      <c r="AY107" s="297"/>
      <c r="AZ107" s="297"/>
      <c r="BQ107" s="464"/>
    </row>
    <row r="108" spans="1:70" s="385" customFormat="1" ht="24.95" customHeight="1" x14ac:dyDescent="0.2">
      <c r="A108" s="754" t="str">
        <f>+IF(NOVIEMBRE!A108=0,"",NOVIEMBRE!A108)</f>
        <v>11304-4</v>
      </c>
      <c r="B108" s="627" t="str">
        <f>+IF(NOVIEMBRE!B108=0,"",NOVIEMBRE!B108)</f>
        <v>Fondo de la Vivienda</v>
      </c>
      <c r="C108" s="401">
        <f>+ENERO!C108</f>
        <v>0</v>
      </c>
      <c r="D108" s="376">
        <f>NOVIEMBRE!D108+DICIEMBRE!P108</f>
        <v>0</v>
      </c>
      <c r="E108" s="376">
        <f>NOVIEMBRE!E108+DICIEMBRE!Q108</f>
        <v>0</v>
      </c>
      <c r="F108" s="376">
        <f t="shared" si="112"/>
        <v>0</v>
      </c>
      <c r="G108" s="376">
        <f>NOVIEMBRE!I108</f>
        <v>0</v>
      </c>
      <c r="H108" s="377">
        <v>0</v>
      </c>
      <c r="I108" s="376">
        <f t="shared" si="113"/>
        <v>0</v>
      </c>
      <c r="J108" s="376">
        <f>NOVIEMBRE!L108</f>
        <v>0</v>
      </c>
      <c r="K108" s="377">
        <v>0</v>
      </c>
      <c r="L108" s="376">
        <f t="shared" si="114"/>
        <v>0</v>
      </c>
      <c r="M108" s="376">
        <f t="shared" si="115"/>
        <v>0</v>
      </c>
      <c r="N108" s="146">
        <f t="shared" si="116"/>
        <v>0</v>
      </c>
      <c r="P108" s="375">
        <v>0</v>
      </c>
      <c r="Q108" s="378">
        <v>0</v>
      </c>
      <c r="R108" s="9"/>
      <c r="S108" s="719">
        <f>+IF(NOVIEMBRE!S108=0,"",NOVIEMBRE!S108)</f>
        <v>1020499</v>
      </c>
      <c r="T108" s="693" t="str">
        <f>+IF(NOVIEMBRE!T108=0,"",NOVIEMBRE!T108)</f>
        <v>Vigencias Anteriores</v>
      </c>
      <c r="U108" s="27">
        <f>+ENERO!U108</f>
        <v>0</v>
      </c>
      <c r="V108" s="15">
        <f>NOVIEMBRE!V108+DICIEMBRE!AL108</f>
        <v>0</v>
      </c>
      <c r="W108" s="15">
        <f>NOVIEMBRE!W108+DICIEMBRE!AM108</f>
        <v>3013800</v>
      </c>
      <c r="X108" s="18">
        <f>SUM(U108:W108)</f>
        <v>3013800</v>
      </c>
      <c r="Y108" s="19">
        <f>NOVIEMBRE!AA108</f>
        <v>3013800</v>
      </c>
      <c r="Z108" s="377">
        <v>0</v>
      </c>
      <c r="AA108" s="18">
        <f>SUM(Y108:Z108)</f>
        <v>3013800</v>
      </c>
      <c r="AB108" s="19">
        <f>NOVIEMBRE!AD108</f>
        <v>3013800</v>
      </c>
      <c r="AC108" s="377">
        <v>0</v>
      </c>
      <c r="AD108" s="18">
        <f>SUM(AB108:AC108)</f>
        <v>3013800</v>
      </c>
      <c r="AE108" s="19">
        <f>NOVIEMBRE!AG108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c r="BQ108" s="464"/>
    </row>
    <row r="109" spans="1:70" s="385" customFormat="1" ht="24.95" customHeight="1" x14ac:dyDescent="0.2">
      <c r="A109" s="754" t="str">
        <f>+IF(NOVIEMBRE!A109=0,"",NOVIEMBRE!A109)</f>
        <v>11304-5</v>
      </c>
      <c r="B109" s="627" t="str">
        <f>+IF(NOVIEMBRE!B109=0,"",NOVIEMBRE!B109)</f>
        <v xml:space="preserve">Aprovechamientos </v>
      </c>
      <c r="C109" s="401">
        <f>+ENERO!C109</f>
        <v>1145884</v>
      </c>
      <c r="D109" s="376">
        <f>NOVIEMBRE!D109+DICIEMBRE!P109</f>
        <v>0</v>
      </c>
      <c r="E109" s="376">
        <f>NOVIEMBRE!E109+DICIEMBRE!Q109</f>
        <v>0</v>
      </c>
      <c r="F109" s="376">
        <f t="shared" si="112"/>
        <v>1145884</v>
      </c>
      <c r="G109" s="376">
        <f>NOVIEMBRE!I109</f>
        <v>2412454</v>
      </c>
      <c r="H109" s="377">
        <v>0</v>
      </c>
      <c r="I109" s="376">
        <f t="shared" si="113"/>
        <v>2412454</v>
      </c>
      <c r="J109" s="376">
        <f>NOVIEMBRE!L109</f>
        <v>2412454</v>
      </c>
      <c r="K109" s="377">
        <v>0</v>
      </c>
      <c r="L109" s="376">
        <f t="shared" si="114"/>
        <v>2412454</v>
      </c>
      <c r="M109" s="376">
        <f t="shared" si="115"/>
        <v>-1266570</v>
      </c>
      <c r="N109" s="146">
        <f t="shared" si="116"/>
        <v>-1266570</v>
      </c>
      <c r="P109" s="375">
        <v>0</v>
      </c>
      <c r="Q109" s="378">
        <v>0</v>
      </c>
      <c r="R109" s="9"/>
      <c r="S109" s="369" t="str">
        <f>+IF(NOVIEMBRE!S109=0,"",NOVIEMBRE!S109)</f>
        <v/>
      </c>
      <c r="T109" s="708" t="str">
        <f>+IF(NOVIEMBRE!T109=0,"",NOVIEMBRE!T109)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c r="BQ109" s="464"/>
    </row>
    <row r="110" spans="1:70" s="385" customFormat="1" ht="24.95" customHeight="1" x14ac:dyDescent="0.2">
      <c r="A110" s="754" t="str">
        <f>+IF(NOVIEMBRE!A110=0,"",NOVIEMBRE!A110)</f>
        <v>11304-6</v>
      </c>
      <c r="B110" s="627" t="str">
        <f>+IF(NOVIEMBRE!B110=0,"",NOVIEMBRE!B110)</f>
        <v>Otros</v>
      </c>
      <c r="C110" s="401">
        <f>+ENERO!C110</f>
        <v>0</v>
      </c>
      <c r="D110" s="376">
        <f>NOVIEMBRE!D110+DICIEMBRE!P110</f>
        <v>0</v>
      </c>
      <c r="E110" s="376">
        <f>NOVIEMBRE!E110+DICIEMBRE!Q110</f>
        <v>0</v>
      </c>
      <c r="F110" s="376">
        <f t="shared" si="112"/>
        <v>0</v>
      </c>
      <c r="G110" s="376">
        <f>NOVIEMBRE!I110</f>
        <v>2742985</v>
      </c>
      <c r="H110" s="377">
        <v>0</v>
      </c>
      <c r="I110" s="376">
        <f t="shared" si="113"/>
        <v>2742985</v>
      </c>
      <c r="J110" s="376">
        <f>NOVIEMBRE!L110</f>
        <v>2742985</v>
      </c>
      <c r="K110" s="377">
        <v>0</v>
      </c>
      <c r="L110" s="376">
        <f t="shared" si="114"/>
        <v>2742985</v>
      </c>
      <c r="M110" s="376">
        <f t="shared" si="115"/>
        <v>-2742985</v>
      </c>
      <c r="N110" s="146">
        <f t="shared" si="116"/>
        <v>-2742985</v>
      </c>
      <c r="P110" s="375">
        <v>0</v>
      </c>
      <c r="Q110" s="378">
        <v>0</v>
      </c>
      <c r="R110" s="9"/>
      <c r="S110" s="717">
        <f>+IF(NOVIEMBRE!S110=0,"",NOVIEMBRE!S110)</f>
        <v>2000000</v>
      </c>
      <c r="T110" s="697" t="str">
        <f>+IF(NOVIEMBRE!T110=0,"",NOVIEMBRE!T110)</f>
        <v>GASTOS GENERALES</v>
      </c>
      <c r="U110" s="473">
        <f t="shared" ref="U110:AJ110" si="118">U112+U145</f>
        <v>505626661</v>
      </c>
      <c r="V110" s="474">
        <f t="shared" si="118"/>
        <v>40600000</v>
      </c>
      <c r="W110" s="474">
        <f t="shared" si="118"/>
        <v>213332840</v>
      </c>
      <c r="X110" s="475">
        <f t="shared" si="118"/>
        <v>759559501</v>
      </c>
      <c r="Y110" s="382">
        <f t="shared" si="118"/>
        <v>553818751</v>
      </c>
      <c r="Z110" s="474">
        <f t="shared" si="118"/>
        <v>0</v>
      </c>
      <c r="AA110" s="475">
        <f t="shared" si="118"/>
        <v>553818751</v>
      </c>
      <c r="AB110" s="382">
        <f t="shared" si="118"/>
        <v>521134406</v>
      </c>
      <c r="AC110" s="474">
        <f t="shared" si="118"/>
        <v>0</v>
      </c>
      <c r="AD110" s="475">
        <f t="shared" si="118"/>
        <v>521134406</v>
      </c>
      <c r="AE110" s="382">
        <f t="shared" si="118"/>
        <v>385706058</v>
      </c>
      <c r="AF110" s="474">
        <f t="shared" si="118"/>
        <v>0</v>
      </c>
      <c r="AG110" s="475">
        <f t="shared" si="118"/>
        <v>385706058</v>
      </c>
      <c r="AH110" s="382">
        <f t="shared" si="118"/>
        <v>205740750</v>
      </c>
      <c r="AI110" s="474">
        <f t="shared" si="118"/>
        <v>238425095</v>
      </c>
      <c r="AJ110" s="383">
        <f t="shared" si="118"/>
        <v>373853443</v>
      </c>
      <c r="AK110" s="10"/>
      <c r="AL110" s="131">
        <f>AL112+AL145</f>
        <v>0</v>
      </c>
      <c r="AM110" s="133">
        <f>AM112+AM145</f>
        <v>0</v>
      </c>
      <c r="AN110" s="9"/>
      <c r="AO110" s="297"/>
      <c r="AP110" s="297"/>
      <c r="AQ110" s="297"/>
      <c r="AR110" s="297"/>
      <c r="AS110" s="297"/>
      <c r="AT110" s="297"/>
      <c r="AU110" s="297"/>
      <c r="AV110" s="297"/>
      <c r="AW110" s="297"/>
      <c r="AX110" s="297"/>
      <c r="AY110" s="297"/>
      <c r="AZ110" s="297"/>
      <c r="BQ110" s="464"/>
    </row>
    <row r="111" spans="1:70" s="385" customFormat="1" ht="24.95" customHeight="1" thickBot="1" x14ac:dyDescent="0.25">
      <c r="A111" s="754" t="str">
        <f>+IF(NOVIEMBRE!A111=0,"",NOVIEMBRE!A111)</f>
        <v>11304-7</v>
      </c>
      <c r="B111" s="662" t="str">
        <f>+IF(NOVIEMBRE!B111=0,"",NOVIEMBRE!B111)</f>
        <v>Vigencia Anterior</v>
      </c>
      <c r="C111" s="491">
        <f>+ENERO!C111</f>
        <v>0</v>
      </c>
      <c r="D111" s="388">
        <f>NOVIEMBRE!D111+DICIEMBRE!P111</f>
        <v>0</v>
      </c>
      <c r="E111" s="388">
        <f>NOVIEMBRE!E111+DICIEMBRE!Q111</f>
        <v>0</v>
      </c>
      <c r="F111" s="388">
        <f t="shared" si="112"/>
        <v>0</v>
      </c>
      <c r="G111" s="388">
        <f>NOVIEMBRE!I111</f>
        <v>80000</v>
      </c>
      <c r="H111" s="391">
        <v>0</v>
      </c>
      <c r="I111" s="388">
        <f t="shared" si="113"/>
        <v>80000</v>
      </c>
      <c r="J111" s="388">
        <f>NOVIEMBRE!L111</f>
        <v>80000</v>
      </c>
      <c r="K111" s="391">
        <v>0</v>
      </c>
      <c r="L111" s="388">
        <f t="shared" si="114"/>
        <v>80000</v>
      </c>
      <c r="M111" s="388">
        <f t="shared" si="115"/>
        <v>-80000</v>
      </c>
      <c r="N111" s="389">
        <f t="shared" si="116"/>
        <v>-80000</v>
      </c>
      <c r="P111" s="375">
        <v>0</v>
      </c>
      <c r="Q111" s="378">
        <v>0</v>
      </c>
      <c r="R111" s="9"/>
      <c r="S111" s="369" t="str">
        <f>+IF(NOVIEMBRE!S111=0,"",NOVIEMBRE!S111)</f>
        <v/>
      </c>
      <c r="T111" s="708" t="str">
        <f>+IF(NOVIEMBRE!T111=0,"",NOVIEMBRE!T111)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c r="BQ111" s="464"/>
    </row>
    <row r="112" spans="1:70" s="385" customFormat="1" ht="24.95" customHeight="1" thickBot="1" x14ac:dyDescent="0.25">
      <c r="A112" s="755" t="str">
        <f>+IF(NOVIEMBRE!A112=0,"",NOVIEMBRE!A112)</f>
        <v/>
      </c>
      <c r="B112" s="661" t="str">
        <f>+IF(NOVIEMBRE!B112=0,"",NOVIEMBRE!B112)</f>
        <v/>
      </c>
      <c r="C112" s="483"/>
      <c r="D112" s="483"/>
      <c r="E112" s="483"/>
      <c r="F112" s="483"/>
      <c r="G112" s="483"/>
      <c r="H112" s="483"/>
      <c r="I112" s="483"/>
      <c r="J112" s="483"/>
      <c r="K112" s="483"/>
      <c r="L112" s="483"/>
      <c r="M112" s="483"/>
      <c r="N112" s="484"/>
      <c r="P112" s="485"/>
      <c r="Q112" s="484"/>
      <c r="R112" s="9"/>
      <c r="S112" s="717">
        <f>+IF(NOVIEMBRE!S112=0,"",NOVIEMBRE!S112)</f>
        <v>2010000</v>
      </c>
      <c r="T112" s="691" t="str">
        <f>+IF(NOVIEMBRE!T112=0,"",NOVIEMBRE!T112)</f>
        <v>Gastos de Administración</v>
      </c>
      <c r="U112" s="135">
        <f t="shared" ref="U112:AJ112" si="119">U114+U123+U141</f>
        <v>181650786</v>
      </c>
      <c r="V112" s="124">
        <f t="shared" si="119"/>
        <v>13561935</v>
      </c>
      <c r="W112" s="124">
        <f t="shared" si="119"/>
        <v>102233652</v>
      </c>
      <c r="X112" s="132">
        <f t="shared" si="119"/>
        <v>297446373</v>
      </c>
      <c r="Y112" s="131">
        <f t="shared" si="119"/>
        <v>209532522</v>
      </c>
      <c r="Z112" s="124">
        <f t="shared" si="119"/>
        <v>0</v>
      </c>
      <c r="AA112" s="132">
        <f t="shared" si="119"/>
        <v>209532522</v>
      </c>
      <c r="AB112" s="131">
        <f t="shared" si="119"/>
        <v>207057522</v>
      </c>
      <c r="AC112" s="124">
        <f t="shared" si="119"/>
        <v>0</v>
      </c>
      <c r="AD112" s="132">
        <f t="shared" si="119"/>
        <v>207057522</v>
      </c>
      <c r="AE112" s="131">
        <f t="shared" si="119"/>
        <v>164509397</v>
      </c>
      <c r="AF112" s="124">
        <f t="shared" si="119"/>
        <v>0</v>
      </c>
      <c r="AG112" s="132">
        <f t="shared" si="119"/>
        <v>164509397</v>
      </c>
      <c r="AH112" s="131">
        <f t="shared" si="119"/>
        <v>87913851</v>
      </c>
      <c r="AI112" s="124">
        <f t="shared" si="119"/>
        <v>90388851</v>
      </c>
      <c r="AJ112" s="133">
        <f t="shared" si="119"/>
        <v>132936976</v>
      </c>
      <c r="AK112" s="9"/>
      <c r="AL112" s="131">
        <f>AL114+AL123+AL141</f>
        <v>0</v>
      </c>
      <c r="AM112" s="133">
        <f>AM114+AM123+AM141</f>
        <v>0</v>
      </c>
      <c r="AN112" s="9"/>
      <c r="AO112" s="297"/>
      <c r="AP112" s="297"/>
      <c r="AQ112" s="297"/>
      <c r="AR112" s="297"/>
      <c r="AS112" s="297"/>
      <c r="AT112" s="297"/>
      <c r="AU112" s="297"/>
      <c r="AV112" s="297"/>
      <c r="AW112" s="297"/>
      <c r="AX112" s="297"/>
      <c r="AY112" s="297"/>
      <c r="AZ112" s="297"/>
      <c r="BQ112" s="464"/>
    </row>
    <row r="113" spans="1:69" s="385" customFormat="1" ht="24.95" customHeight="1" thickBot="1" x14ac:dyDescent="0.25">
      <c r="A113" s="744">
        <f>+IF(NOVIEMBRE!A113=0,"",NOVIEMBRE!A113)</f>
        <v>2000</v>
      </c>
      <c r="B113" s="648" t="str">
        <f>+IF(NOVIEMBRE!B113=0,"",NOVIEMBRE!B113)</f>
        <v>INGRESOS DE CAPITAL</v>
      </c>
      <c r="C113" s="631">
        <f>SUM(C115:C124)</f>
        <v>32659146</v>
      </c>
      <c r="D113" s="632">
        <f>SUM(D115:D124)</f>
        <v>0</v>
      </c>
      <c r="E113" s="632">
        <f t="shared" ref="E113:N113" si="120">SUM(E115:E124)</f>
        <v>27176600</v>
      </c>
      <c r="F113" s="632">
        <f t="shared" si="120"/>
        <v>59835746</v>
      </c>
      <c r="G113" s="632">
        <f t="shared" si="120"/>
        <v>51708770</v>
      </c>
      <c r="H113" s="632">
        <f t="shared" si="120"/>
        <v>0</v>
      </c>
      <c r="I113" s="632">
        <f t="shared" si="120"/>
        <v>51708770</v>
      </c>
      <c r="J113" s="632">
        <f t="shared" si="120"/>
        <v>51708770</v>
      </c>
      <c r="K113" s="632">
        <f t="shared" si="120"/>
        <v>0</v>
      </c>
      <c r="L113" s="632">
        <f t="shared" si="120"/>
        <v>51708770</v>
      </c>
      <c r="M113" s="632">
        <f t="shared" si="120"/>
        <v>8126976</v>
      </c>
      <c r="N113" s="633">
        <f t="shared" si="120"/>
        <v>8126976</v>
      </c>
      <c r="O113" s="464"/>
      <c r="P113" s="177">
        <f>SUM(P115:P124)</f>
        <v>0</v>
      </c>
      <c r="Q113" s="178">
        <f>SUM(Q115:Q124)</f>
        <v>0</v>
      </c>
      <c r="R113" s="9"/>
      <c r="S113" s="369" t="str">
        <f>+IF(NOVIEMBRE!S113=0,"",NOVIEMBRE!S113)</f>
        <v/>
      </c>
      <c r="T113" s="708" t="str">
        <f>+IF(NOVIEMBRE!T113=0,"",NOVIEMBRE!T113)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c r="BQ113" s="464"/>
    </row>
    <row r="114" spans="1:69" s="385" customFormat="1" ht="24.95" customHeight="1" thickBot="1" x14ac:dyDescent="0.25">
      <c r="A114" s="755" t="str">
        <f>+IF(NOVIEMBRE!A114=0,"",NOVIEMBRE!A114)</f>
        <v/>
      </c>
      <c r="B114" s="661" t="str">
        <f>+IF(NOVIEMBRE!B114=0,"",NOVIEMBRE!B114)</f>
        <v/>
      </c>
      <c r="C114" s="483"/>
      <c r="D114" s="483"/>
      <c r="E114" s="483"/>
      <c r="F114" s="483"/>
      <c r="G114" s="483"/>
      <c r="H114" s="483"/>
      <c r="I114" s="483"/>
      <c r="J114" s="483"/>
      <c r="K114" s="483"/>
      <c r="L114" s="483"/>
      <c r="M114" s="483"/>
      <c r="N114" s="484"/>
      <c r="P114" s="485"/>
      <c r="Q114" s="484"/>
      <c r="R114" s="9"/>
      <c r="S114" s="718">
        <f>+IF(NOVIEMBRE!S114=0,"",NOVIEMBRE!S114)</f>
        <v>2010100</v>
      </c>
      <c r="T114" s="692" t="str">
        <f>+IF(NOVIEMBRE!T114=0,"",NOVIEMBRE!T114)</f>
        <v>Adquisición de bienes</v>
      </c>
      <c r="U114" s="135">
        <f t="shared" ref="U114:AJ114" si="121">SUM(U115:U121)</f>
        <v>29771433</v>
      </c>
      <c r="V114" s="124">
        <f t="shared" si="121"/>
        <v>0</v>
      </c>
      <c r="W114" s="124">
        <f t="shared" si="121"/>
        <v>69356464</v>
      </c>
      <c r="X114" s="132">
        <f t="shared" si="121"/>
        <v>99127897</v>
      </c>
      <c r="Y114" s="131">
        <f t="shared" si="121"/>
        <v>67762916</v>
      </c>
      <c r="Z114" s="124">
        <f t="shared" si="121"/>
        <v>0</v>
      </c>
      <c r="AA114" s="132">
        <f t="shared" si="121"/>
        <v>67762916</v>
      </c>
      <c r="AB114" s="131">
        <f t="shared" si="121"/>
        <v>67762916</v>
      </c>
      <c r="AC114" s="124">
        <f t="shared" si="121"/>
        <v>0</v>
      </c>
      <c r="AD114" s="132">
        <f t="shared" si="121"/>
        <v>67762916</v>
      </c>
      <c r="AE114" s="131">
        <f t="shared" si="121"/>
        <v>53502433</v>
      </c>
      <c r="AF114" s="124">
        <f t="shared" si="121"/>
        <v>0</v>
      </c>
      <c r="AG114" s="132">
        <f t="shared" si="121"/>
        <v>53502433</v>
      </c>
      <c r="AH114" s="131">
        <f t="shared" si="121"/>
        <v>31364981</v>
      </c>
      <c r="AI114" s="124">
        <f t="shared" si="121"/>
        <v>31364981</v>
      </c>
      <c r="AJ114" s="133">
        <f t="shared" si="121"/>
        <v>45625464</v>
      </c>
      <c r="AK114" s="9"/>
      <c r="AL114" s="131">
        <f>SUM(AL115:AL121)</f>
        <v>0</v>
      </c>
      <c r="AM114" s="133">
        <f>SUM(AM115:AM121)</f>
        <v>0</v>
      </c>
      <c r="AN114" s="9"/>
      <c r="AO114" s="297"/>
      <c r="AP114" s="297"/>
      <c r="AQ114" s="297"/>
      <c r="AR114" s="297"/>
      <c r="AS114" s="297"/>
      <c r="AT114" s="297"/>
      <c r="AU114" s="297"/>
      <c r="AV114" s="297"/>
      <c r="AW114" s="297"/>
      <c r="AX114" s="297"/>
      <c r="AY114" s="297"/>
      <c r="AZ114" s="297"/>
      <c r="BQ114" s="464"/>
    </row>
    <row r="115" spans="1:69" s="385" customFormat="1" ht="24.95" customHeight="1" x14ac:dyDescent="0.2">
      <c r="A115" s="756">
        <f>+IF(NOVIEMBRE!A115=0,"",NOVIEMBRE!A115)</f>
        <v>2100</v>
      </c>
      <c r="B115" s="634" t="str">
        <f>+IF(NOVIEMBRE!B115=0,"",NOVIEMBRE!B115)</f>
        <v>CREDITO INTERNO</v>
      </c>
      <c r="C115" s="375">
        <f>+ENERO!C115</f>
        <v>0</v>
      </c>
      <c r="D115" s="467">
        <f>NOVIEMBRE!D115+DICIEMBRE!P115</f>
        <v>0</v>
      </c>
      <c r="E115" s="467">
        <f>NOVIEMBRE!E115+DICIEMBRE!Q115</f>
        <v>0</v>
      </c>
      <c r="F115" s="471">
        <f t="shared" ref="F115:F124" si="122">SUM(C115:E115)</f>
        <v>0</v>
      </c>
      <c r="G115" s="469">
        <f>NOVIEMBRE!I115</f>
        <v>0</v>
      </c>
      <c r="H115" s="377">
        <v>0</v>
      </c>
      <c r="I115" s="471">
        <f t="shared" ref="I115:I124" si="123">SUM(G115:H115)</f>
        <v>0</v>
      </c>
      <c r="J115" s="469">
        <f>NOVIEMBRE!L115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+IF(NOVIEMBRE!S115=0,"",NOVIEMBRE!S115)</f>
        <v>2010100-1</v>
      </c>
      <c r="T115" s="693" t="str">
        <f>+IF(NOVIEMBRE!T115=0,"",NOVIEMBRE!T115)</f>
        <v>Compra de Equipos</v>
      </c>
      <c r="U115" s="27">
        <f>+ENERO!U115</f>
        <v>0</v>
      </c>
      <c r="V115" s="15">
        <f>NOVIEMBRE!V115+DICIEMBRE!AL115</f>
        <v>0</v>
      </c>
      <c r="W115" s="15">
        <f>NOVIEMBRE!W115+DICIEMBRE!AM115</f>
        <v>57176600</v>
      </c>
      <c r="X115" s="18">
        <f t="shared" ref="X115:X121" si="127">SUM(U115:W115)</f>
        <v>57176600</v>
      </c>
      <c r="Y115" s="19">
        <f>NOVIEMBRE!AA115</f>
        <v>26998720</v>
      </c>
      <c r="Z115" s="377">
        <v>0</v>
      </c>
      <c r="AA115" s="18">
        <f t="shared" ref="AA115:AA121" si="128">SUM(Y115:Z115)</f>
        <v>26998720</v>
      </c>
      <c r="AB115" s="19">
        <f>NOVIEMBRE!AD115</f>
        <v>26998720</v>
      </c>
      <c r="AC115" s="377">
        <v>0</v>
      </c>
      <c r="AD115" s="18">
        <f t="shared" ref="AD115:AD121" si="129">SUM(AB115:AC115)</f>
        <v>26998720</v>
      </c>
      <c r="AE115" s="19">
        <f>NOVIEMBRE!AG115</f>
        <v>24785720</v>
      </c>
      <c r="AF115" s="377">
        <v>0</v>
      </c>
      <c r="AG115" s="18">
        <f t="shared" ref="AG115:AG121" si="130">SUM(AE115:AF115)</f>
        <v>24785720</v>
      </c>
      <c r="AH115" s="19">
        <f t="shared" ref="AH115:AH121" si="131">X115-AA115</f>
        <v>30177880</v>
      </c>
      <c r="AI115" s="15">
        <f t="shared" ref="AI115:AI121" si="132">X115-AD115</f>
        <v>30177880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c r="BQ115" s="464"/>
    </row>
    <row r="116" spans="1:69" s="385" customFormat="1" ht="24.95" customHeight="1" x14ac:dyDescent="0.2">
      <c r="A116" s="756" t="str">
        <f>+IF(NOVIEMBRE!A116=0,"",NOVIEMBRE!A116)</f>
        <v>2100-1</v>
      </c>
      <c r="B116" s="635" t="str">
        <f>+IF(NOVIEMBRE!B116=0,"",NOVIEMBRE!B116)</f>
        <v>Vigencia Anterior</v>
      </c>
      <c r="C116" s="375">
        <f>+ENERO!C116</f>
        <v>0</v>
      </c>
      <c r="D116" s="467">
        <f>NOVIEMBRE!D116+DICIEMBRE!P116</f>
        <v>0</v>
      </c>
      <c r="E116" s="467">
        <f>NOVIEMBRE!E116+DICIEMBRE!Q116</f>
        <v>0</v>
      </c>
      <c r="F116" s="471">
        <f t="shared" si="122"/>
        <v>0</v>
      </c>
      <c r="G116" s="469">
        <f>NOVIEMBRE!I116</f>
        <v>0</v>
      </c>
      <c r="H116" s="377">
        <v>0</v>
      </c>
      <c r="I116" s="471">
        <f t="shared" si="123"/>
        <v>0</v>
      </c>
      <c r="J116" s="469">
        <f>NOVIEMBRE!L116</f>
        <v>0</v>
      </c>
      <c r="K116" s="377">
        <v>0</v>
      </c>
      <c r="L116" s="468">
        <f t="shared" si="124"/>
        <v>0</v>
      </c>
      <c r="M116" s="472">
        <f t="shared" si="125"/>
        <v>0</v>
      </c>
      <c r="N116" s="468">
        <f t="shared" si="126"/>
        <v>0</v>
      </c>
      <c r="O116" s="464"/>
      <c r="P116" s="375">
        <v>0</v>
      </c>
      <c r="Q116" s="378">
        <v>0</v>
      </c>
      <c r="R116" s="9"/>
      <c r="S116" s="719" t="str">
        <f>+IF(NOVIEMBRE!S116=0,"",NOVIEMBRE!S116)</f>
        <v>2010100-2</v>
      </c>
      <c r="T116" s="693" t="str">
        <f>+IF(NOVIEMBRE!T116=0,"",NOVIEMBRE!T116)</f>
        <v>Materiales</v>
      </c>
      <c r="U116" s="27">
        <f>+ENERO!U116</f>
        <v>29771433</v>
      </c>
      <c r="V116" s="15">
        <f>NOVIEMBRE!V116+DICIEMBRE!AL116</f>
        <v>0</v>
      </c>
      <c r="W116" s="15">
        <f>NOVIEMBRE!W116+DICIEMBRE!AM116</f>
        <v>0</v>
      </c>
      <c r="X116" s="18">
        <f t="shared" si="127"/>
        <v>29771433</v>
      </c>
      <c r="Y116" s="19">
        <f>NOVIEMBRE!AA116</f>
        <v>28584332</v>
      </c>
      <c r="Z116" s="377">
        <v>0</v>
      </c>
      <c r="AA116" s="18">
        <f t="shared" si="128"/>
        <v>28584332</v>
      </c>
      <c r="AB116" s="19">
        <f>NOVIEMBRE!AD116</f>
        <v>28584332</v>
      </c>
      <c r="AC116" s="377">
        <v>0</v>
      </c>
      <c r="AD116" s="18">
        <f t="shared" si="129"/>
        <v>28584332</v>
      </c>
      <c r="AE116" s="19">
        <f>NOVIEMBRE!AG116</f>
        <v>16536849</v>
      </c>
      <c r="AF116" s="377">
        <v>0</v>
      </c>
      <c r="AG116" s="18">
        <f t="shared" si="130"/>
        <v>16536849</v>
      </c>
      <c r="AH116" s="19">
        <f t="shared" si="131"/>
        <v>1187101</v>
      </c>
      <c r="AI116" s="15">
        <f t="shared" si="132"/>
        <v>1187101</v>
      </c>
      <c r="AJ116" s="16">
        <f t="shared" si="133"/>
        <v>13234584</v>
      </c>
      <c r="AK116" s="9"/>
      <c r="AL116" s="375">
        <v>0</v>
      </c>
      <c r="AM116" s="378">
        <v>0</v>
      </c>
      <c r="AN116" s="9"/>
      <c r="AO116" s="297"/>
      <c r="AP116" s="297"/>
      <c r="AQ116" s="297"/>
      <c r="AR116" s="297"/>
      <c r="AS116" s="297"/>
      <c r="AT116" s="297"/>
      <c r="AU116" s="297"/>
      <c r="AV116" s="297"/>
      <c r="AW116" s="297"/>
      <c r="AX116" s="297"/>
      <c r="AY116" s="297"/>
      <c r="AZ116" s="297"/>
      <c r="BQ116" s="464"/>
    </row>
    <row r="117" spans="1:69" s="385" customFormat="1" ht="24.95" customHeight="1" x14ac:dyDescent="0.2">
      <c r="A117" s="756">
        <f>+IF(NOVIEMBRE!A117=0,"",NOVIEMBRE!A117)</f>
        <v>2200</v>
      </c>
      <c r="B117" s="634" t="str">
        <f>+IF(NOVIEMBRE!B117=0,"",NOVIEMBRE!B117)</f>
        <v>CREDITO EXTERNO</v>
      </c>
      <c r="C117" s="375">
        <f>+ENERO!C117</f>
        <v>0</v>
      </c>
      <c r="D117" s="467">
        <f>NOVIEMBRE!D117+DICIEMBRE!P117</f>
        <v>0</v>
      </c>
      <c r="E117" s="467">
        <f>NOVIEMBRE!E117+DICIEMBRE!Q117</f>
        <v>0</v>
      </c>
      <c r="F117" s="471">
        <f t="shared" si="122"/>
        <v>0</v>
      </c>
      <c r="G117" s="469">
        <f>NOVIEMBRE!I117</f>
        <v>0</v>
      </c>
      <c r="H117" s="377">
        <v>0</v>
      </c>
      <c r="I117" s="471">
        <f t="shared" si="123"/>
        <v>0</v>
      </c>
      <c r="J117" s="469">
        <f>NOVIEMBRE!L117</f>
        <v>0</v>
      </c>
      <c r="K117" s="377">
        <v>0</v>
      </c>
      <c r="L117" s="468">
        <f t="shared" si="124"/>
        <v>0</v>
      </c>
      <c r="M117" s="472">
        <f t="shared" si="125"/>
        <v>0</v>
      </c>
      <c r="N117" s="468">
        <f t="shared" si="126"/>
        <v>0</v>
      </c>
      <c r="O117" s="464"/>
      <c r="P117" s="375">
        <v>0</v>
      </c>
      <c r="Q117" s="378">
        <v>0</v>
      </c>
      <c r="R117" s="9"/>
      <c r="S117" s="719" t="str">
        <f>+IF(NOVIEMBRE!S117=0,"",NOVIEMBRE!S117)</f>
        <v>2010100-3</v>
      </c>
      <c r="T117" s="693" t="str">
        <f>+IF(NOVIEMBRE!T117=0,"",NOVIEMBRE!T117)</f>
        <v>Salud Ocupacional</v>
      </c>
      <c r="U117" s="27">
        <f>+ENERO!U117</f>
        <v>0</v>
      </c>
      <c r="V117" s="15">
        <f>NOVIEMBRE!V117+DICIEMBRE!AL117</f>
        <v>0</v>
      </c>
      <c r="W117" s="15">
        <f>NOVIEMBRE!W117+DICIEMBRE!AM117</f>
        <v>0</v>
      </c>
      <c r="X117" s="18">
        <f t="shared" si="127"/>
        <v>0</v>
      </c>
      <c r="Y117" s="19">
        <f>NOVIEMBRE!AA117</f>
        <v>0</v>
      </c>
      <c r="Z117" s="377">
        <v>0</v>
      </c>
      <c r="AA117" s="18">
        <f t="shared" si="128"/>
        <v>0</v>
      </c>
      <c r="AB117" s="19">
        <f>NOVIEMBRE!AD117</f>
        <v>0</v>
      </c>
      <c r="AC117" s="377">
        <v>0</v>
      </c>
      <c r="AD117" s="18">
        <f t="shared" si="129"/>
        <v>0</v>
      </c>
      <c r="AE117" s="19">
        <f>NOVIEMBRE!AG117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c r="BQ117" s="464"/>
    </row>
    <row r="118" spans="1:69" s="385" customFormat="1" ht="24.95" customHeight="1" x14ac:dyDescent="0.2">
      <c r="A118" s="757" t="str">
        <f>+IF(NOVIEMBRE!A118=0,"",NOVIEMBRE!A118)</f>
        <v>2200-1</v>
      </c>
      <c r="B118" s="635" t="str">
        <f>+IF(NOVIEMBRE!B118=0,"",NOVIEMBRE!B118)</f>
        <v>Vigencia Anterior</v>
      </c>
      <c r="C118" s="375">
        <f>+ENERO!C118</f>
        <v>0</v>
      </c>
      <c r="D118" s="467">
        <f>NOVIEMBRE!D118+DICIEMBRE!P118</f>
        <v>0</v>
      </c>
      <c r="E118" s="467">
        <f>NOVIEMBRE!E118+DICIEMBRE!Q118</f>
        <v>0</v>
      </c>
      <c r="F118" s="471">
        <f t="shared" si="122"/>
        <v>0</v>
      </c>
      <c r="G118" s="469">
        <f>NOVIEMBRE!I118</f>
        <v>0</v>
      </c>
      <c r="H118" s="377">
        <v>0</v>
      </c>
      <c r="I118" s="471">
        <f t="shared" si="123"/>
        <v>0</v>
      </c>
      <c r="J118" s="469">
        <f>NOVIEMBRE!L118</f>
        <v>0</v>
      </c>
      <c r="K118" s="377">
        <v>0</v>
      </c>
      <c r="L118" s="468">
        <f t="shared" si="124"/>
        <v>0</v>
      </c>
      <c r="M118" s="472">
        <f t="shared" si="125"/>
        <v>0</v>
      </c>
      <c r="N118" s="468">
        <f t="shared" si="126"/>
        <v>0</v>
      </c>
      <c r="O118" s="464"/>
      <c r="P118" s="375">
        <v>0</v>
      </c>
      <c r="Q118" s="378">
        <v>0</v>
      </c>
      <c r="R118" s="9"/>
      <c r="S118" s="719" t="str">
        <f>+IF(NOVIEMBRE!S118=0,"",NOVIEMBRE!S118)</f>
        <v>2010100-4</v>
      </c>
      <c r="T118" s="693" t="str">
        <f>+IF(NOVIEMBRE!T118=0,"",NOVIEMBRE!T118)</f>
        <v/>
      </c>
      <c r="U118" s="27">
        <f>+ENERO!U118</f>
        <v>0</v>
      </c>
      <c r="V118" s="15">
        <f>NOVIEMBRE!V118+DICIEMBRE!AL118</f>
        <v>0</v>
      </c>
      <c r="W118" s="15">
        <f>NOVIEMBRE!W118+DICIEMBRE!AM118</f>
        <v>0</v>
      </c>
      <c r="X118" s="18">
        <f t="shared" si="127"/>
        <v>0</v>
      </c>
      <c r="Y118" s="19">
        <f>NOVIEMBRE!AA118</f>
        <v>0</v>
      </c>
      <c r="Z118" s="377">
        <v>0</v>
      </c>
      <c r="AA118" s="18">
        <f t="shared" si="128"/>
        <v>0</v>
      </c>
      <c r="AB118" s="19">
        <f>NOVIEMBRE!AD118</f>
        <v>0</v>
      </c>
      <c r="AC118" s="377">
        <v>0</v>
      </c>
      <c r="AD118" s="18">
        <f t="shared" si="129"/>
        <v>0</v>
      </c>
      <c r="AE118" s="19">
        <f>NOVIEMBRE!AG118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c r="BQ118" s="464"/>
    </row>
    <row r="119" spans="1:69" s="385" customFormat="1" ht="24.95" customHeight="1" x14ac:dyDescent="0.2">
      <c r="A119" s="756">
        <f>+IF(NOVIEMBRE!A119=0,"",NOVIEMBRE!A119)</f>
        <v>2300</v>
      </c>
      <c r="B119" s="634" t="str">
        <f>+IF(NOVIEMBRE!B119=0,"",NOVIEMBRE!B119)</f>
        <v>RENDIMIENTOS FINANCIEROS</v>
      </c>
      <c r="C119" s="375">
        <f>+ENERO!C119</f>
        <v>594347</v>
      </c>
      <c r="D119" s="467">
        <f>NOVIEMBRE!D119+DICIEMBRE!P119</f>
        <v>0</v>
      </c>
      <c r="E119" s="467">
        <f>NOVIEMBRE!E119+DICIEMBRE!Q119</f>
        <v>0</v>
      </c>
      <c r="F119" s="471">
        <f t="shared" si="122"/>
        <v>594347</v>
      </c>
      <c r="G119" s="222">
        <f>NOVIEMBRE!I119</f>
        <v>90423</v>
      </c>
      <c r="H119" s="377">
        <v>0</v>
      </c>
      <c r="I119" s="476">
        <f t="shared" si="123"/>
        <v>90423</v>
      </c>
      <c r="J119" s="222">
        <f>NOVIEMBRE!L119</f>
        <v>90423</v>
      </c>
      <c r="K119" s="377">
        <v>0</v>
      </c>
      <c r="L119" s="146">
        <f t="shared" si="124"/>
        <v>90423</v>
      </c>
      <c r="M119" s="441">
        <f t="shared" si="125"/>
        <v>503924</v>
      </c>
      <c r="N119" s="146">
        <f t="shared" si="126"/>
        <v>503924</v>
      </c>
      <c r="O119" s="464"/>
      <c r="P119" s="375">
        <v>0</v>
      </c>
      <c r="Q119" s="378">
        <v>0</v>
      </c>
      <c r="R119" s="9"/>
      <c r="S119" s="719" t="str">
        <f>+IF(NOVIEMBRE!S119=0,"",NOVIEMBRE!S119)</f>
        <v>2010100-5</v>
      </c>
      <c r="T119" s="693" t="str">
        <f>+IF(NOVIEMBRE!T119=0,"",NOVIEMBRE!T119)</f>
        <v/>
      </c>
      <c r="U119" s="27">
        <f>+ENERO!U119</f>
        <v>0</v>
      </c>
      <c r="V119" s="15">
        <f>NOVIEMBRE!V119+DICIEMBRE!AL119</f>
        <v>0</v>
      </c>
      <c r="W119" s="15">
        <f>NOVIEMBRE!W119+DICIEMBRE!AM119</f>
        <v>0</v>
      </c>
      <c r="X119" s="18">
        <f t="shared" si="127"/>
        <v>0</v>
      </c>
      <c r="Y119" s="19">
        <f>NOVIEMBRE!AA119</f>
        <v>0</v>
      </c>
      <c r="Z119" s="377">
        <v>0</v>
      </c>
      <c r="AA119" s="18">
        <f t="shared" si="128"/>
        <v>0</v>
      </c>
      <c r="AB119" s="19">
        <f>NOVIEMBRE!AD119</f>
        <v>0</v>
      </c>
      <c r="AC119" s="377">
        <v>0</v>
      </c>
      <c r="AD119" s="18">
        <f t="shared" si="129"/>
        <v>0</v>
      </c>
      <c r="AE119" s="19">
        <f>NOVIEMBRE!AG119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c r="BQ119" s="464"/>
    </row>
    <row r="120" spans="1:69" s="385" customFormat="1" ht="24.95" customHeight="1" x14ac:dyDescent="0.2">
      <c r="A120" s="758">
        <f>+IF(NOVIEMBRE!A120=0,"",NOVIEMBRE!A120)</f>
        <v>2400</v>
      </c>
      <c r="B120" s="635" t="str">
        <f>+IF(NOVIEMBRE!B120=0,"",NOVIEMBRE!B120)</f>
        <v>VENTA DE ACTIVOS</v>
      </c>
      <c r="C120" s="375">
        <f>+ENERO!C120</f>
        <v>0</v>
      </c>
      <c r="D120" s="467">
        <f>NOVIEMBRE!D120+DICIEMBRE!P120</f>
        <v>0</v>
      </c>
      <c r="E120" s="467">
        <f>NOVIEMBRE!E120+DICIEMBRE!Q120</f>
        <v>0</v>
      </c>
      <c r="F120" s="471">
        <f t="shared" si="122"/>
        <v>0</v>
      </c>
      <c r="G120" s="222">
        <f>NOVIEMBRE!I120</f>
        <v>0</v>
      </c>
      <c r="H120" s="377">
        <v>0</v>
      </c>
      <c r="I120" s="476">
        <f t="shared" si="123"/>
        <v>0</v>
      </c>
      <c r="J120" s="222">
        <f>NOVIEMBRE!L120</f>
        <v>0</v>
      </c>
      <c r="K120" s="377">
        <v>0</v>
      </c>
      <c r="L120" s="146">
        <f t="shared" si="124"/>
        <v>0</v>
      </c>
      <c r="M120" s="441">
        <f t="shared" si="125"/>
        <v>0</v>
      </c>
      <c r="N120" s="146">
        <f t="shared" si="126"/>
        <v>0</v>
      </c>
      <c r="P120" s="375">
        <v>0</v>
      </c>
      <c r="Q120" s="378">
        <v>0</v>
      </c>
      <c r="R120" s="9"/>
      <c r="S120" s="719" t="str">
        <f>+IF(NOVIEMBRE!S120=0,"",NOVIEMBRE!S120)</f>
        <v>2010100-6</v>
      </c>
      <c r="T120" s="693" t="str">
        <f>+IF(NOVIEMBRE!T120=0,"",NOVIEMBRE!T120)</f>
        <v/>
      </c>
      <c r="U120" s="27">
        <f>+ENERO!U120</f>
        <v>0</v>
      </c>
      <c r="V120" s="15">
        <f>NOVIEMBRE!V120+DICIEMBRE!AL120</f>
        <v>0</v>
      </c>
      <c r="W120" s="15">
        <f>NOVIEMBRE!W120+DICIEMBRE!AM120</f>
        <v>0</v>
      </c>
      <c r="X120" s="18">
        <f t="shared" si="127"/>
        <v>0</v>
      </c>
      <c r="Y120" s="19">
        <f>NOVIEMBRE!AA120</f>
        <v>0</v>
      </c>
      <c r="Z120" s="377">
        <v>0</v>
      </c>
      <c r="AA120" s="18">
        <f t="shared" si="128"/>
        <v>0</v>
      </c>
      <c r="AB120" s="19">
        <f>NOVIEMBRE!AD120</f>
        <v>0</v>
      </c>
      <c r="AC120" s="377">
        <v>0</v>
      </c>
      <c r="AD120" s="18">
        <f t="shared" si="129"/>
        <v>0</v>
      </c>
      <c r="AE120" s="19">
        <f>NOVIEMBRE!AG120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c r="BQ120" s="464"/>
    </row>
    <row r="121" spans="1:69" s="385" customFormat="1" ht="24.95" customHeight="1" x14ac:dyDescent="0.2">
      <c r="A121" s="758">
        <f>+IF(NOVIEMBRE!A121=0,"",NOVIEMBRE!A121)</f>
        <v>2500</v>
      </c>
      <c r="B121" s="635" t="str">
        <f>+IF(NOVIEMBRE!B121=0,"",NOVIEMBRE!B121)</f>
        <v>DONACIONES</v>
      </c>
      <c r="C121" s="375">
        <f>+ENERO!C121</f>
        <v>0</v>
      </c>
      <c r="D121" s="467">
        <f>NOVIEMBRE!D121+DICIEMBRE!P121</f>
        <v>0</v>
      </c>
      <c r="E121" s="467">
        <f>NOVIEMBRE!E121+DICIEMBRE!Q121</f>
        <v>0</v>
      </c>
      <c r="F121" s="471">
        <f t="shared" si="122"/>
        <v>0</v>
      </c>
      <c r="G121" s="222">
        <f>NOVIEMBRE!I121</f>
        <v>0</v>
      </c>
      <c r="H121" s="377">
        <v>0</v>
      </c>
      <c r="I121" s="476">
        <f t="shared" si="123"/>
        <v>0</v>
      </c>
      <c r="J121" s="222">
        <f>NOVIEMBRE!L121</f>
        <v>0</v>
      </c>
      <c r="K121" s="377">
        <v>0</v>
      </c>
      <c r="L121" s="146">
        <f t="shared" si="124"/>
        <v>0</v>
      </c>
      <c r="M121" s="441">
        <f t="shared" si="125"/>
        <v>0</v>
      </c>
      <c r="N121" s="146">
        <f t="shared" si="126"/>
        <v>0</v>
      </c>
      <c r="P121" s="375">
        <v>0</v>
      </c>
      <c r="Q121" s="378">
        <v>0</v>
      </c>
      <c r="R121" s="9"/>
      <c r="S121" s="719">
        <f>+IF(NOVIEMBRE!S121=0,"",NOVIEMBRE!S121)</f>
        <v>2010199</v>
      </c>
      <c r="T121" s="693" t="str">
        <f>+IF(NOVIEMBRE!T121=0,"",NOVIEMBRE!T121)</f>
        <v>Vigencias Anteriores</v>
      </c>
      <c r="U121" s="27">
        <f>+ENERO!U121</f>
        <v>0</v>
      </c>
      <c r="V121" s="15">
        <f>NOVIEMBRE!V121+DICIEMBRE!AL121</f>
        <v>0</v>
      </c>
      <c r="W121" s="15">
        <f>NOVIEMBRE!W121+DICIEMBRE!AM121</f>
        <v>12179864</v>
      </c>
      <c r="X121" s="18">
        <f t="shared" si="127"/>
        <v>12179864</v>
      </c>
      <c r="Y121" s="19">
        <f>NOVIEMBRE!AA121</f>
        <v>12179864</v>
      </c>
      <c r="Z121" s="377">
        <v>0</v>
      </c>
      <c r="AA121" s="18">
        <f t="shared" si="128"/>
        <v>12179864</v>
      </c>
      <c r="AB121" s="19">
        <f>NOVIEMBRE!AD121</f>
        <v>12179864</v>
      </c>
      <c r="AC121" s="377">
        <v>0</v>
      </c>
      <c r="AD121" s="18">
        <f t="shared" si="129"/>
        <v>12179864</v>
      </c>
      <c r="AE121" s="19">
        <f>NOVIEMBRE!AG121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c r="BQ121" s="464"/>
    </row>
    <row r="122" spans="1:69" s="385" customFormat="1" ht="24.95" customHeight="1" x14ac:dyDescent="0.2">
      <c r="A122" s="758">
        <f>+IF(NOVIEMBRE!A122=0,"",NOVIEMBRE!A122)</f>
        <v>2600</v>
      </c>
      <c r="B122" s="635" t="str">
        <f>+IF(NOVIEMBRE!B122=0,"",NOVIEMBRE!B122)</f>
        <v>RECUPERACIÓN DE CARTERA (AÑO 2013 Y ANTERIORES)</v>
      </c>
      <c r="C122" s="375">
        <f>+ENERO!C122</f>
        <v>32064799</v>
      </c>
      <c r="D122" s="467">
        <f>NOVIEMBRE!D122+DICIEMBRE!P122</f>
        <v>0</v>
      </c>
      <c r="E122" s="467">
        <f>NOVIEMBRE!E122+DICIEMBRE!Q122</f>
        <v>0</v>
      </c>
      <c r="F122" s="471">
        <f t="shared" si="122"/>
        <v>32064799</v>
      </c>
      <c r="G122" s="222">
        <f>NOVIEMBRE!I122</f>
        <v>10062134</v>
      </c>
      <c r="H122" s="377">
        <v>0</v>
      </c>
      <c r="I122" s="476">
        <f t="shared" si="123"/>
        <v>10062134</v>
      </c>
      <c r="J122" s="222">
        <f>NOVIEMBRE!L122</f>
        <v>10062134</v>
      </c>
      <c r="K122" s="377">
        <v>0</v>
      </c>
      <c r="L122" s="146">
        <f t="shared" si="124"/>
        <v>10062134</v>
      </c>
      <c r="M122" s="441">
        <f t="shared" si="125"/>
        <v>22002665</v>
      </c>
      <c r="N122" s="146">
        <f t="shared" si="126"/>
        <v>22002665</v>
      </c>
      <c r="P122" s="375">
        <v>0</v>
      </c>
      <c r="Q122" s="378">
        <v>0</v>
      </c>
      <c r="R122" s="9"/>
      <c r="S122" s="369" t="str">
        <f>+IF(NOVIEMBRE!S122=0,"",NOVIEMBRE!S122)</f>
        <v/>
      </c>
      <c r="T122" s="708" t="str">
        <f>+IF(NOVIEMBRE!T122=0,"",NOVIEMBRE!T122)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c r="BQ122" s="464"/>
    </row>
    <row r="123" spans="1:69" s="385" customFormat="1" ht="24.95" customHeight="1" x14ac:dyDescent="0.2">
      <c r="A123" s="759">
        <f>+IF(NOVIEMBRE!A123=0,"",NOVIEMBRE!A123)</f>
        <v>2700</v>
      </c>
      <c r="B123" s="635" t="str">
        <f>+IF(NOVIEMBRE!B123=0,"",NOVIEMBRE!B123)</f>
        <v>OTROS INGRESOS DE CAPITAL</v>
      </c>
      <c r="C123" s="375">
        <f>+ENERO!C123</f>
        <v>0</v>
      </c>
      <c r="D123" s="467">
        <f>NOVIEMBRE!D123+DICIEMBRE!P123</f>
        <v>0</v>
      </c>
      <c r="E123" s="467">
        <f>NOVIEMBRE!E123+DICIEMBRE!Q123</f>
        <v>27176600</v>
      </c>
      <c r="F123" s="471">
        <f t="shared" si="122"/>
        <v>27176600</v>
      </c>
      <c r="G123" s="222">
        <f>NOVIEMBRE!I123</f>
        <v>41556213</v>
      </c>
      <c r="H123" s="377">
        <v>0</v>
      </c>
      <c r="I123" s="476">
        <f t="shared" si="123"/>
        <v>41556213</v>
      </c>
      <c r="J123" s="222">
        <f>NOVIEMBRE!L123</f>
        <v>41556213</v>
      </c>
      <c r="K123" s="377">
        <v>0</v>
      </c>
      <c r="L123" s="146">
        <f t="shared" si="124"/>
        <v>41556213</v>
      </c>
      <c r="M123" s="441">
        <f t="shared" si="125"/>
        <v>-14379613</v>
      </c>
      <c r="N123" s="146">
        <f t="shared" si="126"/>
        <v>-14379613</v>
      </c>
      <c r="P123" s="375">
        <v>0</v>
      </c>
      <c r="Q123" s="378">
        <v>0</v>
      </c>
      <c r="R123" s="9"/>
      <c r="S123" s="718">
        <f>+IF(NOVIEMBRE!S123=0,"",NOVIEMBRE!S123)</f>
        <v>2010200</v>
      </c>
      <c r="T123" s="692" t="str">
        <f>+IF(NOVIEMBRE!T123=0,"",NOVIEMBRE!T123)</f>
        <v>Adquisición de Servicios</v>
      </c>
      <c r="U123" s="135">
        <f t="shared" ref="U123:AJ123" si="134">SUM(U124:U139)</f>
        <v>141098390</v>
      </c>
      <c r="V123" s="124">
        <f t="shared" si="134"/>
        <v>5900000</v>
      </c>
      <c r="W123" s="124">
        <f t="shared" si="134"/>
        <v>31389245</v>
      </c>
      <c r="X123" s="132">
        <f t="shared" si="134"/>
        <v>178387635</v>
      </c>
      <c r="Y123" s="131">
        <f t="shared" si="134"/>
        <v>126519531</v>
      </c>
      <c r="Z123" s="124">
        <f t="shared" si="134"/>
        <v>0</v>
      </c>
      <c r="AA123" s="132">
        <f t="shared" si="134"/>
        <v>126519531</v>
      </c>
      <c r="AB123" s="131">
        <f t="shared" si="134"/>
        <v>124044531</v>
      </c>
      <c r="AC123" s="124">
        <f t="shared" si="134"/>
        <v>0</v>
      </c>
      <c r="AD123" s="132">
        <f t="shared" si="134"/>
        <v>124044531</v>
      </c>
      <c r="AE123" s="131">
        <f t="shared" si="134"/>
        <v>103345029</v>
      </c>
      <c r="AF123" s="124">
        <f t="shared" si="134"/>
        <v>0</v>
      </c>
      <c r="AG123" s="132">
        <f t="shared" si="134"/>
        <v>103345029</v>
      </c>
      <c r="AH123" s="131">
        <f t="shared" si="134"/>
        <v>51868104</v>
      </c>
      <c r="AI123" s="124">
        <f t="shared" si="134"/>
        <v>54343104</v>
      </c>
      <c r="AJ123" s="133">
        <f t="shared" si="134"/>
        <v>75042606</v>
      </c>
      <c r="AK123" s="9"/>
      <c r="AL123" s="131">
        <f>SUM(AL124:AL139)</f>
        <v>0</v>
      </c>
      <c r="AM123" s="133">
        <f>SUM(AM124:AM139)</f>
        <v>0</v>
      </c>
      <c r="AN123" s="9"/>
      <c r="AO123" s="297"/>
      <c r="AP123" s="297"/>
      <c r="AQ123" s="297"/>
      <c r="AR123" s="297"/>
      <c r="AS123" s="297"/>
      <c r="AT123" s="297"/>
      <c r="AU123" s="297"/>
      <c r="AV123" s="297"/>
      <c r="AW123" s="297"/>
      <c r="AX123" s="297"/>
      <c r="AY123" s="297"/>
      <c r="AZ123" s="297"/>
      <c r="BQ123" s="464"/>
    </row>
    <row r="124" spans="1:69" s="385" customFormat="1" ht="24.95" customHeight="1" thickBot="1" x14ac:dyDescent="0.25">
      <c r="A124" s="760">
        <f>+IF(NOVIEMBRE!A124=0,"",NOVIEMBRE!A124)</f>
        <v>2800</v>
      </c>
      <c r="B124" s="663" t="str">
        <f>+IF(NOVIEMBRE!B124=0,"",NOVIEMBRE!B124)</f>
        <v/>
      </c>
      <c r="C124" s="387">
        <f>+ENERO!C124</f>
        <v>0</v>
      </c>
      <c r="D124" s="465">
        <f>NOVIEMBRE!D124+DICIEMBRE!P124</f>
        <v>0</v>
      </c>
      <c r="E124" s="465">
        <f>NOVIEMBRE!E124+DICIEMBRE!Q124</f>
        <v>0</v>
      </c>
      <c r="F124" s="477">
        <f t="shared" si="122"/>
        <v>0</v>
      </c>
      <c r="G124" s="390">
        <f>NOVIEMBRE!I124</f>
        <v>0</v>
      </c>
      <c r="H124" s="391">
        <v>0</v>
      </c>
      <c r="I124" s="478">
        <f t="shared" si="123"/>
        <v>0</v>
      </c>
      <c r="J124" s="390">
        <f>NOVIEMBRE!L124</f>
        <v>0</v>
      </c>
      <c r="K124" s="391">
        <v>0</v>
      </c>
      <c r="L124" s="389">
        <f t="shared" si="124"/>
        <v>0</v>
      </c>
      <c r="M124" s="479">
        <f t="shared" si="125"/>
        <v>0</v>
      </c>
      <c r="N124" s="389">
        <f t="shared" si="126"/>
        <v>0</v>
      </c>
      <c r="P124" s="387">
        <v>0</v>
      </c>
      <c r="Q124" s="392">
        <v>0</v>
      </c>
      <c r="R124" s="9"/>
      <c r="S124" s="719" t="str">
        <f>+IF(NOVIEMBRE!S124=0,"",NOVIEMBRE!S124)</f>
        <v>2010200-1</v>
      </c>
      <c r="T124" s="693" t="str">
        <f>+IF(NOVIEMBRE!T124=0,"",NOVIEMBRE!T124)</f>
        <v>Seguros</v>
      </c>
      <c r="U124" s="27">
        <f>+ENERO!U124</f>
        <v>17953987</v>
      </c>
      <c r="V124" s="15">
        <f>NOVIEMBRE!V124+DICIEMBRE!AL124</f>
        <v>0</v>
      </c>
      <c r="W124" s="15">
        <f>NOVIEMBRE!W124+DICIEMBRE!AM124</f>
        <v>5000000</v>
      </c>
      <c r="X124" s="18">
        <f t="shared" ref="X124:X139" si="135">SUM(U124:W124)</f>
        <v>22953987</v>
      </c>
      <c r="Y124" s="19">
        <f>NOVIEMBRE!AA124</f>
        <v>18778005</v>
      </c>
      <c r="Z124" s="377">
        <v>0</v>
      </c>
      <c r="AA124" s="18">
        <f t="shared" ref="AA124:AA139" si="136">SUM(Y124:Z124)</f>
        <v>18778005</v>
      </c>
      <c r="AB124" s="19">
        <f>NOVIEMBRE!AD124</f>
        <v>18778005</v>
      </c>
      <c r="AC124" s="377">
        <v>0</v>
      </c>
      <c r="AD124" s="18">
        <f t="shared" ref="AD124:AD139" si="137">SUM(AB124:AC124)</f>
        <v>18778005</v>
      </c>
      <c r="AE124" s="19">
        <f>NOVIEMBRE!AG124</f>
        <v>16918425</v>
      </c>
      <c r="AF124" s="377">
        <v>0</v>
      </c>
      <c r="AG124" s="18">
        <f t="shared" ref="AG124:AG139" si="138">SUM(AE124:AF124)</f>
        <v>16918425</v>
      </c>
      <c r="AH124" s="19">
        <f t="shared" ref="AH124:AH139" si="139">X124-AA124</f>
        <v>4175982</v>
      </c>
      <c r="AI124" s="15">
        <f t="shared" ref="AI124:AI139" si="140">X124-AD124</f>
        <v>4175982</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c r="BQ124" s="464"/>
    </row>
    <row r="125" spans="1:69"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+IF(NOVIEMBRE!S125=0,"",NOVIEMBRE!S125)</f>
        <v>2010200-2</v>
      </c>
      <c r="T125" s="693" t="str">
        <f>+IF(NOVIEMBRE!T125=0,"",NOVIEMBRE!T125)</f>
        <v>Impresos y Publicaciones</v>
      </c>
      <c r="U125" s="27">
        <f>+ENERO!U125</f>
        <v>3151827</v>
      </c>
      <c r="V125" s="15">
        <f>NOVIEMBRE!V125+DICIEMBRE!AL125</f>
        <v>0</v>
      </c>
      <c r="W125" s="15">
        <f>NOVIEMBRE!W125+DICIEMBRE!AM125</f>
        <v>0</v>
      </c>
      <c r="X125" s="18">
        <f t="shared" si="135"/>
        <v>3151827</v>
      </c>
      <c r="Y125" s="19">
        <f>NOVIEMBRE!AA125</f>
        <v>195788</v>
      </c>
      <c r="Z125" s="377">
        <v>0</v>
      </c>
      <c r="AA125" s="18">
        <f t="shared" si="136"/>
        <v>195788</v>
      </c>
      <c r="AB125" s="19">
        <f>NOVIEMBRE!AD125</f>
        <v>195788</v>
      </c>
      <c r="AC125" s="377">
        <v>0</v>
      </c>
      <c r="AD125" s="18">
        <f t="shared" si="137"/>
        <v>195788</v>
      </c>
      <c r="AE125" s="19">
        <f>NOVIEMBRE!AG125</f>
        <v>195788</v>
      </c>
      <c r="AF125" s="377">
        <v>0</v>
      </c>
      <c r="AG125" s="18">
        <f t="shared" si="138"/>
        <v>195788</v>
      </c>
      <c r="AH125" s="19">
        <f t="shared" si="139"/>
        <v>2956039</v>
      </c>
      <c r="AI125" s="15">
        <f t="shared" si="140"/>
        <v>2956039</v>
      </c>
      <c r="AJ125" s="16">
        <f t="shared" si="141"/>
        <v>2956039</v>
      </c>
      <c r="AK125" s="9"/>
      <c r="AL125" s="375">
        <v>0</v>
      </c>
      <c r="AM125" s="378">
        <v>0</v>
      </c>
      <c r="AN125" s="9"/>
      <c r="AO125" s="297"/>
      <c r="AP125" s="297"/>
      <c r="AQ125" s="297"/>
      <c r="AR125" s="297"/>
      <c r="AS125" s="297"/>
      <c r="AT125" s="297"/>
      <c r="AU125" s="297"/>
      <c r="AV125" s="297"/>
      <c r="AW125" s="297"/>
      <c r="AX125" s="297"/>
      <c r="AY125" s="297"/>
      <c r="AZ125" s="297"/>
      <c r="BQ125" s="464"/>
    </row>
    <row r="126" spans="1:69"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2520218189</v>
      </c>
      <c r="H126" s="480">
        <f t="shared" si="142"/>
        <v>0</v>
      </c>
      <c r="I126" s="480">
        <f t="shared" si="142"/>
        <v>2520218189</v>
      </c>
      <c r="J126" s="480">
        <f t="shared" si="142"/>
        <v>1690721600</v>
      </c>
      <c r="K126" s="480">
        <f t="shared" si="142"/>
        <v>0</v>
      </c>
      <c r="L126" s="480">
        <f t="shared" si="142"/>
        <v>1680659466</v>
      </c>
      <c r="M126" s="480">
        <f t="shared" si="142"/>
        <v>814933996</v>
      </c>
      <c r="N126" s="621">
        <f t="shared" si="142"/>
        <v>1632490054</v>
      </c>
      <c r="P126" s="481">
        <f>P8-P128</f>
        <v>0</v>
      </c>
      <c r="Q126" s="482">
        <f>Q8-Q128</f>
        <v>0</v>
      </c>
      <c r="R126" s="9"/>
      <c r="S126" s="719" t="str">
        <f>+IF(NOVIEMBRE!S126=0,"",NOVIEMBRE!S126)</f>
        <v>2010200-3</v>
      </c>
      <c r="T126" s="693" t="str">
        <f>+IF(NOVIEMBRE!T126=0,"",NOVIEMBRE!T126)</f>
        <v xml:space="preserve">Servicios Públicos </v>
      </c>
      <c r="U126" s="27">
        <f>+ENERO!U126</f>
        <v>55492147</v>
      </c>
      <c r="V126" s="15">
        <f>NOVIEMBRE!V126+DICIEMBRE!AL126</f>
        <v>0</v>
      </c>
      <c r="W126" s="15">
        <f>NOVIEMBRE!W126+DICIEMBRE!AM126</f>
        <v>0</v>
      </c>
      <c r="X126" s="18">
        <f t="shared" si="135"/>
        <v>55492147</v>
      </c>
      <c r="Y126" s="19">
        <f>NOVIEMBRE!AA126</f>
        <v>42071130</v>
      </c>
      <c r="Z126" s="377">
        <v>0</v>
      </c>
      <c r="AA126" s="18">
        <f t="shared" si="136"/>
        <v>42071130</v>
      </c>
      <c r="AB126" s="19">
        <f>NOVIEMBRE!AD126</f>
        <v>42071130</v>
      </c>
      <c r="AC126" s="377">
        <v>0</v>
      </c>
      <c r="AD126" s="18">
        <f t="shared" si="137"/>
        <v>42071130</v>
      </c>
      <c r="AE126" s="19">
        <f>NOVIEMBRE!AG126</f>
        <v>40936099</v>
      </c>
      <c r="AF126" s="377">
        <v>0</v>
      </c>
      <c r="AG126" s="18">
        <f t="shared" si="138"/>
        <v>40936099</v>
      </c>
      <c r="AH126" s="19">
        <f t="shared" si="139"/>
        <v>13421017</v>
      </c>
      <c r="AI126" s="15">
        <f t="shared" si="140"/>
        <v>13421017</v>
      </c>
      <c r="AJ126" s="16">
        <f t="shared" si="141"/>
        <v>14556048</v>
      </c>
      <c r="AK126" s="9"/>
      <c r="AL126" s="375">
        <v>0</v>
      </c>
      <c r="AM126" s="378">
        <v>0</v>
      </c>
      <c r="AN126" s="9"/>
      <c r="AO126" s="297"/>
      <c r="AP126" s="297"/>
      <c r="AQ126" s="297"/>
      <c r="AR126" s="297"/>
      <c r="AS126" s="297"/>
      <c r="AT126" s="297"/>
      <c r="AU126" s="297"/>
      <c r="AV126" s="297"/>
      <c r="AW126" s="297"/>
      <c r="AX126" s="297"/>
      <c r="AY126" s="297"/>
      <c r="AZ126" s="297"/>
      <c r="BQ126" s="464"/>
    </row>
    <row r="127" spans="1:69"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+IF(NOVIEMBRE!S127=0,"",NOVIEMBRE!S127)</f>
        <v>2010200-4</v>
      </c>
      <c r="T127" s="693" t="str">
        <f>+IF(NOVIEMBRE!T127=0,"",NOVIEMBRE!T127)</f>
        <v>Comunicaciones y Transportes</v>
      </c>
      <c r="U127" s="27">
        <f>+ENERO!U127</f>
        <v>14481572</v>
      </c>
      <c r="V127" s="15">
        <f>NOVIEMBRE!V127+DICIEMBRE!AL127</f>
        <v>0</v>
      </c>
      <c r="W127" s="15">
        <f>NOVIEMBRE!W127+DICIEMBRE!AM127</f>
        <v>0</v>
      </c>
      <c r="X127" s="18">
        <f t="shared" si="135"/>
        <v>14481572</v>
      </c>
      <c r="Y127" s="19">
        <f>NOVIEMBRE!AA127</f>
        <v>9518819</v>
      </c>
      <c r="Z127" s="377">
        <v>0</v>
      </c>
      <c r="AA127" s="18">
        <f t="shared" si="136"/>
        <v>9518819</v>
      </c>
      <c r="AB127" s="19">
        <f>NOVIEMBRE!AD127</f>
        <v>8643819</v>
      </c>
      <c r="AC127" s="377">
        <v>0</v>
      </c>
      <c r="AD127" s="18">
        <f t="shared" si="137"/>
        <v>8643819</v>
      </c>
      <c r="AE127" s="19">
        <f>NOVIEMBRE!AG127</f>
        <v>7723819</v>
      </c>
      <c r="AF127" s="377">
        <v>0</v>
      </c>
      <c r="AG127" s="18">
        <f t="shared" si="138"/>
        <v>7723819</v>
      </c>
      <c r="AH127" s="19">
        <f t="shared" si="139"/>
        <v>4962753</v>
      </c>
      <c r="AI127" s="15">
        <f t="shared" si="140"/>
        <v>5837753</v>
      </c>
      <c r="AJ127" s="16">
        <f t="shared" si="141"/>
        <v>6757753</v>
      </c>
      <c r="AK127" s="9"/>
      <c r="AL127" s="375">
        <v>0</v>
      </c>
      <c r="AM127" s="378">
        <v>0</v>
      </c>
      <c r="AN127" s="9"/>
      <c r="AO127" s="297"/>
      <c r="AP127" s="297"/>
      <c r="AQ127" s="297"/>
      <c r="AR127" s="297"/>
      <c r="AS127" s="297"/>
      <c r="AT127" s="297"/>
      <c r="AU127" s="297"/>
      <c r="AV127" s="297"/>
      <c r="AW127" s="297"/>
      <c r="AX127" s="297"/>
      <c r="AY127" s="297"/>
      <c r="AZ127" s="297"/>
      <c r="BQ127" s="464"/>
    </row>
    <row r="128" spans="1:69"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505084119</v>
      </c>
      <c r="H128" s="486">
        <f>SUMIF($B8:$B$122,$B$24,H8:H122)+H122</f>
        <v>0</v>
      </c>
      <c r="I128" s="486">
        <f>SUMIF($B8:$B$122,$B$24,I8:I122)+I122</f>
        <v>505084119</v>
      </c>
      <c r="J128" s="486">
        <f>SUMIF($B8:$B$122,$B$24,J8:J122)+J1212</f>
        <v>495021985</v>
      </c>
      <c r="K128" s="486">
        <f>SUMIF($B8:$B$122,$B$24,K8:K122)+K122</f>
        <v>0</v>
      </c>
      <c r="L128" s="486">
        <f>SUMIF($B8:$B$122,$B$24,L8:L122)+L122</f>
        <v>505084119</v>
      </c>
      <c r="M128" s="486">
        <f>SUMIF($B8:$B$122,$B$24,M8:M122)+M12</f>
        <v>50364443</v>
      </c>
      <c r="N128" s="622">
        <f>SUMIF($B8:$B$122,$B$24,N8:N122)+N122</f>
        <v>72367108</v>
      </c>
      <c r="O128" s="464"/>
      <c r="P128" s="486">
        <f>SUMIF($B8:$B$122,$B$24,P8:P122)+P122</f>
        <v>0</v>
      </c>
      <c r="Q128" s="487">
        <f>SUMIF($B8:$B$122,$B$24,Q8:Q122)+Q122</f>
        <v>0</v>
      </c>
      <c r="R128" s="9"/>
      <c r="S128" s="719" t="str">
        <f>+IF(NOVIEMBRE!S128=0,"",NOVIEMBRE!S128)</f>
        <v>2010200-5</v>
      </c>
      <c r="T128" s="693" t="str">
        <f>+IF(NOVIEMBRE!T128=0,"",NOVIEMBRE!T128)</f>
        <v>Viáticos y Gastos de Viaje</v>
      </c>
      <c r="U128" s="27">
        <f>+ENERO!U128</f>
        <v>12695514</v>
      </c>
      <c r="V128" s="15">
        <f>NOVIEMBRE!V128+DICIEMBRE!AL128</f>
        <v>4700000</v>
      </c>
      <c r="W128" s="15">
        <f>NOVIEMBRE!W128+DICIEMBRE!AM128</f>
        <v>0</v>
      </c>
      <c r="X128" s="18">
        <f t="shared" si="135"/>
        <v>17395514</v>
      </c>
      <c r="Y128" s="19">
        <f>NOVIEMBRE!AA128</f>
        <v>14694863</v>
      </c>
      <c r="Z128" s="377">
        <v>0</v>
      </c>
      <c r="AA128" s="18">
        <f t="shared" si="136"/>
        <v>14694863</v>
      </c>
      <c r="AB128" s="19">
        <f>NOVIEMBRE!AD128</f>
        <v>14694863</v>
      </c>
      <c r="AC128" s="377">
        <v>0</v>
      </c>
      <c r="AD128" s="18">
        <f t="shared" si="137"/>
        <v>14694863</v>
      </c>
      <c r="AE128" s="19">
        <f>NOVIEMBRE!AG128</f>
        <v>14694863</v>
      </c>
      <c r="AF128" s="377">
        <v>0</v>
      </c>
      <c r="AG128" s="18">
        <f t="shared" si="138"/>
        <v>14694863</v>
      </c>
      <c r="AH128" s="19">
        <f t="shared" si="139"/>
        <v>2700651</v>
      </c>
      <c r="AI128" s="15">
        <f t="shared" si="140"/>
        <v>2700651</v>
      </c>
      <c r="AJ128" s="16">
        <f t="shared" si="141"/>
        <v>2700651</v>
      </c>
      <c r="AK128" s="9"/>
      <c r="AL128" s="375">
        <v>0</v>
      </c>
      <c r="AM128" s="378">
        <v>0</v>
      </c>
      <c r="AN128" s="9"/>
      <c r="AO128" s="297"/>
      <c r="AP128" s="297"/>
      <c r="AQ128" s="297"/>
      <c r="AR128" s="297"/>
      <c r="AS128" s="297"/>
      <c r="AT128" s="297"/>
      <c r="AU128" s="297"/>
      <c r="AV128" s="297"/>
      <c r="AW128" s="297"/>
      <c r="AX128" s="297"/>
      <c r="AY128" s="297"/>
      <c r="AZ128" s="297"/>
      <c r="BQ128" s="464"/>
    </row>
    <row r="129" spans="1:69"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+IF(NOVIEMBRE!S129=0,"",NOVIEMBRE!S129)</f>
        <v>2010200-6</v>
      </c>
      <c r="T129" s="693" t="str">
        <f>+IF(NOVIEMBRE!T129=0,"",NOVIEMBRE!T129)</f>
        <v>Arrendamientos</v>
      </c>
      <c r="U129" s="27">
        <f>+ENERO!U129</f>
        <v>0</v>
      </c>
      <c r="V129" s="15">
        <f>NOVIEMBRE!V129+DICIEMBRE!AL129</f>
        <v>0</v>
      </c>
      <c r="W129" s="15">
        <f>NOVIEMBRE!W129+DICIEMBRE!AM129</f>
        <v>0</v>
      </c>
      <c r="X129" s="18">
        <f t="shared" si="135"/>
        <v>0</v>
      </c>
      <c r="Y129" s="19">
        <f>NOVIEMBRE!AA129</f>
        <v>0</v>
      </c>
      <c r="Z129" s="377">
        <v>0</v>
      </c>
      <c r="AA129" s="18">
        <f t="shared" si="136"/>
        <v>0</v>
      </c>
      <c r="AB129" s="19">
        <f>NOVIEMBRE!AD129</f>
        <v>0</v>
      </c>
      <c r="AC129" s="377">
        <v>0</v>
      </c>
      <c r="AD129" s="18">
        <f t="shared" si="137"/>
        <v>0</v>
      </c>
      <c r="AE129" s="19">
        <f>NOVIEMBRE!AG129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c r="BQ129" s="464"/>
    </row>
    <row r="130" spans="1:69"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3025302308</v>
      </c>
      <c r="H130" s="489">
        <f t="shared" si="143"/>
        <v>0</v>
      </c>
      <c r="I130" s="490">
        <f t="shared" si="143"/>
        <v>3025302308</v>
      </c>
      <c r="J130" s="488">
        <f t="shared" si="143"/>
        <v>2185743585</v>
      </c>
      <c r="K130" s="489">
        <f t="shared" si="143"/>
        <v>0</v>
      </c>
      <c r="L130" s="490">
        <f t="shared" si="143"/>
        <v>2185743585</v>
      </c>
      <c r="M130" s="488">
        <f t="shared" si="143"/>
        <v>865298439</v>
      </c>
      <c r="N130" s="490">
        <f t="shared" si="143"/>
        <v>1704857162</v>
      </c>
      <c r="P130" s="481">
        <f>P128+P126</f>
        <v>0</v>
      </c>
      <c r="Q130" s="482">
        <f>Q128+Q126</f>
        <v>0</v>
      </c>
      <c r="R130" s="9"/>
      <c r="S130" s="719" t="str">
        <f>+IF(NOVIEMBRE!S130=0,"",NOVIEMBRE!S130)</f>
        <v>2010200-7</v>
      </c>
      <c r="T130" s="693" t="str">
        <f>+IF(NOVIEMBRE!T130=0,"",NOVIEMBRE!T130)</f>
        <v>Vigilancia y Aseo</v>
      </c>
      <c r="U130" s="27">
        <f>+ENERO!U130</f>
        <v>0</v>
      </c>
      <c r="V130" s="15">
        <f>NOVIEMBRE!V130+DICIEMBRE!AL130</f>
        <v>0</v>
      </c>
      <c r="W130" s="15">
        <f>NOVIEMBRE!W130+DICIEMBRE!AM130</f>
        <v>0</v>
      </c>
      <c r="X130" s="18">
        <f t="shared" si="135"/>
        <v>0</v>
      </c>
      <c r="Y130" s="19">
        <f>NOVIEMBRE!AA130</f>
        <v>0</v>
      </c>
      <c r="Z130" s="377">
        <v>0</v>
      </c>
      <c r="AA130" s="18">
        <f t="shared" si="136"/>
        <v>0</v>
      </c>
      <c r="AB130" s="19">
        <f>NOVIEMBRE!AD130</f>
        <v>0</v>
      </c>
      <c r="AC130" s="377">
        <v>0</v>
      </c>
      <c r="AD130" s="18">
        <f t="shared" si="137"/>
        <v>0</v>
      </c>
      <c r="AE130" s="19">
        <f>NOVIEMBRE!AG130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c r="BQ130" s="464"/>
    </row>
    <row r="131" spans="1:69" s="385" customFormat="1" ht="24.95" customHeight="1" x14ac:dyDescent="0.2">
      <c r="A131" s="767"/>
      <c r="B131" s="668"/>
      <c r="N131" s="9"/>
      <c r="R131" s="9"/>
      <c r="S131" s="719" t="str">
        <f>+IF(NOVIEMBRE!S131=0,"",NOVIEMBRE!S131)</f>
        <v>2010200-8</v>
      </c>
      <c r="T131" s="693" t="str">
        <f>+IF(NOVIEMBRE!T131=0,"",NOVIEMBRE!T131)</f>
        <v>Bienestar Social</v>
      </c>
      <c r="U131" s="27">
        <f>+ENERO!U131</f>
        <v>28364135</v>
      </c>
      <c r="V131" s="15">
        <f>NOVIEMBRE!V131+DICIEMBRE!AL131</f>
        <v>0</v>
      </c>
      <c r="W131" s="15">
        <f>NOVIEMBRE!W131+DICIEMBRE!AM131</f>
        <v>81553</v>
      </c>
      <c r="X131" s="18">
        <f t="shared" si="135"/>
        <v>28445688</v>
      </c>
      <c r="Y131" s="19">
        <f>NOVIEMBRE!AA131</f>
        <v>8908149</v>
      </c>
      <c r="Z131" s="377">
        <v>0</v>
      </c>
      <c r="AA131" s="18">
        <f t="shared" si="136"/>
        <v>8908149</v>
      </c>
      <c r="AB131" s="19">
        <f>NOVIEMBRE!AD131</f>
        <v>7308149</v>
      </c>
      <c r="AC131" s="377">
        <v>0</v>
      </c>
      <c r="AD131" s="18">
        <f t="shared" si="137"/>
        <v>7308149</v>
      </c>
      <c r="AE131" s="19">
        <f>NOVIEMBRE!AG131</f>
        <v>7022899</v>
      </c>
      <c r="AF131" s="377">
        <v>0</v>
      </c>
      <c r="AG131" s="18">
        <f t="shared" si="138"/>
        <v>7022899</v>
      </c>
      <c r="AH131" s="19">
        <f t="shared" si="139"/>
        <v>19537539</v>
      </c>
      <c r="AI131" s="15">
        <f t="shared" si="140"/>
        <v>21137539</v>
      </c>
      <c r="AJ131" s="16">
        <f t="shared" si="141"/>
        <v>21422789</v>
      </c>
      <c r="AK131" s="9"/>
      <c r="AL131" s="375">
        <v>0</v>
      </c>
      <c r="AM131" s="378">
        <v>0</v>
      </c>
      <c r="AN131" s="9"/>
      <c r="AO131" s="297"/>
      <c r="AP131" s="297"/>
      <c r="AQ131" s="297"/>
      <c r="AR131" s="297"/>
      <c r="AS131" s="297"/>
      <c r="AT131" s="297"/>
      <c r="AU131" s="297"/>
      <c r="AV131" s="297"/>
      <c r="AW131" s="297"/>
      <c r="AX131" s="297"/>
      <c r="AY131" s="297"/>
      <c r="AZ131" s="297"/>
      <c r="BQ131" s="464"/>
    </row>
    <row r="132" spans="1:69" s="385" customFormat="1" ht="24.95" customHeight="1" x14ac:dyDescent="0.2">
      <c r="A132" s="767"/>
      <c r="B132" s="668"/>
      <c r="N132" s="9"/>
      <c r="R132" s="9"/>
      <c r="S132" s="719" t="str">
        <f>+IF(NOVIEMBRE!S132=0,"",NOVIEMBRE!S132)</f>
        <v>2010200-9</v>
      </c>
      <c r="T132" s="693" t="str">
        <f>+IF(NOVIEMBRE!T132=0,"",NOVIEMBRE!T132)</f>
        <v>Capacitación, estimulos, incentivos, programa de calidad</v>
      </c>
      <c r="U132" s="27">
        <f>+ENERO!U132</f>
        <v>3982443</v>
      </c>
      <c r="V132" s="15">
        <f>NOVIEMBRE!V132+DICIEMBRE!AL132</f>
        <v>0</v>
      </c>
      <c r="W132" s="15">
        <f>NOVIEMBRE!W132+DICIEMBRE!AM132</f>
        <v>0</v>
      </c>
      <c r="X132" s="18">
        <f t="shared" si="135"/>
        <v>3982443</v>
      </c>
      <c r="Y132" s="19">
        <f>NOVIEMBRE!AA132</f>
        <v>0</v>
      </c>
      <c r="Z132" s="377">
        <v>0</v>
      </c>
      <c r="AA132" s="18">
        <f t="shared" si="136"/>
        <v>0</v>
      </c>
      <c r="AB132" s="19">
        <f>NOVIEMBRE!AD132</f>
        <v>0</v>
      </c>
      <c r="AC132" s="377">
        <v>0</v>
      </c>
      <c r="AD132" s="18">
        <f t="shared" si="137"/>
        <v>0</v>
      </c>
      <c r="AE132" s="19">
        <f>NOVIEMBRE!AG132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c r="BQ132" s="464"/>
    </row>
    <row r="133" spans="1:69" s="385" customFormat="1" ht="24.95" customHeight="1" x14ac:dyDescent="0.2">
      <c r="A133" s="767"/>
      <c r="B133" s="668"/>
      <c r="N133" s="9"/>
      <c r="R133" s="9"/>
      <c r="S133" s="719" t="str">
        <f>+IF(NOVIEMBRE!S133=0,"",NOVIEMBRE!S133)</f>
        <v>2010200-10</v>
      </c>
      <c r="T133" s="693" t="str">
        <f>+IF(NOVIEMBRE!T133=0,"",NOVIEMBRE!T133)</f>
        <v>Pagos otras IPS</v>
      </c>
      <c r="U133" s="27">
        <f>+ENERO!U133</f>
        <v>0</v>
      </c>
      <c r="V133" s="15">
        <f>NOVIEMBRE!V133+DICIEMBRE!AL133</f>
        <v>0</v>
      </c>
      <c r="W133" s="15">
        <f>NOVIEMBRE!W133+DICIEMBRE!AM133</f>
        <v>0</v>
      </c>
      <c r="X133" s="18">
        <f t="shared" si="135"/>
        <v>0</v>
      </c>
      <c r="Y133" s="19">
        <f>NOVIEMBRE!AA133</f>
        <v>0</v>
      </c>
      <c r="Z133" s="377">
        <v>0</v>
      </c>
      <c r="AA133" s="18">
        <f t="shared" si="136"/>
        <v>0</v>
      </c>
      <c r="AB133" s="19">
        <f>NOVIEMBRE!AD133</f>
        <v>0</v>
      </c>
      <c r="AC133" s="377">
        <v>0</v>
      </c>
      <c r="AD133" s="18">
        <f t="shared" si="137"/>
        <v>0</v>
      </c>
      <c r="AE133" s="19">
        <f>NOVIEMBRE!AG133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c r="BQ133" s="464"/>
    </row>
    <row r="134" spans="1:69" s="385" customFormat="1" ht="24.95" customHeight="1" x14ac:dyDescent="0.2">
      <c r="A134" s="767"/>
      <c r="B134" s="668"/>
      <c r="N134" s="9"/>
      <c r="R134" s="9"/>
      <c r="S134" s="719" t="str">
        <f>+IF(NOVIEMBRE!S134=0,"",NOVIEMBRE!S134)</f>
        <v>2010200-11</v>
      </c>
      <c r="T134" s="693" t="str">
        <f>+IF(NOVIEMBRE!T134=0,"",NOVIEMBRE!T134)</f>
        <v>Gastos financieros</v>
      </c>
      <c r="U134" s="27">
        <f>+ENERO!U134</f>
        <v>4976765</v>
      </c>
      <c r="V134" s="15">
        <f>NOVIEMBRE!V134+DICIEMBRE!AL134</f>
        <v>1200000</v>
      </c>
      <c r="W134" s="15">
        <f>NOVIEMBRE!W134+DICIEMBRE!AM134</f>
        <v>0</v>
      </c>
      <c r="X134" s="18">
        <f t="shared" si="135"/>
        <v>6176765</v>
      </c>
      <c r="Y134" s="19">
        <f>NOVIEMBRE!AA134</f>
        <v>6045085</v>
      </c>
      <c r="Z134" s="377">
        <v>0</v>
      </c>
      <c r="AA134" s="18">
        <f t="shared" si="136"/>
        <v>6045085</v>
      </c>
      <c r="AB134" s="19">
        <f>NOVIEMBRE!AD134</f>
        <v>6045085</v>
      </c>
      <c r="AC134" s="377">
        <v>0</v>
      </c>
      <c r="AD134" s="18">
        <f t="shared" si="137"/>
        <v>6045085</v>
      </c>
      <c r="AE134" s="19">
        <f>NOVIEMBRE!AG134</f>
        <v>6045085</v>
      </c>
      <c r="AF134" s="377">
        <v>0</v>
      </c>
      <c r="AG134" s="18">
        <f t="shared" si="138"/>
        <v>6045085</v>
      </c>
      <c r="AH134" s="19">
        <f t="shared" si="139"/>
        <v>131680</v>
      </c>
      <c r="AI134" s="15">
        <f t="shared" si="140"/>
        <v>131680</v>
      </c>
      <c r="AJ134" s="16">
        <f t="shared" si="141"/>
        <v>131680</v>
      </c>
      <c r="AK134" s="9"/>
      <c r="AL134" s="375">
        <v>0</v>
      </c>
      <c r="AM134" s="378">
        <v>0</v>
      </c>
      <c r="AN134" s="9"/>
      <c r="AO134" s="297"/>
      <c r="AP134" s="297"/>
      <c r="AQ134" s="297"/>
      <c r="AR134" s="297"/>
      <c r="AS134" s="297"/>
      <c r="AT134" s="297"/>
      <c r="AU134" s="297"/>
      <c r="AV134" s="297"/>
      <c r="AW134" s="297"/>
      <c r="AX134" s="297"/>
      <c r="AY134" s="297"/>
      <c r="AZ134" s="297"/>
      <c r="BQ134" s="464"/>
    </row>
    <row r="135" spans="1:69" s="385" customFormat="1" ht="24.95" customHeight="1" x14ac:dyDescent="0.2">
      <c r="A135" s="767"/>
      <c r="B135" s="668"/>
      <c r="N135" s="9"/>
      <c r="R135" s="9"/>
      <c r="S135" s="719" t="str">
        <f>+IF(NOVIEMBRE!S135=0,"",NOVIEMBRE!S135)</f>
        <v>2010200-12</v>
      </c>
      <c r="T135" s="693" t="str">
        <f>+IF(NOVIEMBRE!T135=0,"",NOVIEMBRE!T135)</f>
        <v/>
      </c>
      <c r="U135" s="27">
        <f>+ENERO!U135</f>
        <v>0</v>
      </c>
      <c r="V135" s="15">
        <f>NOVIEMBRE!V135+DICIEMBRE!AL135</f>
        <v>0</v>
      </c>
      <c r="W135" s="15">
        <f>NOVIEMBRE!W135+DICIEMBRE!AM135</f>
        <v>0</v>
      </c>
      <c r="X135" s="18">
        <f t="shared" si="135"/>
        <v>0</v>
      </c>
      <c r="Y135" s="19">
        <f>NOVIEMBRE!AA135</f>
        <v>0</v>
      </c>
      <c r="Z135" s="377">
        <v>0</v>
      </c>
      <c r="AA135" s="18">
        <f t="shared" si="136"/>
        <v>0</v>
      </c>
      <c r="AB135" s="19">
        <f>NOVIEMBRE!AD135</f>
        <v>0</v>
      </c>
      <c r="AC135" s="377">
        <v>0</v>
      </c>
      <c r="AD135" s="18">
        <f t="shared" si="137"/>
        <v>0</v>
      </c>
      <c r="AE135" s="19">
        <f>NOVIEMBRE!AG135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c r="BQ135" s="464"/>
    </row>
    <row r="136" spans="1:69" s="385" customFormat="1" ht="24.95" customHeight="1" x14ac:dyDescent="0.2">
      <c r="A136" s="767"/>
      <c r="B136" s="668"/>
      <c r="N136" s="9"/>
      <c r="R136" s="9"/>
      <c r="S136" s="719" t="str">
        <f>+IF(NOVIEMBRE!S136=0,"",NOVIEMBRE!S136)</f>
        <v>2010200-13</v>
      </c>
      <c r="T136" s="693" t="str">
        <f>+IF(NOVIEMBRE!T136=0,"",NOVIEMBRE!T136)</f>
        <v/>
      </c>
      <c r="U136" s="27">
        <f>+ENERO!U136</f>
        <v>0</v>
      </c>
      <c r="V136" s="15">
        <f>NOVIEMBRE!V136+DICIEMBRE!AL136</f>
        <v>0</v>
      </c>
      <c r="W136" s="15">
        <f>NOVIEMBRE!W136+DICIEMBRE!AM136</f>
        <v>0</v>
      </c>
      <c r="X136" s="18">
        <f t="shared" si="135"/>
        <v>0</v>
      </c>
      <c r="Y136" s="19">
        <f>NOVIEMBRE!AA136</f>
        <v>0</v>
      </c>
      <c r="Z136" s="377">
        <v>0</v>
      </c>
      <c r="AA136" s="18">
        <f t="shared" si="136"/>
        <v>0</v>
      </c>
      <c r="AB136" s="19">
        <f>NOVIEMBRE!AD136</f>
        <v>0</v>
      </c>
      <c r="AC136" s="377">
        <v>0</v>
      </c>
      <c r="AD136" s="18">
        <f t="shared" si="137"/>
        <v>0</v>
      </c>
      <c r="AE136" s="19">
        <f>NOVIEMBRE!AG136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c r="BQ136" s="464"/>
    </row>
    <row r="137" spans="1:69" s="385" customFormat="1" ht="24.95" customHeight="1" x14ac:dyDescent="0.2">
      <c r="A137" s="767"/>
      <c r="B137" s="668"/>
      <c r="N137" s="9"/>
      <c r="R137" s="9"/>
      <c r="S137" s="719" t="str">
        <f>+IF(NOVIEMBRE!S137=0,"",NOVIEMBRE!S137)</f>
        <v>2010020-14</v>
      </c>
      <c r="T137" s="693" t="str">
        <f>+IF(NOVIEMBRE!T137=0,"",NOVIEMBRE!T137)</f>
        <v/>
      </c>
      <c r="U137" s="27">
        <f>+ENERO!U137</f>
        <v>0</v>
      </c>
      <c r="V137" s="15">
        <f>NOVIEMBRE!V137+DICIEMBRE!AL137</f>
        <v>0</v>
      </c>
      <c r="W137" s="15">
        <f>NOVIEMBRE!W137+DICIEMBRE!AM137</f>
        <v>0</v>
      </c>
      <c r="X137" s="18">
        <f t="shared" si="135"/>
        <v>0</v>
      </c>
      <c r="Y137" s="19">
        <f>NOVIEMBRE!AA137</f>
        <v>0</v>
      </c>
      <c r="Z137" s="377">
        <v>0</v>
      </c>
      <c r="AA137" s="18">
        <f t="shared" si="136"/>
        <v>0</v>
      </c>
      <c r="AB137" s="19">
        <f>NOVIEMBRE!AD137</f>
        <v>0</v>
      </c>
      <c r="AC137" s="377">
        <v>0</v>
      </c>
      <c r="AD137" s="18">
        <f t="shared" si="137"/>
        <v>0</v>
      </c>
      <c r="AE137" s="19">
        <f>NOVIEMBRE!AG137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c r="BQ137" s="464"/>
    </row>
    <row r="138" spans="1:69" s="385" customFormat="1" ht="24.95" customHeight="1" x14ac:dyDescent="0.2">
      <c r="A138" s="767"/>
      <c r="B138" s="668"/>
      <c r="N138" s="9"/>
      <c r="R138" s="9"/>
      <c r="S138" s="719" t="str">
        <f>+IF(NOVIEMBRE!S138=0,"",NOVIEMBRE!S138)</f>
        <v>2010200-15</v>
      </c>
      <c r="T138" s="693" t="str">
        <f>+IF(NOVIEMBRE!T138=0,"",NOVIEMBRE!T138)</f>
        <v/>
      </c>
      <c r="U138" s="27">
        <f>+ENERO!U138</f>
        <v>0</v>
      </c>
      <c r="V138" s="15">
        <f>NOVIEMBRE!V138+DICIEMBRE!AL138</f>
        <v>0</v>
      </c>
      <c r="W138" s="15">
        <f>NOVIEMBRE!W138+DICIEMBRE!AM138</f>
        <v>0</v>
      </c>
      <c r="X138" s="18">
        <f t="shared" si="135"/>
        <v>0</v>
      </c>
      <c r="Y138" s="19">
        <f>NOVIEMBRE!AA138</f>
        <v>0</v>
      </c>
      <c r="Z138" s="377">
        <v>0</v>
      </c>
      <c r="AA138" s="18">
        <f t="shared" si="136"/>
        <v>0</v>
      </c>
      <c r="AB138" s="19">
        <f>NOVIEMBRE!AD138</f>
        <v>0</v>
      </c>
      <c r="AC138" s="377">
        <v>0</v>
      </c>
      <c r="AD138" s="18">
        <f t="shared" si="137"/>
        <v>0</v>
      </c>
      <c r="AE138" s="19">
        <f>NOVIEMBRE!AG138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c r="BQ138" s="464"/>
    </row>
    <row r="139" spans="1:69" s="385" customFormat="1" ht="24.95" customHeight="1" x14ac:dyDescent="0.2">
      <c r="A139" s="767"/>
      <c r="B139" s="668"/>
      <c r="N139" s="9"/>
      <c r="R139" s="9"/>
      <c r="S139" s="719">
        <f>+IF(NOVIEMBRE!S139=0,"",NOVIEMBRE!S139)</f>
        <v>2010299</v>
      </c>
      <c r="T139" s="693" t="str">
        <f>+IF(NOVIEMBRE!T139=0,"",NOVIEMBRE!T139)</f>
        <v>Vigencias Anteriores</v>
      </c>
      <c r="U139" s="27">
        <f>+ENERO!U139</f>
        <v>0</v>
      </c>
      <c r="V139" s="15">
        <f>NOVIEMBRE!V139+DICIEMBRE!AL139</f>
        <v>0</v>
      </c>
      <c r="W139" s="15">
        <f>NOVIEMBRE!W139+DICIEMBRE!AM139</f>
        <v>26307692</v>
      </c>
      <c r="X139" s="18">
        <f t="shared" si="135"/>
        <v>26307692</v>
      </c>
      <c r="Y139" s="19">
        <f>NOVIEMBRE!AA139</f>
        <v>26307692</v>
      </c>
      <c r="Z139" s="377">
        <v>0</v>
      </c>
      <c r="AA139" s="18">
        <f t="shared" si="136"/>
        <v>26307692</v>
      </c>
      <c r="AB139" s="19">
        <f>NOVIEMBRE!AD139</f>
        <v>26307692</v>
      </c>
      <c r="AC139" s="377">
        <v>0</v>
      </c>
      <c r="AD139" s="18">
        <f t="shared" si="137"/>
        <v>26307692</v>
      </c>
      <c r="AE139" s="19">
        <f>NOVIEMBRE!AG139</f>
        <v>9808051</v>
      </c>
      <c r="AF139" s="377">
        <v>0</v>
      </c>
      <c r="AG139" s="18">
        <f t="shared" si="138"/>
        <v>9808051</v>
      </c>
      <c r="AH139" s="19">
        <f t="shared" si="139"/>
        <v>0</v>
      </c>
      <c r="AI139" s="15">
        <f t="shared" si="140"/>
        <v>0</v>
      </c>
      <c r="AJ139" s="16">
        <f t="shared" si="141"/>
        <v>16499641</v>
      </c>
      <c r="AK139" s="9"/>
      <c r="AL139" s="375">
        <v>0</v>
      </c>
      <c r="AM139" s="378">
        <v>0</v>
      </c>
      <c r="AN139" s="9"/>
      <c r="AO139" s="297"/>
      <c r="AP139" s="297"/>
      <c r="AQ139" s="297"/>
      <c r="BQ139" s="464"/>
    </row>
    <row r="140" spans="1:69" s="385" customFormat="1" ht="24.95" customHeight="1" x14ac:dyDescent="0.2">
      <c r="A140" s="767"/>
      <c r="B140" s="668"/>
      <c r="N140" s="9"/>
      <c r="R140" s="9"/>
      <c r="S140" s="369" t="str">
        <f>+IF(NOVIEMBRE!S140=0,"",NOVIEMBRE!S140)</f>
        <v/>
      </c>
      <c r="T140" s="708" t="str">
        <f>+IF(NOVIEMBRE!T140=0,"",NOVIEMBRE!T140)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c r="BQ140" s="464"/>
    </row>
    <row r="141" spans="1:69" s="385" customFormat="1" ht="24.95" customHeight="1" x14ac:dyDescent="0.2">
      <c r="A141" s="767"/>
      <c r="B141" s="668"/>
      <c r="N141" s="9"/>
      <c r="R141" s="9"/>
      <c r="S141" s="718">
        <f>+IF(NOVIEMBRE!S141=0,"",NOVIEMBRE!S141)</f>
        <v>2010300</v>
      </c>
      <c r="T141" s="692" t="str">
        <f>+IF(NOVIEMBRE!T141=0,"",NOVIEMBRE!T141)</f>
        <v>Impuestos y Multas</v>
      </c>
      <c r="U141" s="135">
        <f t="shared" ref="U141:AJ141" si="144">U142+U143</f>
        <v>10780963</v>
      </c>
      <c r="V141" s="124">
        <f t="shared" si="144"/>
        <v>7661935</v>
      </c>
      <c r="W141" s="124">
        <f t="shared" si="144"/>
        <v>1487943</v>
      </c>
      <c r="X141" s="132">
        <f t="shared" si="144"/>
        <v>19930841</v>
      </c>
      <c r="Y141" s="131">
        <f t="shared" si="144"/>
        <v>15250075</v>
      </c>
      <c r="Z141" s="124">
        <f t="shared" si="144"/>
        <v>0</v>
      </c>
      <c r="AA141" s="132">
        <f t="shared" si="144"/>
        <v>15250075</v>
      </c>
      <c r="AB141" s="131">
        <f t="shared" si="144"/>
        <v>15250075</v>
      </c>
      <c r="AC141" s="124">
        <f t="shared" si="144"/>
        <v>0</v>
      </c>
      <c r="AD141" s="132">
        <f t="shared" si="144"/>
        <v>15250075</v>
      </c>
      <c r="AE141" s="131">
        <f t="shared" si="144"/>
        <v>7661935</v>
      </c>
      <c r="AF141" s="124">
        <f t="shared" si="144"/>
        <v>0</v>
      </c>
      <c r="AG141" s="132">
        <f t="shared" si="144"/>
        <v>7661935</v>
      </c>
      <c r="AH141" s="131">
        <f t="shared" si="144"/>
        <v>4680766</v>
      </c>
      <c r="AI141" s="124">
        <f t="shared" si="144"/>
        <v>4680766</v>
      </c>
      <c r="AJ141" s="133">
        <f t="shared" si="144"/>
        <v>12268906</v>
      </c>
      <c r="AK141" s="10"/>
      <c r="AL141" s="131">
        <f>AL142+AL143</f>
        <v>0</v>
      </c>
      <c r="AM141" s="133">
        <f>AM142+AM143</f>
        <v>0</v>
      </c>
      <c r="AN141" s="9"/>
      <c r="BQ141" s="464"/>
    </row>
    <row r="142" spans="1:69" s="385" customFormat="1" ht="24.95" customHeight="1" x14ac:dyDescent="0.2">
      <c r="A142" s="767"/>
      <c r="B142" s="668"/>
      <c r="N142" s="9"/>
      <c r="R142" s="9"/>
      <c r="S142" s="719" t="str">
        <f>+IF(NOVIEMBRE!S142=0,"",NOVIEMBRE!S142)</f>
        <v>2010300-1</v>
      </c>
      <c r="T142" s="693" t="str">
        <f>+IF(NOVIEMBRE!T142=0,"",NOVIEMBRE!T142)</f>
        <v>Impuestos (Predial, Vehiculos, Otros)</v>
      </c>
      <c r="U142" s="27">
        <f>+ENERO!U142</f>
        <v>10780963</v>
      </c>
      <c r="V142" s="15">
        <f>NOVIEMBRE!V142+DICIEMBRE!AL142</f>
        <v>7661935</v>
      </c>
      <c r="W142" s="15">
        <f>NOVIEMBRE!W142+DICIEMBRE!AM142</f>
        <v>0</v>
      </c>
      <c r="X142" s="18">
        <f>SUM(U142:W142)</f>
        <v>18442898</v>
      </c>
      <c r="Y142" s="19">
        <f>NOVIEMBRE!AA142</f>
        <v>13762132</v>
      </c>
      <c r="Z142" s="377">
        <v>0</v>
      </c>
      <c r="AA142" s="18">
        <f>SUM(Y142:Z142)</f>
        <v>13762132</v>
      </c>
      <c r="AB142" s="19">
        <f>NOVIEMBRE!AD142</f>
        <v>13762132</v>
      </c>
      <c r="AC142" s="377">
        <v>0</v>
      </c>
      <c r="AD142" s="18">
        <f>SUM(AB142:AC142)</f>
        <v>13762132</v>
      </c>
      <c r="AE142" s="19">
        <f>NOVIEMBRE!AG142</f>
        <v>7661935</v>
      </c>
      <c r="AF142" s="377">
        <v>0</v>
      </c>
      <c r="AG142" s="18">
        <f>SUM(AE142:AF142)</f>
        <v>7661935</v>
      </c>
      <c r="AH142" s="19">
        <f>X142-AA142</f>
        <v>4680766</v>
      </c>
      <c r="AI142" s="15">
        <f>X142-AD142</f>
        <v>4680766</v>
      </c>
      <c r="AJ142" s="16">
        <f>X142-AG142</f>
        <v>10780963</v>
      </c>
      <c r="AK142" s="9"/>
      <c r="AL142" s="375">
        <v>0</v>
      </c>
      <c r="AM142" s="378">
        <v>0</v>
      </c>
      <c r="AN142" s="9"/>
      <c r="BQ142" s="464"/>
    </row>
    <row r="143" spans="1:69" s="385" customFormat="1" ht="24.95" customHeight="1" x14ac:dyDescent="0.2">
      <c r="A143" s="767"/>
      <c r="B143" s="668"/>
      <c r="N143" s="9"/>
      <c r="R143" s="9"/>
      <c r="S143" s="719">
        <f>+IF(NOVIEMBRE!S143=0,"",NOVIEMBRE!S143)</f>
        <v>2010399</v>
      </c>
      <c r="T143" s="693" t="str">
        <f>+IF(NOVIEMBRE!T143=0,"",NOVIEMBRE!T143)</f>
        <v>Vigencias Anteriores</v>
      </c>
      <c r="U143" s="27">
        <f>+ENERO!U143</f>
        <v>0</v>
      </c>
      <c r="V143" s="15">
        <f>NOVIEMBRE!V143+DICIEMBRE!AL143</f>
        <v>0</v>
      </c>
      <c r="W143" s="15">
        <f>NOVIEMBRE!W143+DICIEMBRE!AM143</f>
        <v>1487943</v>
      </c>
      <c r="X143" s="18">
        <f>SUM(U143:W143)</f>
        <v>1487943</v>
      </c>
      <c r="Y143" s="19">
        <f>NOVIEMBRE!AA143</f>
        <v>1487943</v>
      </c>
      <c r="Z143" s="377">
        <v>0</v>
      </c>
      <c r="AA143" s="18">
        <f>SUM(Y143:Z143)</f>
        <v>1487943</v>
      </c>
      <c r="AB143" s="19">
        <f>NOVIEMBRE!AD143</f>
        <v>1487943</v>
      </c>
      <c r="AC143" s="377">
        <v>0</v>
      </c>
      <c r="AD143" s="18">
        <f>SUM(AB143:AC143)</f>
        <v>1487943</v>
      </c>
      <c r="AE143" s="19">
        <f>NOVIEMBRE!AG143</f>
        <v>0</v>
      </c>
      <c r="AF143" s="377">
        <v>0</v>
      </c>
      <c r="AG143" s="18">
        <f>SUM(AE143:AF143)</f>
        <v>0</v>
      </c>
      <c r="AH143" s="19">
        <f>X143-AA143</f>
        <v>0</v>
      </c>
      <c r="AI143" s="15">
        <f>X143-AD143</f>
        <v>0</v>
      </c>
      <c r="AJ143" s="16">
        <f>X143-AG143</f>
        <v>1487943</v>
      </c>
      <c r="AK143" s="9"/>
      <c r="AL143" s="375">
        <v>0</v>
      </c>
      <c r="AM143" s="378">
        <v>0</v>
      </c>
      <c r="AN143" s="9"/>
      <c r="BQ143" s="464"/>
    </row>
    <row r="144" spans="1:69" s="385" customFormat="1" ht="24.95" customHeight="1" x14ac:dyDescent="0.2">
      <c r="A144" s="767"/>
      <c r="B144" s="668"/>
      <c r="N144" s="9"/>
      <c r="R144" s="9"/>
      <c r="S144" s="369" t="str">
        <f>+IF(NOVIEMBRE!S144=0,"",NOVIEMBRE!S144)</f>
        <v/>
      </c>
      <c r="T144" s="708" t="str">
        <f>+IF(NOVIEMBRE!T144=0,"",NOVIEMBRE!T144)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c r="BQ144" s="464"/>
    </row>
    <row r="145" spans="1:69" s="385" customFormat="1" ht="24.95" customHeight="1" x14ac:dyDescent="0.2">
      <c r="A145" s="767"/>
      <c r="B145" s="668"/>
      <c r="N145" s="9"/>
      <c r="R145" s="9"/>
      <c r="S145" s="717">
        <f>+IF(NOVIEMBRE!S145=0,"",NOVIEMBRE!S145)</f>
        <v>2020010</v>
      </c>
      <c r="T145" s="691" t="str">
        <f>+IF(NOVIEMBRE!T145=0,"",NOVIEMBRE!T145)</f>
        <v>Gastos de Operación</v>
      </c>
      <c r="U145" s="135">
        <f t="shared" ref="U145:AJ145" si="145">U147+U155</f>
        <v>323975875</v>
      </c>
      <c r="V145" s="124">
        <f t="shared" si="145"/>
        <v>27038065</v>
      </c>
      <c r="W145" s="124">
        <f t="shared" si="145"/>
        <v>111099188</v>
      </c>
      <c r="X145" s="132">
        <f t="shared" si="145"/>
        <v>462113128</v>
      </c>
      <c r="Y145" s="131">
        <f t="shared" si="145"/>
        <v>344286229</v>
      </c>
      <c r="Z145" s="124">
        <f t="shared" si="145"/>
        <v>0</v>
      </c>
      <c r="AA145" s="132">
        <f t="shared" si="145"/>
        <v>344286229</v>
      </c>
      <c r="AB145" s="131">
        <f t="shared" si="145"/>
        <v>314076884</v>
      </c>
      <c r="AC145" s="124">
        <f t="shared" si="145"/>
        <v>0</v>
      </c>
      <c r="AD145" s="132">
        <f t="shared" si="145"/>
        <v>314076884</v>
      </c>
      <c r="AE145" s="131">
        <f t="shared" si="145"/>
        <v>221196661</v>
      </c>
      <c r="AF145" s="124">
        <f t="shared" si="145"/>
        <v>0</v>
      </c>
      <c r="AG145" s="132">
        <f t="shared" si="145"/>
        <v>221196661</v>
      </c>
      <c r="AH145" s="131">
        <f t="shared" si="145"/>
        <v>117826899</v>
      </c>
      <c r="AI145" s="124">
        <f t="shared" si="145"/>
        <v>148036244</v>
      </c>
      <c r="AJ145" s="133">
        <f t="shared" si="145"/>
        <v>240916467</v>
      </c>
      <c r="AK145" s="10"/>
      <c r="AL145" s="131">
        <f>AL147+AL155</f>
        <v>0</v>
      </c>
      <c r="AM145" s="133">
        <f>AM147+AM155</f>
        <v>0</v>
      </c>
      <c r="AN145" s="9"/>
      <c r="BQ145" s="464"/>
    </row>
    <row r="146" spans="1:69" s="385" customFormat="1" ht="24.95" customHeight="1" x14ac:dyDescent="0.2">
      <c r="A146" s="767"/>
      <c r="B146" s="668"/>
      <c r="N146" s="9"/>
      <c r="R146" s="9"/>
      <c r="S146" s="720" t="str">
        <f>+IF(NOVIEMBRE!S146=0,"",NOVIEMBRE!S146)</f>
        <v/>
      </c>
      <c r="T146" s="694" t="str">
        <f>+IF(NOVIEMBRE!T146=0,"",NOVIEMBRE!T146)</f>
        <v/>
      </c>
      <c r="U146" s="17"/>
      <c r="V146" s="15"/>
      <c r="W146" s="15"/>
      <c r="X146" s="18"/>
      <c r="Y146" s="19"/>
      <c r="Z146" s="15"/>
      <c r="AA146" s="18"/>
      <c r="AB146" s="19"/>
      <c r="AC146" s="15"/>
      <c r="AD146" s="18"/>
      <c r="AE146" s="19"/>
      <c r="AF146" s="15"/>
      <c r="AG146" s="18"/>
      <c r="AH146" s="19"/>
      <c r="AI146" s="15"/>
      <c r="AJ146" s="16"/>
      <c r="AK146" s="9"/>
      <c r="AL146" s="175"/>
      <c r="AM146" s="176"/>
      <c r="AN146" s="9"/>
      <c r="BQ146" s="464"/>
    </row>
    <row r="147" spans="1:69" s="385" customFormat="1" ht="24.95" customHeight="1" x14ac:dyDescent="0.2">
      <c r="A147" s="767"/>
      <c r="B147" s="668"/>
      <c r="N147" s="9"/>
      <c r="R147" s="9"/>
      <c r="S147" s="718">
        <f>+IF(NOVIEMBRE!S147=0,"",NOVIEMBRE!S147)</f>
        <v>2020100</v>
      </c>
      <c r="T147" s="692" t="str">
        <f>+IF(NOVIEMBRE!T147=0,"",NOVIEMBRE!T147)</f>
        <v>Adquisición de bienes</v>
      </c>
      <c r="U147" s="135">
        <f t="shared" ref="U147:AJ147" si="146">SUM(U148:U149)+U153</f>
        <v>113248636</v>
      </c>
      <c r="V147" s="124">
        <f t="shared" si="146"/>
        <v>-5661935</v>
      </c>
      <c r="W147" s="124">
        <f t="shared" si="146"/>
        <v>75561517</v>
      </c>
      <c r="X147" s="132">
        <f t="shared" si="146"/>
        <v>183148218</v>
      </c>
      <c r="Y147" s="131">
        <f t="shared" si="146"/>
        <v>112521395</v>
      </c>
      <c r="Z147" s="124">
        <f t="shared" si="146"/>
        <v>0</v>
      </c>
      <c r="AA147" s="132">
        <f t="shared" si="146"/>
        <v>112521395</v>
      </c>
      <c r="AB147" s="131">
        <f t="shared" si="146"/>
        <v>112521395</v>
      </c>
      <c r="AC147" s="124">
        <f t="shared" si="146"/>
        <v>0</v>
      </c>
      <c r="AD147" s="132">
        <f t="shared" si="146"/>
        <v>112521395</v>
      </c>
      <c r="AE147" s="131">
        <f t="shared" si="146"/>
        <v>70437698</v>
      </c>
      <c r="AF147" s="124">
        <f t="shared" si="146"/>
        <v>0</v>
      </c>
      <c r="AG147" s="132">
        <f t="shared" si="146"/>
        <v>70437698</v>
      </c>
      <c r="AH147" s="131">
        <f t="shared" si="146"/>
        <v>70626823</v>
      </c>
      <c r="AI147" s="124">
        <f t="shared" si="146"/>
        <v>70626823</v>
      </c>
      <c r="AJ147" s="133">
        <f t="shared" si="146"/>
        <v>112710520</v>
      </c>
      <c r="AK147" s="9"/>
      <c r="AL147" s="131">
        <f>SUM(AL148:AL149)+AL153</f>
        <v>0</v>
      </c>
      <c r="AM147" s="133">
        <f>SUM(AM148:AM149)+AM153</f>
        <v>0</v>
      </c>
      <c r="AN147" s="9"/>
      <c r="BQ147" s="464"/>
    </row>
    <row r="148" spans="1:69" s="385" customFormat="1" ht="24.95" customHeight="1" x14ac:dyDescent="0.2">
      <c r="A148" s="767"/>
      <c r="B148" s="668"/>
      <c r="N148" s="9"/>
      <c r="R148" s="9"/>
      <c r="S148" s="719">
        <f>+IF(NOVIEMBRE!S148=0,"",NOVIEMBRE!S148)</f>
        <v>2020101</v>
      </c>
      <c r="T148" s="693" t="str">
        <f>+IF(NOVIEMBRE!T148=0,"",NOVIEMBRE!T148)</f>
        <v>Mantenimiento Hospitalario</v>
      </c>
      <c r="U148" s="27">
        <f>+ENERO!U148</f>
        <v>74533223</v>
      </c>
      <c r="V148" s="15">
        <f>NOVIEMBRE!V148+DICIEMBRE!AL148</f>
        <v>0</v>
      </c>
      <c r="W148" s="15">
        <f>NOVIEMBRE!W148+DICIEMBRE!AM148</f>
        <v>0</v>
      </c>
      <c r="X148" s="18">
        <f>SUM(U148:W148)</f>
        <v>74533223</v>
      </c>
      <c r="Y148" s="19">
        <f>NOVIEMBRE!AA148</f>
        <v>35234897</v>
      </c>
      <c r="Z148" s="377">
        <v>0</v>
      </c>
      <c r="AA148" s="18">
        <f>SUM(Y148:Z148)</f>
        <v>35234897</v>
      </c>
      <c r="AB148" s="19">
        <f>NOVIEMBRE!AD148</f>
        <v>35234897</v>
      </c>
      <c r="AC148" s="377">
        <v>0</v>
      </c>
      <c r="AD148" s="18">
        <f>SUM(AB148:AC148)</f>
        <v>35234897</v>
      </c>
      <c r="AE148" s="19">
        <f>NOVIEMBRE!AG148</f>
        <v>28636860</v>
      </c>
      <c r="AF148" s="377">
        <v>0</v>
      </c>
      <c r="AG148" s="18">
        <f>SUM(AE148:AF148)</f>
        <v>28636860</v>
      </c>
      <c r="AH148" s="19">
        <f>X148-AA148</f>
        <v>39298326</v>
      </c>
      <c r="AI148" s="15">
        <f>X148-AD148</f>
        <v>39298326</v>
      </c>
      <c r="AJ148" s="16">
        <f>X148-AG148</f>
        <v>45896363</v>
      </c>
      <c r="AK148" s="9"/>
      <c r="AL148" s="375">
        <v>0</v>
      </c>
      <c r="AM148" s="378">
        <v>0</v>
      </c>
      <c r="AN148" s="9"/>
      <c r="BQ148" s="464"/>
    </row>
    <row r="149" spans="1:69" s="385" customFormat="1" ht="24.95" customHeight="1" x14ac:dyDescent="0.2">
      <c r="A149" s="767"/>
      <c r="B149" s="668"/>
      <c r="N149" s="9"/>
      <c r="R149" s="9"/>
      <c r="S149" s="719">
        <f>+IF(NOVIEMBRE!S149=0,"",NOVIEMBRE!S149)</f>
        <v>2020102</v>
      </c>
      <c r="T149" s="693" t="str">
        <f>+IF(NOVIEMBRE!T149=0,"",NOVIEMBRE!T149)</f>
        <v>Otros</v>
      </c>
      <c r="U149" s="27">
        <f t="shared" ref="U149:AJ149" si="147">SUM(U150:U152)</f>
        <v>38715413</v>
      </c>
      <c r="V149" s="15">
        <f t="shared" si="147"/>
        <v>-5661935</v>
      </c>
      <c r="W149" s="15">
        <f t="shared" si="147"/>
        <v>41780673</v>
      </c>
      <c r="X149" s="18">
        <f t="shared" si="147"/>
        <v>74834151</v>
      </c>
      <c r="Y149" s="19">
        <f t="shared" si="147"/>
        <v>43505654</v>
      </c>
      <c r="Z149" s="145">
        <f t="shared" si="147"/>
        <v>0</v>
      </c>
      <c r="AA149" s="18">
        <f t="shared" si="147"/>
        <v>43505654</v>
      </c>
      <c r="AB149" s="19">
        <f t="shared" si="147"/>
        <v>43505654</v>
      </c>
      <c r="AC149" s="145">
        <f t="shared" si="147"/>
        <v>0</v>
      </c>
      <c r="AD149" s="18">
        <f t="shared" si="147"/>
        <v>43505654</v>
      </c>
      <c r="AE149" s="19">
        <f t="shared" si="147"/>
        <v>8019994</v>
      </c>
      <c r="AF149" s="145">
        <f t="shared" si="147"/>
        <v>0</v>
      </c>
      <c r="AG149" s="18">
        <f t="shared" si="147"/>
        <v>8019994</v>
      </c>
      <c r="AH149" s="19">
        <f t="shared" si="147"/>
        <v>31328497</v>
      </c>
      <c r="AI149" s="15">
        <f t="shared" si="147"/>
        <v>31328497</v>
      </c>
      <c r="AJ149" s="16">
        <f t="shared" si="147"/>
        <v>66814157</v>
      </c>
      <c r="AK149" s="9"/>
      <c r="AL149" s="29">
        <f>SUM(AL150:AL152)</f>
        <v>0</v>
      </c>
      <c r="AM149" s="26">
        <f>SUM(AM150:AM152)</f>
        <v>0</v>
      </c>
      <c r="AN149" s="9"/>
      <c r="BQ149" s="464"/>
    </row>
    <row r="150" spans="1:69" s="385" customFormat="1" ht="24.95" customHeight="1" x14ac:dyDescent="0.2">
      <c r="A150" s="767"/>
      <c r="B150" s="668"/>
      <c r="N150" s="9"/>
      <c r="R150" s="9"/>
      <c r="S150" s="720" t="str">
        <f>+IF(NOVIEMBRE!S150=0,"",NOVIEMBRE!S150)</f>
        <v>2020102-1</v>
      </c>
      <c r="T150" s="693" t="str">
        <f>+IF(NOVIEMBRE!T150=0,"",NOVIEMBRE!T150)</f>
        <v>Compra de Equipo e Instr. Mco. y Laborat.</v>
      </c>
      <c r="U150" s="27">
        <f>+ENERO!U150</f>
        <v>0</v>
      </c>
      <c r="V150" s="15">
        <f>NOVIEMBRE!V150+DICIEMBRE!AL150</f>
        <v>0</v>
      </c>
      <c r="W150" s="15">
        <f>NOVIEMBRE!W150+DICIEMBRE!AM150</f>
        <v>40000000</v>
      </c>
      <c r="X150" s="18">
        <f>SUM(U150:W150)</f>
        <v>40000000</v>
      </c>
      <c r="Y150" s="19">
        <f>NOVIEMBRE!AA150</f>
        <v>15833188</v>
      </c>
      <c r="Z150" s="377">
        <v>0</v>
      </c>
      <c r="AA150" s="18">
        <f>SUM(Y150:Z150)</f>
        <v>15833188</v>
      </c>
      <c r="AB150" s="19">
        <f>NOVIEMBRE!AD150</f>
        <v>15833188</v>
      </c>
      <c r="AC150" s="377">
        <v>0</v>
      </c>
      <c r="AD150" s="18">
        <f>SUM(AB150:AC150)</f>
        <v>15833188</v>
      </c>
      <c r="AE150" s="19">
        <f>NOVIEMBRE!AG150</f>
        <v>1809600</v>
      </c>
      <c r="AF150" s="377">
        <v>0</v>
      </c>
      <c r="AG150" s="18">
        <f>SUM(AE150:AF150)</f>
        <v>1809600</v>
      </c>
      <c r="AH150" s="19">
        <f>X150-AA150</f>
        <v>24166812</v>
      </c>
      <c r="AI150" s="15">
        <f>X150-AD150</f>
        <v>24166812</v>
      </c>
      <c r="AJ150" s="16">
        <f>X150-AG150</f>
        <v>38190400</v>
      </c>
      <c r="AK150" s="9"/>
      <c r="AL150" s="375">
        <v>0</v>
      </c>
      <c r="AM150" s="378">
        <v>0</v>
      </c>
      <c r="AN150" s="9"/>
      <c r="BQ150" s="464"/>
    </row>
    <row r="151" spans="1:69" s="385" customFormat="1" ht="24.95" customHeight="1" x14ac:dyDescent="0.2">
      <c r="A151" s="767"/>
      <c r="B151" s="668"/>
      <c r="N151" s="9"/>
      <c r="R151" s="9"/>
      <c r="S151" s="720" t="str">
        <f>+IF(NOVIEMBRE!S151=0,"",NOVIEMBRE!S151)</f>
        <v>2020102-2</v>
      </c>
      <c r="T151" s="693" t="str">
        <f>+IF(NOVIEMBRE!T151=0,"",NOVIEMBRE!T151)</f>
        <v>Materiales</v>
      </c>
      <c r="U151" s="27">
        <f>+ENERO!U151</f>
        <v>15288294</v>
      </c>
      <c r="V151" s="15">
        <f>NOVIEMBRE!V151+DICIEMBRE!AL151</f>
        <v>-5661935</v>
      </c>
      <c r="W151" s="15">
        <f>NOVIEMBRE!W151+DICIEMBRE!AM151</f>
        <v>1780673</v>
      </c>
      <c r="X151" s="18">
        <f>SUM(U151:W151)</f>
        <v>11407032</v>
      </c>
      <c r="Y151" s="19">
        <f>NOVIEMBRE!AA151</f>
        <v>8901568</v>
      </c>
      <c r="Z151" s="377">
        <v>0</v>
      </c>
      <c r="AA151" s="18">
        <f>SUM(Y151:Z151)</f>
        <v>8901568</v>
      </c>
      <c r="AB151" s="19">
        <f>NOVIEMBRE!AD151</f>
        <v>8901568</v>
      </c>
      <c r="AC151" s="377">
        <v>0</v>
      </c>
      <c r="AD151" s="18">
        <f>SUM(AB151:AC151)</f>
        <v>8901568</v>
      </c>
      <c r="AE151" s="19">
        <f>NOVIEMBRE!AG151</f>
        <v>2326880</v>
      </c>
      <c r="AF151" s="377">
        <v>0</v>
      </c>
      <c r="AG151" s="18">
        <f>SUM(AE151:AF151)</f>
        <v>2326880</v>
      </c>
      <c r="AH151" s="19">
        <f>X151-AA151</f>
        <v>2505464</v>
      </c>
      <c r="AI151" s="15">
        <f>X151-AD151</f>
        <v>2505464</v>
      </c>
      <c r="AJ151" s="16">
        <f>X151-AG151</f>
        <v>9080152</v>
      </c>
      <c r="AK151" s="9"/>
      <c r="AL151" s="375">
        <v>0</v>
      </c>
      <c r="AM151" s="378">
        <v>0</v>
      </c>
      <c r="AN151" s="9"/>
      <c r="BQ151" s="464"/>
    </row>
    <row r="152" spans="1:69" s="385" customFormat="1" ht="24.95" customHeight="1" x14ac:dyDescent="0.2">
      <c r="A152" s="767"/>
      <c r="B152" s="668"/>
      <c r="N152" s="9"/>
      <c r="R152" s="9"/>
      <c r="S152" s="720" t="str">
        <f>+IF(NOVIEMBRE!S152=0,"",NOVIEMBRE!S152)</f>
        <v>2020102-3</v>
      </c>
      <c r="T152" s="693" t="str">
        <f>+IF(NOVIEMBRE!T152=0,"",NOVIEMBRE!T152)</f>
        <v>Combustible</v>
      </c>
      <c r="U152" s="27">
        <f>+ENERO!U152</f>
        <v>23427119</v>
      </c>
      <c r="V152" s="15">
        <f>NOVIEMBRE!V152+DICIEMBRE!AL152</f>
        <v>0</v>
      </c>
      <c r="W152" s="15">
        <f>NOVIEMBRE!W152+DICIEMBRE!AM152</f>
        <v>0</v>
      </c>
      <c r="X152" s="18">
        <f>SUM(U152:W152)</f>
        <v>23427119</v>
      </c>
      <c r="Y152" s="19">
        <f>NOVIEMBRE!AA152</f>
        <v>18770898</v>
      </c>
      <c r="Z152" s="377">
        <v>0</v>
      </c>
      <c r="AA152" s="18">
        <f>SUM(Y152:Z152)</f>
        <v>18770898</v>
      </c>
      <c r="AB152" s="19">
        <f>NOVIEMBRE!AD152</f>
        <v>18770898</v>
      </c>
      <c r="AC152" s="377">
        <v>0</v>
      </c>
      <c r="AD152" s="18">
        <f>SUM(AB152:AC152)</f>
        <v>18770898</v>
      </c>
      <c r="AE152" s="19">
        <f>NOVIEMBRE!AG152</f>
        <v>3883514</v>
      </c>
      <c r="AF152" s="377">
        <v>0</v>
      </c>
      <c r="AG152" s="18">
        <f>SUM(AE152:AF152)</f>
        <v>3883514</v>
      </c>
      <c r="AH152" s="19">
        <f>X152-AA152</f>
        <v>4656221</v>
      </c>
      <c r="AI152" s="15">
        <f>X152-AD152</f>
        <v>4656221</v>
      </c>
      <c r="AJ152" s="16">
        <f>X152-AG152</f>
        <v>19543605</v>
      </c>
      <c r="AK152" s="9"/>
      <c r="AL152" s="375">
        <v>0</v>
      </c>
      <c r="AM152" s="378">
        <v>0</v>
      </c>
      <c r="AN152" s="9"/>
      <c r="BQ152" s="464"/>
    </row>
    <row r="153" spans="1:69" s="385" customFormat="1" ht="24.95" customHeight="1" x14ac:dyDescent="0.2">
      <c r="A153" s="767"/>
      <c r="B153" s="668"/>
      <c r="N153" s="9"/>
      <c r="R153" s="9"/>
      <c r="S153" s="719">
        <f>+IF(NOVIEMBRE!S153=0,"",NOVIEMBRE!S153)</f>
        <v>2020199</v>
      </c>
      <c r="T153" s="693" t="str">
        <f>+IF(NOVIEMBRE!T153=0,"",NOVIEMBRE!T153)</f>
        <v>Vigencias Anteriores</v>
      </c>
      <c r="U153" s="27">
        <f>+ENERO!U153</f>
        <v>0</v>
      </c>
      <c r="V153" s="15">
        <f>NOVIEMBRE!V153+DICIEMBRE!AL153</f>
        <v>0</v>
      </c>
      <c r="W153" s="15">
        <f>NOVIEMBRE!W153+DICIEMBRE!AM153</f>
        <v>33780844</v>
      </c>
      <c r="X153" s="18">
        <f>SUM(U153:W153)</f>
        <v>33780844</v>
      </c>
      <c r="Y153" s="19">
        <f>NOVIEMBRE!AA153</f>
        <v>33780844</v>
      </c>
      <c r="Z153" s="377">
        <v>0</v>
      </c>
      <c r="AA153" s="18">
        <f>SUM(Y153:Z153)</f>
        <v>33780844</v>
      </c>
      <c r="AB153" s="19">
        <f>NOVIEMBRE!AD153</f>
        <v>33780844</v>
      </c>
      <c r="AC153" s="377">
        <v>0</v>
      </c>
      <c r="AD153" s="18">
        <f>SUM(AB153:AC153)</f>
        <v>33780844</v>
      </c>
      <c r="AE153" s="19">
        <f>NOVIEMBRE!AG153</f>
        <v>33780844</v>
      </c>
      <c r="AF153" s="377">
        <v>0</v>
      </c>
      <c r="AG153" s="18">
        <f>SUM(AE153:AF153)</f>
        <v>33780844</v>
      </c>
      <c r="AH153" s="19">
        <f>X153-AA153</f>
        <v>0</v>
      </c>
      <c r="AI153" s="15">
        <f>X153-AD153</f>
        <v>0</v>
      </c>
      <c r="AJ153" s="16">
        <f>X153-AG153</f>
        <v>0</v>
      </c>
      <c r="AK153" s="9"/>
      <c r="AL153" s="375">
        <v>0</v>
      </c>
      <c r="AM153" s="378">
        <v>0</v>
      </c>
      <c r="AN153" s="9"/>
      <c r="BQ153" s="464"/>
    </row>
    <row r="154" spans="1:69" s="385" customFormat="1" ht="24.95" customHeight="1" x14ac:dyDescent="0.2">
      <c r="A154" s="767"/>
      <c r="B154" s="668"/>
      <c r="N154" s="9"/>
      <c r="R154" s="9"/>
      <c r="S154" s="369" t="str">
        <f>+IF(NOVIEMBRE!S154=0,"",NOVIEMBRE!S154)</f>
        <v/>
      </c>
      <c r="T154" s="708" t="str">
        <f>+IF(NOVIEMBRE!T154=0,"",NOVIEMBRE!T154)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c r="BQ154" s="464"/>
    </row>
    <row r="155" spans="1:69" s="385" customFormat="1" ht="24.95" customHeight="1" x14ac:dyDescent="0.2">
      <c r="A155" s="767"/>
      <c r="B155" s="668"/>
      <c r="N155" s="9"/>
      <c r="R155" s="9"/>
      <c r="S155" s="718">
        <f>+IF(NOVIEMBRE!S155=0,"",NOVIEMBRE!S155)</f>
        <v>2020200</v>
      </c>
      <c r="T155" s="692" t="str">
        <f>+IF(NOVIEMBRE!T155=0,"",NOVIEMBRE!T155)</f>
        <v>Adquisición de Servicios</v>
      </c>
      <c r="U155" s="135">
        <f t="shared" ref="U155:AJ155" si="148">SUM(U156:U157)+U168</f>
        <v>210727239</v>
      </c>
      <c r="V155" s="124">
        <f t="shared" si="148"/>
        <v>32700000</v>
      </c>
      <c r="W155" s="124">
        <f t="shared" si="148"/>
        <v>35537671</v>
      </c>
      <c r="X155" s="132">
        <f t="shared" si="148"/>
        <v>278964910</v>
      </c>
      <c r="Y155" s="131">
        <f t="shared" si="148"/>
        <v>231764834</v>
      </c>
      <c r="Z155" s="124">
        <f t="shared" si="148"/>
        <v>0</v>
      </c>
      <c r="AA155" s="132">
        <f t="shared" si="148"/>
        <v>231764834</v>
      </c>
      <c r="AB155" s="131">
        <f t="shared" si="148"/>
        <v>201555489</v>
      </c>
      <c r="AC155" s="124">
        <f t="shared" si="148"/>
        <v>0</v>
      </c>
      <c r="AD155" s="132">
        <f t="shared" si="148"/>
        <v>201555489</v>
      </c>
      <c r="AE155" s="131">
        <f t="shared" si="148"/>
        <v>150758963</v>
      </c>
      <c r="AF155" s="124">
        <f t="shared" si="148"/>
        <v>0</v>
      </c>
      <c r="AG155" s="132">
        <f t="shared" si="148"/>
        <v>150758963</v>
      </c>
      <c r="AH155" s="131">
        <f t="shared" si="148"/>
        <v>47200076</v>
      </c>
      <c r="AI155" s="124">
        <f t="shared" si="148"/>
        <v>77409421</v>
      </c>
      <c r="AJ155" s="133">
        <f t="shared" si="148"/>
        <v>128205947</v>
      </c>
      <c r="AK155" s="9"/>
      <c r="AL155" s="131">
        <f>SUM(AL156:AL157)+AL168</f>
        <v>0</v>
      </c>
      <c r="AM155" s="133">
        <f>SUM(AM156:AM157)+AM168</f>
        <v>0</v>
      </c>
      <c r="AN155" s="9"/>
      <c r="BQ155" s="464"/>
    </row>
    <row r="156" spans="1:69" s="385" customFormat="1" ht="24.95" customHeight="1" x14ac:dyDescent="0.2">
      <c r="A156" s="767"/>
      <c r="B156" s="668"/>
      <c r="N156" s="9"/>
      <c r="P156" s="9"/>
      <c r="Q156" s="9"/>
      <c r="R156" s="9"/>
      <c r="S156" s="719">
        <f>+IF(NOVIEMBRE!S156=0,"",NOVIEMBRE!S156)</f>
        <v>2020201</v>
      </c>
      <c r="T156" s="693" t="str">
        <f>+IF(NOVIEMBRE!T156=0,"",NOVIEMBRE!T156)</f>
        <v>Mantenimiento Hospitalario</v>
      </c>
      <c r="U156" s="27">
        <f>+ENERO!U156</f>
        <v>82251828</v>
      </c>
      <c r="V156" s="15">
        <f>NOVIEMBRE!V156+DICIEMBRE!AL156</f>
        <v>0</v>
      </c>
      <c r="W156" s="15">
        <f>NOVIEMBRE!W156+DICIEMBRE!AM156</f>
        <v>0</v>
      </c>
      <c r="X156" s="18">
        <f>SUM(U156:W156)</f>
        <v>82251828</v>
      </c>
      <c r="Y156" s="19">
        <f>NOVIEMBRE!AA156</f>
        <v>75063929</v>
      </c>
      <c r="Z156" s="377">
        <v>0</v>
      </c>
      <c r="AA156" s="18">
        <f>SUM(Y156:Z156)</f>
        <v>75063929</v>
      </c>
      <c r="AB156" s="19">
        <f>NOVIEMBRE!AD156</f>
        <v>65637083</v>
      </c>
      <c r="AC156" s="377">
        <v>0</v>
      </c>
      <c r="AD156" s="18">
        <f>SUM(AB156:AC156)</f>
        <v>65637083</v>
      </c>
      <c r="AE156" s="19">
        <f>NOVIEMBRE!AG156</f>
        <v>52084920</v>
      </c>
      <c r="AF156" s="377">
        <v>0</v>
      </c>
      <c r="AG156" s="18">
        <f>SUM(AE156:AF156)</f>
        <v>52084920</v>
      </c>
      <c r="AH156" s="19">
        <f>X156-AA156</f>
        <v>7187899</v>
      </c>
      <c r="AI156" s="15">
        <f>X156-AD156</f>
        <v>16614745</v>
      </c>
      <c r="AJ156" s="16">
        <f>X156-AG156</f>
        <v>30166908</v>
      </c>
      <c r="AK156" s="9"/>
      <c r="AL156" s="375">
        <v>0</v>
      </c>
      <c r="AM156" s="378">
        <v>0</v>
      </c>
      <c r="AN156" s="9"/>
      <c r="BQ156" s="464"/>
    </row>
    <row r="157" spans="1:69" s="385" customFormat="1" ht="24.95" customHeight="1" x14ac:dyDescent="0.2">
      <c r="A157" s="767"/>
      <c r="B157" s="668"/>
      <c r="N157" s="9"/>
      <c r="P157" s="9"/>
      <c r="Q157" s="9"/>
      <c r="R157" s="9"/>
      <c r="S157" s="719">
        <f>+IF(NOVIEMBRE!S157=0,"",NOVIEMBRE!S157)</f>
        <v>2020202</v>
      </c>
      <c r="T157" s="693" t="str">
        <f>+IF(NOVIEMBRE!T157=0,"",NOVIEMBRE!T157)</f>
        <v>Otros</v>
      </c>
      <c r="U157" s="27">
        <f t="shared" ref="U157:AJ157" si="149">SUM(U158:U167)</f>
        <v>128475411</v>
      </c>
      <c r="V157" s="15">
        <f t="shared" si="149"/>
        <v>32700000</v>
      </c>
      <c r="W157" s="15">
        <f t="shared" si="149"/>
        <v>7000000</v>
      </c>
      <c r="X157" s="18">
        <f t="shared" si="149"/>
        <v>168175411</v>
      </c>
      <c r="Y157" s="19">
        <f t="shared" si="149"/>
        <v>128163234</v>
      </c>
      <c r="Z157" s="145">
        <f t="shared" si="149"/>
        <v>0</v>
      </c>
      <c r="AA157" s="18">
        <f t="shared" si="149"/>
        <v>128163234</v>
      </c>
      <c r="AB157" s="19">
        <f t="shared" si="149"/>
        <v>107380735</v>
      </c>
      <c r="AC157" s="145">
        <f t="shared" si="149"/>
        <v>0</v>
      </c>
      <c r="AD157" s="18">
        <f t="shared" si="149"/>
        <v>107380735</v>
      </c>
      <c r="AE157" s="19">
        <f t="shared" si="149"/>
        <v>74246631</v>
      </c>
      <c r="AF157" s="145">
        <f t="shared" si="149"/>
        <v>0</v>
      </c>
      <c r="AG157" s="18">
        <f t="shared" si="149"/>
        <v>74246631</v>
      </c>
      <c r="AH157" s="19">
        <f t="shared" si="149"/>
        <v>40012177</v>
      </c>
      <c r="AI157" s="15">
        <f t="shared" si="149"/>
        <v>60794676</v>
      </c>
      <c r="AJ157" s="16">
        <f t="shared" si="149"/>
        <v>93928780</v>
      </c>
      <c r="AK157" s="10"/>
      <c r="AL157" s="29">
        <f>SUM(AL158:AL167)</f>
        <v>0</v>
      </c>
      <c r="AM157" s="26">
        <f>SUM(AM158:AM167)</f>
        <v>0</v>
      </c>
      <c r="AN157" s="9"/>
      <c r="BQ157" s="464"/>
    </row>
    <row r="158" spans="1:69" s="385" customFormat="1" ht="24.95" customHeight="1" x14ac:dyDescent="0.2">
      <c r="A158" s="767"/>
      <c r="B158" s="668"/>
      <c r="N158" s="9"/>
      <c r="P158" s="9"/>
      <c r="Q158" s="9"/>
      <c r="R158" s="9"/>
      <c r="S158" s="720" t="str">
        <f>+IF(NOVIEMBRE!S158=0,"",NOVIEMBRE!S158)</f>
        <v>2020202-1</v>
      </c>
      <c r="T158" s="694" t="str">
        <f>+IF(NOVIEMBRE!T158=0,"",NOVIEMBRE!T158)</f>
        <v>Seguros</v>
      </c>
      <c r="U158" s="27">
        <f>+ENERO!U158</f>
        <v>15745455</v>
      </c>
      <c r="V158" s="15">
        <f>NOVIEMBRE!V158+DICIEMBRE!AL158</f>
        <v>0</v>
      </c>
      <c r="W158" s="15">
        <f>NOVIEMBRE!W158+DICIEMBRE!AM158</f>
        <v>5000000</v>
      </c>
      <c r="X158" s="18">
        <f t="shared" ref="X158:X168" si="150">SUM(U158:W158)</f>
        <v>20745455</v>
      </c>
      <c r="Y158" s="19">
        <f>NOVIEMBRE!AA158</f>
        <v>18105539</v>
      </c>
      <c r="Z158" s="377">
        <v>0</v>
      </c>
      <c r="AA158" s="18">
        <f t="shared" ref="AA158:AA168" si="151">SUM(Y158:Z158)</f>
        <v>18105539</v>
      </c>
      <c r="AB158" s="19">
        <f>NOVIEMBRE!AD158</f>
        <v>18105539</v>
      </c>
      <c r="AC158" s="377">
        <v>0</v>
      </c>
      <c r="AD158" s="18">
        <f t="shared" ref="AD158:AD168" si="152">SUM(AB158:AC158)</f>
        <v>18105539</v>
      </c>
      <c r="AE158" s="19">
        <f>NOVIEMBRE!AG158</f>
        <v>15857681</v>
      </c>
      <c r="AF158" s="377">
        <v>0</v>
      </c>
      <c r="AG158" s="18">
        <f t="shared" ref="AG158:AG168" si="153">SUM(AE158:AF158)</f>
        <v>15857681</v>
      </c>
      <c r="AH158" s="19">
        <f t="shared" ref="AH158:AH168" si="154">X158-AA158</f>
        <v>2639916</v>
      </c>
      <c r="AI158" s="15">
        <f t="shared" ref="AI158:AI168" si="155">X158-AD158</f>
        <v>2639916</v>
      </c>
      <c r="AJ158" s="16">
        <f t="shared" ref="AJ158:AJ168" si="156">X158-AG158</f>
        <v>4887774</v>
      </c>
      <c r="AK158" s="9"/>
      <c r="AL158" s="375">
        <v>0</v>
      </c>
      <c r="AM158" s="378">
        <v>0</v>
      </c>
      <c r="AN158" s="9"/>
      <c r="BQ158" s="464"/>
    </row>
    <row r="159" spans="1:69" s="385" customFormat="1" ht="24.95" customHeight="1" x14ac:dyDescent="0.2">
      <c r="A159" s="767"/>
      <c r="B159" s="668"/>
      <c r="N159" s="9"/>
      <c r="P159" s="9"/>
      <c r="Q159" s="9"/>
      <c r="R159" s="9"/>
      <c r="S159" s="720" t="str">
        <f>+IF(NOVIEMBRE!S159=0,"",NOVIEMBRE!S159)</f>
        <v>2020202-2</v>
      </c>
      <c r="T159" s="694" t="str">
        <f>+IF(NOVIEMBRE!T159=0,"",NOVIEMBRE!T159)</f>
        <v>Impresos y Publicaciones</v>
      </c>
      <c r="U159" s="27">
        <f>+ENERO!U159</f>
        <v>0</v>
      </c>
      <c r="V159" s="15">
        <f>NOVIEMBRE!V159+DICIEMBRE!AL159</f>
        <v>0</v>
      </c>
      <c r="W159" s="15">
        <f>NOVIEMBRE!W159+DICIEMBRE!AM159</f>
        <v>0</v>
      </c>
      <c r="X159" s="18">
        <f t="shared" si="150"/>
        <v>0</v>
      </c>
      <c r="Y159" s="19">
        <f>NOVIEMBRE!AA159</f>
        <v>0</v>
      </c>
      <c r="Z159" s="377">
        <v>0</v>
      </c>
      <c r="AA159" s="18">
        <f t="shared" si="151"/>
        <v>0</v>
      </c>
      <c r="AB159" s="19">
        <f>NOVIEMBRE!AD159</f>
        <v>0</v>
      </c>
      <c r="AC159" s="377">
        <v>0</v>
      </c>
      <c r="AD159" s="18">
        <f t="shared" si="152"/>
        <v>0</v>
      </c>
      <c r="AE159" s="19">
        <f>NOVIEMBRE!AG159</f>
        <v>0</v>
      </c>
      <c r="AF159" s="377">
        <v>0</v>
      </c>
      <c r="AG159" s="18">
        <f t="shared" si="153"/>
        <v>0</v>
      </c>
      <c r="AH159" s="19">
        <f t="shared" si="154"/>
        <v>0</v>
      </c>
      <c r="AI159" s="15">
        <f t="shared" si="155"/>
        <v>0</v>
      </c>
      <c r="AJ159" s="16">
        <f t="shared" si="156"/>
        <v>0</v>
      </c>
      <c r="AK159" s="9"/>
      <c r="AL159" s="375">
        <v>0</v>
      </c>
      <c r="AM159" s="378">
        <v>0</v>
      </c>
      <c r="AN159" s="9"/>
      <c r="BQ159" s="464"/>
    </row>
    <row r="160" spans="1:69" s="385" customFormat="1" ht="24.95" customHeight="1" x14ac:dyDescent="0.2">
      <c r="A160" s="767"/>
      <c r="B160" s="668"/>
      <c r="N160" s="9"/>
      <c r="P160" s="9"/>
      <c r="Q160" s="9"/>
      <c r="R160" s="9"/>
      <c r="S160" s="720" t="str">
        <f>+IF(NOVIEMBRE!S160=0,"",NOVIEMBRE!S160)</f>
        <v>2020202-3</v>
      </c>
      <c r="T160" s="694" t="str">
        <f>+IF(NOVIEMBRE!T160=0,"",NOVIEMBRE!T160)</f>
        <v>Pago a otras IPS</v>
      </c>
      <c r="U160" s="27">
        <f>+ENERO!U160</f>
        <v>893693</v>
      </c>
      <c r="V160" s="15">
        <f>NOVIEMBRE!V160+DICIEMBRE!AL160</f>
        <v>23000000</v>
      </c>
      <c r="W160" s="15">
        <f>NOVIEMBRE!W160+DICIEMBRE!AM160</f>
        <v>2000000</v>
      </c>
      <c r="X160" s="18">
        <f t="shared" si="150"/>
        <v>25893693</v>
      </c>
      <c r="Y160" s="19">
        <f>NOVIEMBRE!AA160</f>
        <v>3222593</v>
      </c>
      <c r="Z160" s="377">
        <v>0</v>
      </c>
      <c r="AA160" s="18">
        <f t="shared" si="151"/>
        <v>3222593</v>
      </c>
      <c r="AB160" s="19">
        <f>NOVIEMBRE!AD160</f>
        <v>3222593</v>
      </c>
      <c r="AC160" s="377">
        <v>0</v>
      </c>
      <c r="AD160" s="18">
        <f t="shared" si="152"/>
        <v>3222593</v>
      </c>
      <c r="AE160" s="19">
        <f>NOVIEMBRE!AG160</f>
        <v>55000</v>
      </c>
      <c r="AF160" s="377">
        <v>0</v>
      </c>
      <c r="AG160" s="18">
        <f t="shared" si="153"/>
        <v>55000</v>
      </c>
      <c r="AH160" s="19">
        <f t="shared" si="154"/>
        <v>22671100</v>
      </c>
      <c r="AI160" s="15">
        <f t="shared" si="155"/>
        <v>22671100</v>
      </c>
      <c r="AJ160" s="16">
        <f t="shared" si="156"/>
        <v>25838693</v>
      </c>
      <c r="AK160" s="9"/>
      <c r="AL160" s="375">
        <v>0</v>
      </c>
      <c r="AM160" s="378">
        <v>0</v>
      </c>
      <c r="AN160" s="9"/>
      <c r="BQ160" s="464"/>
    </row>
    <row r="161" spans="1:69" s="385" customFormat="1" ht="24.95" customHeight="1" x14ac:dyDescent="0.2">
      <c r="A161" s="767"/>
      <c r="B161" s="668"/>
      <c r="N161" s="9"/>
      <c r="P161" s="9"/>
      <c r="Q161" s="9"/>
      <c r="R161" s="9"/>
      <c r="S161" s="720" t="str">
        <f>+IF(NOVIEMBRE!S161=0,"",NOVIEMBRE!S161)</f>
        <v>2020202-4</v>
      </c>
      <c r="T161" s="694" t="str">
        <f>+IF(NOVIEMBRE!T161=0,"",NOVIEMBRE!T161)</f>
        <v>Comunicaciones y Transportes</v>
      </c>
      <c r="U161" s="27">
        <f>+ENERO!U161</f>
        <v>9528246</v>
      </c>
      <c r="V161" s="15">
        <f>NOVIEMBRE!V161+DICIEMBRE!AL161</f>
        <v>0</v>
      </c>
      <c r="W161" s="15">
        <f>NOVIEMBRE!W161+DICIEMBRE!AM161</f>
        <v>0</v>
      </c>
      <c r="X161" s="18">
        <f t="shared" si="150"/>
        <v>9528246</v>
      </c>
      <c r="Y161" s="19">
        <f>NOVIEMBRE!AA161</f>
        <v>5856554</v>
      </c>
      <c r="Z161" s="377">
        <v>0</v>
      </c>
      <c r="AA161" s="18">
        <f t="shared" si="151"/>
        <v>5856554</v>
      </c>
      <c r="AB161" s="19">
        <f>NOVIEMBRE!AD161</f>
        <v>5856554</v>
      </c>
      <c r="AC161" s="377">
        <v>0</v>
      </c>
      <c r="AD161" s="18">
        <f t="shared" si="152"/>
        <v>5856554</v>
      </c>
      <c r="AE161" s="19">
        <f>NOVIEMBRE!AG161</f>
        <v>4865014</v>
      </c>
      <c r="AF161" s="377">
        <v>0</v>
      </c>
      <c r="AG161" s="18">
        <f t="shared" si="153"/>
        <v>4865014</v>
      </c>
      <c r="AH161" s="19">
        <f t="shared" si="154"/>
        <v>3671692</v>
      </c>
      <c r="AI161" s="15">
        <f t="shared" si="155"/>
        <v>3671692</v>
      </c>
      <c r="AJ161" s="16">
        <f t="shared" si="156"/>
        <v>4663232</v>
      </c>
      <c r="AK161" s="9"/>
      <c r="AL161" s="375">
        <v>0</v>
      </c>
      <c r="AM161" s="378">
        <v>0</v>
      </c>
      <c r="AN161" s="9"/>
      <c r="BQ161" s="464"/>
    </row>
    <row r="162" spans="1:69" s="385" customFormat="1" ht="24.95" customHeight="1" x14ac:dyDescent="0.2">
      <c r="A162" s="767"/>
      <c r="B162" s="668"/>
      <c r="N162" s="9"/>
      <c r="P162" s="9"/>
      <c r="Q162" s="9"/>
      <c r="R162" s="9"/>
      <c r="S162" s="720" t="str">
        <f>+IF(NOVIEMBRE!S162=0,"",NOVIEMBRE!S162)</f>
        <v>2020202-5</v>
      </c>
      <c r="T162" s="694" t="str">
        <f>+IF(NOVIEMBRE!T162=0,"",NOVIEMBRE!T162)</f>
        <v>Viáticos y Gastos de Viaje</v>
      </c>
      <c r="U162" s="27">
        <f>+ENERO!U162</f>
        <v>3326745</v>
      </c>
      <c r="V162" s="15">
        <f>NOVIEMBRE!V162+DICIEMBRE!AL162</f>
        <v>0</v>
      </c>
      <c r="W162" s="15">
        <f>NOVIEMBRE!W162+DICIEMBRE!AM162</f>
        <v>0</v>
      </c>
      <c r="X162" s="18">
        <f t="shared" si="150"/>
        <v>3326745</v>
      </c>
      <c r="Y162" s="19">
        <f>NOVIEMBRE!AA162</f>
        <v>1189478</v>
      </c>
      <c r="Z162" s="377">
        <v>0</v>
      </c>
      <c r="AA162" s="18">
        <f t="shared" si="151"/>
        <v>1189478</v>
      </c>
      <c r="AB162" s="19">
        <f>NOVIEMBRE!AD162</f>
        <v>1189478</v>
      </c>
      <c r="AC162" s="377">
        <v>0</v>
      </c>
      <c r="AD162" s="18">
        <f t="shared" si="152"/>
        <v>1189478</v>
      </c>
      <c r="AE162" s="19">
        <f>NOVIEMBRE!AG162</f>
        <v>1114729</v>
      </c>
      <c r="AF162" s="377">
        <v>0</v>
      </c>
      <c r="AG162" s="18">
        <f t="shared" si="153"/>
        <v>1114729</v>
      </c>
      <c r="AH162" s="19">
        <f t="shared" si="154"/>
        <v>2137267</v>
      </c>
      <c r="AI162" s="15">
        <f t="shared" si="155"/>
        <v>2137267</v>
      </c>
      <c r="AJ162" s="16">
        <f t="shared" si="156"/>
        <v>2212016</v>
      </c>
      <c r="AK162" s="9"/>
      <c r="AL162" s="375">
        <v>0</v>
      </c>
      <c r="AM162" s="378">
        <v>0</v>
      </c>
      <c r="AN162" s="9"/>
      <c r="BQ162" s="464"/>
    </row>
    <row r="163" spans="1:69" s="385" customFormat="1" ht="24.95" customHeight="1" x14ac:dyDescent="0.2">
      <c r="A163" s="767"/>
      <c r="B163" s="668"/>
      <c r="N163" s="9"/>
      <c r="P163" s="9"/>
      <c r="Q163" s="9"/>
      <c r="R163" s="9"/>
      <c r="S163" s="720" t="str">
        <f>+IF(NOVIEMBRE!S163=0,"",NOVIEMBRE!S163)</f>
        <v>2020202-6</v>
      </c>
      <c r="T163" s="694" t="str">
        <f>+IF(NOVIEMBRE!T163=0,"",NOVIEMBRE!T163)</f>
        <v>Plan Integral de Manejo de Residuos Sólidos Hospitalarios</v>
      </c>
      <c r="U163" s="27">
        <f>+ENERO!U163</f>
        <v>10511470</v>
      </c>
      <c r="V163" s="15">
        <f>NOVIEMBRE!V163+DICIEMBRE!AL163</f>
        <v>0</v>
      </c>
      <c r="W163" s="15">
        <f>NOVIEMBRE!W163+DICIEMBRE!AM163</f>
        <v>0</v>
      </c>
      <c r="X163" s="18">
        <f t="shared" si="150"/>
        <v>10511470</v>
      </c>
      <c r="Y163" s="19">
        <f>NOVIEMBRE!AA163</f>
        <v>10511470</v>
      </c>
      <c r="Z163" s="377">
        <v>0</v>
      </c>
      <c r="AA163" s="18">
        <f t="shared" si="151"/>
        <v>10511470</v>
      </c>
      <c r="AB163" s="19">
        <f>NOVIEMBRE!AD163</f>
        <v>4751953</v>
      </c>
      <c r="AC163" s="377">
        <v>0</v>
      </c>
      <c r="AD163" s="18">
        <f t="shared" si="152"/>
        <v>4751953</v>
      </c>
      <c r="AE163" s="19">
        <f>NOVIEMBRE!AG163</f>
        <v>2391035</v>
      </c>
      <c r="AF163" s="377">
        <v>0</v>
      </c>
      <c r="AG163" s="18">
        <f t="shared" si="153"/>
        <v>2391035</v>
      </c>
      <c r="AH163" s="19">
        <f t="shared" si="154"/>
        <v>0</v>
      </c>
      <c r="AI163" s="15">
        <f t="shared" si="155"/>
        <v>5759517</v>
      </c>
      <c r="AJ163" s="16">
        <f t="shared" si="156"/>
        <v>8120435</v>
      </c>
      <c r="AK163" s="9"/>
      <c r="AL163" s="375">
        <v>0</v>
      </c>
      <c r="AM163" s="378">
        <v>0</v>
      </c>
      <c r="AN163" s="9"/>
      <c r="BQ163" s="464"/>
    </row>
    <row r="164" spans="1:69" s="385" customFormat="1" ht="24.95" customHeight="1" x14ac:dyDescent="0.2">
      <c r="A164" s="767"/>
      <c r="B164" s="668"/>
      <c r="N164" s="9"/>
      <c r="P164" s="9"/>
      <c r="Q164" s="9"/>
      <c r="R164" s="9"/>
      <c r="S164" s="720" t="str">
        <f>+IF(NOVIEMBRE!S164=0,"",NOVIEMBRE!S164)</f>
        <v>2020202-7</v>
      </c>
      <c r="T164" s="694" t="str">
        <f>+IF(NOVIEMBRE!T164=0,"",NOVIEMBRE!T164)</f>
        <v>Servicios de Laboratorio contratados con terceros</v>
      </c>
      <c r="U164" s="27">
        <f>+ENERO!U164</f>
        <v>21580478</v>
      </c>
      <c r="V164" s="15">
        <f>NOVIEMBRE!V164+DICIEMBRE!AL164</f>
        <v>9700000</v>
      </c>
      <c r="W164" s="15">
        <f>NOVIEMBRE!W164+DICIEMBRE!AM164</f>
        <v>0</v>
      </c>
      <c r="X164" s="18">
        <f t="shared" si="150"/>
        <v>31280478</v>
      </c>
      <c r="Y164" s="19">
        <f>NOVIEMBRE!AA164</f>
        <v>25657900</v>
      </c>
      <c r="Z164" s="377">
        <v>0</v>
      </c>
      <c r="AA164" s="18">
        <f t="shared" si="151"/>
        <v>25657900</v>
      </c>
      <c r="AB164" s="19">
        <f>NOVIEMBRE!AD164</f>
        <v>25657900</v>
      </c>
      <c r="AC164" s="377">
        <v>0</v>
      </c>
      <c r="AD164" s="18">
        <f t="shared" si="152"/>
        <v>25657900</v>
      </c>
      <c r="AE164" s="19">
        <f>NOVIEMBRE!AG164</f>
        <v>13060000</v>
      </c>
      <c r="AF164" s="377">
        <v>0</v>
      </c>
      <c r="AG164" s="18">
        <f t="shared" si="153"/>
        <v>13060000</v>
      </c>
      <c r="AH164" s="19">
        <f t="shared" si="154"/>
        <v>5622578</v>
      </c>
      <c r="AI164" s="15">
        <f t="shared" si="155"/>
        <v>5622578</v>
      </c>
      <c r="AJ164" s="16">
        <f t="shared" si="156"/>
        <v>18220478</v>
      </c>
      <c r="AK164" s="9"/>
      <c r="AL164" s="375">
        <v>0</v>
      </c>
      <c r="AM164" s="378">
        <v>0</v>
      </c>
      <c r="AN164" s="9"/>
      <c r="BQ164" s="464"/>
    </row>
    <row r="165" spans="1:69" s="385" customFormat="1" ht="24.95" customHeight="1" x14ac:dyDescent="0.2">
      <c r="A165" s="767"/>
      <c r="B165" s="668"/>
      <c r="N165" s="9"/>
      <c r="P165" s="9"/>
      <c r="Q165" s="9"/>
      <c r="R165" s="9"/>
      <c r="S165" s="720" t="str">
        <f>+IF(NOVIEMBRE!S165=0,"",NOVIEMBRE!S165)</f>
        <v>2020202-8</v>
      </c>
      <c r="T165" s="694" t="str">
        <f>+IF(NOVIEMBRE!T165=0,"",NOVIEMBRE!T165)</f>
        <v>Servicios de Rayos X e Imaginología contratado con terceros</v>
      </c>
      <c r="U165" s="27">
        <f>+ENERO!U165</f>
        <v>0</v>
      </c>
      <c r="V165" s="15">
        <f>NOVIEMBRE!V165+DICIEMBRE!AL165</f>
        <v>0</v>
      </c>
      <c r="W165" s="15">
        <f>NOVIEMBRE!W165+DICIEMBRE!AM165</f>
        <v>0</v>
      </c>
      <c r="X165" s="18">
        <f t="shared" si="150"/>
        <v>0</v>
      </c>
      <c r="Y165" s="19">
        <f>NOVIEMBRE!AA165</f>
        <v>0</v>
      </c>
      <c r="Z165" s="377">
        <v>0</v>
      </c>
      <c r="AA165" s="18">
        <f t="shared" si="151"/>
        <v>0</v>
      </c>
      <c r="AB165" s="19">
        <f>NOVIEMBRE!AD165</f>
        <v>0</v>
      </c>
      <c r="AC165" s="377">
        <v>0</v>
      </c>
      <c r="AD165" s="18">
        <f t="shared" si="152"/>
        <v>0</v>
      </c>
      <c r="AE165" s="19">
        <f>NOVIEMBRE!AG165</f>
        <v>0</v>
      </c>
      <c r="AF165" s="377">
        <v>0</v>
      </c>
      <c r="AG165" s="18">
        <f t="shared" si="153"/>
        <v>0</v>
      </c>
      <c r="AH165" s="19">
        <f t="shared" si="154"/>
        <v>0</v>
      </c>
      <c r="AI165" s="15">
        <f t="shared" si="155"/>
        <v>0</v>
      </c>
      <c r="AJ165" s="16">
        <f t="shared" si="156"/>
        <v>0</v>
      </c>
      <c r="AK165" s="9"/>
      <c r="AL165" s="375">
        <v>0</v>
      </c>
      <c r="AM165" s="378">
        <v>0</v>
      </c>
      <c r="AN165" s="9"/>
      <c r="BQ165" s="464"/>
    </row>
    <row r="166" spans="1:69" s="385" customFormat="1" ht="24.95" customHeight="1" x14ac:dyDescent="0.2">
      <c r="A166" s="767"/>
      <c r="B166" s="668"/>
      <c r="N166" s="9"/>
      <c r="P166" s="9"/>
      <c r="Q166" s="9"/>
      <c r="R166" s="9"/>
      <c r="S166" s="720" t="str">
        <f>+IF(NOVIEMBRE!S166=0,"",NOVIEMBRE!S166)</f>
        <v>2020202-9</v>
      </c>
      <c r="T166" s="694" t="str">
        <f>+IF(NOVIEMBRE!T166=0,"",NOVIEMBRE!T166)</f>
        <v>Arrendamientos</v>
      </c>
      <c r="U166" s="27">
        <f>+ENERO!U166</f>
        <v>66889324</v>
      </c>
      <c r="V166" s="15">
        <f>NOVIEMBRE!V166+DICIEMBRE!AL166</f>
        <v>0</v>
      </c>
      <c r="W166" s="15">
        <f>NOVIEMBRE!W166+DICIEMBRE!AM166</f>
        <v>0</v>
      </c>
      <c r="X166" s="18">
        <f t="shared" si="150"/>
        <v>66889324</v>
      </c>
      <c r="Y166" s="19">
        <f>NOVIEMBRE!AA166</f>
        <v>63619700</v>
      </c>
      <c r="Z166" s="377">
        <v>0</v>
      </c>
      <c r="AA166" s="18">
        <f t="shared" si="151"/>
        <v>63619700</v>
      </c>
      <c r="AB166" s="19">
        <f>NOVIEMBRE!AD166</f>
        <v>48596718</v>
      </c>
      <c r="AC166" s="377">
        <v>0</v>
      </c>
      <c r="AD166" s="18">
        <f t="shared" si="152"/>
        <v>48596718</v>
      </c>
      <c r="AE166" s="19">
        <f>NOVIEMBRE!AG166</f>
        <v>36903172</v>
      </c>
      <c r="AF166" s="377">
        <v>0</v>
      </c>
      <c r="AG166" s="18">
        <f t="shared" si="153"/>
        <v>36903172</v>
      </c>
      <c r="AH166" s="19">
        <f t="shared" si="154"/>
        <v>3269624</v>
      </c>
      <c r="AI166" s="15">
        <f t="shared" si="155"/>
        <v>18292606</v>
      </c>
      <c r="AJ166" s="16">
        <f t="shared" si="156"/>
        <v>29986152</v>
      </c>
      <c r="AK166" s="9"/>
      <c r="AL166" s="375">
        <v>0</v>
      </c>
      <c r="AM166" s="378">
        <v>0</v>
      </c>
      <c r="AN166" s="9"/>
      <c r="BQ166" s="464"/>
    </row>
    <row r="167" spans="1:69" s="385" customFormat="1" ht="24.95" customHeight="1" x14ac:dyDescent="0.2">
      <c r="A167" s="767"/>
      <c r="B167" s="668"/>
      <c r="N167" s="9"/>
      <c r="P167" s="9"/>
      <c r="Q167" s="9"/>
      <c r="R167" s="9"/>
      <c r="S167" s="720" t="str">
        <f>+IF(NOVIEMBRE!S167=0,"",NOVIEMBRE!S167)</f>
        <v>2020202-10</v>
      </c>
      <c r="T167" s="694" t="str">
        <f>+IF(NOVIEMBRE!T167=0,"",NOVIEMBRE!T167)</f>
        <v>Servicios Públicos</v>
      </c>
      <c r="U167" s="27">
        <f>+ENERO!U167</f>
        <v>0</v>
      </c>
      <c r="V167" s="15">
        <f>NOVIEMBRE!V167+DICIEMBRE!AL167</f>
        <v>0</v>
      </c>
      <c r="W167" s="15">
        <f>NOVIEMBRE!W167+DICIEMBRE!AM167</f>
        <v>0</v>
      </c>
      <c r="X167" s="18">
        <f>SUM(U167:W167)</f>
        <v>0</v>
      </c>
      <c r="Y167" s="19">
        <f>NOVIEMBRE!AA167</f>
        <v>0</v>
      </c>
      <c r="Z167" s="377">
        <v>0</v>
      </c>
      <c r="AA167" s="18">
        <f>SUM(Y167:Z167)</f>
        <v>0</v>
      </c>
      <c r="AB167" s="19">
        <f>NOVIEMBRE!AD167</f>
        <v>0</v>
      </c>
      <c r="AC167" s="377">
        <v>0</v>
      </c>
      <c r="AD167" s="18">
        <f>SUM(AB167:AC167)</f>
        <v>0</v>
      </c>
      <c r="AE167" s="19">
        <f>NOVIEMBRE!AG167</f>
        <v>0</v>
      </c>
      <c r="AF167" s="377">
        <v>0</v>
      </c>
      <c r="AG167" s="18">
        <f>SUM(AE167:AF167)</f>
        <v>0</v>
      </c>
      <c r="AH167" s="19">
        <f>X167-AA167</f>
        <v>0</v>
      </c>
      <c r="AI167" s="15">
        <f>X167-AD167</f>
        <v>0</v>
      </c>
      <c r="AJ167" s="16">
        <f>X167-AG167</f>
        <v>0</v>
      </c>
      <c r="AK167" s="9"/>
      <c r="AL167" s="375"/>
      <c r="AM167" s="378"/>
      <c r="AN167" s="9"/>
      <c r="BQ167" s="464"/>
    </row>
    <row r="168" spans="1:69" s="385" customFormat="1" ht="24.95" customHeight="1" x14ac:dyDescent="0.2">
      <c r="A168" s="767"/>
      <c r="B168" s="668"/>
      <c r="N168" s="9"/>
      <c r="P168" s="9"/>
      <c r="Q168" s="9"/>
      <c r="R168" s="9"/>
      <c r="S168" s="719">
        <f>+IF(NOVIEMBRE!S168=0,"",NOVIEMBRE!S168)</f>
        <v>2020299</v>
      </c>
      <c r="T168" s="693" t="str">
        <f>+IF(NOVIEMBRE!T168=0,"",NOVIEMBRE!T168)</f>
        <v>Vigencias Anteriores</v>
      </c>
      <c r="U168" s="27">
        <f>+ENERO!U168</f>
        <v>0</v>
      </c>
      <c r="V168" s="15">
        <f>NOVIEMBRE!V168+DICIEMBRE!AL168</f>
        <v>0</v>
      </c>
      <c r="W168" s="15">
        <f>NOVIEMBRE!W168+DICIEMBRE!AM168</f>
        <v>28537671</v>
      </c>
      <c r="X168" s="18">
        <f t="shared" si="150"/>
        <v>28537671</v>
      </c>
      <c r="Y168" s="19">
        <f>NOVIEMBRE!AA168</f>
        <v>28537671</v>
      </c>
      <c r="Z168" s="377">
        <v>0</v>
      </c>
      <c r="AA168" s="18">
        <f t="shared" si="151"/>
        <v>28537671</v>
      </c>
      <c r="AB168" s="19">
        <f>NOVIEMBRE!AD168</f>
        <v>28537671</v>
      </c>
      <c r="AC168" s="377">
        <v>0</v>
      </c>
      <c r="AD168" s="18">
        <f t="shared" si="152"/>
        <v>28537671</v>
      </c>
      <c r="AE168" s="19">
        <f>NOVIEMBRE!AG168</f>
        <v>24427412</v>
      </c>
      <c r="AF168" s="377">
        <v>0</v>
      </c>
      <c r="AG168" s="18">
        <f t="shared" si="153"/>
        <v>24427412</v>
      </c>
      <c r="AH168" s="19">
        <f t="shared" si="154"/>
        <v>0</v>
      </c>
      <c r="AI168" s="15">
        <f t="shared" si="155"/>
        <v>0</v>
      </c>
      <c r="AJ168" s="16">
        <f t="shared" si="156"/>
        <v>4110259</v>
      </c>
      <c r="AK168" s="9"/>
      <c r="AL168" s="375">
        <v>0</v>
      </c>
      <c r="AM168" s="378">
        <v>0</v>
      </c>
      <c r="AN168" s="9"/>
      <c r="BQ168" s="464"/>
    </row>
    <row r="169" spans="1:69" s="385" customFormat="1" ht="24.95" customHeight="1" x14ac:dyDescent="0.2">
      <c r="A169" s="767"/>
      <c r="B169" s="668"/>
      <c r="N169" s="9"/>
      <c r="P169" s="9"/>
      <c r="Q169" s="9"/>
      <c r="R169" s="9"/>
      <c r="S169" s="369" t="str">
        <f>+IF(NOVIEMBRE!S169=0,"",NOVIEMBRE!S169)</f>
        <v/>
      </c>
      <c r="T169" s="708" t="str">
        <f>+IF(NOVIEMBRE!T169=0,"",NOVIEMBRE!T169)</f>
        <v/>
      </c>
      <c r="U169" s="164"/>
      <c r="V169" s="164"/>
      <c r="W169" s="164"/>
      <c r="X169" s="164"/>
      <c r="Y169" s="164"/>
      <c r="Z169" s="164"/>
      <c r="AA169" s="164"/>
      <c r="AB169" s="164"/>
      <c r="AC169" s="164"/>
      <c r="AD169" s="164"/>
      <c r="AE169" s="164"/>
      <c r="AF169" s="164"/>
      <c r="AG169" s="164"/>
      <c r="AH169" s="164"/>
      <c r="AI169" s="164"/>
      <c r="AJ169" s="169"/>
      <c r="AK169" s="9"/>
      <c r="AL169" s="175"/>
      <c r="AM169" s="176"/>
      <c r="AN169" s="9"/>
      <c r="BQ169" s="464"/>
    </row>
    <row r="170" spans="1:69" s="385" customFormat="1" ht="24.95" customHeight="1" x14ac:dyDescent="0.2">
      <c r="A170" s="767"/>
      <c r="B170" s="668"/>
      <c r="N170" s="9"/>
      <c r="P170" s="9"/>
      <c r="Q170" s="9"/>
      <c r="R170" s="9"/>
      <c r="S170" s="717">
        <f>+IF(NOVIEMBRE!S170=0,"",NOVIEMBRE!S170)</f>
        <v>3000000</v>
      </c>
      <c r="T170" s="697" t="str">
        <f>+IF(NOVIEMBRE!T170=0,"",NOVIEMBRE!T170)</f>
        <v>TRANSFERENCIAS CORRIENTES</v>
      </c>
      <c r="U170" s="473">
        <f t="shared" ref="U170:AJ170" si="157">U172+U176+U185</f>
        <v>60072284</v>
      </c>
      <c r="V170" s="474">
        <f t="shared" si="157"/>
        <v>0</v>
      </c>
      <c r="W170" s="474">
        <f t="shared" si="157"/>
        <v>14421810</v>
      </c>
      <c r="X170" s="475">
        <f t="shared" si="157"/>
        <v>74494094</v>
      </c>
      <c r="Y170" s="382">
        <f t="shared" si="157"/>
        <v>41093974</v>
      </c>
      <c r="Z170" s="474">
        <f t="shared" si="157"/>
        <v>0</v>
      </c>
      <c r="AA170" s="475">
        <f t="shared" si="157"/>
        <v>41093974</v>
      </c>
      <c r="AB170" s="382">
        <f t="shared" si="157"/>
        <v>41093974</v>
      </c>
      <c r="AC170" s="474">
        <f t="shared" si="157"/>
        <v>0</v>
      </c>
      <c r="AD170" s="475">
        <f t="shared" si="157"/>
        <v>41093974</v>
      </c>
      <c r="AE170" s="382">
        <f t="shared" si="157"/>
        <v>35009605</v>
      </c>
      <c r="AF170" s="474">
        <f t="shared" si="157"/>
        <v>0</v>
      </c>
      <c r="AG170" s="475">
        <f t="shared" si="157"/>
        <v>35009605</v>
      </c>
      <c r="AH170" s="382">
        <f t="shared" si="157"/>
        <v>33400120</v>
      </c>
      <c r="AI170" s="474">
        <f t="shared" si="157"/>
        <v>33400120</v>
      </c>
      <c r="AJ170" s="383">
        <f t="shared" si="157"/>
        <v>39484489</v>
      </c>
      <c r="AK170" s="9"/>
      <c r="AL170" s="131">
        <f>AL172+AL176+AL185</f>
        <v>0</v>
      </c>
      <c r="AM170" s="133">
        <f>AM172+AM176+AM185</f>
        <v>0</v>
      </c>
      <c r="AN170" s="9"/>
      <c r="BQ170" s="464"/>
    </row>
    <row r="171" spans="1:69" s="385" customFormat="1" ht="24.95" customHeight="1" x14ac:dyDescent="0.2">
      <c r="A171" s="767"/>
      <c r="B171" s="668"/>
      <c r="N171" s="9"/>
      <c r="P171" s="9"/>
      <c r="Q171" s="9"/>
      <c r="R171" s="9"/>
      <c r="S171" s="369" t="str">
        <f>+IF(NOVIEMBRE!S171=0,"",NOVIEMBRE!S171)</f>
        <v/>
      </c>
      <c r="T171" s="708" t="str">
        <f>+IF(NOVIEMBRE!T171=0,"",NOVIEMBRE!T171)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c r="BQ171" s="464"/>
    </row>
    <row r="172" spans="1:69" s="385" customFormat="1" ht="24.95" customHeight="1" x14ac:dyDescent="0.2">
      <c r="A172" s="767"/>
      <c r="B172" s="668"/>
      <c r="N172" s="9"/>
      <c r="P172" s="9"/>
      <c r="Q172" s="9"/>
      <c r="R172" s="9"/>
      <c r="S172" s="718">
        <f>+IF(NOVIEMBRE!S172=0,"",NOVIEMBRE!S172)</f>
        <v>3100000</v>
      </c>
      <c r="T172" s="692" t="str">
        <f>+IF(NOVIEMBRE!T172=0,"",NOVIEMBRE!T172)</f>
        <v>Transferencias al Sector Público</v>
      </c>
      <c r="U172" s="135">
        <f t="shared" ref="U172:AJ172" si="158">SUM(U173:U174)</f>
        <v>5285000</v>
      </c>
      <c r="V172" s="124">
        <f t="shared" si="158"/>
        <v>0</v>
      </c>
      <c r="W172" s="124">
        <f t="shared" si="158"/>
        <v>243136</v>
      </c>
      <c r="X172" s="132">
        <f t="shared" si="158"/>
        <v>5528136</v>
      </c>
      <c r="Y172" s="131">
        <f t="shared" si="158"/>
        <v>3154924</v>
      </c>
      <c r="Z172" s="124">
        <f t="shared" si="158"/>
        <v>0</v>
      </c>
      <c r="AA172" s="132">
        <f t="shared" si="158"/>
        <v>3154924</v>
      </c>
      <c r="AB172" s="131">
        <f t="shared" si="158"/>
        <v>3154924</v>
      </c>
      <c r="AC172" s="124">
        <f t="shared" si="158"/>
        <v>0</v>
      </c>
      <c r="AD172" s="132">
        <f t="shared" si="158"/>
        <v>3154924</v>
      </c>
      <c r="AE172" s="131">
        <f t="shared" si="158"/>
        <v>3154924</v>
      </c>
      <c r="AF172" s="124">
        <f t="shared" si="158"/>
        <v>0</v>
      </c>
      <c r="AG172" s="132">
        <f t="shared" si="158"/>
        <v>3154924</v>
      </c>
      <c r="AH172" s="131">
        <f t="shared" si="158"/>
        <v>2373212</v>
      </c>
      <c r="AI172" s="124">
        <f t="shared" si="158"/>
        <v>2373212</v>
      </c>
      <c r="AJ172" s="133">
        <f t="shared" si="158"/>
        <v>2373212</v>
      </c>
      <c r="AK172" s="9"/>
      <c r="AL172" s="131">
        <f>SUM(AL173:AL174)</f>
        <v>0</v>
      </c>
      <c r="AM172" s="133">
        <f>SUM(AM173:AM174)</f>
        <v>0</v>
      </c>
      <c r="AN172" s="9"/>
      <c r="BQ172" s="464"/>
    </row>
    <row r="173" spans="1:69" s="385" customFormat="1" ht="24.95" customHeight="1" x14ac:dyDescent="0.2">
      <c r="A173" s="767"/>
      <c r="B173" s="668"/>
      <c r="N173" s="9"/>
      <c r="P173" s="9"/>
      <c r="Q173" s="9"/>
      <c r="R173" s="9"/>
      <c r="S173" s="719">
        <f>+IF(NOVIEMBRE!S173=0,"",NOVIEMBRE!S173)</f>
        <v>3100003</v>
      </c>
      <c r="T173" s="693" t="str">
        <f>+IF(NOVIEMBRE!T173=0,"",NOVIEMBRE!T173)</f>
        <v>Entidades Públicas (Contraloria, Supersalud,…)</v>
      </c>
      <c r="U173" s="27">
        <f>+ENERO!U173</f>
        <v>5285000</v>
      </c>
      <c r="V173" s="15">
        <f>NOVIEMBRE!V173+DICIEMBRE!AL173</f>
        <v>0</v>
      </c>
      <c r="W173" s="15">
        <f>NOVIEMBRE!W173+DICIEMBRE!AM173</f>
        <v>0</v>
      </c>
      <c r="X173" s="18">
        <f>SUM(U173:W173)</f>
        <v>5285000</v>
      </c>
      <c r="Y173" s="19">
        <f>NOVIEMBRE!AA173</f>
        <v>2911788</v>
      </c>
      <c r="Z173" s="377">
        <v>0</v>
      </c>
      <c r="AA173" s="18">
        <f>SUM(Y173:Z173)</f>
        <v>2911788</v>
      </c>
      <c r="AB173" s="19">
        <f>NOVIEMBRE!AD173</f>
        <v>2911788</v>
      </c>
      <c r="AC173" s="377">
        <v>0</v>
      </c>
      <c r="AD173" s="18">
        <f>SUM(AB173:AC173)</f>
        <v>2911788</v>
      </c>
      <c r="AE173" s="19">
        <f>NOVIEMBRE!AG173</f>
        <v>2911788</v>
      </c>
      <c r="AF173" s="377">
        <v>0</v>
      </c>
      <c r="AG173" s="18">
        <f>SUM(AE173:AF173)</f>
        <v>2911788</v>
      </c>
      <c r="AH173" s="19">
        <f>X173-AA173</f>
        <v>2373212</v>
      </c>
      <c r="AI173" s="15">
        <f>X173-AD173</f>
        <v>2373212</v>
      </c>
      <c r="AJ173" s="16">
        <f>X173-AG173</f>
        <v>2373212</v>
      </c>
      <c r="AK173" s="9"/>
      <c r="AL173" s="375">
        <v>0</v>
      </c>
      <c r="AM173" s="378">
        <v>0</v>
      </c>
      <c r="AN173" s="9"/>
      <c r="BQ173" s="464"/>
    </row>
    <row r="174" spans="1:69" s="385" customFormat="1" ht="24.95" customHeight="1" x14ac:dyDescent="0.2">
      <c r="A174" s="767"/>
      <c r="B174" s="668"/>
      <c r="N174" s="9"/>
      <c r="P174" s="9"/>
      <c r="Q174" s="9"/>
      <c r="R174" s="9"/>
      <c r="S174" s="719">
        <f>+IF(NOVIEMBRE!S174=0,"",NOVIEMBRE!S174)</f>
        <v>3199999</v>
      </c>
      <c r="T174" s="693" t="str">
        <f>+IF(NOVIEMBRE!T174=0,"",NOVIEMBRE!T174)</f>
        <v>Vigencias Anteriores</v>
      </c>
      <c r="U174" s="27">
        <f>+ENERO!U174</f>
        <v>0</v>
      </c>
      <c r="V174" s="15">
        <f>NOVIEMBRE!V174+DICIEMBRE!AL174</f>
        <v>0</v>
      </c>
      <c r="W174" s="15">
        <f>NOVIEMBRE!W174+DICIEMBRE!AM174</f>
        <v>243136</v>
      </c>
      <c r="X174" s="18">
        <f>SUM(U174:W174)</f>
        <v>243136</v>
      </c>
      <c r="Y174" s="19">
        <f>NOVIEMBRE!AA174</f>
        <v>243136</v>
      </c>
      <c r="Z174" s="377">
        <v>0</v>
      </c>
      <c r="AA174" s="18">
        <f>SUM(Y174:Z174)</f>
        <v>243136</v>
      </c>
      <c r="AB174" s="19">
        <f>NOVIEMBRE!AD174</f>
        <v>243136</v>
      </c>
      <c r="AC174" s="377">
        <v>0</v>
      </c>
      <c r="AD174" s="18">
        <f>SUM(AB174:AC174)</f>
        <v>243136</v>
      </c>
      <c r="AE174" s="19">
        <f>NOVIEMBRE!AG174</f>
        <v>243136</v>
      </c>
      <c r="AF174" s="377">
        <v>0</v>
      </c>
      <c r="AG174" s="18">
        <f>SUM(AE174:AF174)</f>
        <v>243136</v>
      </c>
      <c r="AH174" s="19">
        <f>X174-AA174</f>
        <v>0</v>
      </c>
      <c r="AI174" s="15">
        <f>X174-AD174</f>
        <v>0</v>
      </c>
      <c r="AJ174" s="16">
        <f>X174-AG174</f>
        <v>0</v>
      </c>
      <c r="AK174" s="9"/>
      <c r="AL174" s="375">
        <v>0</v>
      </c>
      <c r="AM174" s="378">
        <v>0</v>
      </c>
      <c r="AN174" s="9"/>
      <c r="BQ174" s="464"/>
    </row>
    <row r="175" spans="1:69" s="385" customFormat="1" ht="24.95" customHeight="1" x14ac:dyDescent="0.2">
      <c r="A175" s="767"/>
      <c r="B175" s="668"/>
      <c r="N175" s="9"/>
      <c r="P175" s="9"/>
      <c r="Q175" s="9"/>
      <c r="R175" s="9"/>
      <c r="S175" s="369" t="str">
        <f>+IF(NOVIEMBRE!S175=0,"",NOVIEMBRE!S175)</f>
        <v/>
      </c>
      <c r="T175" s="708" t="str">
        <f>+IF(NOVIEMBRE!T175=0,"",NOVIEMBRE!T175)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c r="BQ175" s="464"/>
    </row>
    <row r="176" spans="1:69" s="385" customFormat="1" ht="24.95" customHeight="1" x14ac:dyDescent="0.2">
      <c r="A176" s="767"/>
      <c r="B176" s="668"/>
      <c r="N176" s="9"/>
      <c r="P176" s="9"/>
      <c r="Q176" s="9"/>
      <c r="R176" s="9"/>
      <c r="S176" s="718">
        <f>+IF(NOVIEMBRE!S176=0,"",NOVIEMBRE!S176)</f>
        <v>320000</v>
      </c>
      <c r="T176" s="692" t="str">
        <f>+IF(NOVIEMBRE!T176=0,"",NOVIEMBRE!T176)</f>
        <v>Transf. Previsión y Seguridad Social</v>
      </c>
      <c r="U176" s="135">
        <f t="shared" ref="U176:AJ176" si="159">SUM(U177:U183)</f>
        <v>51170820</v>
      </c>
      <c r="V176" s="124">
        <f t="shared" si="159"/>
        <v>0</v>
      </c>
      <c r="W176" s="124">
        <f t="shared" si="159"/>
        <v>8290292</v>
      </c>
      <c r="X176" s="132">
        <f t="shared" si="159"/>
        <v>59461112</v>
      </c>
      <c r="Y176" s="131">
        <f t="shared" si="159"/>
        <v>32181746</v>
      </c>
      <c r="Z176" s="124">
        <f t="shared" si="159"/>
        <v>0</v>
      </c>
      <c r="AA176" s="132">
        <f t="shared" si="159"/>
        <v>32181746</v>
      </c>
      <c r="AB176" s="131">
        <f t="shared" si="159"/>
        <v>32181746</v>
      </c>
      <c r="AC176" s="124">
        <f t="shared" si="159"/>
        <v>0</v>
      </c>
      <c r="AD176" s="132">
        <f t="shared" si="159"/>
        <v>32181746</v>
      </c>
      <c r="AE176" s="131">
        <f t="shared" si="159"/>
        <v>31407356</v>
      </c>
      <c r="AF176" s="124">
        <f t="shared" si="159"/>
        <v>0</v>
      </c>
      <c r="AG176" s="132">
        <f t="shared" si="159"/>
        <v>31407356</v>
      </c>
      <c r="AH176" s="131">
        <f t="shared" si="159"/>
        <v>27279366</v>
      </c>
      <c r="AI176" s="124">
        <f t="shared" si="159"/>
        <v>27279366</v>
      </c>
      <c r="AJ176" s="133">
        <f t="shared" si="159"/>
        <v>28053756</v>
      </c>
      <c r="AK176" s="9"/>
      <c r="AL176" s="131">
        <f>SUM(AL177:AL183)</f>
        <v>0</v>
      </c>
      <c r="AM176" s="133">
        <f>SUM(AM177:AM183)</f>
        <v>0</v>
      </c>
      <c r="AN176" s="9"/>
      <c r="BQ176" s="464"/>
    </row>
    <row r="177" spans="1:69" s="385" customFormat="1" ht="24.95" customHeight="1" x14ac:dyDescent="0.2">
      <c r="A177" s="767"/>
      <c r="B177" s="668"/>
      <c r="N177" s="9"/>
      <c r="P177" s="9"/>
      <c r="Q177" s="9"/>
      <c r="R177" s="9"/>
      <c r="S177" s="719">
        <f>+IF(NOVIEMBRE!S177=0,"",NOVIEMBRE!S177)</f>
        <v>3200100</v>
      </c>
      <c r="T177" s="693" t="str">
        <f>+IF(NOVIEMBRE!T177=0,"",NOVIEMBRE!T177)</f>
        <v>Pensiones y Jubilaciones (Pago Directo)</v>
      </c>
      <c r="U177" s="27">
        <f>+ENERO!U177</f>
        <v>39279816</v>
      </c>
      <c r="V177" s="15">
        <f>NOVIEMBRE!V177+DICIEMBRE!AL177</f>
        <v>0</v>
      </c>
      <c r="W177" s="15">
        <f>NOVIEMBRE!W177+DICIEMBRE!AM177</f>
        <v>0</v>
      </c>
      <c r="X177" s="18">
        <f t="shared" ref="X177:X183" si="160">SUM(U177:W177)</f>
        <v>39279816</v>
      </c>
      <c r="Y177" s="19">
        <f>NOVIEMBRE!AA177</f>
        <v>22897362</v>
      </c>
      <c r="Z177" s="377">
        <v>0</v>
      </c>
      <c r="AA177" s="18">
        <f t="shared" ref="AA177:AA183" si="161">SUM(Y177:Z177)</f>
        <v>22897362</v>
      </c>
      <c r="AB177" s="19">
        <f>NOVIEMBRE!AD177</f>
        <v>22897362</v>
      </c>
      <c r="AC177" s="377">
        <v>0</v>
      </c>
      <c r="AD177" s="18">
        <f t="shared" ref="AD177:AD183" si="162">SUM(AB177:AC177)</f>
        <v>22897362</v>
      </c>
      <c r="AE177" s="19">
        <f>NOVIEMBRE!AG177</f>
        <v>22897362</v>
      </c>
      <c r="AF177" s="377">
        <v>0</v>
      </c>
      <c r="AG177" s="18">
        <f t="shared" ref="AG177:AG183" si="163">SUM(AE177:AF177)</f>
        <v>22897362</v>
      </c>
      <c r="AH177" s="19">
        <f t="shared" ref="AH177:AH183" si="164">X177-AA177</f>
        <v>16382454</v>
      </c>
      <c r="AI177" s="15">
        <f t="shared" ref="AI177:AI183" si="165">X177-AD177</f>
        <v>16382454</v>
      </c>
      <c r="AJ177" s="16">
        <f t="shared" ref="AJ177:AJ183" si="166">X177-AG177</f>
        <v>16382454</v>
      </c>
      <c r="AK177" s="9"/>
      <c r="AL177" s="375">
        <v>0</v>
      </c>
      <c r="AM177" s="378">
        <v>0</v>
      </c>
      <c r="AN177" s="9"/>
      <c r="BQ177" s="464"/>
    </row>
    <row r="178" spans="1:69" s="385" customFormat="1" ht="24.95" customHeight="1" x14ac:dyDescent="0.2">
      <c r="A178" s="767"/>
      <c r="B178" s="668"/>
      <c r="N178" s="9"/>
      <c r="P178" s="9"/>
      <c r="Q178" s="9"/>
      <c r="R178" s="9"/>
      <c r="S178" s="719">
        <f>+IF(NOVIEMBRE!S178=0,"",NOVIEMBRE!S178)</f>
        <v>3200200</v>
      </c>
      <c r="T178" s="693" t="str">
        <f>+IF(NOVIEMBRE!T178=0,"",NOVIEMBRE!T178)</f>
        <v>Cesantías Pago Directo (Pago Directo)</v>
      </c>
      <c r="U178" s="27">
        <f>+ENERO!U178</f>
        <v>11891004</v>
      </c>
      <c r="V178" s="15">
        <f>NOVIEMBRE!V178+DICIEMBRE!AL178</f>
        <v>-11891004</v>
      </c>
      <c r="W178" s="15">
        <f>NOVIEMBRE!W178+DICIEMBRE!AM178</f>
        <v>0</v>
      </c>
      <c r="X178" s="18">
        <f t="shared" si="160"/>
        <v>0</v>
      </c>
      <c r="Y178" s="19">
        <f>NOVIEMBRE!AA178</f>
        <v>0</v>
      </c>
      <c r="Z178" s="377">
        <v>0</v>
      </c>
      <c r="AA178" s="18">
        <f t="shared" si="161"/>
        <v>0</v>
      </c>
      <c r="AB178" s="19">
        <f>NOVIEMBRE!AD178</f>
        <v>0</v>
      </c>
      <c r="AC178" s="377">
        <v>0</v>
      </c>
      <c r="AD178" s="18">
        <f t="shared" si="162"/>
        <v>0</v>
      </c>
      <c r="AE178" s="19">
        <f>NOVIEMBRE!AG178</f>
        <v>0</v>
      </c>
      <c r="AF178" s="377">
        <v>0</v>
      </c>
      <c r="AG178" s="18">
        <f t="shared" si="163"/>
        <v>0</v>
      </c>
      <c r="AH178" s="19">
        <f t="shared" si="164"/>
        <v>0</v>
      </c>
      <c r="AI178" s="15">
        <f t="shared" si="165"/>
        <v>0</v>
      </c>
      <c r="AJ178" s="16">
        <f t="shared" si="166"/>
        <v>0</v>
      </c>
      <c r="AK178" s="9"/>
      <c r="AL178" s="375">
        <v>0</v>
      </c>
      <c r="AM178" s="378">
        <v>0</v>
      </c>
      <c r="AN178" s="9"/>
      <c r="BQ178" s="464"/>
    </row>
    <row r="179" spans="1:69" s="385" customFormat="1" ht="24.95" customHeight="1" x14ac:dyDescent="0.2">
      <c r="A179" s="767"/>
      <c r="B179" s="668"/>
      <c r="N179" s="9"/>
      <c r="P179" s="9"/>
      <c r="Q179" s="9"/>
      <c r="R179" s="9"/>
      <c r="S179" s="719">
        <f>+IF(NOVIEMBRE!S179=0,"",NOVIEMBRE!S179)</f>
        <v>3200300</v>
      </c>
      <c r="T179" s="693" t="str">
        <f>+IF(NOVIEMBRE!T179=0,"",NOVIEMBRE!T179)</f>
        <v>Bonos, Cuotas de Bonos y cuotas partes jubilatorias</v>
      </c>
      <c r="U179" s="27">
        <f>+ENERO!U179</f>
        <v>0</v>
      </c>
      <c r="V179" s="15">
        <f>NOVIEMBRE!V179+DICIEMBRE!AL179</f>
        <v>0</v>
      </c>
      <c r="W179" s="15">
        <f>NOVIEMBRE!W179+DICIEMBRE!AM179</f>
        <v>0</v>
      </c>
      <c r="X179" s="18">
        <f t="shared" si="160"/>
        <v>0</v>
      </c>
      <c r="Y179" s="19">
        <f>NOVIEMBRE!AA179</f>
        <v>0</v>
      </c>
      <c r="Z179" s="377">
        <v>0</v>
      </c>
      <c r="AA179" s="18">
        <f t="shared" si="161"/>
        <v>0</v>
      </c>
      <c r="AB179" s="19">
        <f>NOVIEMBRE!AD179</f>
        <v>0</v>
      </c>
      <c r="AC179" s="377">
        <v>0</v>
      </c>
      <c r="AD179" s="18">
        <f t="shared" si="162"/>
        <v>0</v>
      </c>
      <c r="AE179" s="19">
        <f>NOVIEMBRE!AG179</f>
        <v>0</v>
      </c>
      <c r="AF179" s="377">
        <v>0</v>
      </c>
      <c r="AG179" s="18">
        <f t="shared" si="163"/>
        <v>0</v>
      </c>
      <c r="AH179" s="19">
        <f t="shared" si="164"/>
        <v>0</v>
      </c>
      <c r="AI179" s="15">
        <f t="shared" si="165"/>
        <v>0</v>
      </c>
      <c r="AJ179" s="16">
        <f t="shared" si="166"/>
        <v>0</v>
      </c>
      <c r="AK179" s="9"/>
      <c r="AL179" s="375">
        <v>0</v>
      </c>
      <c r="AM179" s="378">
        <v>0</v>
      </c>
      <c r="AN179" s="9"/>
      <c r="BQ179" s="464"/>
    </row>
    <row r="180" spans="1:69" s="385" customFormat="1" ht="24.95" customHeight="1" x14ac:dyDescent="0.2">
      <c r="A180" s="767"/>
      <c r="B180" s="668"/>
      <c r="N180" s="9"/>
      <c r="P180" s="9"/>
      <c r="Q180" s="9"/>
      <c r="R180" s="9"/>
      <c r="S180" s="719">
        <f>+IF(NOVIEMBRE!S180=0,"",NOVIEMBRE!S180)</f>
        <v>3200400</v>
      </c>
      <c r="T180" s="693" t="str">
        <f>+IF(NOVIEMBRE!T180=0,"",NOVIEMBRE!T180)</f>
        <v>Intereses a las cesantias</v>
      </c>
      <c r="U180" s="27">
        <f>+ENERO!U180</f>
        <v>0</v>
      </c>
      <c r="V180" s="15">
        <f>NOVIEMBRE!V180+DICIEMBRE!AL180</f>
        <v>11891004</v>
      </c>
      <c r="W180" s="15">
        <f>NOVIEMBRE!W180+DICIEMBRE!AM180</f>
        <v>0</v>
      </c>
      <c r="X180" s="18">
        <f t="shared" si="160"/>
        <v>11891004</v>
      </c>
      <c r="Y180" s="19">
        <f>NOVIEMBRE!AA180</f>
        <v>994092</v>
      </c>
      <c r="Z180" s="377">
        <v>0</v>
      </c>
      <c r="AA180" s="18">
        <f t="shared" si="161"/>
        <v>994092</v>
      </c>
      <c r="AB180" s="19">
        <f>NOVIEMBRE!AD180</f>
        <v>994092</v>
      </c>
      <c r="AC180" s="377">
        <v>0</v>
      </c>
      <c r="AD180" s="18">
        <f t="shared" si="162"/>
        <v>994092</v>
      </c>
      <c r="AE180" s="19">
        <f>NOVIEMBRE!AG180</f>
        <v>231803</v>
      </c>
      <c r="AF180" s="377">
        <v>0</v>
      </c>
      <c r="AG180" s="18">
        <f t="shared" si="163"/>
        <v>231803</v>
      </c>
      <c r="AH180" s="19">
        <f t="shared" si="164"/>
        <v>10896912</v>
      </c>
      <c r="AI180" s="15">
        <f t="shared" si="165"/>
        <v>10896912</v>
      </c>
      <c r="AJ180" s="16">
        <f t="shared" si="166"/>
        <v>11659201</v>
      </c>
      <c r="AK180" s="9"/>
      <c r="AL180" s="375">
        <v>0</v>
      </c>
      <c r="AM180" s="378">
        <v>0</v>
      </c>
      <c r="AN180" s="9"/>
      <c r="BQ180" s="464"/>
    </row>
    <row r="181" spans="1:69" s="385" customFormat="1" ht="24.95" customHeight="1" x14ac:dyDescent="0.2">
      <c r="A181" s="767"/>
      <c r="B181" s="668"/>
      <c r="N181" s="9"/>
      <c r="P181" s="9"/>
      <c r="Q181" s="9"/>
      <c r="R181" s="9"/>
      <c r="S181" s="719" t="str">
        <f>+IF(NOVIEMBRE!S181=0,"",NOVIEMBRE!S181)</f>
        <v/>
      </c>
      <c r="T181" s="693" t="str">
        <f>+IF(NOVIEMBRE!T181=0,"",NOVIEMBRE!T181)</f>
        <v/>
      </c>
      <c r="U181" s="27">
        <f>+ENERO!U181</f>
        <v>0</v>
      </c>
      <c r="V181" s="15">
        <f>NOVIEMBRE!V181+DICIEMBRE!AL181</f>
        <v>0</v>
      </c>
      <c r="W181" s="15">
        <f>NOVIEMBRE!W181+DICIEMBRE!AM181</f>
        <v>0</v>
      </c>
      <c r="X181" s="18">
        <f t="shared" si="160"/>
        <v>0</v>
      </c>
      <c r="Y181" s="19">
        <f>NOVIEMBRE!AA181</f>
        <v>0</v>
      </c>
      <c r="Z181" s="377">
        <v>0</v>
      </c>
      <c r="AA181" s="18">
        <f t="shared" si="161"/>
        <v>0</v>
      </c>
      <c r="AB181" s="19">
        <f>NOVIEMBRE!AD181</f>
        <v>0</v>
      </c>
      <c r="AC181" s="377">
        <v>0</v>
      </c>
      <c r="AD181" s="18">
        <f t="shared" si="162"/>
        <v>0</v>
      </c>
      <c r="AE181" s="19">
        <f>NOVIEMBRE!AG181</f>
        <v>0</v>
      </c>
      <c r="AF181" s="377">
        <v>0</v>
      </c>
      <c r="AG181" s="18">
        <f t="shared" si="163"/>
        <v>0</v>
      </c>
      <c r="AH181" s="19">
        <f t="shared" si="164"/>
        <v>0</v>
      </c>
      <c r="AI181" s="15">
        <f t="shared" si="165"/>
        <v>0</v>
      </c>
      <c r="AJ181" s="16">
        <f t="shared" si="166"/>
        <v>0</v>
      </c>
      <c r="AK181" s="9"/>
      <c r="AL181" s="375">
        <v>0</v>
      </c>
      <c r="AM181" s="378">
        <v>0</v>
      </c>
      <c r="AN181" s="9"/>
      <c r="BQ181" s="464"/>
    </row>
    <row r="182" spans="1:69" s="385" customFormat="1" ht="24.95" customHeight="1" x14ac:dyDescent="0.2">
      <c r="A182" s="767"/>
      <c r="B182" s="668"/>
      <c r="N182" s="9"/>
      <c r="P182" s="9"/>
      <c r="Q182" s="9"/>
      <c r="R182" s="9"/>
      <c r="S182" s="719" t="str">
        <f>+IF(NOVIEMBRE!S182=0,"",NOVIEMBRE!S182)</f>
        <v/>
      </c>
      <c r="T182" s="693" t="str">
        <f>+IF(NOVIEMBRE!T182=0,"",NOVIEMBRE!T182)</f>
        <v/>
      </c>
      <c r="U182" s="27">
        <f>+ENERO!U182</f>
        <v>0</v>
      </c>
      <c r="V182" s="15">
        <f>NOVIEMBRE!V182+DICIEMBRE!AL182</f>
        <v>0</v>
      </c>
      <c r="W182" s="15">
        <f>NOVIEMBRE!W182+DICIEMBRE!AM182</f>
        <v>0</v>
      </c>
      <c r="X182" s="18">
        <f t="shared" si="160"/>
        <v>0</v>
      </c>
      <c r="Y182" s="19">
        <f>NOVIEMBRE!AA182</f>
        <v>0</v>
      </c>
      <c r="Z182" s="377">
        <v>0</v>
      </c>
      <c r="AA182" s="18">
        <f t="shared" si="161"/>
        <v>0</v>
      </c>
      <c r="AB182" s="19">
        <f>NOVIEMBRE!AD182</f>
        <v>0</v>
      </c>
      <c r="AC182" s="377">
        <v>0</v>
      </c>
      <c r="AD182" s="18">
        <f t="shared" si="162"/>
        <v>0</v>
      </c>
      <c r="AE182" s="19">
        <f>NOVIEMBRE!AG182</f>
        <v>0</v>
      </c>
      <c r="AF182" s="377">
        <v>0</v>
      </c>
      <c r="AG182" s="18">
        <f t="shared" si="163"/>
        <v>0</v>
      </c>
      <c r="AH182" s="19">
        <f t="shared" si="164"/>
        <v>0</v>
      </c>
      <c r="AI182" s="15">
        <f t="shared" si="165"/>
        <v>0</v>
      </c>
      <c r="AJ182" s="16">
        <f t="shared" si="166"/>
        <v>0</v>
      </c>
      <c r="AK182" s="9"/>
      <c r="AL182" s="375">
        <v>0</v>
      </c>
      <c r="AM182" s="378">
        <v>0</v>
      </c>
      <c r="AN182" s="9"/>
      <c r="BQ182" s="464"/>
    </row>
    <row r="183" spans="1:69" s="385" customFormat="1" ht="24.95" customHeight="1" x14ac:dyDescent="0.2">
      <c r="A183" s="767"/>
      <c r="B183" s="668"/>
      <c r="N183" s="9"/>
      <c r="P183" s="9"/>
      <c r="Q183" s="9"/>
      <c r="R183" s="9"/>
      <c r="S183" s="719">
        <f>+IF(NOVIEMBRE!S183=0,"",NOVIEMBRE!S183)</f>
        <v>3299999</v>
      </c>
      <c r="T183" s="693" t="str">
        <f>+IF(NOVIEMBRE!T183=0,"",NOVIEMBRE!T183)</f>
        <v>Vigencias Anteriores</v>
      </c>
      <c r="U183" s="27">
        <f>+ENERO!U183</f>
        <v>0</v>
      </c>
      <c r="V183" s="15">
        <f>NOVIEMBRE!V183+DICIEMBRE!AL183</f>
        <v>0</v>
      </c>
      <c r="W183" s="15">
        <f>NOVIEMBRE!W183+DICIEMBRE!AM183</f>
        <v>8290292</v>
      </c>
      <c r="X183" s="18">
        <f t="shared" si="160"/>
        <v>8290292</v>
      </c>
      <c r="Y183" s="19">
        <f>NOVIEMBRE!AA183</f>
        <v>8290292</v>
      </c>
      <c r="Z183" s="377">
        <v>0</v>
      </c>
      <c r="AA183" s="18">
        <f t="shared" si="161"/>
        <v>8290292</v>
      </c>
      <c r="AB183" s="19">
        <f>NOVIEMBRE!AD183</f>
        <v>8290292</v>
      </c>
      <c r="AC183" s="377">
        <v>0</v>
      </c>
      <c r="AD183" s="18">
        <f t="shared" si="162"/>
        <v>8290292</v>
      </c>
      <c r="AE183" s="19">
        <f>NOVIEMBRE!AG183</f>
        <v>8278191</v>
      </c>
      <c r="AF183" s="377">
        <v>0</v>
      </c>
      <c r="AG183" s="18">
        <f t="shared" si="163"/>
        <v>8278191</v>
      </c>
      <c r="AH183" s="19">
        <f t="shared" si="164"/>
        <v>0</v>
      </c>
      <c r="AI183" s="15">
        <f t="shared" si="165"/>
        <v>0</v>
      </c>
      <c r="AJ183" s="16">
        <f t="shared" si="166"/>
        <v>12101</v>
      </c>
      <c r="AK183" s="9"/>
      <c r="AL183" s="375">
        <v>0</v>
      </c>
      <c r="AM183" s="378">
        <v>0</v>
      </c>
      <c r="AN183" s="9"/>
      <c r="BQ183" s="464"/>
    </row>
    <row r="184" spans="1:69" s="385" customFormat="1" ht="24.95" customHeight="1" x14ac:dyDescent="0.2">
      <c r="A184" s="767"/>
      <c r="B184" s="668"/>
      <c r="N184" s="9"/>
      <c r="P184" s="9"/>
      <c r="Q184" s="9"/>
      <c r="R184" s="9"/>
      <c r="S184" s="369" t="str">
        <f>+IF(NOVIEMBRE!S184=0,"",NOVIEMBRE!S184)</f>
        <v/>
      </c>
      <c r="T184" s="708" t="str">
        <f>+IF(NOVIEMBRE!T184=0,"",NOVIEMBRE!T184)</f>
        <v/>
      </c>
      <c r="U184" s="164"/>
      <c r="V184" s="164"/>
      <c r="W184" s="164"/>
      <c r="X184" s="164"/>
      <c r="Y184" s="164"/>
      <c r="Z184" s="164">
        <v>0</v>
      </c>
      <c r="AA184" s="164"/>
      <c r="AB184" s="164"/>
      <c r="AC184" s="164"/>
      <c r="AD184" s="164"/>
      <c r="AE184" s="164"/>
      <c r="AF184" s="164"/>
      <c r="AG184" s="164"/>
      <c r="AH184" s="164"/>
      <c r="AI184" s="164"/>
      <c r="AJ184" s="169"/>
      <c r="AK184" s="9"/>
      <c r="AL184" s="175"/>
      <c r="AM184" s="176"/>
      <c r="AN184" s="9"/>
      <c r="BQ184" s="464"/>
    </row>
    <row r="185" spans="1:69" s="385" customFormat="1" ht="24.95" customHeight="1" x14ac:dyDescent="0.2">
      <c r="A185" s="767"/>
      <c r="B185" s="668"/>
      <c r="N185" s="9"/>
      <c r="P185" s="9"/>
      <c r="Q185" s="9"/>
      <c r="R185" s="9"/>
      <c r="S185" s="718">
        <f>+IF(NOVIEMBRE!S185=0,"",NOVIEMBRE!S185)</f>
        <v>3300000</v>
      </c>
      <c r="T185" s="692" t="str">
        <f>+IF(NOVIEMBRE!T185=0,"",NOVIEMBRE!T185)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447325</v>
      </c>
      <c r="AF185" s="124">
        <f t="shared" si="167"/>
        <v>0</v>
      </c>
      <c r="AG185" s="132">
        <f t="shared" si="167"/>
        <v>447325</v>
      </c>
      <c r="AH185" s="131">
        <f t="shared" si="167"/>
        <v>3747542</v>
      </c>
      <c r="AI185" s="124">
        <f t="shared" si="167"/>
        <v>3747542</v>
      </c>
      <c r="AJ185" s="133">
        <f t="shared" si="167"/>
        <v>9057521</v>
      </c>
      <c r="AK185" s="9"/>
      <c r="AL185" s="131">
        <f>AL186+AL187+AL191</f>
        <v>0</v>
      </c>
      <c r="AM185" s="133">
        <f>AM186+AM187+AM191</f>
        <v>0</v>
      </c>
      <c r="AN185" s="9"/>
      <c r="BQ185" s="464"/>
    </row>
    <row r="186" spans="1:69" s="385" customFormat="1" ht="24.95" customHeight="1" x14ac:dyDescent="0.2">
      <c r="A186" s="767"/>
      <c r="B186" s="668"/>
      <c r="N186" s="9"/>
      <c r="P186" s="9"/>
      <c r="Q186" s="9"/>
      <c r="R186" s="9"/>
      <c r="S186" s="719">
        <f>+IF(NOVIEMBRE!S186=0,"",NOVIEMBRE!S186)</f>
        <v>3300100</v>
      </c>
      <c r="T186" s="693" t="str">
        <f>+IF(NOVIEMBRE!T186=0,"",NOVIEMBRE!T186)</f>
        <v>Sentencias y Conciliaciones</v>
      </c>
      <c r="U186" s="27">
        <f>+ENERO!U186</f>
        <v>0</v>
      </c>
      <c r="V186" s="15">
        <f>NOVIEMBRE!V186+DICIEMBRE!AL186</f>
        <v>0</v>
      </c>
      <c r="W186" s="15">
        <f>NOVIEMBRE!W186+DICIEMBRE!AM186</f>
        <v>0</v>
      </c>
      <c r="X186" s="18">
        <f>SUM(U186:W186)</f>
        <v>0</v>
      </c>
      <c r="Y186" s="19">
        <f>NOVIEMBRE!AA186</f>
        <v>0</v>
      </c>
      <c r="Z186" s="377">
        <v>0</v>
      </c>
      <c r="AA186" s="18">
        <f>SUM(Y186:Z186)</f>
        <v>0</v>
      </c>
      <c r="AB186" s="19">
        <f>NOVIEMBRE!AD186</f>
        <v>0</v>
      </c>
      <c r="AC186" s="377">
        <v>0</v>
      </c>
      <c r="AD186" s="18">
        <f>SUM(AB186:AC186)</f>
        <v>0</v>
      </c>
      <c r="AE186" s="19">
        <f>NOVIEMBRE!AG186</f>
        <v>0</v>
      </c>
      <c r="AF186" s="377">
        <v>0</v>
      </c>
      <c r="AG186" s="18">
        <f>SUM(AE186:AF186)</f>
        <v>0</v>
      </c>
      <c r="AH186" s="19">
        <f>X186-AA186</f>
        <v>0</v>
      </c>
      <c r="AI186" s="15">
        <f>X186-AD186</f>
        <v>0</v>
      </c>
      <c r="AJ186" s="16">
        <f>X186-AG186</f>
        <v>0</v>
      </c>
      <c r="AK186" s="9"/>
      <c r="AL186" s="375">
        <v>0</v>
      </c>
      <c r="AM186" s="378">
        <v>0</v>
      </c>
      <c r="AN186" s="9"/>
      <c r="BQ186" s="464"/>
    </row>
    <row r="187" spans="1:69" s="385" customFormat="1" ht="24.95" customHeight="1" x14ac:dyDescent="0.2">
      <c r="A187" s="767"/>
      <c r="B187" s="668"/>
      <c r="N187" s="9"/>
      <c r="P187" s="9"/>
      <c r="Q187" s="9"/>
      <c r="R187" s="9"/>
      <c r="S187" s="719">
        <f>+IF(NOVIEMBRE!S187=0,"",NOVIEMBRE!S187)</f>
        <v>3300200</v>
      </c>
      <c r="T187" s="693" t="str">
        <f>+IF(NOVIEMBRE!T187=0,"",NOVIEMBRE!T187)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58943</v>
      </c>
      <c r="AF187" s="145">
        <f t="shared" si="168"/>
        <v>0</v>
      </c>
      <c r="AG187" s="18">
        <f t="shared" si="168"/>
        <v>58943</v>
      </c>
      <c r="AH187" s="19">
        <f t="shared" si="168"/>
        <v>3747542</v>
      </c>
      <c r="AI187" s="15">
        <f t="shared" si="168"/>
        <v>3747542</v>
      </c>
      <c r="AJ187" s="16">
        <f t="shared" si="168"/>
        <v>9057521</v>
      </c>
      <c r="AK187" s="9"/>
      <c r="AL187" s="29">
        <f t="shared" si="168"/>
        <v>0</v>
      </c>
      <c r="AM187" s="26">
        <f t="shared" si="168"/>
        <v>0</v>
      </c>
      <c r="AN187" s="9"/>
      <c r="BQ187" s="464"/>
    </row>
    <row r="188" spans="1:69" s="385" customFormat="1" ht="24.95" customHeight="1" x14ac:dyDescent="0.2">
      <c r="A188" s="767"/>
      <c r="B188" s="669"/>
      <c r="N188" s="9"/>
      <c r="P188" s="9"/>
      <c r="Q188" s="9"/>
      <c r="R188" s="9"/>
      <c r="S188" s="720" t="str">
        <f>+IF(NOVIEMBRE!S188=0,"",NOVIEMBRE!S188)</f>
        <v>3300200-1</v>
      </c>
      <c r="T188" s="693" t="str">
        <f>+IF(NOVIEMBRE!T188=0,"",NOVIEMBRE!T188)</f>
        <v>COHAN</v>
      </c>
      <c r="U188" s="27">
        <f>+ENERO!U188</f>
        <v>793940</v>
      </c>
      <c r="V188" s="15">
        <f>NOVIEMBRE!V188+DICIEMBRE!AL188</f>
        <v>0</v>
      </c>
      <c r="W188" s="15">
        <f>NOVIEMBRE!W188+DICIEMBRE!AM188</f>
        <v>5500000</v>
      </c>
      <c r="X188" s="18">
        <f>SUM(U188:W188)</f>
        <v>6293940</v>
      </c>
      <c r="Y188" s="19">
        <f>NOVIEMBRE!AA188</f>
        <v>2791522</v>
      </c>
      <c r="Z188" s="377">
        <v>0</v>
      </c>
      <c r="AA188" s="18">
        <f>SUM(Y188:Z188)</f>
        <v>2791522</v>
      </c>
      <c r="AB188" s="19">
        <f>NOVIEMBRE!AD188</f>
        <v>2791522</v>
      </c>
      <c r="AC188" s="377">
        <v>0</v>
      </c>
      <c r="AD188" s="18">
        <f>SUM(AB188:AC188)</f>
        <v>2791522</v>
      </c>
      <c r="AE188" s="19">
        <f>NOVIEMBRE!AG188</f>
        <v>58943</v>
      </c>
      <c r="AF188" s="377">
        <v>0</v>
      </c>
      <c r="AG188" s="18">
        <f>SUM(AE188:AF188)</f>
        <v>58943</v>
      </c>
      <c r="AH188" s="19">
        <f>X188-AA188</f>
        <v>3502418</v>
      </c>
      <c r="AI188" s="15">
        <f>X188-AD188</f>
        <v>3502418</v>
      </c>
      <c r="AJ188" s="16">
        <f>X188-AG188</f>
        <v>6234997</v>
      </c>
      <c r="AK188" s="9"/>
      <c r="AL188" s="375">
        <v>0</v>
      </c>
      <c r="AM188" s="378">
        <v>0</v>
      </c>
      <c r="AN188" s="9"/>
      <c r="BQ188" s="464"/>
    </row>
    <row r="189" spans="1:69" s="385" customFormat="1" ht="24.95" customHeight="1" x14ac:dyDescent="0.2">
      <c r="A189" s="767"/>
      <c r="B189" s="669"/>
      <c r="N189" s="9"/>
      <c r="P189" s="9"/>
      <c r="Q189" s="9"/>
      <c r="R189" s="9"/>
      <c r="S189" s="720" t="str">
        <f>+IF(NOVIEMBRE!S189=0,"",NOVIEMBRE!S189)</f>
        <v>3300200-2</v>
      </c>
      <c r="T189" s="693" t="str">
        <f>+IF(NOVIEMBRE!T189=0,"",NOVIEMBRE!T189)</f>
        <v>AESA</v>
      </c>
      <c r="U189" s="27">
        <f>+ENERO!U189</f>
        <v>2822524</v>
      </c>
      <c r="V189" s="15">
        <f>NOVIEMBRE!V189+DICIEMBRE!AL189</f>
        <v>0</v>
      </c>
      <c r="W189" s="15">
        <f>NOVIEMBRE!W189+DICIEMBRE!AM189</f>
        <v>0</v>
      </c>
      <c r="X189" s="18">
        <f>SUM(U189:W189)</f>
        <v>2822524</v>
      </c>
      <c r="Y189" s="19">
        <f>NOVIEMBRE!AA189</f>
        <v>2577400</v>
      </c>
      <c r="Z189" s="377">
        <v>0</v>
      </c>
      <c r="AA189" s="18">
        <f>SUM(Y189:Z189)</f>
        <v>2577400</v>
      </c>
      <c r="AB189" s="19">
        <f>NOVIEMBRE!AD189</f>
        <v>2577400</v>
      </c>
      <c r="AC189" s="377">
        <v>0</v>
      </c>
      <c r="AD189" s="18">
        <f>SUM(AB189:AC189)</f>
        <v>2577400</v>
      </c>
      <c r="AE189" s="19">
        <f>NOVIEMBRE!AG189</f>
        <v>0</v>
      </c>
      <c r="AF189" s="377">
        <v>0</v>
      </c>
      <c r="AG189" s="18">
        <f>SUM(AE189:AF189)</f>
        <v>0</v>
      </c>
      <c r="AH189" s="19">
        <f>X189-AA189</f>
        <v>245124</v>
      </c>
      <c r="AI189" s="15">
        <f>X189-AD189</f>
        <v>245124</v>
      </c>
      <c r="AJ189" s="16">
        <f>X189-AG189</f>
        <v>2822524</v>
      </c>
      <c r="AK189" s="9"/>
      <c r="AL189" s="375">
        <v>0</v>
      </c>
      <c r="AM189" s="378">
        <v>0</v>
      </c>
      <c r="AN189" s="9"/>
      <c r="BQ189" s="464"/>
    </row>
    <row r="190" spans="1:69" s="385" customFormat="1" ht="24.95" customHeight="1" x14ac:dyDescent="0.2">
      <c r="A190" s="767"/>
      <c r="B190" s="669"/>
      <c r="N190" s="9"/>
      <c r="P190" s="9"/>
      <c r="Q190" s="9"/>
      <c r="R190" s="9"/>
      <c r="S190" s="720" t="str">
        <f>+IF(NOVIEMBRE!S190=0,"",NOVIEMBRE!S190)</f>
        <v>3300200-3</v>
      </c>
      <c r="T190" s="693" t="str">
        <f>+IF(NOVIEMBRE!T190=0,"",NOVIEMBRE!T190)</f>
        <v xml:space="preserve">OTRAS </v>
      </c>
      <c r="U190" s="27">
        <f>+ENERO!U190</f>
        <v>0</v>
      </c>
      <c r="V190" s="15">
        <f>NOVIEMBRE!V190+DICIEMBRE!AL190</f>
        <v>0</v>
      </c>
      <c r="W190" s="15">
        <f>NOVIEMBRE!W190+DICIEMBRE!AM190</f>
        <v>0</v>
      </c>
      <c r="X190" s="18">
        <f>SUM(U190:W190)</f>
        <v>0</v>
      </c>
      <c r="Y190" s="19">
        <f>NOVIEMBRE!AA190</f>
        <v>0</v>
      </c>
      <c r="Z190" s="377">
        <v>0</v>
      </c>
      <c r="AA190" s="18">
        <f>SUM(Y190:Z190)</f>
        <v>0</v>
      </c>
      <c r="AB190" s="19">
        <f>NOVIEMBRE!AD190</f>
        <v>0</v>
      </c>
      <c r="AC190" s="377">
        <v>0</v>
      </c>
      <c r="AD190" s="18">
        <f>SUM(AB190:AC190)</f>
        <v>0</v>
      </c>
      <c r="AE190" s="19">
        <f>NOVIEMBRE!AG190</f>
        <v>0</v>
      </c>
      <c r="AF190" s="377">
        <v>0</v>
      </c>
      <c r="AG190" s="18">
        <f>SUM(AE190:AF190)</f>
        <v>0</v>
      </c>
      <c r="AH190" s="19">
        <f>X190-AA190</f>
        <v>0</v>
      </c>
      <c r="AI190" s="15">
        <f>X190-AD190</f>
        <v>0</v>
      </c>
      <c r="AJ190" s="16">
        <f>X190-AG190</f>
        <v>0</v>
      </c>
      <c r="AK190" s="9"/>
      <c r="AL190" s="375">
        <v>0</v>
      </c>
      <c r="AM190" s="378">
        <v>0</v>
      </c>
      <c r="AN190" s="9"/>
      <c r="BQ190" s="464"/>
    </row>
    <row r="191" spans="1:69" s="385" customFormat="1" ht="24.95" customHeight="1" x14ac:dyDescent="0.2">
      <c r="A191" s="767"/>
      <c r="B191" s="669"/>
      <c r="N191" s="9"/>
      <c r="P191" s="9"/>
      <c r="Q191" s="9"/>
      <c r="R191" s="9"/>
      <c r="S191" s="719">
        <f>+IF(NOVIEMBRE!S191=0,"",NOVIEMBRE!S191)</f>
        <v>3399999</v>
      </c>
      <c r="T191" s="693" t="str">
        <f>+IF(NOVIEMBRE!T191=0,"",NOVIEMBRE!T191)</f>
        <v>Vigencias Anteriores</v>
      </c>
      <c r="U191" s="27">
        <f>+ENERO!U191</f>
        <v>0</v>
      </c>
      <c r="V191" s="15">
        <f>NOVIEMBRE!V191+DICIEMBRE!AL191</f>
        <v>0</v>
      </c>
      <c r="W191" s="15">
        <f>NOVIEMBRE!W191+DICIEMBRE!AM191</f>
        <v>388382</v>
      </c>
      <c r="X191" s="18">
        <f>SUM(U191:W191)</f>
        <v>388382</v>
      </c>
      <c r="Y191" s="19">
        <f>NOVIEMBRE!AA191</f>
        <v>388382</v>
      </c>
      <c r="Z191" s="377">
        <v>0</v>
      </c>
      <c r="AA191" s="18">
        <f>SUM(Y191:Z191)</f>
        <v>388382</v>
      </c>
      <c r="AB191" s="19">
        <f>NOVIEMBRE!AD191</f>
        <v>388382</v>
      </c>
      <c r="AC191" s="377">
        <v>0</v>
      </c>
      <c r="AD191" s="18">
        <f>SUM(AB191:AC191)</f>
        <v>388382</v>
      </c>
      <c r="AE191" s="19">
        <f>NOVIEMBRE!AG191</f>
        <v>388382</v>
      </c>
      <c r="AF191" s="377">
        <v>0</v>
      </c>
      <c r="AG191" s="18">
        <f>SUM(AE191:AF191)</f>
        <v>388382</v>
      </c>
      <c r="AH191" s="19">
        <f>X191-AA191</f>
        <v>0</v>
      </c>
      <c r="AI191" s="15">
        <f>X191-AD191</f>
        <v>0</v>
      </c>
      <c r="AJ191" s="16">
        <f>X191-AG191</f>
        <v>0</v>
      </c>
      <c r="AK191" s="9"/>
      <c r="AL191" s="375">
        <v>0</v>
      </c>
      <c r="AM191" s="378">
        <v>0</v>
      </c>
      <c r="AN191" s="9"/>
      <c r="BQ191" s="464"/>
    </row>
    <row r="192" spans="1:69" s="385" customFormat="1" ht="24.95" customHeight="1" x14ac:dyDescent="0.2">
      <c r="A192" s="767"/>
      <c r="B192" s="669"/>
      <c r="N192" s="9"/>
      <c r="P192" s="9"/>
      <c r="Q192" s="9"/>
      <c r="R192" s="9"/>
      <c r="S192" s="369" t="str">
        <f>+IF(NOVIEMBRE!S192=0,"",NOVIEMBRE!S192)</f>
        <v/>
      </c>
      <c r="T192" s="708" t="str">
        <f>+IF(NOVIEMBRE!T192=0,"",NOVIEMBRE!T192)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c r="BQ192" s="464"/>
    </row>
    <row r="193" spans="1:69" s="385" customFormat="1" ht="24.95" customHeight="1" x14ac:dyDescent="0.2">
      <c r="A193" s="767"/>
      <c r="B193" s="669"/>
      <c r="N193" s="9"/>
      <c r="P193" s="9"/>
      <c r="Q193" s="9"/>
      <c r="R193" s="9"/>
      <c r="S193" s="717">
        <f>+IF(NOVIEMBRE!S193=0,"",NOVIEMBRE!S193)</f>
        <v>4000000</v>
      </c>
      <c r="T193" s="697" t="str">
        <f>+IF(NOVIEMBRE!T193=0,"",NOVIEMBRE!T193)</f>
        <v>GASTOS  DE PRESTACION DE SERVICIOS</v>
      </c>
      <c r="U193" s="473">
        <f t="shared" ref="U193:AJ193" si="169">U194</f>
        <v>272529328</v>
      </c>
      <c r="V193" s="474">
        <f t="shared" si="169"/>
        <v>-27900000</v>
      </c>
      <c r="W193" s="474">
        <f t="shared" si="169"/>
        <v>196423942</v>
      </c>
      <c r="X193" s="475">
        <f t="shared" si="169"/>
        <v>441053270</v>
      </c>
      <c r="Y193" s="382">
        <f t="shared" si="169"/>
        <v>354734932</v>
      </c>
      <c r="Z193" s="474">
        <f t="shared" si="169"/>
        <v>0</v>
      </c>
      <c r="AA193" s="475">
        <f t="shared" si="169"/>
        <v>354734932</v>
      </c>
      <c r="AB193" s="382">
        <f t="shared" si="169"/>
        <v>342925988</v>
      </c>
      <c r="AC193" s="474">
        <f t="shared" si="169"/>
        <v>0</v>
      </c>
      <c r="AD193" s="475">
        <f t="shared" si="169"/>
        <v>342925988</v>
      </c>
      <c r="AE193" s="382">
        <f t="shared" si="169"/>
        <v>177717142</v>
      </c>
      <c r="AF193" s="474">
        <f t="shared" si="169"/>
        <v>0</v>
      </c>
      <c r="AG193" s="475">
        <f t="shared" si="169"/>
        <v>177717142</v>
      </c>
      <c r="AH193" s="382">
        <f t="shared" si="169"/>
        <v>86318338</v>
      </c>
      <c r="AI193" s="474">
        <f t="shared" si="169"/>
        <v>98127282</v>
      </c>
      <c r="AJ193" s="383">
        <f t="shared" si="169"/>
        <v>263336128</v>
      </c>
      <c r="AK193" s="9"/>
      <c r="AL193" s="131">
        <f>AL194</f>
        <v>0</v>
      </c>
      <c r="AM193" s="133">
        <f>AM194</f>
        <v>0</v>
      </c>
      <c r="AN193" s="9"/>
      <c r="BQ193" s="464"/>
    </row>
    <row r="194" spans="1:69" s="385" customFormat="1" ht="24.95" customHeight="1" x14ac:dyDescent="0.2">
      <c r="A194" s="767"/>
      <c r="B194" s="669"/>
      <c r="N194" s="9"/>
      <c r="P194" s="9"/>
      <c r="Q194" s="9"/>
      <c r="R194" s="9"/>
      <c r="S194" s="718">
        <f>+IF(NOVIEMBRE!S194=0,"",NOVIEMBRE!S194)</f>
        <v>4100000</v>
      </c>
      <c r="T194" s="692" t="str">
        <f>+IF(NOVIEMBRE!T194=0,"",NOVIEMBRE!T194)</f>
        <v>Insumos y Suministros Hospitalarios</v>
      </c>
      <c r="U194" s="135">
        <f t="shared" ref="U194:AJ194" si="170">U195+U203+U205</f>
        <v>272529328</v>
      </c>
      <c r="V194" s="124">
        <f t="shared" si="170"/>
        <v>-27900000</v>
      </c>
      <c r="W194" s="124">
        <f t="shared" si="170"/>
        <v>196423942</v>
      </c>
      <c r="X194" s="132">
        <f t="shared" si="170"/>
        <v>441053270</v>
      </c>
      <c r="Y194" s="131">
        <f t="shared" si="170"/>
        <v>354734932</v>
      </c>
      <c r="Z194" s="124">
        <f t="shared" si="170"/>
        <v>0</v>
      </c>
      <c r="AA194" s="132">
        <f t="shared" si="170"/>
        <v>354734932</v>
      </c>
      <c r="AB194" s="131">
        <f t="shared" si="170"/>
        <v>342925988</v>
      </c>
      <c r="AC194" s="124">
        <f t="shared" si="170"/>
        <v>0</v>
      </c>
      <c r="AD194" s="132">
        <f t="shared" si="170"/>
        <v>342925988</v>
      </c>
      <c r="AE194" s="131">
        <f t="shared" si="170"/>
        <v>177717142</v>
      </c>
      <c r="AF194" s="124">
        <f t="shared" si="170"/>
        <v>0</v>
      </c>
      <c r="AG194" s="132">
        <f t="shared" si="170"/>
        <v>177717142</v>
      </c>
      <c r="AH194" s="131">
        <f t="shared" si="170"/>
        <v>86318338</v>
      </c>
      <c r="AI194" s="124">
        <f t="shared" si="170"/>
        <v>98127282</v>
      </c>
      <c r="AJ194" s="133">
        <f t="shared" si="170"/>
        <v>263336128</v>
      </c>
      <c r="AK194" s="10"/>
      <c r="AL194" s="131">
        <f>AL195+AL203+AL205</f>
        <v>0</v>
      </c>
      <c r="AM194" s="133">
        <f>AM195+AM203+AM205</f>
        <v>0</v>
      </c>
      <c r="AN194" s="9"/>
      <c r="BQ194" s="464"/>
    </row>
    <row r="195" spans="1:69" s="385" customFormat="1" ht="24.95" customHeight="1" x14ac:dyDescent="0.2">
      <c r="A195" s="767"/>
      <c r="B195" s="669"/>
      <c r="N195" s="9"/>
      <c r="P195" s="9"/>
      <c r="Q195" s="9"/>
      <c r="R195" s="9"/>
      <c r="S195" s="719">
        <f>+IF(NOVIEMBRE!S195=0,"",NOVIEMBRE!S195)</f>
        <v>4100100</v>
      </c>
      <c r="T195" s="693" t="str">
        <f>+IF(NOVIEMBRE!T195=0,"",NOVIEMBRE!T195)</f>
        <v>Compra de Bienes para la Prestacion de servicios</v>
      </c>
      <c r="U195" s="27">
        <f t="shared" ref="U195:AJ195" si="171">SUM(U196:U202)</f>
        <v>240561284</v>
      </c>
      <c r="V195" s="15">
        <f t="shared" si="171"/>
        <v>-30900000</v>
      </c>
      <c r="W195" s="15">
        <f t="shared" si="171"/>
        <v>104588010</v>
      </c>
      <c r="X195" s="18">
        <f t="shared" si="171"/>
        <v>314249294</v>
      </c>
      <c r="Y195" s="19">
        <f t="shared" si="171"/>
        <v>233964690</v>
      </c>
      <c r="Z195" s="145">
        <f t="shared" si="171"/>
        <v>0</v>
      </c>
      <c r="AA195" s="18">
        <f t="shared" si="171"/>
        <v>233964690</v>
      </c>
      <c r="AB195" s="19">
        <f t="shared" si="171"/>
        <v>222196526</v>
      </c>
      <c r="AC195" s="145">
        <f t="shared" si="171"/>
        <v>0</v>
      </c>
      <c r="AD195" s="18">
        <f t="shared" si="171"/>
        <v>222196526</v>
      </c>
      <c r="AE195" s="19">
        <f t="shared" si="171"/>
        <v>61089976</v>
      </c>
      <c r="AF195" s="145">
        <f t="shared" si="171"/>
        <v>0</v>
      </c>
      <c r="AG195" s="18">
        <f t="shared" si="171"/>
        <v>61089976</v>
      </c>
      <c r="AH195" s="19">
        <f t="shared" si="171"/>
        <v>80284604</v>
      </c>
      <c r="AI195" s="15">
        <f t="shared" si="171"/>
        <v>92052768</v>
      </c>
      <c r="AJ195" s="16">
        <f t="shared" si="171"/>
        <v>253159318</v>
      </c>
      <c r="AK195" s="9"/>
      <c r="AL195" s="29">
        <f>SUM(AL196:AL202)</f>
        <v>0</v>
      </c>
      <c r="AM195" s="26">
        <f>SUM(AM196:AM202)</f>
        <v>0</v>
      </c>
      <c r="AN195" s="9"/>
      <c r="BQ195" s="464"/>
    </row>
    <row r="196" spans="1:69" s="385" customFormat="1" ht="24.95" customHeight="1" x14ac:dyDescent="0.2">
      <c r="A196" s="767"/>
      <c r="B196" s="669"/>
      <c r="N196" s="9"/>
      <c r="P196" s="9"/>
      <c r="Q196" s="9"/>
      <c r="R196" s="9"/>
      <c r="S196" s="720" t="str">
        <f>+IF(NOVIEMBRE!S196=0,"",NOVIEMBRE!S196)</f>
        <v>4100100-1</v>
      </c>
      <c r="T196" s="694" t="str">
        <f>+IF(NOVIEMBRE!T196=0,"",NOVIEMBRE!T196)</f>
        <v>Productos Farmaceuticos</v>
      </c>
      <c r="U196" s="27">
        <f>+ENERO!U196</f>
        <v>145961721</v>
      </c>
      <c r="V196" s="15">
        <f>NOVIEMBRE!V196+DICIEMBRE!AL196</f>
        <v>-36874000</v>
      </c>
      <c r="W196" s="15">
        <f>NOVIEMBRE!W196+DICIEMBRE!AM196</f>
        <v>102588010</v>
      </c>
      <c r="X196" s="18">
        <f t="shared" ref="X196:X202" si="172">SUM(U196:W196)</f>
        <v>211675731</v>
      </c>
      <c r="Y196" s="19">
        <f>NOVIEMBRE!AA196</f>
        <v>153166071</v>
      </c>
      <c r="Z196" s="377">
        <v>0</v>
      </c>
      <c r="AA196" s="18">
        <f t="shared" ref="AA196:AA202" si="173">SUM(Y196:Z196)</f>
        <v>153166071</v>
      </c>
      <c r="AB196" s="19">
        <f>NOVIEMBRE!AD196</f>
        <v>141397907</v>
      </c>
      <c r="AC196" s="377">
        <v>0</v>
      </c>
      <c r="AD196" s="18">
        <f t="shared" ref="AD196:AD202" si="174">SUM(AB196:AC196)</f>
        <v>141397907</v>
      </c>
      <c r="AE196" s="19">
        <f>NOVIEMBRE!AG196</f>
        <v>33891501</v>
      </c>
      <c r="AF196" s="377">
        <v>0</v>
      </c>
      <c r="AG196" s="18">
        <f t="shared" ref="AG196:AG202" si="175">SUM(AE196:AF196)</f>
        <v>33891501</v>
      </c>
      <c r="AH196" s="19">
        <f t="shared" ref="AH196:AH202" si="176">X196-AA196</f>
        <v>58509660</v>
      </c>
      <c r="AI196" s="15">
        <f t="shared" ref="AI196:AI202" si="177">X196-AD196</f>
        <v>70277824</v>
      </c>
      <c r="AJ196" s="16">
        <f t="shared" ref="AJ196:AJ202" si="178">X196-AG196</f>
        <v>177784230</v>
      </c>
      <c r="AK196" s="9"/>
      <c r="AL196" s="375">
        <v>0</v>
      </c>
      <c r="AM196" s="378">
        <v>0</v>
      </c>
      <c r="AN196" s="9"/>
      <c r="BQ196" s="464"/>
    </row>
    <row r="197" spans="1:69" s="385" customFormat="1" ht="24.95" customHeight="1" x14ac:dyDescent="0.2">
      <c r="A197" s="767"/>
      <c r="B197" s="669"/>
      <c r="N197" s="9"/>
      <c r="P197" s="9"/>
      <c r="Q197" s="9"/>
      <c r="R197" s="9"/>
      <c r="S197" s="720" t="str">
        <f>+IF(NOVIEMBRE!S197=0,"",NOVIEMBRE!S197)</f>
        <v>4100100-2</v>
      </c>
      <c r="T197" s="694" t="str">
        <f>+IF(NOVIEMBRE!T197=0,"",NOVIEMBRE!T197)</f>
        <v>Material Médico Quirúrgico</v>
      </c>
      <c r="U197" s="27">
        <f>+ENERO!U197</f>
        <v>49263202</v>
      </c>
      <c r="V197" s="15">
        <f>NOVIEMBRE!V197+DICIEMBRE!AL197</f>
        <v>0</v>
      </c>
      <c r="W197" s="15">
        <f>NOVIEMBRE!W197+DICIEMBRE!AM197</f>
        <v>0</v>
      </c>
      <c r="X197" s="18">
        <f t="shared" si="172"/>
        <v>49263202</v>
      </c>
      <c r="Y197" s="19">
        <f>NOVIEMBRE!AA197</f>
        <v>41751651</v>
      </c>
      <c r="Z197" s="377">
        <v>0</v>
      </c>
      <c r="AA197" s="18">
        <f t="shared" si="173"/>
        <v>41751651</v>
      </c>
      <c r="AB197" s="19">
        <f>NOVIEMBRE!AD197</f>
        <v>41751651</v>
      </c>
      <c r="AC197" s="377">
        <v>0</v>
      </c>
      <c r="AD197" s="18">
        <f t="shared" si="174"/>
        <v>41751651</v>
      </c>
      <c r="AE197" s="19">
        <f>NOVIEMBRE!AG197</f>
        <v>13065656</v>
      </c>
      <c r="AF197" s="377">
        <v>0</v>
      </c>
      <c r="AG197" s="18">
        <f t="shared" si="175"/>
        <v>13065656</v>
      </c>
      <c r="AH197" s="19">
        <f t="shared" si="176"/>
        <v>7511551</v>
      </c>
      <c r="AI197" s="15">
        <f t="shared" si="177"/>
        <v>7511551</v>
      </c>
      <c r="AJ197" s="16">
        <f t="shared" si="178"/>
        <v>36197546</v>
      </c>
      <c r="AK197" s="9"/>
      <c r="AL197" s="375">
        <v>0</v>
      </c>
      <c r="AM197" s="378">
        <v>0</v>
      </c>
      <c r="AN197" s="9"/>
      <c r="BQ197" s="464"/>
    </row>
    <row r="198" spans="1:69" s="385" customFormat="1" ht="24.95" customHeight="1" x14ac:dyDescent="0.2">
      <c r="A198" s="767"/>
      <c r="B198" s="669"/>
      <c r="N198" s="9"/>
      <c r="P198" s="9"/>
      <c r="Q198" s="9"/>
      <c r="R198" s="9"/>
      <c r="S198" s="720" t="str">
        <f>+IF(NOVIEMBRE!S198=0,"",NOVIEMBRE!S198)</f>
        <v>4100100-3</v>
      </c>
      <c r="T198" s="694" t="str">
        <f>+IF(NOVIEMBRE!T198=0,"",NOVIEMBRE!T198)</f>
        <v>Material de Laboratorio</v>
      </c>
      <c r="U198" s="27">
        <f>+ENERO!U198</f>
        <v>20729510</v>
      </c>
      <c r="V198" s="15">
        <f>NOVIEMBRE!V198+DICIEMBRE!AL198</f>
        <v>8974000</v>
      </c>
      <c r="W198" s="15">
        <f>NOVIEMBRE!W198+DICIEMBRE!AM198</f>
        <v>0</v>
      </c>
      <c r="X198" s="18">
        <f t="shared" si="172"/>
        <v>29703510</v>
      </c>
      <c r="Y198" s="19">
        <f>NOVIEMBRE!AA198</f>
        <v>22442273</v>
      </c>
      <c r="Z198" s="377">
        <v>0</v>
      </c>
      <c r="AA198" s="18">
        <f t="shared" si="173"/>
        <v>22442273</v>
      </c>
      <c r="AB198" s="19">
        <f>NOVIEMBRE!AD198</f>
        <v>22442273</v>
      </c>
      <c r="AC198" s="377">
        <v>0</v>
      </c>
      <c r="AD198" s="18">
        <f t="shared" si="174"/>
        <v>22442273</v>
      </c>
      <c r="AE198" s="19">
        <f>NOVIEMBRE!AG198</f>
        <v>6596916</v>
      </c>
      <c r="AF198" s="377">
        <v>0</v>
      </c>
      <c r="AG198" s="18">
        <f t="shared" si="175"/>
        <v>6596916</v>
      </c>
      <c r="AH198" s="19">
        <f t="shared" si="176"/>
        <v>7261237</v>
      </c>
      <c r="AI198" s="15">
        <f t="shared" si="177"/>
        <v>7261237</v>
      </c>
      <c r="AJ198" s="16">
        <f t="shared" si="178"/>
        <v>23106594</v>
      </c>
      <c r="AK198" s="9"/>
      <c r="AL198" s="375">
        <v>0</v>
      </c>
      <c r="AM198" s="378">
        <v>0</v>
      </c>
      <c r="AN198" s="9"/>
      <c r="BQ198" s="464"/>
    </row>
    <row r="199" spans="1:69" s="385" customFormat="1" ht="24.95" customHeight="1" x14ac:dyDescent="0.2">
      <c r="A199" s="767"/>
      <c r="B199" s="669"/>
      <c r="N199" s="9"/>
      <c r="P199" s="9"/>
      <c r="Q199" s="9"/>
      <c r="R199" s="9"/>
      <c r="S199" s="720" t="str">
        <f>+IF(NOVIEMBRE!S199=0,"",NOVIEMBRE!S199)</f>
        <v>4100100-4</v>
      </c>
      <c r="T199" s="694" t="str">
        <f>+IF(NOVIEMBRE!T199=0,"",NOVIEMBRE!T199)</f>
        <v>Material para Odontologia</v>
      </c>
      <c r="U199" s="27">
        <f>+ENERO!U199</f>
        <v>22568185</v>
      </c>
      <c r="V199" s="15">
        <f>NOVIEMBRE!V199+DICIEMBRE!AL199</f>
        <v>0</v>
      </c>
      <c r="W199" s="15">
        <f>NOVIEMBRE!W199+DICIEMBRE!AM199</f>
        <v>0</v>
      </c>
      <c r="X199" s="18">
        <f t="shared" si="172"/>
        <v>22568185</v>
      </c>
      <c r="Y199" s="19">
        <f>NOVIEMBRE!AA199</f>
        <v>16604695</v>
      </c>
      <c r="Z199" s="377">
        <v>0</v>
      </c>
      <c r="AA199" s="18">
        <f t="shared" si="173"/>
        <v>16604695</v>
      </c>
      <c r="AB199" s="19">
        <f>NOVIEMBRE!AD199</f>
        <v>16604695</v>
      </c>
      <c r="AC199" s="377">
        <v>0</v>
      </c>
      <c r="AD199" s="18">
        <f t="shared" si="174"/>
        <v>16604695</v>
      </c>
      <c r="AE199" s="19">
        <f>NOVIEMBRE!AG199</f>
        <v>7535903</v>
      </c>
      <c r="AF199" s="377">
        <v>0</v>
      </c>
      <c r="AG199" s="18">
        <f t="shared" si="175"/>
        <v>7535903</v>
      </c>
      <c r="AH199" s="19">
        <f t="shared" si="176"/>
        <v>5963490</v>
      </c>
      <c r="AI199" s="15">
        <f t="shared" si="177"/>
        <v>5963490</v>
      </c>
      <c r="AJ199" s="16">
        <f t="shared" si="178"/>
        <v>15032282</v>
      </c>
      <c r="AK199" s="9"/>
      <c r="AL199" s="375">
        <v>0</v>
      </c>
      <c r="AM199" s="378">
        <v>0</v>
      </c>
      <c r="AN199" s="9"/>
      <c r="BQ199" s="464"/>
    </row>
    <row r="200" spans="1:69" s="385" customFormat="1" ht="24.95" customHeight="1" x14ac:dyDescent="0.2">
      <c r="A200" s="767"/>
      <c r="B200" s="669"/>
      <c r="N200" s="9"/>
      <c r="P200" s="9"/>
      <c r="Q200" s="9"/>
      <c r="R200" s="9"/>
      <c r="S200" s="720" t="str">
        <f>+IF(NOVIEMBRE!S200=0,"",NOVIEMBRE!S200)</f>
        <v>4100100-5</v>
      </c>
      <c r="T200" s="694" t="str">
        <f>+IF(NOVIEMBRE!T200=0,"",NOVIEMBRE!T200)</f>
        <v>Material para Rayos X</v>
      </c>
      <c r="U200" s="27">
        <f>+ENERO!U200</f>
        <v>2038666</v>
      </c>
      <c r="V200" s="15">
        <f>NOVIEMBRE!V200+DICIEMBRE!AL200</f>
        <v>-3000000</v>
      </c>
      <c r="W200" s="15">
        <f>NOVIEMBRE!W200+DICIEMBRE!AM200</f>
        <v>2000000</v>
      </c>
      <c r="X200" s="18">
        <f t="shared" si="172"/>
        <v>1038666</v>
      </c>
      <c r="Y200" s="19">
        <f>NOVIEMBRE!AA200</f>
        <v>0</v>
      </c>
      <c r="Z200" s="377">
        <v>0</v>
      </c>
      <c r="AA200" s="18">
        <f t="shared" si="173"/>
        <v>0</v>
      </c>
      <c r="AB200" s="19">
        <f>NOVIEMBRE!AD200</f>
        <v>0</v>
      </c>
      <c r="AC200" s="377">
        <v>0</v>
      </c>
      <c r="AD200" s="18">
        <f t="shared" si="174"/>
        <v>0</v>
      </c>
      <c r="AE200" s="19">
        <f>NOVIEMBRE!AG200</f>
        <v>0</v>
      </c>
      <c r="AF200" s="377">
        <v>0</v>
      </c>
      <c r="AG200" s="18">
        <f t="shared" si="175"/>
        <v>0</v>
      </c>
      <c r="AH200" s="19">
        <f t="shared" si="176"/>
        <v>1038666</v>
      </c>
      <c r="AI200" s="15">
        <f t="shared" si="177"/>
        <v>1038666</v>
      </c>
      <c r="AJ200" s="16">
        <f t="shared" si="178"/>
        <v>1038666</v>
      </c>
      <c r="AK200" s="9"/>
      <c r="AL200" s="375">
        <v>0</v>
      </c>
      <c r="AM200" s="378">
        <v>0</v>
      </c>
      <c r="AN200" s="9"/>
      <c r="BQ200" s="464"/>
    </row>
    <row r="201" spans="1:69" s="385" customFormat="1" ht="24.95" customHeight="1" x14ac:dyDescent="0.2">
      <c r="A201" s="767"/>
      <c r="B201" s="669"/>
      <c r="N201" s="9"/>
      <c r="P201" s="9"/>
      <c r="Q201" s="9"/>
      <c r="R201" s="9"/>
      <c r="S201" s="720" t="str">
        <f>+IF(NOVIEMBRE!S201=0,"",NOVIEMBRE!S201)</f>
        <v/>
      </c>
      <c r="T201" s="694" t="str">
        <f>+IF(NOVIEMBRE!T201=0,"",NOVIEMBRE!T201)</f>
        <v/>
      </c>
      <c r="U201" s="27">
        <f>+ENERO!U201</f>
        <v>0</v>
      </c>
      <c r="V201" s="15">
        <f>NOVIEMBRE!V201+DICIEMBRE!AL201</f>
        <v>0</v>
      </c>
      <c r="W201" s="15">
        <f>NOVIEMBRE!W201+DICIEMBRE!AM201</f>
        <v>0</v>
      </c>
      <c r="X201" s="18">
        <f t="shared" si="172"/>
        <v>0</v>
      </c>
      <c r="Y201" s="19">
        <f>NOVIEMBRE!AA201</f>
        <v>0</v>
      </c>
      <c r="Z201" s="377">
        <v>0</v>
      </c>
      <c r="AA201" s="18">
        <f t="shared" si="173"/>
        <v>0</v>
      </c>
      <c r="AB201" s="19">
        <f>NOVIEMBRE!AD201</f>
        <v>0</v>
      </c>
      <c r="AC201" s="377">
        <v>0</v>
      </c>
      <c r="AD201" s="18">
        <f t="shared" si="174"/>
        <v>0</v>
      </c>
      <c r="AE201" s="19">
        <f>NOVIEMBRE!AG201</f>
        <v>0</v>
      </c>
      <c r="AF201" s="377">
        <v>0</v>
      </c>
      <c r="AG201" s="18">
        <f t="shared" si="175"/>
        <v>0</v>
      </c>
      <c r="AH201" s="19">
        <f t="shared" si="176"/>
        <v>0</v>
      </c>
      <c r="AI201" s="15">
        <f t="shared" si="177"/>
        <v>0</v>
      </c>
      <c r="AJ201" s="16">
        <f t="shared" si="178"/>
        <v>0</v>
      </c>
      <c r="AK201" s="9"/>
      <c r="AL201" s="375">
        <v>0</v>
      </c>
      <c r="AM201" s="378">
        <v>0</v>
      </c>
      <c r="AN201" s="9"/>
      <c r="BQ201" s="464"/>
    </row>
    <row r="202" spans="1:69" s="385" customFormat="1" ht="24.95" customHeight="1" x14ac:dyDescent="0.2">
      <c r="A202" s="767"/>
      <c r="B202" s="669"/>
      <c r="N202" s="9"/>
      <c r="P202" s="9"/>
      <c r="Q202" s="9"/>
      <c r="R202" s="9"/>
      <c r="S202" s="720" t="str">
        <f>+IF(NOVIEMBRE!S202=0,"",NOVIEMBRE!S202)</f>
        <v/>
      </c>
      <c r="T202" s="694" t="str">
        <f>+IF(NOVIEMBRE!T202=0,"",NOVIEMBRE!T202)</f>
        <v/>
      </c>
      <c r="U202" s="27">
        <f>+ENERO!U202</f>
        <v>0</v>
      </c>
      <c r="V202" s="15">
        <f>NOVIEMBRE!V202+DICIEMBRE!AL202</f>
        <v>0</v>
      </c>
      <c r="W202" s="15">
        <f>NOVIEMBRE!W202+DICIEMBRE!AM202</f>
        <v>0</v>
      </c>
      <c r="X202" s="18">
        <f t="shared" si="172"/>
        <v>0</v>
      </c>
      <c r="Y202" s="19">
        <f>NOVIEMBRE!AA202</f>
        <v>0</v>
      </c>
      <c r="Z202" s="377">
        <v>0</v>
      </c>
      <c r="AA202" s="18">
        <f t="shared" si="173"/>
        <v>0</v>
      </c>
      <c r="AB202" s="19">
        <f>NOVIEMBRE!AD202</f>
        <v>0</v>
      </c>
      <c r="AC202" s="377">
        <v>0</v>
      </c>
      <c r="AD202" s="18">
        <f t="shared" si="174"/>
        <v>0</v>
      </c>
      <c r="AE202" s="19">
        <f>NOVIEMBRE!AG202</f>
        <v>0</v>
      </c>
      <c r="AF202" s="377">
        <v>0</v>
      </c>
      <c r="AG202" s="18">
        <f t="shared" si="175"/>
        <v>0</v>
      </c>
      <c r="AH202" s="19">
        <f t="shared" si="176"/>
        <v>0</v>
      </c>
      <c r="AI202" s="15">
        <f t="shared" si="177"/>
        <v>0</v>
      </c>
      <c r="AJ202" s="16">
        <f t="shared" si="178"/>
        <v>0</v>
      </c>
      <c r="AK202" s="9"/>
      <c r="AL202" s="375">
        <v>0</v>
      </c>
      <c r="AM202" s="378">
        <v>0</v>
      </c>
      <c r="AN202" s="9"/>
      <c r="BQ202" s="464"/>
    </row>
    <row r="203" spans="1:69" s="385" customFormat="1" ht="24.95" customHeight="1" x14ac:dyDescent="0.2">
      <c r="A203" s="767"/>
      <c r="B203" s="669"/>
      <c r="N203" s="9"/>
      <c r="P203" s="9"/>
      <c r="Q203" s="9"/>
      <c r="R203" s="9"/>
      <c r="S203" s="719">
        <f>+IF(NOVIEMBRE!S203=0,"",NOVIEMBRE!S203)</f>
        <v>4100200</v>
      </c>
      <c r="T203" s="693" t="str">
        <f>+IF(NOVIEMBRE!T203=0,"",NOVIEMBRE!T203)</f>
        <v>Gastos Complementarios e Intermedios</v>
      </c>
      <c r="U203" s="27">
        <f t="shared" ref="U203:AJ203" si="179">U204</f>
        <v>31968044</v>
      </c>
      <c r="V203" s="15">
        <f t="shared" si="179"/>
        <v>3000000</v>
      </c>
      <c r="W203" s="15">
        <f t="shared" si="179"/>
        <v>0</v>
      </c>
      <c r="X203" s="18">
        <f t="shared" si="179"/>
        <v>34968044</v>
      </c>
      <c r="Y203" s="19">
        <f t="shared" si="179"/>
        <v>28934310</v>
      </c>
      <c r="Z203" s="145">
        <f t="shared" si="179"/>
        <v>0</v>
      </c>
      <c r="AA203" s="18">
        <f t="shared" si="179"/>
        <v>28934310</v>
      </c>
      <c r="AB203" s="19">
        <f t="shared" si="179"/>
        <v>28893530</v>
      </c>
      <c r="AC203" s="145">
        <f t="shared" si="179"/>
        <v>0</v>
      </c>
      <c r="AD203" s="18">
        <f t="shared" si="179"/>
        <v>28893530</v>
      </c>
      <c r="AE203" s="19">
        <f t="shared" si="179"/>
        <v>25017596</v>
      </c>
      <c r="AF203" s="145">
        <f t="shared" si="179"/>
        <v>0</v>
      </c>
      <c r="AG203" s="18">
        <f t="shared" si="179"/>
        <v>25017596</v>
      </c>
      <c r="AH203" s="19">
        <f t="shared" si="179"/>
        <v>6033734</v>
      </c>
      <c r="AI203" s="15">
        <f t="shared" si="179"/>
        <v>6074514</v>
      </c>
      <c r="AJ203" s="16">
        <f t="shared" si="179"/>
        <v>9950448</v>
      </c>
      <c r="AK203" s="9"/>
      <c r="AL203" s="29">
        <f>AL204</f>
        <v>0</v>
      </c>
      <c r="AM203" s="26">
        <f>AM204</f>
        <v>0</v>
      </c>
      <c r="AN203" s="9"/>
      <c r="BQ203" s="464"/>
    </row>
    <row r="204" spans="1:69" s="385" customFormat="1" ht="24.95" customHeight="1" x14ac:dyDescent="0.2">
      <c r="A204" s="767"/>
      <c r="B204" s="669"/>
      <c r="N204" s="9"/>
      <c r="P204" s="9"/>
      <c r="Q204" s="9"/>
      <c r="R204" s="9"/>
      <c r="S204" s="720" t="str">
        <f>+IF(NOVIEMBRE!S204=0,"",NOVIEMBRE!S204)</f>
        <v>4100200-1</v>
      </c>
      <c r="T204" s="694" t="str">
        <f>+IF(NOVIEMBRE!T204=0,"",NOVIEMBRE!T204)</f>
        <v>Alimentación</v>
      </c>
      <c r="U204" s="27">
        <f>+ENERO!U204</f>
        <v>31968044</v>
      </c>
      <c r="V204" s="15">
        <f>NOVIEMBRE!V204+DICIEMBRE!AL204</f>
        <v>3000000</v>
      </c>
      <c r="W204" s="15">
        <f>NOVIEMBRE!W204+DICIEMBRE!AM204</f>
        <v>0</v>
      </c>
      <c r="X204" s="18">
        <f>SUM(U204:W204)</f>
        <v>34968044</v>
      </c>
      <c r="Y204" s="19">
        <f>NOVIEMBRE!AA204</f>
        <v>28934310</v>
      </c>
      <c r="Z204" s="377">
        <v>0</v>
      </c>
      <c r="AA204" s="18">
        <f>SUM(Y204:Z204)</f>
        <v>28934310</v>
      </c>
      <c r="AB204" s="19">
        <f>NOVIEMBRE!AD204</f>
        <v>28893530</v>
      </c>
      <c r="AC204" s="377">
        <v>0</v>
      </c>
      <c r="AD204" s="18">
        <f>SUM(AB204:AC204)</f>
        <v>28893530</v>
      </c>
      <c r="AE204" s="19">
        <f>NOVIEMBRE!AG204</f>
        <v>25017596</v>
      </c>
      <c r="AF204" s="377">
        <v>0</v>
      </c>
      <c r="AG204" s="18">
        <f>SUM(AE204:AF204)</f>
        <v>25017596</v>
      </c>
      <c r="AH204" s="19">
        <f>X204-AA204</f>
        <v>6033734</v>
      </c>
      <c r="AI204" s="15">
        <f>X204-AD204</f>
        <v>6074514</v>
      </c>
      <c r="AJ204" s="16">
        <f>X204-AG204</f>
        <v>9950448</v>
      </c>
      <c r="AK204" s="9"/>
      <c r="AL204" s="375">
        <v>0</v>
      </c>
      <c r="AM204" s="378">
        <v>0</v>
      </c>
      <c r="AN204" s="9"/>
      <c r="BQ204" s="464"/>
    </row>
    <row r="205" spans="1:69" s="385" customFormat="1" ht="24.95" customHeight="1" thickBot="1" x14ac:dyDescent="0.25">
      <c r="A205" s="767"/>
      <c r="B205" s="669"/>
      <c r="N205" s="9"/>
      <c r="P205" s="9"/>
      <c r="Q205" s="9"/>
      <c r="R205" s="9"/>
      <c r="S205" s="724">
        <f>+IF(NOVIEMBRE!S205=0,"",NOVIEMBRE!S205)</f>
        <v>4199999</v>
      </c>
      <c r="T205" s="699" t="str">
        <f>+IF(NOVIEMBRE!T205=0,"",NOVIEMBRE!T205)</f>
        <v>Vigencias Anteriores</v>
      </c>
      <c r="U205" s="136">
        <f>+ENERO!U205</f>
        <v>0</v>
      </c>
      <c r="V205" s="123">
        <f>NOVIEMBRE!V205+DICIEMBRE!AL205</f>
        <v>0</v>
      </c>
      <c r="W205" s="123">
        <f>NOVIEMBRE!W205+DICIEMBRE!AM205</f>
        <v>91835932</v>
      </c>
      <c r="X205" s="129">
        <f>SUM(U205:W205)</f>
        <v>91835932</v>
      </c>
      <c r="Y205" s="127">
        <f>NOVIEMBRE!AA205</f>
        <v>91835932</v>
      </c>
      <c r="Z205" s="391">
        <v>0</v>
      </c>
      <c r="AA205" s="129">
        <f>SUM(Y205:Z205)</f>
        <v>91835932</v>
      </c>
      <c r="AB205" s="127">
        <f>NOVIEMBRE!AD205</f>
        <v>91835932</v>
      </c>
      <c r="AC205" s="391">
        <v>0</v>
      </c>
      <c r="AD205" s="129">
        <f>SUM(AB205:AC205)</f>
        <v>91835932</v>
      </c>
      <c r="AE205" s="127">
        <f>NOVIEMBRE!AG205</f>
        <v>91609570</v>
      </c>
      <c r="AF205" s="391">
        <v>0</v>
      </c>
      <c r="AG205" s="129">
        <f>SUM(AE205:AF205)</f>
        <v>91609570</v>
      </c>
      <c r="AH205" s="127">
        <f>X205-AA205</f>
        <v>0</v>
      </c>
      <c r="AI205" s="123">
        <f>X205-AD205</f>
        <v>0</v>
      </c>
      <c r="AJ205" s="128">
        <f>X205-AG205</f>
        <v>226362</v>
      </c>
      <c r="AK205" s="9"/>
      <c r="AL205" s="387">
        <v>0</v>
      </c>
      <c r="AM205" s="392">
        <v>0</v>
      </c>
      <c r="AN205" s="9"/>
      <c r="BQ205" s="464"/>
    </row>
    <row r="206" spans="1:69" s="385" customFormat="1" ht="24.95" customHeight="1" x14ac:dyDescent="0.2">
      <c r="A206" s="767"/>
      <c r="B206" s="669"/>
      <c r="N206" s="9"/>
      <c r="P206" s="9"/>
      <c r="Q206" s="9"/>
      <c r="R206" s="9"/>
      <c r="S206" s="492" t="str">
        <f>+IF(NOVIEMBRE!S206=0,"",NOVIEMBRE!S206)</f>
        <v/>
      </c>
      <c r="T206" s="700" t="str">
        <f>+IF(NOVIEMBRE!T206=0,"",NOVIEMBRE!T206)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c r="BQ206" s="464"/>
    </row>
    <row r="207" spans="1:69" s="385" customFormat="1" ht="24.95" customHeight="1" x14ac:dyDescent="0.2">
      <c r="A207" s="767"/>
      <c r="B207" s="669"/>
      <c r="N207" s="9"/>
      <c r="P207" s="9"/>
      <c r="Q207" s="9"/>
      <c r="R207" s="9"/>
      <c r="S207" s="511" t="str">
        <f>+IF(NOVIEMBRE!S207=0,"",NOVIEMBRE!S207)</f>
        <v>B</v>
      </c>
      <c r="T207" s="709" t="str">
        <f>+IF(NOVIEMBRE!T207=0,"",NOVIEMBRE!T207)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c r="BQ207" s="464"/>
    </row>
    <row r="208" spans="1:69"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c r="BQ208" s="464"/>
    </row>
    <row r="209" spans="1:69" s="385" customFormat="1" ht="24.95" customHeight="1" x14ac:dyDescent="0.2">
      <c r="A209" s="767"/>
      <c r="B209" s="669"/>
      <c r="N209" s="9"/>
      <c r="P209" s="9"/>
      <c r="Q209" s="9"/>
      <c r="R209" s="9"/>
      <c r="S209" s="717">
        <f>+IF(NOVIEMBRE!S209=0,"",NOVIEMBRE!S209)</f>
        <v>5000000</v>
      </c>
      <c r="T209" s="697" t="s">
        <v>460</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c r="BQ209" s="464"/>
    </row>
    <row r="210" spans="1:69" s="385" customFormat="1" ht="24.95" customHeight="1" x14ac:dyDescent="0.2">
      <c r="A210" s="767"/>
      <c r="B210" s="669"/>
      <c r="N210" s="9"/>
      <c r="P210" s="9"/>
      <c r="Q210" s="9"/>
      <c r="R210" s="9"/>
      <c r="S210" s="718">
        <f>+IF(NOVIEMBRE!S210=0,"",NOVIEMBRE!S210)</f>
        <v>5100000</v>
      </c>
      <c r="T210" s="692" t="str">
        <f>+IF(NOVIEMBRE!T210=0,"",NOVIEMBRE!T210)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c r="BQ210" s="464"/>
    </row>
    <row r="211" spans="1:69" s="385" customFormat="1" ht="24.95" customHeight="1" x14ac:dyDescent="0.2">
      <c r="A211" s="767"/>
      <c r="B211" s="669"/>
      <c r="N211" s="9"/>
      <c r="P211" s="9"/>
      <c r="Q211" s="9"/>
      <c r="R211" s="9"/>
      <c r="S211" s="719">
        <f>+IF(NOVIEMBRE!S211=0,"",NOVIEMBRE!S211)</f>
        <v>5100100</v>
      </c>
      <c r="T211" s="693" t="str">
        <f>+IF(NOVIEMBRE!T211=0,"",NOVIEMBRE!T211)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c r="BQ211" s="464"/>
    </row>
    <row r="212" spans="1:69" s="385" customFormat="1" ht="24.95" customHeight="1" x14ac:dyDescent="0.2">
      <c r="A212" s="767"/>
      <c r="B212" s="669"/>
      <c r="N212" s="9"/>
      <c r="P212" s="9"/>
      <c r="Q212" s="9"/>
      <c r="R212" s="9"/>
      <c r="S212" s="720" t="str">
        <f>+IF(NOVIEMBRE!S212=0,"",NOVIEMBRE!S212)</f>
        <v>5100100-1</v>
      </c>
      <c r="T212" s="694" t="str">
        <f>+IF(NOVIEMBRE!T212=0,"",NOVIEMBRE!T212)</f>
        <v>Productos Farmaceuticos</v>
      </c>
      <c r="U212" s="27">
        <f>+ENERO!U212</f>
        <v>0</v>
      </c>
      <c r="V212" s="15">
        <f>NOVIEMBRE!V212+DICIEMBRE!AL212</f>
        <v>0</v>
      </c>
      <c r="W212" s="15">
        <f>NOVIEMBRE!W212+DICIEMBRE!AM212</f>
        <v>0</v>
      </c>
      <c r="X212" s="18">
        <f t="shared" ref="X212:X218" si="184">SUM(U212:W212)</f>
        <v>0</v>
      </c>
      <c r="Y212" s="19">
        <f>NOVIEMBRE!AA212</f>
        <v>0</v>
      </c>
      <c r="Z212" s="377">
        <v>0</v>
      </c>
      <c r="AA212" s="18">
        <f t="shared" ref="AA212:AA218" si="185">SUM(Y212:Z212)</f>
        <v>0</v>
      </c>
      <c r="AB212" s="19">
        <f>NOVIEMBRE!AD212</f>
        <v>0</v>
      </c>
      <c r="AC212" s="377">
        <v>0</v>
      </c>
      <c r="AD212" s="18">
        <f t="shared" ref="AD212:AD218" si="186">SUM(AB212:AC212)</f>
        <v>0</v>
      </c>
      <c r="AE212" s="19">
        <f>NOVIEMBRE!AG212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c r="BQ212" s="464"/>
    </row>
    <row r="213" spans="1:69" s="385" customFormat="1" ht="24.95" customHeight="1" x14ac:dyDescent="0.2">
      <c r="A213" s="767"/>
      <c r="B213" s="669"/>
      <c r="N213" s="9"/>
      <c r="P213" s="9"/>
      <c r="Q213" s="9"/>
      <c r="R213" s="9"/>
      <c r="S213" s="720" t="str">
        <f>+IF(NOVIEMBRE!S213=0,"",NOVIEMBRE!S213)</f>
        <v>5100100-2</v>
      </c>
      <c r="T213" s="694" t="str">
        <f>+IF(NOVIEMBRE!T213=0,"",NOVIEMBRE!T213)</f>
        <v>Material Médico Quirúrgico</v>
      </c>
      <c r="U213" s="27">
        <f>+ENERO!U213</f>
        <v>0</v>
      </c>
      <c r="V213" s="15">
        <f>NOVIEMBRE!V213+DICIEMBRE!AL213</f>
        <v>0</v>
      </c>
      <c r="W213" s="15">
        <f>NOVIEMBRE!W213+DICIEMBRE!AM213</f>
        <v>0</v>
      </c>
      <c r="X213" s="18">
        <f t="shared" si="184"/>
        <v>0</v>
      </c>
      <c r="Y213" s="19">
        <f>NOVIEMBRE!AA213</f>
        <v>0</v>
      </c>
      <c r="Z213" s="377">
        <v>0</v>
      </c>
      <c r="AA213" s="18">
        <f t="shared" si="185"/>
        <v>0</v>
      </c>
      <c r="AB213" s="19">
        <f>NOVIEMBRE!AD213</f>
        <v>0</v>
      </c>
      <c r="AC213" s="377">
        <v>0</v>
      </c>
      <c r="AD213" s="18">
        <f t="shared" si="186"/>
        <v>0</v>
      </c>
      <c r="AE213" s="19">
        <f>NOVIEMBRE!AG213</f>
        <v>0</v>
      </c>
      <c r="AF213" s="377">
        <v>0</v>
      </c>
      <c r="AG213" s="18">
        <f t="shared" si="187"/>
        <v>0</v>
      </c>
      <c r="AH213" s="19">
        <f t="shared" si="188"/>
        <v>0</v>
      </c>
      <c r="AI213" s="15">
        <f t="shared" si="189"/>
        <v>0</v>
      </c>
      <c r="AJ213" s="16">
        <f t="shared" si="190"/>
        <v>0</v>
      </c>
      <c r="AK213" s="9"/>
      <c r="AL213" s="375">
        <v>0</v>
      </c>
      <c r="AM213" s="378">
        <v>0</v>
      </c>
      <c r="AN213" s="9"/>
      <c r="BQ213" s="464"/>
    </row>
    <row r="214" spans="1:69" s="385" customFormat="1" ht="24.95" customHeight="1" x14ac:dyDescent="0.2">
      <c r="A214" s="767"/>
      <c r="B214" s="669"/>
      <c r="N214" s="9"/>
      <c r="P214" s="9"/>
      <c r="Q214" s="9"/>
      <c r="R214" s="9"/>
      <c r="S214" s="720" t="str">
        <f>+IF(NOVIEMBRE!S214=0,"",NOVIEMBRE!S214)</f>
        <v>5100100-3</v>
      </c>
      <c r="T214" s="694" t="str">
        <f>+IF(NOVIEMBRE!T214=0,"",NOVIEMBRE!T214)</f>
        <v>Material de Laboratorio</v>
      </c>
      <c r="U214" s="27">
        <f>+ENERO!U214</f>
        <v>0</v>
      </c>
      <c r="V214" s="15">
        <f>NOVIEMBRE!V214+DICIEMBRE!AL214</f>
        <v>0</v>
      </c>
      <c r="W214" s="15">
        <f>NOVIEMBRE!W214+DICIEMBRE!AM214</f>
        <v>0</v>
      </c>
      <c r="X214" s="18">
        <f t="shared" si="184"/>
        <v>0</v>
      </c>
      <c r="Y214" s="19">
        <f>NOVIEMBRE!AA214</f>
        <v>0</v>
      </c>
      <c r="Z214" s="377">
        <v>0</v>
      </c>
      <c r="AA214" s="18">
        <f t="shared" si="185"/>
        <v>0</v>
      </c>
      <c r="AB214" s="19">
        <f>NOVIEMBRE!AD214</f>
        <v>0</v>
      </c>
      <c r="AC214" s="377">
        <v>0</v>
      </c>
      <c r="AD214" s="18">
        <f t="shared" si="186"/>
        <v>0</v>
      </c>
      <c r="AE214" s="19">
        <f>NOVIEMBRE!AG214</f>
        <v>0</v>
      </c>
      <c r="AF214" s="377">
        <v>0</v>
      </c>
      <c r="AG214" s="18">
        <f t="shared" si="187"/>
        <v>0</v>
      </c>
      <c r="AH214" s="19">
        <f t="shared" si="188"/>
        <v>0</v>
      </c>
      <c r="AI214" s="15">
        <f t="shared" si="189"/>
        <v>0</v>
      </c>
      <c r="AJ214" s="16">
        <f t="shared" si="190"/>
        <v>0</v>
      </c>
      <c r="AK214" s="9"/>
      <c r="AL214" s="375">
        <v>0</v>
      </c>
      <c r="AM214" s="378">
        <v>0</v>
      </c>
      <c r="AN214" s="9"/>
      <c r="BQ214" s="464"/>
    </row>
    <row r="215" spans="1:69" s="385" customFormat="1" ht="24.95" customHeight="1" x14ac:dyDescent="0.2">
      <c r="A215" s="767"/>
      <c r="B215" s="669"/>
      <c r="N215" s="9"/>
      <c r="P215" s="9"/>
      <c r="Q215" s="9"/>
      <c r="R215" s="9"/>
      <c r="S215" s="720" t="str">
        <f>+IF(NOVIEMBRE!S215=0,"",NOVIEMBRE!S215)</f>
        <v>5100100-4</v>
      </c>
      <c r="T215" s="694" t="str">
        <f>+IF(NOVIEMBRE!T215=0,"",NOVIEMBRE!T215)</f>
        <v>Material para Odontologia</v>
      </c>
      <c r="U215" s="27">
        <f>+ENERO!U215</f>
        <v>0</v>
      </c>
      <c r="V215" s="15">
        <f>NOVIEMBRE!V215+DICIEMBRE!AL215</f>
        <v>0</v>
      </c>
      <c r="W215" s="15">
        <f>NOVIEMBRE!W215+DICIEMBRE!AM215</f>
        <v>0</v>
      </c>
      <c r="X215" s="18">
        <f t="shared" si="184"/>
        <v>0</v>
      </c>
      <c r="Y215" s="19">
        <f>NOVIEMBRE!AA215</f>
        <v>0</v>
      </c>
      <c r="Z215" s="377">
        <v>0</v>
      </c>
      <c r="AA215" s="18">
        <f t="shared" si="185"/>
        <v>0</v>
      </c>
      <c r="AB215" s="19">
        <f>NOVIEMBRE!AD215</f>
        <v>0</v>
      </c>
      <c r="AC215" s="377">
        <v>0</v>
      </c>
      <c r="AD215" s="18">
        <f t="shared" si="186"/>
        <v>0</v>
      </c>
      <c r="AE215" s="19">
        <f>NOVIEMBRE!AG215</f>
        <v>0</v>
      </c>
      <c r="AF215" s="377">
        <v>0</v>
      </c>
      <c r="AG215" s="18">
        <f t="shared" si="187"/>
        <v>0</v>
      </c>
      <c r="AH215" s="19">
        <f t="shared" si="188"/>
        <v>0</v>
      </c>
      <c r="AI215" s="15">
        <f t="shared" si="189"/>
        <v>0</v>
      </c>
      <c r="AJ215" s="16">
        <f t="shared" si="190"/>
        <v>0</v>
      </c>
      <c r="AK215" s="9"/>
      <c r="AL215" s="375">
        <v>0</v>
      </c>
      <c r="AM215" s="378">
        <v>0</v>
      </c>
      <c r="AN215" s="9"/>
      <c r="BQ215" s="464"/>
    </row>
    <row r="216" spans="1:69" s="385" customFormat="1" ht="24.95" customHeight="1" x14ac:dyDescent="0.2">
      <c r="A216" s="767"/>
      <c r="B216" s="669"/>
      <c r="N216" s="9"/>
      <c r="P216" s="9"/>
      <c r="Q216" s="9"/>
      <c r="R216" s="9"/>
      <c r="S216" s="720" t="str">
        <f>+IF(NOVIEMBRE!S216=0,"",NOVIEMBRE!S216)</f>
        <v>5100100-5</v>
      </c>
      <c r="T216" s="694" t="str">
        <f>+IF(NOVIEMBRE!T216=0,"",NOVIEMBRE!T216)</f>
        <v>Material para Rayos X</v>
      </c>
      <c r="U216" s="27">
        <f>+ENERO!U216</f>
        <v>0</v>
      </c>
      <c r="V216" s="15">
        <f>NOVIEMBRE!V216+DICIEMBRE!AL216</f>
        <v>0</v>
      </c>
      <c r="W216" s="15">
        <f>NOVIEMBRE!W216+DICIEMBRE!AM216</f>
        <v>0</v>
      </c>
      <c r="X216" s="18">
        <f t="shared" si="184"/>
        <v>0</v>
      </c>
      <c r="Y216" s="19">
        <f>NOVIEMBRE!AA216</f>
        <v>0</v>
      </c>
      <c r="Z216" s="377">
        <v>0</v>
      </c>
      <c r="AA216" s="18">
        <f t="shared" si="185"/>
        <v>0</v>
      </c>
      <c r="AB216" s="19">
        <f>NOVIEMBRE!AD216</f>
        <v>0</v>
      </c>
      <c r="AC216" s="377">
        <v>0</v>
      </c>
      <c r="AD216" s="18">
        <f t="shared" si="186"/>
        <v>0</v>
      </c>
      <c r="AE216" s="19">
        <f>NOVIEMBRE!AG216</f>
        <v>0</v>
      </c>
      <c r="AF216" s="377">
        <v>0</v>
      </c>
      <c r="AG216" s="18">
        <f t="shared" si="187"/>
        <v>0</v>
      </c>
      <c r="AH216" s="19">
        <f t="shared" si="188"/>
        <v>0</v>
      </c>
      <c r="AI216" s="15">
        <f t="shared" si="189"/>
        <v>0</v>
      </c>
      <c r="AJ216" s="16">
        <f t="shared" si="190"/>
        <v>0</v>
      </c>
      <c r="AK216" s="9"/>
      <c r="AL216" s="375">
        <v>0</v>
      </c>
      <c r="AM216" s="378">
        <v>0</v>
      </c>
      <c r="AN216" s="9"/>
      <c r="BQ216" s="464"/>
    </row>
    <row r="217" spans="1:69" s="385" customFormat="1" ht="24.95" customHeight="1" x14ac:dyDescent="0.2">
      <c r="A217" s="767"/>
      <c r="B217" s="669"/>
      <c r="N217" s="9"/>
      <c r="P217" s="9"/>
      <c r="Q217" s="9"/>
      <c r="R217" s="9"/>
      <c r="S217" s="720" t="str">
        <f>+IF(NOVIEMBRE!S217=0,"",NOVIEMBRE!S217)</f>
        <v>5100100-6</v>
      </c>
      <c r="T217" s="694" t="str">
        <f>+IF(NOVIEMBRE!T217=0,"",NOVIEMBRE!T217)</f>
        <v>Material aseo personal, etc.</v>
      </c>
      <c r="U217" s="27">
        <f>+ENERO!U217</f>
        <v>0</v>
      </c>
      <c r="V217" s="15">
        <f>NOVIEMBRE!V217+DICIEMBRE!AL217</f>
        <v>0</v>
      </c>
      <c r="W217" s="15">
        <f>NOVIEMBRE!W217+DICIEMBRE!AM217</f>
        <v>0</v>
      </c>
      <c r="X217" s="18">
        <f t="shared" si="184"/>
        <v>0</v>
      </c>
      <c r="Y217" s="19">
        <f>NOVIEMBRE!AA217</f>
        <v>0</v>
      </c>
      <c r="Z217" s="377">
        <v>0</v>
      </c>
      <c r="AA217" s="18">
        <f t="shared" si="185"/>
        <v>0</v>
      </c>
      <c r="AB217" s="19">
        <f>NOVIEMBRE!AD217</f>
        <v>0</v>
      </c>
      <c r="AC217" s="377">
        <v>0</v>
      </c>
      <c r="AD217" s="18">
        <f t="shared" si="186"/>
        <v>0</v>
      </c>
      <c r="AE217" s="19">
        <f>NOVIEMBRE!AG217</f>
        <v>0</v>
      </c>
      <c r="AF217" s="377">
        <v>0</v>
      </c>
      <c r="AG217" s="18">
        <f t="shared" si="187"/>
        <v>0</v>
      </c>
      <c r="AH217" s="19">
        <f t="shared" si="188"/>
        <v>0</v>
      </c>
      <c r="AI217" s="15">
        <f t="shared" si="189"/>
        <v>0</v>
      </c>
      <c r="AJ217" s="16">
        <f t="shared" si="190"/>
        <v>0</v>
      </c>
      <c r="AK217" s="9"/>
      <c r="AL217" s="375">
        <v>0</v>
      </c>
      <c r="AM217" s="378">
        <v>0</v>
      </c>
      <c r="AN217" s="9"/>
      <c r="BQ217" s="464"/>
    </row>
    <row r="218" spans="1:69" s="385" customFormat="1" ht="24.95" customHeight="1" thickBot="1" x14ac:dyDescent="0.25">
      <c r="A218" s="767"/>
      <c r="B218" s="669"/>
      <c r="N218" s="9"/>
      <c r="P218" s="9"/>
      <c r="Q218" s="9"/>
      <c r="R218" s="9"/>
      <c r="S218" s="731">
        <f>+IF(NOVIEMBRE!S218=0,"",NOVIEMBRE!S218)</f>
        <v>5199999</v>
      </c>
      <c r="T218" s="710" t="str">
        <f>+IF(NOVIEMBRE!T218=0,"",NOVIEMBRE!T218)</f>
        <v>Vigencias Anteriores</v>
      </c>
      <c r="U218" s="136">
        <f>+ENERO!U218</f>
        <v>0</v>
      </c>
      <c r="V218" s="123">
        <f>NOVIEMBRE!V218+DICIEMBRE!AL218</f>
        <v>0</v>
      </c>
      <c r="W218" s="123">
        <f>NOVIEMBRE!W218+DICIEMBRE!AM218</f>
        <v>0</v>
      </c>
      <c r="X218" s="129">
        <f t="shared" si="184"/>
        <v>0</v>
      </c>
      <c r="Y218" s="127">
        <f>NOVIEMBRE!AA218</f>
        <v>0</v>
      </c>
      <c r="Z218" s="391">
        <v>0</v>
      </c>
      <c r="AA218" s="129">
        <f t="shared" si="185"/>
        <v>0</v>
      </c>
      <c r="AB218" s="127">
        <f>NOVIEMBRE!AD218</f>
        <v>0</v>
      </c>
      <c r="AC218" s="391">
        <v>0</v>
      </c>
      <c r="AD218" s="129">
        <f t="shared" si="186"/>
        <v>0</v>
      </c>
      <c r="AE218" s="127">
        <f>NOVIEMBRE!AG218</f>
        <v>0</v>
      </c>
      <c r="AF218" s="391">
        <v>0</v>
      </c>
      <c r="AG218" s="129">
        <f t="shared" si="187"/>
        <v>0</v>
      </c>
      <c r="AH218" s="127">
        <f t="shared" si="188"/>
        <v>0</v>
      </c>
      <c r="AI218" s="123">
        <f t="shared" si="189"/>
        <v>0</v>
      </c>
      <c r="AJ218" s="128">
        <f t="shared" si="190"/>
        <v>0</v>
      </c>
      <c r="AK218" s="9"/>
      <c r="AL218" s="507">
        <v>0</v>
      </c>
      <c r="AM218" s="508">
        <v>0</v>
      </c>
      <c r="AN218" s="9"/>
      <c r="BQ218" s="464"/>
    </row>
    <row r="219" spans="1:69" s="385" customFormat="1" ht="24.95" customHeight="1" thickBot="1" x14ac:dyDescent="0.25">
      <c r="A219" s="767"/>
      <c r="B219" s="669"/>
      <c r="N219" s="9"/>
      <c r="P219" s="9"/>
      <c r="Q219" s="9"/>
      <c r="R219" s="9"/>
      <c r="S219" s="501" t="str">
        <f>+IF(NOVIEMBRE!S219=0,"",NOVIEMBRE!S219)</f>
        <v/>
      </c>
      <c r="T219" s="707" t="str">
        <f>+IF(NOVIEMBRE!T219=0,"",NOVIEMBRE!T219)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c r="BQ219" s="464"/>
    </row>
    <row r="220" spans="1:69" s="385" customFormat="1" ht="24.95" customHeight="1" x14ac:dyDescent="0.2">
      <c r="A220" s="767"/>
      <c r="B220" s="669"/>
      <c r="N220" s="9"/>
      <c r="P220" s="9"/>
      <c r="Q220" s="9"/>
      <c r="R220" s="9"/>
      <c r="S220" s="360" t="str">
        <f>+IF(NOVIEMBRE!S220=0,"",NOVIEMBRE!S220)</f>
        <v>C</v>
      </c>
      <c r="T220" s="688" t="str">
        <f>+IF(NOVIEMBRE!T220=0,"",NOVIEMBRE!T220)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c r="BQ220" s="464"/>
    </row>
    <row r="221" spans="1:69" s="385" customFormat="1" ht="24.95" customHeight="1" x14ac:dyDescent="0.2">
      <c r="A221" s="767"/>
      <c r="B221" s="669"/>
      <c r="N221" s="9"/>
      <c r="P221" s="9"/>
      <c r="Q221" s="9"/>
      <c r="R221" s="9"/>
      <c r="S221" s="369" t="str">
        <f>+IF(NOVIEMBRE!S221=0,"",NOVIEMBRE!S221)</f>
        <v/>
      </c>
      <c r="T221" s="708" t="str">
        <f>+IF(NOVIEMBRE!T221=0,"",NOVIEMBRE!T221)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c r="BQ221" s="464"/>
    </row>
    <row r="222" spans="1:69" s="385" customFormat="1" ht="24.95" customHeight="1" x14ac:dyDescent="0.2">
      <c r="A222" s="767"/>
      <c r="B222" s="669"/>
      <c r="N222" s="9"/>
      <c r="P222" s="9"/>
      <c r="Q222" s="9"/>
      <c r="R222" s="9"/>
      <c r="S222" s="718">
        <f>+IF(NOVIEMBRE!S222=0,"",NOVIEMBRE!S222)</f>
        <v>7001000</v>
      </c>
      <c r="T222" s="692" t="str">
        <f>+IF(NOVIEMBRE!T222=0,"",NOVIEMBRE!T222)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c r="BQ222" s="464"/>
    </row>
    <row r="223" spans="1:69" s="385" customFormat="1" ht="24.95" customHeight="1" x14ac:dyDescent="0.2">
      <c r="A223" s="767"/>
      <c r="B223" s="669"/>
      <c r="N223" s="9"/>
      <c r="P223" s="9"/>
      <c r="Q223" s="9"/>
      <c r="R223" s="9"/>
      <c r="S223" s="719">
        <f>+IF(NOVIEMBRE!S223=0,"",NOVIEMBRE!S223)</f>
        <v>7001100</v>
      </c>
      <c r="T223" s="693" t="str">
        <f>+IF(NOVIEMBRE!T223=0,"",NOVIEMBRE!T223)</f>
        <v>Amortización deuda Pública Interna</v>
      </c>
      <c r="U223" s="27">
        <f>+ENERO!U223</f>
        <v>0</v>
      </c>
      <c r="V223" s="15">
        <f>NOVIEMBRE!V223+DICIEMBRE!AL223</f>
        <v>0</v>
      </c>
      <c r="W223" s="15">
        <f>NOVIEMBRE!W223+DICIEMBRE!AM223</f>
        <v>0</v>
      </c>
      <c r="X223" s="18">
        <f>SUM(U223:W223)</f>
        <v>0</v>
      </c>
      <c r="Y223" s="19">
        <f>NOVIEMBRE!AA223</f>
        <v>0</v>
      </c>
      <c r="Z223" s="377">
        <v>0</v>
      </c>
      <c r="AA223" s="18">
        <f>SUM(Y223:Z223)</f>
        <v>0</v>
      </c>
      <c r="AB223" s="19">
        <f>NOVIEMBRE!AD223</f>
        <v>0</v>
      </c>
      <c r="AC223" s="377">
        <v>0</v>
      </c>
      <c r="AD223" s="18">
        <f>SUM(AB223:AC223)</f>
        <v>0</v>
      </c>
      <c r="AE223" s="19">
        <f>NOVIEMBRE!AG223</f>
        <v>0</v>
      </c>
      <c r="AF223" s="377">
        <v>0</v>
      </c>
      <c r="AG223" s="18">
        <f>SUM(AE223:AF223)</f>
        <v>0</v>
      </c>
      <c r="AH223" s="19">
        <f>X223-AA223</f>
        <v>0</v>
      </c>
      <c r="AI223" s="15">
        <f>X223-AD223</f>
        <v>0</v>
      </c>
      <c r="AJ223" s="16">
        <f>X223-AG223</f>
        <v>0</v>
      </c>
      <c r="AK223" s="9"/>
      <c r="AL223" s="375">
        <v>0</v>
      </c>
      <c r="AM223" s="378">
        <v>0</v>
      </c>
      <c r="AN223" s="9"/>
      <c r="BQ223" s="464"/>
    </row>
    <row r="224" spans="1:69" s="385" customFormat="1" ht="24.95" customHeight="1" x14ac:dyDescent="0.2">
      <c r="A224" s="767"/>
      <c r="B224" s="669"/>
      <c r="N224" s="9"/>
      <c r="P224" s="9"/>
      <c r="Q224" s="9"/>
      <c r="R224" s="9"/>
      <c r="S224" s="719">
        <f>+IF(NOVIEMBRE!S224=0,"",NOVIEMBRE!S224)</f>
        <v>7001200</v>
      </c>
      <c r="T224" s="693" t="str">
        <f>+IF(NOVIEMBRE!T224=0,"",NOVIEMBRE!T224)</f>
        <v>Intereses Comisiones y gastos de la Deuda Pública</v>
      </c>
      <c r="U224" s="27">
        <f>+ENERO!U224</f>
        <v>0</v>
      </c>
      <c r="V224" s="15">
        <f>NOVIEMBRE!V224+DICIEMBRE!AL224</f>
        <v>0</v>
      </c>
      <c r="W224" s="15">
        <f>NOVIEMBRE!W224+DICIEMBRE!AM224</f>
        <v>0</v>
      </c>
      <c r="X224" s="18">
        <f>SUM(U224:W224)</f>
        <v>0</v>
      </c>
      <c r="Y224" s="19">
        <f>NOVIEMBRE!AA224</f>
        <v>0</v>
      </c>
      <c r="Z224" s="377">
        <v>0</v>
      </c>
      <c r="AA224" s="18">
        <f>SUM(Y224:Z224)</f>
        <v>0</v>
      </c>
      <c r="AB224" s="19">
        <f>NOVIEMBRE!AD224</f>
        <v>0</v>
      </c>
      <c r="AC224" s="377">
        <v>0</v>
      </c>
      <c r="AD224" s="18">
        <f>SUM(AB224:AC224)</f>
        <v>0</v>
      </c>
      <c r="AE224" s="19">
        <f>NOVIEMBRE!AG224</f>
        <v>0</v>
      </c>
      <c r="AF224" s="377">
        <v>0</v>
      </c>
      <c r="AG224" s="18">
        <f>SUM(AE224:AF224)</f>
        <v>0</v>
      </c>
      <c r="AH224" s="19">
        <f>X224-AA224</f>
        <v>0</v>
      </c>
      <c r="AI224" s="15">
        <f>X224-AD224</f>
        <v>0</v>
      </c>
      <c r="AJ224" s="16">
        <f>X224-AG224</f>
        <v>0</v>
      </c>
      <c r="AK224" s="9"/>
      <c r="AL224" s="375">
        <v>0</v>
      </c>
      <c r="AM224" s="378">
        <v>0</v>
      </c>
      <c r="AN224" s="9"/>
      <c r="BQ224" s="464"/>
    </row>
    <row r="225" spans="1:69" s="385" customFormat="1" ht="24.95" customHeight="1" x14ac:dyDescent="0.2">
      <c r="A225" s="767"/>
      <c r="B225" s="669"/>
      <c r="N225" s="9"/>
      <c r="P225" s="9"/>
      <c r="Q225" s="9"/>
      <c r="R225" s="9"/>
      <c r="S225" s="719">
        <f>+IF(NOVIEMBRE!S225=0,"",NOVIEMBRE!S225)</f>
        <v>7001999</v>
      </c>
      <c r="T225" s="693" t="str">
        <f>+IF(NOVIEMBRE!T225=0,"",NOVIEMBRE!T225)</f>
        <v>Vigencias Anteriores</v>
      </c>
      <c r="U225" s="27">
        <f>+ENERO!U225</f>
        <v>0</v>
      </c>
      <c r="V225" s="15">
        <f>NOVIEMBRE!V225+DICIEMBRE!AL225</f>
        <v>0</v>
      </c>
      <c r="W225" s="15">
        <f>NOVIEMBRE!W225+DICIEMBRE!AM225</f>
        <v>0</v>
      </c>
      <c r="X225" s="18">
        <f>SUM(U225:W225)</f>
        <v>0</v>
      </c>
      <c r="Y225" s="19">
        <f>NOVIEMBRE!AA225</f>
        <v>0</v>
      </c>
      <c r="Z225" s="377">
        <v>0</v>
      </c>
      <c r="AA225" s="18">
        <f>SUM(Y225:Z225)</f>
        <v>0</v>
      </c>
      <c r="AB225" s="19">
        <f>NOVIEMBRE!AD225</f>
        <v>0</v>
      </c>
      <c r="AC225" s="377">
        <v>0</v>
      </c>
      <c r="AD225" s="18">
        <f>SUM(AB225:AC225)</f>
        <v>0</v>
      </c>
      <c r="AE225" s="19">
        <f>NOVIEMBRE!AG225</f>
        <v>0</v>
      </c>
      <c r="AF225" s="377">
        <v>0</v>
      </c>
      <c r="AG225" s="18">
        <f>SUM(AE225:AF225)</f>
        <v>0</v>
      </c>
      <c r="AH225" s="19">
        <f>X225-AA225</f>
        <v>0</v>
      </c>
      <c r="AI225" s="15">
        <f>X225-AD225</f>
        <v>0</v>
      </c>
      <c r="AJ225" s="16">
        <f>X225-AG225</f>
        <v>0</v>
      </c>
      <c r="AK225" s="9"/>
      <c r="AL225" s="375">
        <v>0</v>
      </c>
      <c r="AM225" s="378">
        <v>0</v>
      </c>
      <c r="AN225" s="9"/>
      <c r="BQ225" s="464"/>
    </row>
    <row r="226" spans="1:69" s="385" customFormat="1" ht="24.95" customHeight="1" x14ac:dyDescent="0.2">
      <c r="A226" s="767"/>
      <c r="B226" s="669"/>
      <c r="N226" s="9"/>
      <c r="P226" s="9"/>
      <c r="Q226" s="9"/>
      <c r="R226" s="9"/>
      <c r="S226" s="369" t="str">
        <f>+IF(NOVIEMBRE!S226=0,"",NOVIEMBRE!S226)</f>
        <v/>
      </c>
      <c r="T226" s="708" t="str">
        <f>+IF(NOVIEMBRE!T226=0,"",NOVIEMBRE!T226)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c r="BQ226" s="464"/>
    </row>
    <row r="227" spans="1:69" s="385" customFormat="1" ht="24.95" customHeight="1" x14ac:dyDescent="0.2">
      <c r="A227" s="767"/>
      <c r="B227" s="669"/>
      <c r="N227" s="9"/>
      <c r="P227" s="9"/>
      <c r="Q227" s="9"/>
      <c r="R227" s="9"/>
      <c r="S227" s="718">
        <f>+IF(NOVIEMBRE!S227=0,"",NOVIEMBRE!S227)</f>
        <v>7002001</v>
      </c>
      <c r="T227" s="692" t="str">
        <f>+IF(NOVIEMBRE!T227=0,"",NOVIEMBRE!T227)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c r="BQ227" s="464"/>
    </row>
    <row r="228" spans="1:69" s="385" customFormat="1" ht="24.95" customHeight="1" x14ac:dyDescent="0.2">
      <c r="A228" s="767"/>
      <c r="B228" s="669"/>
      <c r="N228" s="9"/>
      <c r="P228" s="9"/>
      <c r="Q228" s="9"/>
      <c r="R228" s="9"/>
      <c r="S228" s="719">
        <f>+IF(NOVIEMBRE!S228=0,"",NOVIEMBRE!S228)</f>
        <v>7002100</v>
      </c>
      <c r="T228" s="693" t="str">
        <f>+IF(NOVIEMBRE!T228=0,"",NOVIEMBRE!T228)</f>
        <v>Amortización deuda Pública Externa</v>
      </c>
      <c r="U228" s="27">
        <f>+ENERO!U228</f>
        <v>0</v>
      </c>
      <c r="V228" s="15">
        <f>NOVIEMBRE!V228+DICIEMBRE!AL228</f>
        <v>0</v>
      </c>
      <c r="W228" s="15">
        <f>NOVIEMBRE!W228+DICIEMBRE!AM228</f>
        <v>0</v>
      </c>
      <c r="X228" s="18">
        <f>SUM(U228:W228)</f>
        <v>0</v>
      </c>
      <c r="Y228" s="19">
        <f>NOVIEMBRE!AA228</f>
        <v>0</v>
      </c>
      <c r="Z228" s="377">
        <v>0</v>
      </c>
      <c r="AA228" s="18">
        <f>SUM(Y228:Z228)</f>
        <v>0</v>
      </c>
      <c r="AB228" s="19">
        <f>NOVIEMBRE!AD228</f>
        <v>0</v>
      </c>
      <c r="AC228" s="377">
        <v>0</v>
      </c>
      <c r="AD228" s="18">
        <f>SUM(AB228:AC228)</f>
        <v>0</v>
      </c>
      <c r="AE228" s="19">
        <f>NOVIEMBRE!AG228</f>
        <v>0</v>
      </c>
      <c r="AF228" s="377">
        <v>0</v>
      </c>
      <c r="AG228" s="18">
        <f>SUM(AE228:AF228)</f>
        <v>0</v>
      </c>
      <c r="AH228" s="19">
        <f>X228-AA228</f>
        <v>0</v>
      </c>
      <c r="AI228" s="15">
        <f>X228-AD228</f>
        <v>0</v>
      </c>
      <c r="AJ228" s="16">
        <f>X228-AG228</f>
        <v>0</v>
      </c>
      <c r="AK228" s="9"/>
      <c r="AL228" s="375">
        <v>0</v>
      </c>
      <c r="AM228" s="378">
        <v>0</v>
      </c>
      <c r="AN228" s="9"/>
      <c r="BQ228" s="464"/>
    </row>
    <row r="229" spans="1:69" s="385" customFormat="1" ht="24.95" customHeight="1" x14ac:dyDescent="0.2">
      <c r="A229" s="767"/>
      <c r="B229" s="669"/>
      <c r="N229" s="9"/>
      <c r="P229" s="9"/>
      <c r="Q229" s="9"/>
      <c r="R229" s="9"/>
      <c r="S229" s="719">
        <f>+IF(NOVIEMBRE!S229=0,"",NOVIEMBRE!S229)</f>
        <v>7002200</v>
      </c>
      <c r="T229" s="693" t="str">
        <f>+IF(NOVIEMBRE!T229=0,"",NOVIEMBRE!T229)</f>
        <v>Intereses Comisiones y gastos de la Deuda Pública</v>
      </c>
      <c r="U229" s="27">
        <f>+ENERO!U229</f>
        <v>0</v>
      </c>
      <c r="V229" s="15">
        <f>NOVIEMBRE!V229+DICIEMBRE!AL229</f>
        <v>0</v>
      </c>
      <c r="W229" s="15">
        <f>NOVIEMBRE!W229+DICIEMBRE!AM229</f>
        <v>0</v>
      </c>
      <c r="X229" s="18">
        <f>SUM(U229:W229)</f>
        <v>0</v>
      </c>
      <c r="Y229" s="19">
        <f>NOVIEMBRE!AA229</f>
        <v>0</v>
      </c>
      <c r="Z229" s="377">
        <v>0</v>
      </c>
      <c r="AA229" s="18">
        <f>SUM(Y229:Z229)</f>
        <v>0</v>
      </c>
      <c r="AB229" s="19">
        <f>NOVIEMBRE!AD229</f>
        <v>0</v>
      </c>
      <c r="AC229" s="377">
        <v>0</v>
      </c>
      <c r="AD229" s="18">
        <f>SUM(AB229:AC229)</f>
        <v>0</v>
      </c>
      <c r="AE229" s="19">
        <f>NOVIEMBRE!AG229</f>
        <v>0</v>
      </c>
      <c r="AF229" s="377">
        <v>0</v>
      </c>
      <c r="AG229" s="18">
        <f>SUM(AE229:AF229)</f>
        <v>0</v>
      </c>
      <c r="AH229" s="19">
        <f>X229-AA229</f>
        <v>0</v>
      </c>
      <c r="AI229" s="15">
        <f>X229-AD229</f>
        <v>0</v>
      </c>
      <c r="AJ229" s="16">
        <f>X229-AG229</f>
        <v>0</v>
      </c>
      <c r="AK229" s="9"/>
      <c r="AL229" s="375">
        <v>0</v>
      </c>
      <c r="AM229" s="378">
        <v>0</v>
      </c>
      <c r="AN229" s="9"/>
      <c r="BQ229" s="464"/>
    </row>
    <row r="230" spans="1:69" s="385" customFormat="1" ht="24.95" customHeight="1" thickBot="1" x14ac:dyDescent="0.25">
      <c r="A230" s="767"/>
      <c r="B230" s="669"/>
      <c r="N230" s="9"/>
      <c r="P230" s="9"/>
      <c r="Q230" s="9"/>
      <c r="R230" s="9"/>
      <c r="S230" s="724">
        <f>+IF(NOVIEMBRE!S230=0,"",NOVIEMBRE!S230)</f>
        <v>7002999</v>
      </c>
      <c r="T230" s="699" t="str">
        <f>+IF(NOVIEMBRE!T230=0,"",NOVIEMBRE!T230)</f>
        <v>Vigencias Anteriores</v>
      </c>
      <c r="U230" s="136">
        <f>+ENERO!U230</f>
        <v>0</v>
      </c>
      <c r="V230" s="123">
        <f>NOVIEMBRE!V230+DICIEMBRE!AL230</f>
        <v>0</v>
      </c>
      <c r="W230" s="123">
        <f>NOVIEMBRE!W230+DICIEMBRE!AM230</f>
        <v>0</v>
      </c>
      <c r="X230" s="129">
        <f>SUM(U230:W230)</f>
        <v>0</v>
      </c>
      <c r="Y230" s="127">
        <f>NOVIEMBRE!AA230</f>
        <v>0</v>
      </c>
      <c r="Z230" s="391">
        <v>0</v>
      </c>
      <c r="AA230" s="129">
        <f>SUM(Y230:Z230)</f>
        <v>0</v>
      </c>
      <c r="AB230" s="127">
        <f>NOVIEMBRE!AD230</f>
        <v>0</v>
      </c>
      <c r="AC230" s="391">
        <v>0</v>
      </c>
      <c r="AD230" s="129">
        <f>SUM(AB230:AC230)</f>
        <v>0</v>
      </c>
      <c r="AE230" s="127">
        <f>NOVIEMBRE!AG230</f>
        <v>0</v>
      </c>
      <c r="AF230" s="391">
        <v>0</v>
      </c>
      <c r="AG230" s="129">
        <f>SUM(AE230:AF230)</f>
        <v>0</v>
      </c>
      <c r="AH230" s="127">
        <f>X230-AA230</f>
        <v>0</v>
      </c>
      <c r="AI230" s="123">
        <f>X230-AD230</f>
        <v>0</v>
      </c>
      <c r="AJ230" s="128">
        <f>X230-AG230</f>
        <v>0</v>
      </c>
      <c r="AK230" s="9"/>
      <c r="AL230" s="507">
        <v>0</v>
      </c>
      <c r="AM230" s="508">
        <v>0</v>
      </c>
      <c r="AN230" s="9"/>
      <c r="BQ230" s="464"/>
    </row>
    <row r="231" spans="1:69" s="385" customFormat="1" ht="24.95" customHeight="1" x14ac:dyDescent="0.2">
      <c r="A231" s="767"/>
      <c r="B231" s="669"/>
      <c r="N231" s="9"/>
      <c r="P231" s="9"/>
      <c r="Q231" s="9"/>
      <c r="R231" s="9"/>
      <c r="S231" s="492" t="str">
        <f>+IF(NOVIEMBRE!S231=0,"",NOVIEMBRE!S231)</f>
        <v/>
      </c>
      <c r="T231" s="700" t="str">
        <f>+IF(NOVIEMBRE!T231=0,"",NOVIEMBRE!T231)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c r="BQ231" s="464"/>
    </row>
    <row r="232" spans="1:69" s="385" customFormat="1" ht="24.95" customHeight="1" x14ac:dyDescent="0.2">
      <c r="A232" s="767"/>
      <c r="B232" s="669"/>
      <c r="N232" s="9"/>
      <c r="P232" s="9"/>
      <c r="Q232" s="9"/>
      <c r="R232" s="9"/>
      <c r="S232" s="511" t="str">
        <f>+IF(NOVIEMBRE!S232=0,"",NOVIEMBRE!S232)</f>
        <v>D</v>
      </c>
      <c r="T232" s="709" t="str">
        <f>+IF(NOVIEMBRE!T232=0,"",NOVIEMBRE!T232)</f>
        <v>INVERSION</v>
      </c>
      <c r="U232" s="473">
        <f t="shared" ref="U232:AJ232" si="194">U234</f>
        <v>303000000</v>
      </c>
      <c r="V232" s="474">
        <f t="shared" si="194"/>
        <v>-103000000</v>
      </c>
      <c r="W232" s="474">
        <f t="shared" si="194"/>
        <v>178000000</v>
      </c>
      <c r="X232" s="475">
        <f t="shared" si="194"/>
        <v>378000000</v>
      </c>
      <c r="Y232" s="382">
        <f t="shared" si="194"/>
        <v>121430326</v>
      </c>
      <c r="Z232" s="474">
        <f t="shared" si="194"/>
        <v>0</v>
      </c>
      <c r="AA232" s="475">
        <f t="shared" si="194"/>
        <v>121430326</v>
      </c>
      <c r="AB232" s="382">
        <f t="shared" si="194"/>
        <v>81872992</v>
      </c>
      <c r="AC232" s="474">
        <f t="shared" si="194"/>
        <v>0</v>
      </c>
      <c r="AD232" s="475">
        <f t="shared" si="194"/>
        <v>81872992</v>
      </c>
      <c r="AE232" s="382">
        <f t="shared" si="194"/>
        <v>63461000</v>
      </c>
      <c r="AF232" s="474">
        <f t="shared" si="194"/>
        <v>0</v>
      </c>
      <c r="AG232" s="475">
        <f t="shared" si="194"/>
        <v>63461000</v>
      </c>
      <c r="AH232" s="382">
        <f t="shared" si="194"/>
        <v>256569674</v>
      </c>
      <c r="AI232" s="474">
        <f t="shared" si="194"/>
        <v>296127008</v>
      </c>
      <c r="AJ232" s="383">
        <f t="shared" si="194"/>
        <v>314539000</v>
      </c>
      <c r="AK232" s="506"/>
      <c r="AL232" s="382">
        <f>AL234</f>
        <v>0</v>
      </c>
      <c r="AM232" s="383">
        <f>AM234</f>
        <v>0</v>
      </c>
      <c r="AN232" s="9"/>
      <c r="BQ232" s="464"/>
    </row>
    <row r="233" spans="1:69" s="385" customFormat="1" ht="24.95" customHeight="1" x14ac:dyDescent="0.2">
      <c r="A233" s="767"/>
      <c r="B233" s="669"/>
      <c r="N233" s="9"/>
      <c r="P233" s="9"/>
      <c r="Q233" s="9"/>
      <c r="R233" s="9"/>
      <c r="S233" s="369" t="str">
        <f>+IF(NOVIEMBRE!S233=0,"",NOVIEMBRE!S233)</f>
        <v/>
      </c>
      <c r="T233" s="708" t="str">
        <f>+IF(NOVIEMBRE!T233=0,"",NOVIEMBRE!T233)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c r="BQ233" s="464"/>
    </row>
    <row r="234" spans="1:69" s="385" customFormat="1" ht="24.95" customHeight="1" x14ac:dyDescent="0.2">
      <c r="A234" s="767"/>
      <c r="B234" s="669"/>
      <c r="N234" s="9"/>
      <c r="P234" s="9"/>
      <c r="Q234" s="9"/>
      <c r="R234" s="9"/>
      <c r="S234" s="718">
        <f>+IF(NOVIEMBRE!S234=0,"",NOVIEMBRE!S234)</f>
        <v>8000000</v>
      </c>
      <c r="T234" s="692" t="str">
        <f>+IF(NOVIEMBRE!T234=0,"",NOVIEMBRE!T234)</f>
        <v>Programas de Inversión</v>
      </c>
      <c r="U234" s="135">
        <f t="shared" ref="U234:AJ234" si="195">U235+U243</f>
        <v>303000000</v>
      </c>
      <c r="V234" s="124">
        <f t="shared" si="195"/>
        <v>-103000000</v>
      </c>
      <c r="W234" s="124">
        <f t="shared" si="195"/>
        <v>178000000</v>
      </c>
      <c r="X234" s="132">
        <f t="shared" si="195"/>
        <v>378000000</v>
      </c>
      <c r="Y234" s="131">
        <f t="shared" si="195"/>
        <v>121430326</v>
      </c>
      <c r="Z234" s="124">
        <f t="shared" si="195"/>
        <v>0</v>
      </c>
      <c r="AA234" s="132">
        <f t="shared" si="195"/>
        <v>121430326</v>
      </c>
      <c r="AB234" s="131">
        <f t="shared" si="195"/>
        <v>81872992</v>
      </c>
      <c r="AC234" s="124">
        <f t="shared" si="195"/>
        <v>0</v>
      </c>
      <c r="AD234" s="132">
        <f t="shared" si="195"/>
        <v>81872992</v>
      </c>
      <c r="AE234" s="131">
        <f t="shared" si="195"/>
        <v>63461000</v>
      </c>
      <c r="AF234" s="124">
        <f t="shared" si="195"/>
        <v>0</v>
      </c>
      <c r="AG234" s="132">
        <f t="shared" si="195"/>
        <v>63461000</v>
      </c>
      <c r="AH234" s="131">
        <f t="shared" si="195"/>
        <v>256569674</v>
      </c>
      <c r="AI234" s="124">
        <f t="shared" si="195"/>
        <v>296127008</v>
      </c>
      <c r="AJ234" s="133">
        <f t="shared" si="195"/>
        <v>314539000</v>
      </c>
      <c r="AK234" s="9"/>
      <c r="AL234" s="131">
        <f>AL235+AL243</f>
        <v>0</v>
      </c>
      <c r="AM234" s="133">
        <f>AM235+AM243</f>
        <v>0</v>
      </c>
      <c r="AN234" s="9"/>
      <c r="BQ234" s="464"/>
    </row>
    <row r="235" spans="1:69" s="385" customFormat="1" ht="24.95" customHeight="1" x14ac:dyDescent="0.2">
      <c r="A235" s="767"/>
      <c r="B235" s="669"/>
      <c r="N235" s="9"/>
      <c r="P235" s="9"/>
      <c r="Q235" s="9"/>
      <c r="R235" s="9"/>
      <c r="S235" s="719">
        <f>+IF(NOVIEMBRE!S235=0,"",NOVIEMBRE!S235)</f>
        <v>8001000</v>
      </c>
      <c r="T235" s="693" t="str">
        <f>+IF(NOVIEMBRE!T235=0,"",NOVIEMBRE!T235)</f>
        <v>Formación Bruta del Capital</v>
      </c>
      <c r="U235" s="27">
        <f t="shared" ref="U235:AJ235" si="196">SUM(U236:U241)</f>
        <v>185000000</v>
      </c>
      <c r="V235" s="15">
        <f t="shared" si="196"/>
        <v>0</v>
      </c>
      <c r="W235" s="15">
        <f t="shared" si="196"/>
        <v>0</v>
      </c>
      <c r="X235" s="18">
        <f t="shared" si="196"/>
        <v>185000000</v>
      </c>
      <c r="Y235" s="19">
        <f t="shared" si="196"/>
        <v>0</v>
      </c>
      <c r="Z235" s="145">
        <f t="shared" si="196"/>
        <v>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185000000</v>
      </c>
      <c r="AI235" s="15">
        <f t="shared" si="196"/>
        <v>185000000</v>
      </c>
      <c r="AJ235" s="16">
        <f t="shared" si="196"/>
        <v>185000000</v>
      </c>
      <c r="AK235" s="9"/>
      <c r="AL235" s="29">
        <f>SUM(AL236:AL241)</f>
        <v>0</v>
      </c>
      <c r="AM235" s="26">
        <f>SUM(AM236:AM241)</f>
        <v>0</v>
      </c>
      <c r="AN235" s="9"/>
      <c r="BQ235" s="464"/>
    </row>
    <row r="236" spans="1:69" s="385" customFormat="1" ht="24.95" customHeight="1" x14ac:dyDescent="0.2">
      <c r="A236" s="767"/>
      <c r="B236" s="669"/>
      <c r="N236" s="9"/>
      <c r="P236" s="9"/>
      <c r="Q236" s="9"/>
      <c r="R236" s="9"/>
      <c r="S236" s="720" t="str">
        <f>+IF(NOVIEMBRE!S236=0,"",NOVIEMBRE!S236)</f>
        <v>8001000-1</v>
      </c>
      <c r="T236" s="694" t="str">
        <f>+IF(NOVIEMBRE!T236=0,"",NOVIEMBRE!T236)</f>
        <v>Subprogr.Diseño Proyecto plan maestro, remodelacion y adec.primer piso</v>
      </c>
      <c r="U236" s="27">
        <f>+ENERO!U236</f>
        <v>60000000</v>
      </c>
      <c r="V236" s="15">
        <f>NOVIEMBRE!V236+DICIEMBRE!AL236</f>
        <v>0</v>
      </c>
      <c r="W236" s="15">
        <f>NOVIEMBRE!W236+DICIEMBRE!AM236</f>
        <v>0</v>
      </c>
      <c r="X236" s="18">
        <f t="shared" ref="X236:X241" si="197">SUM(U236:W236)</f>
        <v>60000000</v>
      </c>
      <c r="Y236" s="19">
        <f>NOVIEMBRE!AA236</f>
        <v>0</v>
      </c>
      <c r="Z236" s="377">
        <v>0</v>
      </c>
      <c r="AA236" s="18">
        <f t="shared" ref="AA236:AA241" si="198">SUM(Y236:Z236)</f>
        <v>0</v>
      </c>
      <c r="AB236" s="19">
        <f>NOVIEMBRE!AD236</f>
        <v>0</v>
      </c>
      <c r="AC236" s="377">
        <v>0</v>
      </c>
      <c r="AD236" s="18">
        <f t="shared" ref="AD236:AD241" si="199">SUM(AB236:AC236)</f>
        <v>0</v>
      </c>
      <c r="AE236" s="19">
        <f>NOVIEMBRE!AG236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c r="BQ236" s="464"/>
    </row>
    <row r="237" spans="1:69" s="385" customFormat="1" ht="24.95" customHeight="1" x14ac:dyDescent="0.2">
      <c r="A237" s="767"/>
      <c r="B237" s="669"/>
      <c r="N237" s="9"/>
      <c r="P237" s="9"/>
      <c r="Q237" s="9"/>
      <c r="R237" s="9"/>
      <c r="S237" s="720" t="str">
        <f>+IF(NOVIEMBRE!S237=0,"",NOVIEMBRE!S237)</f>
        <v>8001000-2</v>
      </c>
      <c r="T237" s="694" t="str">
        <f>+IF(NOVIEMBRE!T237=0,"",NOVIEMBRE!T237)</f>
        <v>Subprogr.Adquisicion de ambulancia</v>
      </c>
      <c r="U237" s="27">
        <f>+ENERO!U237</f>
        <v>50000000</v>
      </c>
      <c r="V237" s="15">
        <f>NOVIEMBRE!V237+DICIEMBRE!AL237</f>
        <v>0</v>
      </c>
      <c r="W237" s="15">
        <f>NOVIEMBRE!W237+DICIEMBRE!AM237</f>
        <v>0</v>
      </c>
      <c r="X237" s="18">
        <f t="shared" si="197"/>
        <v>50000000</v>
      </c>
      <c r="Y237" s="19">
        <f>NOVIEMBRE!AA237</f>
        <v>0</v>
      </c>
      <c r="Z237" s="377">
        <v>0</v>
      </c>
      <c r="AA237" s="18">
        <f t="shared" si="198"/>
        <v>0</v>
      </c>
      <c r="AB237" s="19">
        <f>NOVIEMBRE!AD237</f>
        <v>0</v>
      </c>
      <c r="AC237" s="377">
        <v>0</v>
      </c>
      <c r="AD237" s="18">
        <f t="shared" si="199"/>
        <v>0</v>
      </c>
      <c r="AE237" s="19">
        <f>NOVIEMBRE!AG237</f>
        <v>0</v>
      </c>
      <c r="AF237" s="377">
        <v>0</v>
      </c>
      <c r="AG237" s="18">
        <f t="shared" si="200"/>
        <v>0</v>
      </c>
      <c r="AH237" s="19">
        <f t="shared" si="201"/>
        <v>50000000</v>
      </c>
      <c r="AI237" s="15">
        <f t="shared" si="202"/>
        <v>50000000</v>
      </c>
      <c r="AJ237" s="16">
        <f t="shared" si="203"/>
        <v>50000000</v>
      </c>
      <c r="AK237" s="9"/>
      <c r="AL237" s="375">
        <v>0</v>
      </c>
      <c r="AM237" s="378">
        <v>0</v>
      </c>
      <c r="AN237" s="9"/>
      <c r="BQ237" s="464"/>
    </row>
    <row r="238" spans="1:69" s="385" customFormat="1" ht="24.95" customHeight="1" x14ac:dyDescent="0.2">
      <c r="A238" s="767"/>
      <c r="B238" s="669"/>
      <c r="N238" s="9"/>
      <c r="P238" s="9"/>
      <c r="Q238" s="9"/>
      <c r="R238" s="9"/>
      <c r="S238" s="720" t="str">
        <f>+IF(NOVIEMBRE!S238=0,"",NOVIEMBRE!S238)</f>
        <v>8001000-3</v>
      </c>
      <c r="T238" s="694" t="str">
        <f>+IF(NOVIEMBRE!T238=0,"",NOVIEMBRE!T238)</f>
        <v>Subprogr.Actualizacion software hacia NICSP y Adquisicion de Historias clinicas</v>
      </c>
      <c r="U238" s="27">
        <f>+ENERO!U238</f>
        <v>75000000</v>
      </c>
      <c r="V238" s="15">
        <f>NOVIEMBRE!V238+DICIEMBRE!AL238</f>
        <v>0</v>
      </c>
      <c r="W238" s="15">
        <f>NOVIEMBRE!W238+DICIEMBRE!AM238</f>
        <v>0</v>
      </c>
      <c r="X238" s="18">
        <f t="shared" si="197"/>
        <v>75000000</v>
      </c>
      <c r="Y238" s="19">
        <f>NOVIEMBRE!AA238</f>
        <v>0</v>
      </c>
      <c r="Z238" s="377">
        <v>0</v>
      </c>
      <c r="AA238" s="18">
        <f t="shared" si="198"/>
        <v>0</v>
      </c>
      <c r="AB238" s="19">
        <f>NOVIEMBRE!AD238</f>
        <v>0</v>
      </c>
      <c r="AC238" s="377">
        <v>0</v>
      </c>
      <c r="AD238" s="18">
        <f t="shared" si="199"/>
        <v>0</v>
      </c>
      <c r="AE238" s="19">
        <f>NOVIEMBRE!AG238</f>
        <v>0</v>
      </c>
      <c r="AF238" s="377">
        <v>0</v>
      </c>
      <c r="AG238" s="18">
        <f t="shared" si="200"/>
        <v>0</v>
      </c>
      <c r="AH238" s="19">
        <f t="shared" si="201"/>
        <v>75000000</v>
      </c>
      <c r="AI238" s="15">
        <f t="shared" si="202"/>
        <v>75000000</v>
      </c>
      <c r="AJ238" s="16">
        <f t="shared" si="203"/>
        <v>75000000</v>
      </c>
      <c r="AK238" s="9"/>
      <c r="AL238" s="375">
        <v>0</v>
      </c>
      <c r="AM238" s="378">
        <v>0</v>
      </c>
      <c r="AN238" s="9"/>
      <c r="BQ238" s="464"/>
    </row>
    <row r="239" spans="1:69" s="385" customFormat="1" ht="24.95" customHeight="1" x14ac:dyDescent="0.2">
      <c r="A239" s="767"/>
      <c r="B239" s="669"/>
      <c r="N239" s="9"/>
      <c r="P239" s="9"/>
      <c r="Q239" s="9"/>
      <c r="S239" s="720" t="str">
        <f>+IF(NOVIEMBRE!S239=0,"",NOVIEMBRE!S239)</f>
        <v>8001000-4</v>
      </c>
      <c r="T239" s="694" t="str">
        <f>+IF(NOVIEMBRE!T239=0,"",NOVIEMBRE!T239)</f>
        <v>Subprogr.Construc. Remodelac. Adecuación y Apliac.4</v>
      </c>
      <c r="U239" s="27">
        <f>+ENERO!U239</f>
        <v>0</v>
      </c>
      <c r="V239" s="15">
        <f>NOVIEMBRE!V239+DICIEMBRE!AL239</f>
        <v>0</v>
      </c>
      <c r="W239" s="15">
        <f>NOVIEMBRE!W239+DICIEMBRE!AM239</f>
        <v>0</v>
      </c>
      <c r="X239" s="18">
        <f t="shared" si="197"/>
        <v>0</v>
      </c>
      <c r="Y239" s="19">
        <f>NOVIEMBRE!AA239</f>
        <v>0</v>
      </c>
      <c r="Z239" s="377">
        <v>0</v>
      </c>
      <c r="AA239" s="18">
        <f t="shared" si="198"/>
        <v>0</v>
      </c>
      <c r="AB239" s="19">
        <f>NOVIEMBRE!AD239</f>
        <v>0</v>
      </c>
      <c r="AC239" s="377">
        <v>0</v>
      </c>
      <c r="AD239" s="18">
        <f t="shared" si="199"/>
        <v>0</v>
      </c>
      <c r="AE239" s="19">
        <f>NOVIEMBRE!AG239</f>
        <v>0</v>
      </c>
      <c r="AF239" s="377">
        <v>0</v>
      </c>
      <c r="AG239" s="18">
        <f t="shared" si="200"/>
        <v>0</v>
      </c>
      <c r="AH239" s="19">
        <f t="shared" si="201"/>
        <v>0</v>
      </c>
      <c r="AI239" s="15">
        <f t="shared" si="202"/>
        <v>0</v>
      </c>
      <c r="AJ239" s="16">
        <f t="shared" si="203"/>
        <v>0</v>
      </c>
      <c r="AK239" s="9"/>
      <c r="AL239" s="375">
        <v>0</v>
      </c>
      <c r="AM239" s="378">
        <v>0</v>
      </c>
      <c r="AN239" s="9"/>
      <c r="BQ239" s="464"/>
    </row>
    <row r="240" spans="1:69" s="385" customFormat="1" ht="24.95" customHeight="1" x14ac:dyDescent="0.2">
      <c r="A240" s="767"/>
      <c r="B240" s="669"/>
      <c r="N240" s="9"/>
      <c r="P240" s="9"/>
      <c r="Q240" s="9"/>
      <c r="S240" s="720" t="str">
        <f>+IF(NOVIEMBRE!S240=0,"",NOVIEMBRE!S240)</f>
        <v>8001000-7</v>
      </c>
      <c r="T240" s="694" t="str">
        <f>+IF(NOVIEMBRE!T240=0,"",NOVIEMBRE!T240)</f>
        <v>Subprogr.Construc. Remodelac. Adecuación y Apliac.5</v>
      </c>
      <c r="U240" s="27">
        <f>+ENERO!U240</f>
        <v>0</v>
      </c>
      <c r="V240" s="15">
        <f>NOVIEMBRE!V240+DICIEMBRE!AL240</f>
        <v>0</v>
      </c>
      <c r="W240" s="15">
        <f>NOVIEMBRE!W240+DICIEMBRE!AM240</f>
        <v>0</v>
      </c>
      <c r="X240" s="18">
        <f t="shared" si="197"/>
        <v>0</v>
      </c>
      <c r="Y240" s="19">
        <f>NOVIEMBRE!AA240</f>
        <v>0</v>
      </c>
      <c r="Z240" s="377">
        <v>0</v>
      </c>
      <c r="AA240" s="18">
        <f t="shared" si="198"/>
        <v>0</v>
      </c>
      <c r="AB240" s="19">
        <f>NOVIEMBRE!AD240</f>
        <v>0</v>
      </c>
      <c r="AC240" s="377">
        <v>0</v>
      </c>
      <c r="AD240" s="18">
        <f t="shared" si="199"/>
        <v>0</v>
      </c>
      <c r="AE240" s="19">
        <f>NOVIEMBRE!AG240</f>
        <v>0</v>
      </c>
      <c r="AF240" s="377">
        <v>0</v>
      </c>
      <c r="AG240" s="18">
        <f t="shared" si="200"/>
        <v>0</v>
      </c>
      <c r="AH240" s="19">
        <f t="shared" si="201"/>
        <v>0</v>
      </c>
      <c r="AI240" s="15">
        <f t="shared" si="202"/>
        <v>0</v>
      </c>
      <c r="AJ240" s="16">
        <f t="shared" si="203"/>
        <v>0</v>
      </c>
      <c r="AK240" s="9"/>
      <c r="AL240" s="375">
        <v>0</v>
      </c>
      <c r="AM240" s="378">
        <v>0</v>
      </c>
      <c r="AN240" s="9"/>
      <c r="BQ240" s="464"/>
    </row>
    <row r="241" spans="1:70" s="385" customFormat="1" ht="24.95" customHeight="1" x14ac:dyDescent="0.2">
      <c r="A241" s="767"/>
      <c r="B241" s="669"/>
      <c r="N241" s="9"/>
      <c r="P241" s="9"/>
      <c r="Q241" s="9"/>
      <c r="S241" s="730">
        <f>+IF(NOVIEMBRE!S241=0,"",NOVIEMBRE!S241)</f>
        <v>8001999</v>
      </c>
      <c r="T241" s="694" t="str">
        <f>+IF(NOVIEMBRE!T241=0,"",NOVIEMBRE!T241)</f>
        <v>Vigencias Anteriores</v>
      </c>
      <c r="U241" s="27">
        <f>+ENERO!U241</f>
        <v>0</v>
      </c>
      <c r="V241" s="15">
        <f>NOVIEMBRE!V241+DICIEMBRE!AL241</f>
        <v>0</v>
      </c>
      <c r="W241" s="15">
        <f>NOVIEMBRE!W241+DICIEMBRE!AM241</f>
        <v>0</v>
      </c>
      <c r="X241" s="18">
        <f t="shared" si="197"/>
        <v>0</v>
      </c>
      <c r="Y241" s="19">
        <f>NOVIEMBRE!AA241</f>
        <v>0</v>
      </c>
      <c r="Z241" s="377">
        <v>0</v>
      </c>
      <c r="AA241" s="18">
        <f t="shared" si="198"/>
        <v>0</v>
      </c>
      <c r="AB241" s="19">
        <f>NOVIEMBRE!AD241</f>
        <v>0</v>
      </c>
      <c r="AC241" s="377">
        <v>0</v>
      </c>
      <c r="AD241" s="18">
        <f t="shared" si="199"/>
        <v>0</v>
      </c>
      <c r="AE241" s="19">
        <f>NOVIEMBRE!AG241</f>
        <v>0</v>
      </c>
      <c r="AF241" s="377">
        <v>0</v>
      </c>
      <c r="AG241" s="18">
        <f t="shared" si="200"/>
        <v>0</v>
      </c>
      <c r="AH241" s="19">
        <f t="shared" si="201"/>
        <v>0</v>
      </c>
      <c r="AI241" s="15">
        <f t="shared" si="202"/>
        <v>0</v>
      </c>
      <c r="AJ241" s="16">
        <f t="shared" si="203"/>
        <v>0</v>
      </c>
      <c r="AK241" s="9"/>
      <c r="AL241" s="375">
        <v>0</v>
      </c>
      <c r="AM241" s="378">
        <v>0</v>
      </c>
      <c r="AN241" s="9"/>
      <c r="BQ241" s="464"/>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+IF(NOVIEMBRE!S242=0,"",NOVIEMBRE!S242)</f>
        <v/>
      </c>
      <c r="T242" s="708" t="str">
        <f>+IF(NOVIEMBRE!T242=0,"",NOVIEMBRE!T242)</f>
        <v/>
      </c>
      <c r="U242" s="164"/>
      <c r="V242" s="164"/>
      <c r="W242" s="164"/>
      <c r="X242" s="164"/>
      <c r="Y242" s="164"/>
      <c r="Z242" s="164"/>
      <c r="AA242" s="164"/>
      <c r="AB242" s="164"/>
      <c r="AC242" s="164"/>
      <c r="AD242" s="164"/>
      <c r="AE242" s="164"/>
      <c r="AF242" s="164"/>
      <c r="AG242" s="164"/>
      <c r="AH242" s="164"/>
      <c r="AI242" s="164"/>
      <c r="AJ242" s="169"/>
      <c r="AK242" s="9"/>
      <c r="AL242" s="175"/>
      <c r="AM242" s="176"/>
      <c r="BM242" s="385"/>
      <c r="BN242" s="385"/>
      <c r="BO242" s="385"/>
      <c r="BP242" s="385"/>
      <c r="BQ242" s="464"/>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+IF(NOVIEMBRE!S243=0,"",NOVIEMBRE!S243)</f>
        <v>8002001</v>
      </c>
      <c r="T243" s="693" t="str">
        <f>+IF(NOVIEMBRE!T243=0,"",NOVIEMBRE!T243)</f>
        <v>Gastos Operativos de Inversion   (Programas Especiales)</v>
      </c>
      <c r="U243" s="27">
        <f t="shared" ref="U243:AJ243" si="204">SUM(U244:U256)</f>
        <v>118000000</v>
      </c>
      <c r="V243" s="15">
        <f t="shared" si="204"/>
        <v>-103000000</v>
      </c>
      <c r="W243" s="15">
        <f t="shared" si="204"/>
        <v>178000000</v>
      </c>
      <c r="X243" s="18">
        <f t="shared" si="204"/>
        <v>193000000</v>
      </c>
      <c r="Y243" s="19">
        <f t="shared" si="204"/>
        <v>121430326</v>
      </c>
      <c r="Z243" s="145">
        <f t="shared" si="204"/>
        <v>0</v>
      </c>
      <c r="AA243" s="18">
        <f t="shared" si="204"/>
        <v>121430326</v>
      </c>
      <c r="AB243" s="19">
        <f t="shared" si="204"/>
        <v>81872992</v>
      </c>
      <c r="AC243" s="145">
        <f t="shared" si="204"/>
        <v>0</v>
      </c>
      <c r="AD243" s="18">
        <f t="shared" si="204"/>
        <v>81872992</v>
      </c>
      <c r="AE243" s="19">
        <f t="shared" si="204"/>
        <v>63461000</v>
      </c>
      <c r="AF243" s="145">
        <f t="shared" si="204"/>
        <v>0</v>
      </c>
      <c r="AG243" s="18">
        <f t="shared" si="204"/>
        <v>63461000</v>
      </c>
      <c r="AH243" s="19">
        <f t="shared" si="204"/>
        <v>71569674</v>
      </c>
      <c r="AI243" s="15">
        <f t="shared" si="204"/>
        <v>111127008</v>
      </c>
      <c r="AJ243" s="16">
        <f t="shared" si="204"/>
        <v>129539000</v>
      </c>
      <c r="AK243" s="9"/>
      <c r="AL243" s="19">
        <f>SUM(AL244:AL256)</f>
        <v>0</v>
      </c>
      <c r="AM243" s="16">
        <f>SUM(AM244:AM256)</f>
        <v>0</v>
      </c>
      <c r="BM243" s="385"/>
      <c r="BN243" s="385"/>
      <c r="BO243" s="385"/>
      <c r="BP243" s="385"/>
      <c r="BQ243" s="464"/>
      <c r="BR243" s="385"/>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+IF(NOVIEMBRE!S244=0,"",NOVIEMBRE!S244)</f>
        <v>8002100-1</v>
      </c>
      <c r="T244" s="694" t="str">
        <f>+IF(NOVIEMBRE!T244=0,"",NOVIEMBRE!T244)</f>
        <v>Fondo de la Vivienda</v>
      </c>
      <c r="U244" s="27">
        <f>+ENERO!U244</f>
        <v>0</v>
      </c>
      <c r="V244" s="15">
        <f>NOVIEMBRE!V244+DICIEMBRE!AL244</f>
        <v>0</v>
      </c>
      <c r="W244" s="15">
        <f>NOVIEMBRE!W244+DICIEMBRE!AM244</f>
        <v>0</v>
      </c>
      <c r="X244" s="18">
        <f t="shared" ref="X244:X256" si="205">SUM(U244:W244)</f>
        <v>0</v>
      </c>
      <c r="Y244" s="19">
        <f>NOVIEMBRE!AA244</f>
        <v>0</v>
      </c>
      <c r="Z244" s="377">
        <v>0</v>
      </c>
      <c r="AA244" s="18">
        <f t="shared" ref="AA244:AA256" si="206">SUM(Y244:Z244)</f>
        <v>0</v>
      </c>
      <c r="AB244" s="19">
        <f>NOVIEMBRE!AD244</f>
        <v>0</v>
      </c>
      <c r="AC244" s="377">
        <v>0</v>
      </c>
      <c r="AD244" s="18">
        <f t="shared" ref="AD244:AD256" si="207">SUM(AB244:AC244)</f>
        <v>0</v>
      </c>
      <c r="AE244" s="19">
        <f>NOVIEMBRE!AG244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+IF(NOVIEMBRE!S245=0,"",NOVIEMBRE!S245)</f>
        <v>8002100-2</v>
      </c>
      <c r="T245" s="694" t="str">
        <f>+IF(NOVIEMBRE!T245=0,"",NOVIEMBRE!T245)</f>
        <v>Programas Especial 01 Convenio APS Municipio</v>
      </c>
      <c r="U245" s="27">
        <f>+ENERO!U245</f>
        <v>94000000</v>
      </c>
      <c r="V245" s="15">
        <f>NOVIEMBRE!V245+DICIEMBRE!AL245</f>
        <v>-68000000</v>
      </c>
      <c r="W245" s="15">
        <f>NOVIEMBRE!W245+DICIEMBRE!AM245</f>
        <v>94000000</v>
      </c>
      <c r="X245" s="18">
        <f t="shared" si="205"/>
        <v>120000000</v>
      </c>
      <c r="Y245" s="19">
        <f>NOVIEMBRE!AA245</f>
        <v>75642326</v>
      </c>
      <c r="Z245" s="377">
        <v>0</v>
      </c>
      <c r="AA245" s="18">
        <f t="shared" si="206"/>
        <v>75642326</v>
      </c>
      <c r="AB245" s="19">
        <f>NOVIEMBRE!AD245</f>
        <v>52018992</v>
      </c>
      <c r="AC245" s="377">
        <v>0</v>
      </c>
      <c r="AD245" s="18">
        <f t="shared" si="207"/>
        <v>52018992</v>
      </c>
      <c r="AE245" s="19">
        <f>NOVIEMBRE!AG245</f>
        <v>49541000</v>
      </c>
      <c r="AF245" s="377">
        <v>0</v>
      </c>
      <c r="AG245" s="18">
        <f t="shared" si="208"/>
        <v>49541000</v>
      </c>
      <c r="AH245" s="19">
        <f t="shared" si="209"/>
        <v>44357674</v>
      </c>
      <c r="AI245" s="15">
        <f t="shared" si="210"/>
        <v>67981008</v>
      </c>
      <c r="AJ245" s="16">
        <f t="shared" si="211"/>
        <v>70459000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+IF(NOVIEMBRE!S246=0,"",NOVIEMBRE!S246)</f>
        <v>8002100-3</v>
      </c>
      <c r="T246" s="694" t="str">
        <f>+IF(NOVIEMBRE!T246=0,"",NOVIEMBRE!T246)</f>
        <v>Programas Especial 02 Convenios APS  Departamento</v>
      </c>
      <c r="U246" s="27">
        <f>+ENERO!U246</f>
        <v>0</v>
      </c>
      <c r="V246" s="15">
        <f>NOVIEMBRE!V246+DICIEMBRE!AL246</f>
        <v>0</v>
      </c>
      <c r="W246" s="15">
        <f>NOVIEMBRE!W246+DICIEMBRE!AM246</f>
        <v>50000000</v>
      </c>
      <c r="X246" s="18">
        <f t="shared" si="205"/>
        <v>50000000</v>
      </c>
      <c r="Y246" s="19">
        <f>NOVIEMBRE!AA246</f>
        <v>22820000</v>
      </c>
      <c r="Z246" s="377">
        <v>0</v>
      </c>
      <c r="AA246" s="18">
        <f t="shared" si="206"/>
        <v>22820000</v>
      </c>
      <c r="AB246" s="19">
        <f>NOVIEMBRE!AD246</f>
        <v>18370000</v>
      </c>
      <c r="AC246" s="377">
        <v>0</v>
      </c>
      <c r="AD246" s="18">
        <f t="shared" si="207"/>
        <v>18370000</v>
      </c>
      <c r="AE246" s="19">
        <f>NOVIEMBRE!AG246</f>
        <v>13920000</v>
      </c>
      <c r="AF246" s="377">
        <v>0</v>
      </c>
      <c r="AG246" s="18">
        <f t="shared" si="208"/>
        <v>13920000</v>
      </c>
      <c r="AH246" s="19">
        <f t="shared" si="209"/>
        <v>27180000</v>
      </c>
      <c r="AI246" s="15">
        <f t="shared" si="210"/>
        <v>31630000</v>
      </c>
      <c r="AJ246" s="16">
        <f t="shared" si="211"/>
        <v>36080000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+IF(NOVIEMBRE!S247=0,"",NOVIEMBRE!S247)</f>
        <v>8002100-4</v>
      </c>
      <c r="T247" s="694" t="str">
        <f>+IF(NOVIEMBRE!T247=0,"",NOVIEMBRE!T247)</f>
        <v>Subprogr. Implementacion Normas Internacionales de Contabilidad Publica</v>
      </c>
      <c r="U247" s="27">
        <f>+ENERO!U247</f>
        <v>0</v>
      </c>
      <c r="V247" s="15">
        <f>NOVIEMBRE!V247+DICIEMBRE!AL247</f>
        <v>23000000</v>
      </c>
      <c r="W247" s="15">
        <f>NOVIEMBRE!W247+DICIEMBRE!AM247</f>
        <v>0</v>
      </c>
      <c r="X247" s="18">
        <f t="shared" si="205"/>
        <v>23000000</v>
      </c>
      <c r="Y247" s="19">
        <f>NOVIEMBRE!AA247</f>
        <v>22968000</v>
      </c>
      <c r="Z247" s="377">
        <v>0</v>
      </c>
      <c r="AA247" s="18">
        <f t="shared" si="206"/>
        <v>22968000</v>
      </c>
      <c r="AB247" s="19">
        <f>NOVIEMBRE!AD247</f>
        <v>11484000</v>
      </c>
      <c r="AC247" s="377">
        <v>0</v>
      </c>
      <c r="AD247" s="18">
        <f t="shared" si="207"/>
        <v>11484000</v>
      </c>
      <c r="AE247" s="19">
        <f>NOVIEMBRE!AG247</f>
        <v>0</v>
      </c>
      <c r="AF247" s="377">
        <v>0</v>
      </c>
      <c r="AG247" s="18">
        <f t="shared" si="208"/>
        <v>0</v>
      </c>
      <c r="AH247" s="19">
        <f t="shared" si="209"/>
        <v>32000</v>
      </c>
      <c r="AI247" s="15">
        <f t="shared" si="210"/>
        <v>11516000</v>
      </c>
      <c r="AJ247" s="16">
        <f t="shared" si="211"/>
        <v>23000000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+IF(NOVIEMBRE!S248=0,"",NOVIEMBRE!S248)</f>
        <v>8002100-5</v>
      </c>
      <c r="T248" s="694" t="str">
        <f>+IF(NOVIEMBRE!T248=0,"",NOVIEMBRE!T248)</f>
        <v>Programas Especial 04 Convenio Puestos de Salud</v>
      </c>
      <c r="U248" s="27">
        <f>+ENERO!U248</f>
        <v>24000000</v>
      </c>
      <c r="V248" s="15">
        <f>NOVIEMBRE!V248+DICIEMBRE!AL248</f>
        <v>-58000000</v>
      </c>
      <c r="W248" s="15">
        <f>NOVIEMBRE!W248+DICIEMBRE!AM248</f>
        <v>34000000</v>
      </c>
      <c r="X248" s="18">
        <f t="shared" si="205"/>
        <v>0</v>
      </c>
      <c r="Y248" s="19">
        <f>NOVIEMBRE!AA248</f>
        <v>0</v>
      </c>
      <c r="Z248" s="377">
        <v>0</v>
      </c>
      <c r="AA248" s="18">
        <f t="shared" si="206"/>
        <v>0</v>
      </c>
      <c r="AB248" s="19">
        <f>NOVIEMBRE!AD248</f>
        <v>0</v>
      </c>
      <c r="AC248" s="377">
        <v>0</v>
      </c>
      <c r="AD248" s="18">
        <f t="shared" si="207"/>
        <v>0</v>
      </c>
      <c r="AE248" s="19">
        <f>NOVIEMBRE!AG248</f>
        <v>0</v>
      </c>
      <c r="AF248" s="377">
        <v>0</v>
      </c>
      <c r="AG248" s="18">
        <f t="shared" si="208"/>
        <v>0</v>
      </c>
      <c r="AH248" s="19">
        <f t="shared" si="209"/>
        <v>0</v>
      </c>
      <c r="AI248" s="15">
        <f t="shared" si="210"/>
        <v>0</v>
      </c>
      <c r="AJ248" s="16">
        <f t="shared" si="211"/>
        <v>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+IF(NOVIEMBRE!S249=0,"",NOVIEMBRE!S249)</f>
        <v>8002100-6</v>
      </c>
      <c r="T249" s="694" t="str">
        <f>+IF(NOVIEMBRE!T249=0,"",NOVIEMBRE!T249)</f>
        <v>Programas Especial 05</v>
      </c>
      <c r="U249" s="27">
        <f>+ENERO!U249</f>
        <v>0</v>
      </c>
      <c r="V249" s="15">
        <f>NOVIEMBRE!V249+DICIEMBRE!AL249</f>
        <v>0</v>
      </c>
      <c r="W249" s="15">
        <f>NOVIEMBRE!W249+DICIEMBRE!AM249</f>
        <v>0</v>
      </c>
      <c r="X249" s="18">
        <f t="shared" si="205"/>
        <v>0</v>
      </c>
      <c r="Y249" s="19">
        <f>NOVIEMBRE!AA249</f>
        <v>0</v>
      </c>
      <c r="Z249" s="377">
        <v>0</v>
      </c>
      <c r="AA249" s="18">
        <f t="shared" si="206"/>
        <v>0</v>
      </c>
      <c r="AB249" s="19">
        <f>NOVIEMBRE!AD249</f>
        <v>0</v>
      </c>
      <c r="AC249" s="377">
        <v>0</v>
      </c>
      <c r="AD249" s="18">
        <f t="shared" si="207"/>
        <v>0</v>
      </c>
      <c r="AE249" s="19">
        <f>NOVIEMBRE!AG249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+IF(NOVIEMBRE!S250=0,"",NOVIEMBRE!S250)</f>
        <v>8002100-7</v>
      </c>
      <c r="T250" s="694" t="str">
        <f>+IF(NOVIEMBRE!T250=0,"",NOVIEMBRE!T250)</f>
        <v>Programas Especial 06</v>
      </c>
      <c r="U250" s="27">
        <f>+ENERO!U250</f>
        <v>0</v>
      </c>
      <c r="V250" s="15">
        <f>NOVIEMBRE!V250+DICIEMBRE!AL250</f>
        <v>0</v>
      </c>
      <c r="W250" s="15">
        <f>NOVIEMBRE!W250+DICIEMBRE!AM250</f>
        <v>0</v>
      </c>
      <c r="X250" s="18">
        <f>SUM(U250:W250)</f>
        <v>0</v>
      </c>
      <c r="Y250" s="19">
        <f>NOVIEMBRE!AA250</f>
        <v>0</v>
      </c>
      <c r="Z250" s="377">
        <v>0</v>
      </c>
      <c r="AA250" s="18">
        <f>SUM(Y250:Z250)</f>
        <v>0</v>
      </c>
      <c r="AB250" s="19">
        <f>NOVIEMBRE!AD250</f>
        <v>0</v>
      </c>
      <c r="AC250" s="377">
        <v>0</v>
      </c>
      <c r="AD250" s="18">
        <f>SUM(AB250:AC250)</f>
        <v>0</v>
      </c>
      <c r="AE250" s="19">
        <f>NOVIEMBRE!AG250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+IF(NOVIEMBRE!S251=0,"",NOVIEMBRE!S251)</f>
        <v>8002100-8</v>
      </c>
      <c r="T251" s="694" t="str">
        <f>+IF(NOVIEMBRE!T251=0,"",NOVIEMBRE!T251)</f>
        <v>Programas Especial 07</v>
      </c>
      <c r="U251" s="27">
        <f>+ENERO!U251</f>
        <v>0</v>
      </c>
      <c r="V251" s="15">
        <f>NOVIEMBRE!V251+DICIEMBRE!AL251</f>
        <v>0</v>
      </c>
      <c r="W251" s="15">
        <f>NOVIEMBRE!W251+DICIEMBRE!AM251</f>
        <v>0</v>
      </c>
      <c r="X251" s="18">
        <f>SUM(U251:W251)</f>
        <v>0</v>
      </c>
      <c r="Y251" s="19">
        <f>NOVIEMBRE!AA251</f>
        <v>0</v>
      </c>
      <c r="Z251" s="377">
        <v>0</v>
      </c>
      <c r="AA251" s="18">
        <f>SUM(Y251:Z251)</f>
        <v>0</v>
      </c>
      <c r="AB251" s="19">
        <f>NOVIEMBRE!AD251</f>
        <v>0</v>
      </c>
      <c r="AC251" s="377">
        <v>0</v>
      </c>
      <c r="AD251" s="18">
        <f>SUM(AB251:AC251)</f>
        <v>0</v>
      </c>
      <c r="AE251" s="19">
        <f>NOVIEMBRE!AG251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+IF(NOVIEMBRE!S252=0,"",NOVIEMBRE!S252)</f>
        <v>8002100-9</v>
      </c>
      <c r="T252" s="694" t="str">
        <f>+IF(NOVIEMBRE!T252=0,"",NOVIEMBRE!T252)</f>
        <v>Programas Especial 08</v>
      </c>
      <c r="U252" s="27">
        <f>+ENERO!U252</f>
        <v>0</v>
      </c>
      <c r="V252" s="15">
        <f>NOVIEMBRE!V252+DICIEMBRE!AL252</f>
        <v>0</v>
      </c>
      <c r="W252" s="15">
        <f>NOVIEMBRE!W252+DICIEMBRE!AM252</f>
        <v>0</v>
      </c>
      <c r="X252" s="18">
        <f>SUM(U252:W252)</f>
        <v>0</v>
      </c>
      <c r="Y252" s="19">
        <f>NOVIEMBRE!AA252</f>
        <v>0</v>
      </c>
      <c r="Z252" s="377">
        <v>0</v>
      </c>
      <c r="AA252" s="18">
        <f>SUM(Y252:Z252)</f>
        <v>0</v>
      </c>
      <c r="AB252" s="19">
        <f>NOVIEMBRE!AD252</f>
        <v>0</v>
      </c>
      <c r="AC252" s="377">
        <v>0</v>
      </c>
      <c r="AD252" s="18">
        <f>SUM(AB252:AC252)</f>
        <v>0</v>
      </c>
      <c r="AE252" s="19">
        <f>NOVIEMBRE!AG252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+IF(NOVIEMBRE!S253=0,"",NOVIEMBRE!S253)</f>
        <v>8002100-10</v>
      </c>
      <c r="T253" s="694" t="str">
        <f>+IF(NOVIEMBRE!T253=0,"",NOVIEMBRE!T253)</f>
        <v>Programas Especial 09</v>
      </c>
      <c r="U253" s="27">
        <f>+ENERO!U253</f>
        <v>0</v>
      </c>
      <c r="V253" s="15">
        <f>NOVIEMBRE!V253+DICIEMBRE!AL253</f>
        <v>0</v>
      </c>
      <c r="W253" s="15">
        <f>NOVIEMBRE!W253+DICIEMBRE!AM253</f>
        <v>0</v>
      </c>
      <c r="X253" s="18">
        <f>SUM(U253:W253)</f>
        <v>0</v>
      </c>
      <c r="Y253" s="19">
        <f>NOVIEMBRE!AA253</f>
        <v>0</v>
      </c>
      <c r="Z253" s="377">
        <v>0</v>
      </c>
      <c r="AA253" s="18">
        <f>SUM(Y253:Z253)</f>
        <v>0</v>
      </c>
      <c r="AB253" s="19">
        <f>NOVIEMBRE!AD253</f>
        <v>0</v>
      </c>
      <c r="AC253" s="377">
        <v>0</v>
      </c>
      <c r="AD253" s="18">
        <f>SUM(AB253:AC253)</f>
        <v>0</v>
      </c>
      <c r="AE253" s="19">
        <f>NOVIEMBRE!AG253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+IF(NOVIEMBRE!S254=0,"",NOVIEMBRE!S254)</f>
        <v>8002100-11</v>
      </c>
      <c r="T254" s="694" t="str">
        <f>+IF(NOVIEMBRE!T254=0,"",NOVIEMBRE!T254)</f>
        <v>Programas Especial 10</v>
      </c>
      <c r="U254" s="27">
        <f>+ENERO!U254</f>
        <v>0</v>
      </c>
      <c r="V254" s="15">
        <f>NOVIEMBRE!V254+DICIEMBRE!AL254</f>
        <v>0</v>
      </c>
      <c r="W254" s="15">
        <f>NOVIEMBRE!W254+DICIEMBRE!AM254</f>
        <v>0</v>
      </c>
      <c r="X254" s="18">
        <f>SUM(U254:W254)</f>
        <v>0</v>
      </c>
      <c r="Y254" s="19">
        <f>NOVIEMBRE!AA254</f>
        <v>0</v>
      </c>
      <c r="Z254" s="377">
        <v>0</v>
      </c>
      <c r="AA254" s="18">
        <f>SUM(Y254:Z254)</f>
        <v>0</v>
      </c>
      <c r="AB254" s="19">
        <f>NOVIEMBRE!AD254</f>
        <v>0</v>
      </c>
      <c r="AC254" s="377">
        <v>0</v>
      </c>
      <c r="AD254" s="18">
        <f>SUM(AB254:AC254)</f>
        <v>0</v>
      </c>
      <c r="AE254" s="19">
        <f>NOVIEMBRE!AG254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+IF(NOVIEMBRE!S255=0,"",NOVIEMBRE!S255)</f>
        <v>8002100-12</v>
      </c>
      <c r="T255" s="694" t="str">
        <f>+IF(NOVIEMBRE!T255=0,"",NOVIEMBRE!T255)</f>
        <v>Programas Especial 11</v>
      </c>
      <c r="U255" s="27">
        <f>+ENERO!U255</f>
        <v>0</v>
      </c>
      <c r="V255" s="15">
        <f>NOVIEMBRE!V255+DICIEMBRE!AL255</f>
        <v>0</v>
      </c>
      <c r="W255" s="15">
        <f>NOVIEMBRE!W255+DICIEMBRE!AM255</f>
        <v>0</v>
      </c>
      <c r="X255" s="18">
        <f t="shared" si="205"/>
        <v>0</v>
      </c>
      <c r="Y255" s="19">
        <f>NOVIEMBRE!AA255</f>
        <v>0</v>
      </c>
      <c r="Z255" s="377">
        <v>0</v>
      </c>
      <c r="AA255" s="18">
        <f t="shared" si="206"/>
        <v>0</v>
      </c>
      <c r="AB255" s="19">
        <f>NOVIEMBRE!AD255</f>
        <v>0</v>
      </c>
      <c r="AC255" s="377">
        <v>0</v>
      </c>
      <c r="AD255" s="18">
        <f t="shared" si="207"/>
        <v>0</v>
      </c>
      <c r="AE255" s="19">
        <f>NOVIEMBRE!AG255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+IF(NOVIEMBRE!S256=0,"",NOVIEMBRE!S256)</f>
        <v>8002999</v>
      </c>
      <c r="T256" s="710" t="str">
        <f>+IF(NOVIEMBRE!T256=0,"",NOVIEMBRE!T256)</f>
        <v>Vigencias Anteriores</v>
      </c>
      <c r="U256" s="136">
        <f>+ENERO!U256</f>
        <v>0</v>
      </c>
      <c r="V256" s="123">
        <f>NOVIEMBRE!V256+DICIEMBRE!AL256</f>
        <v>0</v>
      </c>
      <c r="W256" s="123">
        <f>NOVIEMBRE!W256+DICIEMBRE!AM256</f>
        <v>0</v>
      </c>
      <c r="X256" s="129">
        <f t="shared" si="205"/>
        <v>0</v>
      </c>
      <c r="Y256" s="127">
        <f>NOVIEMBRE!AA256</f>
        <v>0</v>
      </c>
      <c r="Z256" s="391">
        <v>0</v>
      </c>
      <c r="AA256" s="129">
        <f t="shared" si="206"/>
        <v>0</v>
      </c>
      <c r="AB256" s="127">
        <f>NOVIEMBRE!AD256</f>
        <v>0</v>
      </c>
      <c r="AC256" s="391">
        <v>0</v>
      </c>
      <c r="AD256" s="129">
        <f t="shared" si="207"/>
        <v>0</v>
      </c>
      <c r="AE256" s="127">
        <f>NOVIEMBRE!AG256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+IF(NOVIEMBRE!S257=0,"",NOVIEMBRE!S257)</f>
        <v/>
      </c>
      <c r="T257" s="707" t="str">
        <f>+IF(NOVIEMBRE!T257=0,"",NOVIEMBRE!T257)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A258" s="767"/>
      <c r="B258" s="669"/>
      <c r="C258" s="385"/>
      <c r="D258" s="385"/>
      <c r="E258" s="385"/>
      <c r="F258" s="385"/>
      <c r="G258" s="385"/>
      <c r="H258" s="385"/>
      <c r="I258" s="385"/>
      <c r="J258" s="385"/>
      <c r="K258" s="385"/>
      <c r="L258" s="385"/>
      <c r="M258" s="385"/>
      <c r="N258" s="9"/>
      <c r="O258" s="385"/>
      <c r="P258" s="9"/>
      <c r="Q258" s="9"/>
      <c r="S258" s="514" t="str">
        <f>+IF(NOVIEMBRE!S258=0,"",NOVIEMBRE!S258)</f>
        <v>E</v>
      </c>
      <c r="T258" s="711" t="str">
        <f>+IF(NOVIEMBRE!T258=0,"",NOVIEMBRE!T258)</f>
        <v>DISPONIBILIDAD FINAL</v>
      </c>
      <c r="U258" s="341">
        <f t="shared" ref="U258:AJ258" si="212">+(C10+C17+C113)-(U10+U207+U220+U232)</f>
        <v>0</v>
      </c>
      <c r="V258" s="341">
        <f t="shared" si="212"/>
        <v>0</v>
      </c>
      <c r="W258" s="341">
        <f t="shared" si="212"/>
        <v>0</v>
      </c>
      <c r="X258" s="341">
        <f t="shared" si="212"/>
        <v>0</v>
      </c>
      <c r="Y258" s="341">
        <f t="shared" si="212"/>
        <v>299215632</v>
      </c>
      <c r="Z258" s="341">
        <f t="shared" si="212"/>
        <v>0</v>
      </c>
      <c r="AA258" s="341">
        <f t="shared" si="212"/>
        <v>299215632</v>
      </c>
      <c r="AB258" s="341">
        <f t="shared" si="212"/>
        <v>-360366858</v>
      </c>
      <c r="AC258" s="341">
        <f t="shared" si="212"/>
        <v>0</v>
      </c>
      <c r="AD258" s="341">
        <f t="shared" si="212"/>
        <v>-360366858</v>
      </c>
      <c r="AE258" s="341">
        <f t="shared" si="212"/>
        <v>-1188978787</v>
      </c>
      <c r="AF258" s="341">
        <f t="shared" si="212"/>
        <v>1704857162</v>
      </c>
      <c r="AG258" s="341">
        <f t="shared" si="212"/>
        <v>-2054277226</v>
      </c>
      <c r="AH258" s="341">
        <f t="shared" si="212"/>
        <v>-1164514071</v>
      </c>
      <c r="AI258" s="341">
        <f t="shared" si="212"/>
        <v>-1344490304</v>
      </c>
      <c r="AJ258" s="341">
        <f t="shared" si="212"/>
        <v>-1836323521</v>
      </c>
      <c r="AK258" s="9"/>
      <c r="AL258" s="341">
        <v>0</v>
      </c>
      <c r="AM258" s="342">
        <v>0</v>
      </c>
    </row>
    <row r="259" spans="1:39" ht="24.95" customHeight="1" thickBot="1" x14ac:dyDescent="0.25">
      <c r="S259" s="912" t="str">
        <f>+IF(NOVIEMBRE!S259=0,"",NOVIEMBRE!S259)</f>
        <v>TOTAL VIGENCIAS ANTERIORES</v>
      </c>
      <c r="T259" s="913"/>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303837447</v>
      </c>
      <c r="AF259" s="115">
        <f t="shared" si="213"/>
        <v>0</v>
      </c>
      <c r="AG259" s="126">
        <f t="shared" si="213"/>
        <v>303837447</v>
      </c>
      <c r="AH259" s="125">
        <f t="shared" si="213"/>
        <v>0</v>
      </c>
      <c r="AI259" s="115">
        <f t="shared" si="213"/>
        <v>0</v>
      </c>
      <c r="AJ259" s="116">
        <f t="shared" si="213"/>
        <v>38526609</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row r="261" spans="1:39" ht="24.95" customHeight="1" x14ac:dyDescent="0.2">
      <c r="U261" s="120"/>
      <c r="V261" s="385"/>
      <c r="W261" s="385"/>
      <c r="X261" s="385"/>
      <c r="Y261" s="385"/>
      <c r="Z261" s="385"/>
      <c r="AA261" s="385"/>
      <c r="AB261" s="385"/>
      <c r="AC261" s="385"/>
      <c r="AD261" s="385"/>
      <c r="AE261" s="385"/>
      <c r="AF261" s="385"/>
      <c r="AG261" s="385"/>
      <c r="AH261" s="385"/>
      <c r="AI261" s="385"/>
      <c r="AJ261" s="385"/>
      <c r="AK261" s="10"/>
      <c r="AL261" s="385"/>
      <c r="AM261" s="385"/>
    </row>
  </sheetData>
  <sheetProtection password="E476" sheet="1" objects="1" scenarios="1" formatCells="0" formatColumns="0"/>
  <mergeCells count="49">
    <mergeCell ref="A1:B1"/>
    <mergeCell ref="A5:A6"/>
    <mergeCell ref="B5:B6"/>
    <mergeCell ref="B3:B4"/>
    <mergeCell ref="P3:P5"/>
    <mergeCell ref="C5:F5"/>
    <mergeCell ref="C1:J1"/>
    <mergeCell ref="G5:I5"/>
    <mergeCell ref="J5:L5"/>
    <mergeCell ref="F3:K4"/>
    <mergeCell ref="K1:N1"/>
    <mergeCell ref="D3:E4"/>
    <mergeCell ref="D2:E2"/>
    <mergeCell ref="M5:N5"/>
    <mergeCell ref="L2:M2"/>
    <mergeCell ref="L3:M4"/>
    <mergeCell ref="S259:T259"/>
    <mergeCell ref="BM5:BM6"/>
    <mergeCell ref="AH2:AI2"/>
    <mergeCell ref="AH3:AI4"/>
    <mergeCell ref="AJ3:AJ4"/>
    <mergeCell ref="BM2:BO2"/>
    <mergeCell ref="BM3:BO3"/>
    <mergeCell ref="Y2:AG2"/>
    <mergeCell ref="T3:T4"/>
    <mergeCell ref="V2:X2"/>
    <mergeCell ref="Y3:AG4"/>
    <mergeCell ref="V3:X4"/>
    <mergeCell ref="BL5:BL6"/>
    <mergeCell ref="BG2:BI2"/>
    <mergeCell ref="BG3:BI3"/>
    <mergeCell ref="BH5:BK5"/>
    <mergeCell ref="N3:N4"/>
    <mergeCell ref="P2:Q2"/>
    <mergeCell ref="AW19:AZ19"/>
    <mergeCell ref="BF5:BF6"/>
    <mergeCell ref="AL2:AM2"/>
    <mergeCell ref="BB2:BC2"/>
    <mergeCell ref="AL3:AL5"/>
    <mergeCell ref="BB3:BC3"/>
    <mergeCell ref="AW4:AZ4"/>
    <mergeCell ref="AE5:AG5"/>
    <mergeCell ref="AM3:AM5"/>
    <mergeCell ref="BR5:BR6"/>
    <mergeCell ref="Q3:Q5"/>
    <mergeCell ref="AH5:AJ5"/>
    <mergeCell ref="S5:S6"/>
    <mergeCell ref="T5:T6"/>
    <mergeCell ref="AB5:AD5"/>
  </mergeCells>
  <phoneticPr fontId="1" type="noConversion"/>
  <conditionalFormatting sqref="B5:B7">
    <cfRule type="expression" dxfId="0" priority="1" stopIfTrue="1">
      <formula>$B$5="OJO - RECUERDE RECAUDAR LA DISPONIBLIDAD INICIAL EN ESTE TRIMESTRE, haga clik en H9 para ampliar la información"</formula>
    </cfRule>
  </conditionalFormatting>
  <dataValidations disablePrompts="1"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FF0000"/>
  </sheetPr>
  <dimension ref="A1:IR122"/>
  <sheetViews>
    <sheetView showGridLines="0" showZeros="0" view="pageBreakPreview" topLeftCell="B4" zoomScale="70" zoomScaleNormal="80" zoomScaleSheetLayoutView="70" workbookViewId="0">
      <selection activeCell="D24" sqref="D24:E24"/>
    </sheetView>
  </sheetViews>
  <sheetFormatPr baseColWidth="10" defaultColWidth="0" defaultRowHeight="24.95" customHeight="1" x14ac:dyDescent="0.2"/>
  <cols>
    <col min="1" max="1" width="1.5703125" style="609" customWidth="1"/>
    <col min="2" max="2" width="53.42578125" style="774" customWidth="1"/>
    <col min="3" max="3" width="27.28515625" style="609" customWidth="1"/>
    <col min="4" max="4" width="25.140625" style="609" customWidth="1"/>
    <col min="5" max="5" width="21.85546875" style="609" customWidth="1"/>
    <col min="6" max="6" width="19" style="609" customWidth="1"/>
    <col min="7" max="7" width="18" style="609" customWidth="1"/>
    <col min="8" max="8" width="19.7109375" style="609" customWidth="1"/>
    <col min="9" max="9" width="16.85546875" style="609" customWidth="1"/>
    <col min="10" max="10" width="16.5703125" style="609" customWidth="1"/>
    <col min="11" max="11" width="15.42578125" style="609" customWidth="1"/>
    <col min="12" max="12" width="16.7109375" style="609" bestFit="1" customWidth="1"/>
    <col min="13" max="13" width="15.85546875" style="609" bestFit="1" customWidth="1"/>
    <col min="14" max="14" width="16.5703125" style="609" bestFit="1" customWidth="1"/>
    <col min="15" max="15" width="12.85546875" style="609" bestFit="1" customWidth="1"/>
    <col min="16" max="16" width="15.28515625" style="609" bestFit="1" customWidth="1"/>
    <col min="17" max="17" width="14.42578125" style="609" bestFit="1" customWidth="1"/>
    <col min="18" max="18" width="26.7109375" style="609" customWidth="1"/>
    <col min="19" max="19" width="2.85546875" style="600" customWidth="1"/>
    <col min="20" max="20" width="5.28515625" style="609" hidden="1" customWidth="1"/>
    <col min="21" max="16384" width="0" style="609" hidden="1"/>
  </cols>
  <sheetData>
    <row r="1" spans="1:19" s="600" customFormat="1" ht="40.5" customHeight="1" x14ac:dyDescent="0.4">
      <c r="A1" s="598">
        <v>123</v>
      </c>
      <c r="B1" s="971" t="s">
        <v>603</v>
      </c>
      <c r="C1" s="971"/>
      <c r="D1" s="971"/>
      <c r="E1" s="971"/>
      <c r="F1" s="971"/>
      <c r="G1" s="971"/>
      <c r="H1" s="971"/>
      <c r="I1" s="971"/>
      <c r="J1" s="971"/>
      <c r="K1" s="777" t="str">
        <f>+CONCATENATE("VIGENCIA ",INSTRUCCIONES!F3)</f>
        <v>VIGENCIA 2015</v>
      </c>
      <c r="L1" s="777"/>
      <c r="M1" s="777"/>
      <c r="N1" s="599"/>
      <c r="O1" s="599"/>
      <c r="P1" s="599"/>
      <c r="Q1" s="599"/>
      <c r="R1" s="599"/>
    </row>
    <row r="2" spans="1:19" s="604" customFormat="1" ht="24.95" customHeight="1" x14ac:dyDescent="0.4">
      <c r="A2" s="601"/>
      <c r="B2" s="769"/>
      <c r="C2" s="602"/>
      <c r="D2" s="603"/>
      <c r="E2" s="603"/>
      <c r="F2" s="603"/>
      <c r="G2" s="603"/>
      <c r="H2" s="972" t="str">
        <f>+IF((G4+I4+K4+M4)&gt;1,"OJO - SOLO DEBE SECCIONAR UNO DE LOS TRIMESTRES A LA VEZ","")</f>
        <v/>
      </c>
      <c r="I2" s="972"/>
      <c r="J2" s="972"/>
      <c r="K2" s="972"/>
      <c r="L2" s="972"/>
      <c r="M2" s="972"/>
      <c r="N2" s="972"/>
      <c r="O2" s="972"/>
      <c r="P2" s="972"/>
      <c r="Q2" s="972"/>
      <c r="R2" s="972"/>
      <c r="S2" s="600"/>
    </row>
    <row r="3" spans="1:19" s="604" customFormat="1" ht="45" customHeight="1" x14ac:dyDescent="0.2">
      <c r="A3" s="601"/>
      <c r="B3" s="977" t="str">
        <f>+CONCATENATE(INSTRUCCIONES!B5," - ",INSTRUCCIONES!B3)</f>
        <v>ESE HOSPITAL SAN JUAN DE DIOS - TITIRIBI</v>
      </c>
      <c r="C3" s="977"/>
      <c r="D3" s="977"/>
      <c r="E3" s="977"/>
      <c r="F3" s="977"/>
      <c r="G3" s="977"/>
      <c r="H3" s="977"/>
      <c r="I3" s="977"/>
      <c r="J3" s="977"/>
      <c r="K3" s="977"/>
      <c r="L3" s="977"/>
      <c r="M3" s="977"/>
      <c r="N3" s="605"/>
      <c r="O3" s="605"/>
      <c r="P3" s="605"/>
      <c r="Q3" s="605"/>
      <c r="R3" s="605"/>
    </row>
    <row r="4" spans="1:19" s="604" customFormat="1" ht="42" customHeight="1" x14ac:dyDescent="0.2">
      <c r="A4" s="601"/>
      <c r="B4" s="973" t="s">
        <v>389</v>
      </c>
      <c r="C4" s="973"/>
      <c r="D4" s="973"/>
      <c r="E4" s="679"/>
      <c r="F4" s="606" t="s">
        <v>381</v>
      </c>
      <c r="G4" s="144"/>
      <c r="H4" s="606" t="s">
        <v>382</v>
      </c>
      <c r="I4" s="144"/>
      <c r="J4" s="606" t="s">
        <v>383</v>
      </c>
      <c r="K4" s="144">
        <v>1</v>
      </c>
      <c r="L4" s="606" t="s">
        <v>384</v>
      </c>
      <c r="M4" s="144"/>
    </row>
    <row r="5" spans="1:19" s="600" customFormat="1" ht="24.95" customHeight="1" thickBot="1" x14ac:dyDescent="0.3">
      <c r="A5" s="598"/>
      <c r="B5" s="770"/>
      <c r="C5" s="607"/>
      <c r="D5" s="607"/>
      <c r="E5" s="607"/>
      <c r="F5" s="608"/>
      <c r="G5" s="608"/>
      <c r="H5" s="608"/>
      <c r="I5" s="608"/>
      <c r="J5" s="608"/>
      <c r="K5" s="608"/>
      <c r="L5" s="608"/>
      <c r="M5" s="608"/>
      <c r="N5" s="608"/>
      <c r="O5" s="608"/>
      <c r="P5" s="608"/>
      <c r="Q5" s="608"/>
      <c r="R5" s="599"/>
    </row>
    <row r="6" spans="1:19" ht="24.95" customHeight="1" thickBot="1" x14ac:dyDescent="0.25">
      <c r="B6" s="957" t="s">
        <v>33</v>
      </c>
      <c r="C6" s="962" t="s">
        <v>562</v>
      </c>
      <c r="D6" s="962" t="s">
        <v>532</v>
      </c>
      <c r="E6" s="963"/>
      <c r="F6" s="254" t="s">
        <v>385</v>
      </c>
      <c r="G6" s="255"/>
      <c r="H6" s="255"/>
      <c r="I6" s="255"/>
      <c r="J6" s="255"/>
      <c r="K6" s="255"/>
      <c r="L6" s="255"/>
      <c r="M6" s="255"/>
      <c r="N6" s="255"/>
      <c r="O6" s="255"/>
      <c r="P6" s="255"/>
      <c r="Q6" s="255"/>
      <c r="R6" s="975" t="s">
        <v>386</v>
      </c>
    </row>
    <row r="7" spans="1:19" ht="24.95" customHeight="1" thickBot="1" x14ac:dyDescent="0.25">
      <c r="B7" s="974"/>
      <c r="C7" s="964"/>
      <c r="D7" s="964"/>
      <c r="E7" s="965"/>
      <c r="F7" s="256" t="s">
        <v>10</v>
      </c>
      <c r="G7" s="257" t="s">
        <v>368</v>
      </c>
      <c r="H7" s="257" t="s">
        <v>369</v>
      </c>
      <c r="I7" s="257" t="s">
        <v>372</v>
      </c>
      <c r="J7" s="257" t="s">
        <v>373</v>
      </c>
      <c r="K7" s="257" t="s">
        <v>374</v>
      </c>
      <c r="L7" s="257" t="s">
        <v>375</v>
      </c>
      <c r="M7" s="257" t="s">
        <v>376</v>
      </c>
      <c r="N7" s="257" t="s">
        <v>377</v>
      </c>
      <c r="O7" s="257" t="s">
        <v>378</v>
      </c>
      <c r="P7" s="257" t="s">
        <v>379</v>
      </c>
      <c r="Q7" s="540" t="s">
        <v>380</v>
      </c>
      <c r="R7" s="976"/>
    </row>
    <row r="8" spans="1:19" s="610" customFormat="1" ht="24.95" customHeight="1" x14ac:dyDescent="0.2">
      <c r="B8" s="258" t="s">
        <v>57</v>
      </c>
      <c r="C8" s="553">
        <f>+DICIEMBRE!F10</f>
        <v>90342061</v>
      </c>
      <c r="D8" s="966">
        <f>+DICIEMBRE!I10</f>
        <v>90342061</v>
      </c>
      <c r="E8" s="967"/>
      <c r="F8" s="259">
        <f>+DICIEMBRE!L10</f>
        <v>90342061</v>
      </c>
      <c r="G8" s="554">
        <f t="shared" ref="G8:Q8" si="0">F57</f>
        <v>111228371</v>
      </c>
      <c r="H8" s="554">
        <f t="shared" si="0"/>
        <v>1580621</v>
      </c>
      <c r="I8" s="554">
        <f t="shared" si="0"/>
        <v>-2557</v>
      </c>
      <c r="J8" s="554">
        <f t="shared" si="0"/>
        <v>-19697149</v>
      </c>
      <c r="K8" s="554">
        <f t="shared" si="0"/>
        <v>7675896</v>
      </c>
      <c r="L8" s="554">
        <f t="shared" si="0"/>
        <v>-8819929</v>
      </c>
      <c r="M8" s="554">
        <f t="shared" si="0"/>
        <v>103946774</v>
      </c>
      <c r="N8" s="554">
        <f t="shared" si="0"/>
        <v>88595593</v>
      </c>
      <c r="O8" s="554" t="e">
        <f t="shared" si="0"/>
        <v>#VALUE!</v>
      </c>
      <c r="P8" s="554" t="e">
        <f t="shared" si="0"/>
        <v>#VALUE!</v>
      </c>
      <c r="Q8" s="555" t="e">
        <f t="shared" si="0"/>
        <v>#VALUE!</v>
      </c>
      <c r="R8" s="549">
        <f>F8</f>
        <v>90342061</v>
      </c>
      <c r="S8" s="611"/>
    </row>
    <row r="9" spans="1:19" s="610" customFormat="1" ht="24.95" customHeight="1" x14ac:dyDescent="0.2">
      <c r="B9" s="260" t="s">
        <v>59</v>
      </c>
      <c r="C9" s="556">
        <f>C10+C18+C19+C20+C21+C22+C23</f>
        <v>3181627671</v>
      </c>
      <c r="D9" s="955">
        <f t="shared" ref="D9:R9" si="1">D10+D18+D19+D20+D21+D22+D23</f>
        <v>2388229492</v>
      </c>
      <c r="E9" s="956">
        <f t="shared" si="1"/>
        <v>0</v>
      </c>
      <c r="F9" s="557">
        <f t="shared" si="1"/>
        <v>85434796</v>
      </c>
      <c r="G9" s="558">
        <f t="shared" si="1"/>
        <v>83312069</v>
      </c>
      <c r="H9" s="558">
        <f t="shared" si="1"/>
        <v>102983881</v>
      </c>
      <c r="I9" s="558">
        <f t="shared" si="1"/>
        <v>93112761</v>
      </c>
      <c r="J9" s="558">
        <f t="shared" si="1"/>
        <v>235998456</v>
      </c>
      <c r="K9" s="558">
        <f t="shared" si="1"/>
        <v>163263306</v>
      </c>
      <c r="L9" s="558">
        <f t="shared" si="1"/>
        <v>332967650</v>
      </c>
      <c r="M9" s="558">
        <f t="shared" si="1"/>
        <v>161869725</v>
      </c>
      <c r="N9" s="801" t="e">
        <f t="shared" si="1"/>
        <v>#VALUE!</v>
      </c>
      <c r="O9" s="558">
        <f t="shared" si="1"/>
        <v>0</v>
      </c>
      <c r="P9" s="558">
        <f t="shared" si="1"/>
        <v>0</v>
      </c>
      <c r="Q9" s="559">
        <f t="shared" si="1"/>
        <v>0</v>
      </c>
      <c r="R9" s="550">
        <f t="shared" si="1"/>
        <v>1548670769</v>
      </c>
      <c r="S9" s="611"/>
    </row>
    <row r="10" spans="1:19" s="610" customFormat="1" ht="24.95" customHeight="1" x14ac:dyDescent="0.2">
      <c r="B10" s="261" t="s">
        <v>438</v>
      </c>
      <c r="C10" s="556">
        <f>C11+C12+C13+C14+C15+C16+C17</f>
        <v>3013140862</v>
      </c>
      <c r="D10" s="955">
        <f t="shared" ref="D10:R10" si="2">D11+D12+D13+D14+D15+D16+D17</f>
        <v>2173338810</v>
      </c>
      <c r="E10" s="956"/>
      <c r="F10" s="557">
        <f t="shared" si="2"/>
        <v>74955672</v>
      </c>
      <c r="G10" s="558">
        <f t="shared" si="2"/>
        <v>74853961</v>
      </c>
      <c r="H10" s="558">
        <f t="shared" si="2"/>
        <v>93904981</v>
      </c>
      <c r="I10" s="558">
        <f t="shared" si="2"/>
        <v>84929257</v>
      </c>
      <c r="J10" s="558">
        <f t="shared" si="2"/>
        <v>166838376</v>
      </c>
      <c r="K10" s="558">
        <f t="shared" si="2"/>
        <v>156128306</v>
      </c>
      <c r="L10" s="558">
        <f t="shared" si="2"/>
        <v>247283700</v>
      </c>
      <c r="M10" s="558">
        <f t="shared" si="2"/>
        <v>154163125</v>
      </c>
      <c r="N10" s="558">
        <f t="shared" si="2"/>
        <v>280722709</v>
      </c>
      <c r="O10" s="558">
        <f t="shared" si="2"/>
        <v>0</v>
      </c>
      <c r="P10" s="558">
        <f t="shared" si="2"/>
        <v>0</v>
      </c>
      <c r="Q10" s="559">
        <f t="shared" si="2"/>
        <v>0</v>
      </c>
      <c r="R10" s="550">
        <f t="shared" si="2"/>
        <v>1333780087</v>
      </c>
      <c r="S10" s="611"/>
    </row>
    <row r="11" spans="1:19" s="610" customFormat="1" ht="24.95" customHeight="1" x14ac:dyDescent="0.2">
      <c r="B11" s="771" t="s">
        <v>439</v>
      </c>
      <c r="C11" s="537">
        <f>MARZO!$BC11*$G$4+JUNIO!$BC11*$I$4+SEPTIEMBRE!$BC11*$K$4+DICIEMBRE!$BC11*$M$4</f>
        <v>873986903</v>
      </c>
      <c r="D11" s="953">
        <f>MARZO!$BD11*$G$4+JUNIO!$BD11*$I$4+SEPTIEMBRE!$BD11*$K$4+DICIEMBRE!$BD11*$M$4</f>
        <v>635303632</v>
      </c>
      <c r="E11" s="954"/>
      <c r="F11" s="262">
        <f>ENERO!$BE11</f>
        <v>38390250</v>
      </c>
      <c r="G11" s="263">
        <f>FEBRERO!$BE11</f>
        <v>39525164</v>
      </c>
      <c r="H11" s="263">
        <f>MARZO!$BE11</f>
        <v>50396468</v>
      </c>
      <c r="I11" s="263">
        <f>ABRIL!$BE11</f>
        <v>46466252</v>
      </c>
      <c r="J11" s="263">
        <f>MAYO!$BE11</f>
        <v>51064332</v>
      </c>
      <c r="K11" s="263">
        <f>JUNIO!$BE11</f>
        <v>39784657</v>
      </c>
      <c r="L11" s="263">
        <f>JULIO!$BE11</f>
        <v>60226443</v>
      </c>
      <c r="M11" s="263">
        <f>AGOSTO!$BE11</f>
        <v>37702860</v>
      </c>
      <c r="N11" s="263">
        <f>SEPTIEMBRE!$BE11</f>
        <v>76505285</v>
      </c>
      <c r="O11" s="263">
        <f>OCTUBRE!$BE11</f>
        <v>0</v>
      </c>
      <c r="P11" s="263">
        <f>NOVIEMBRE!$BE11</f>
        <v>0</v>
      </c>
      <c r="Q11" s="542">
        <f>DICIEMBRE!$BE11</f>
        <v>0</v>
      </c>
      <c r="R11" s="551">
        <f t="shared" ref="R11:R25" si="3">SUM(F11:Q11)</f>
        <v>440061711</v>
      </c>
      <c r="S11" s="611"/>
    </row>
    <row r="12" spans="1:19" s="610" customFormat="1" ht="24.95" customHeight="1" x14ac:dyDescent="0.2">
      <c r="B12" s="771" t="s">
        <v>440</v>
      </c>
      <c r="C12" s="537">
        <f>MARZO!$BC12*$G$4+JUNIO!$BC12*$I$4+SEPTIEMBRE!$BC12*$K$4+DICIEMBRE!$BC12*$M$4</f>
        <v>1323143662</v>
      </c>
      <c r="D12" s="953">
        <f>MARZO!$BD12*$G$4+JUNIO!$BD12*$I$4+SEPTIEMBRE!$BD12*$K$4+DICIEMBRE!$BD12*$M$4</f>
        <v>985514883</v>
      </c>
      <c r="E12" s="954"/>
      <c r="F12" s="262">
        <f>ENERO!$BE12</f>
        <v>0</v>
      </c>
      <c r="G12" s="263">
        <f>FEBRERO!$BE12</f>
        <v>0</v>
      </c>
      <c r="H12" s="263">
        <f>MARZO!$BE12</f>
        <v>1956600</v>
      </c>
      <c r="I12" s="263">
        <f>ABRIL!$BE12</f>
        <v>696797</v>
      </c>
      <c r="J12" s="263">
        <f>MAYO!$BE12</f>
        <v>37100323</v>
      </c>
      <c r="K12" s="263">
        <f>JUNIO!$BE12</f>
        <v>68173897</v>
      </c>
      <c r="L12" s="263">
        <f>JULIO!$BE12</f>
        <v>118783040</v>
      </c>
      <c r="M12" s="263">
        <f>AGOSTO!$BE12</f>
        <v>60598628</v>
      </c>
      <c r="N12" s="263">
        <f>SEPTIEMBRE!$BE12</f>
        <v>120093515</v>
      </c>
      <c r="O12" s="263">
        <f>OCTUBRE!$BE12</f>
        <v>0</v>
      </c>
      <c r="P12" s="263">
        <f>NOVIEMBRE!$BE12</f>
        <v>0</v>
      </c>
      <c r="Q12" s="542">
        <f>DICIEMBRE!$BE12</f>
        <v>0</v>
      </c>
      <c r="R12" s="551">
        <f t="shared" si="3"/>
        <v>407402800</v>
      </c>
      <c r="S12" s="611"/>
    </row>
    <row r="13" spans="1:19" s="610" customFormat="1" ht="24.95" customHeight="1" x14ac:dyDescent="0.2">
      <c r="B13" s="771" t="s">
        <v>441</v>
      </c>
      <c r="C13" s="537">
        <f>MARZO!$BC13*$G$4+JUNIO!$BC13*$I$4+SEPTIEMBRE!$BC13*$K$4+DICIEMBRE!$BC13*$M$4</f>
        <v>350726828</v>
      </c>
      <c r="D13" s="953">
        <f>MARZO!$BD13*$G$4+JUNIO!$BD13*$I$4+SEPTIEMBRE!$BD13*$K$4+DICIEMBRE!$BD13*$M$4</f>
        <v>244146079</v>
      </c>
      <c r="E13" s="954"/>
      <c r="F13" s="262">
        <f>ENERO!$BE13</f>
        <v>24815647</v>
      </c>
      <c r="G13" s="263">
        <f>FEBRERO!$BE13</f>
        <v>24815647</v>
      </c>
      <c r="H13" s="263">
        <f>MARZO!$BE13</f>
        <v>24815647</v>
      </c>
      <c r="I13" s="263">
        <f>ABRIL!$BE13</f>
        <v>24815647</v>
      </c>
      <c r="J13" s="263">
        <f>MAYO!$BE13</f>
        <v>24815647</v>
      </c>
      <c r="K13" s="263">
        <f>JUNIO!$BE13</f>
        <v>24815647</v>
      </c>
      <c r="L13" s="263">
        <f>JULIO!$BE13</f>
        <v>26966502</v>
      </c>
      <c r="M13" s="263">
        <f>AGOSTO!$BE13</f>
        <v>25429407</v>
      </c>
      <c r="N13" s="263">
        <f>SEPTIEMBRE!$BE13</f>
        <v>36035811</v>
      </c>
      <c r="O13" s="263">
        <f>OCTUBRE!$BE13</f>
        <v>0</v>
      </c>
      <c r="P13" s="263">
        <f>NOVIEMBRE!$BE13</f>
        <v>0</v>
      </c>
      <c r="Q13" s="542">
        <f>DICIEMBRE!$BE13</f>
        <v>0</v>
      </c>
      <c r="R13" s="551">
        <f t="shared" si="3"/>
        <v>237325602</v>
      </c>
      <c r="S13" s="611"/>
    </row>
    <row r="14" spans="1:19" s="610" customFormat="1" ht="24.95" customHeight="1" x14ac:dyDescent="0.2">
      <c r="B14" s="771" t="s">
        <v>442</v>
      </c>
      <c r="C14" s="537">
        <f>MARZO!$BC14*$G$4+JUNIO!$BC14*$I$4+SEPTIEMBRE!$BC14*$K$4+DICIEMBRE!$BC14*$M$4</f>
        <v>22951026</v>
      </c>
      <c r="D14" s="953">
        <f>MARZO!$BD14*$G$4+JUNIO!$BD14*$I$4+SEPTIEMBRE!$BD14*$K$4+DICIEMBRE!$BD14*$M$4</f>
        <v>22121153</v>
      </c>
      <c r="E14" s="954"/>
      <c r="F14" s="262">
        <f>ENERO!$BE14</f>
        <v>0</v>
      </c>
      <c r="G14" s="263">
        <f>FEBRERO!$BE14</f>
        <v>0</v>
      </c>
      <c r="H14" s="263">
        <f>MARZO!$BE14</f>
        <v>404481</v>
      </c>
      <c r="I14" s="263">
        <f>ABRIL!$BE14</f>
        <v>377903</v>
      </c>
      <c r="J14" s="263">
        <f>MAYO!$BE14</f>
        <v>651266</v>
      </c>
      <c r="K14" s="263">
        <f>JUNIO!$BE14</f>
        <v>2441971</v>
      </c>
      <c r="L14" s="263">
        <f>JULIO!$BE14</f>
        <v>1220950</v>
      </c>
      <c r="M14" s="263">
        <f>AGOSTO!$BE14</f>
        <v>2363224</v>
      </c>
      <c r="N14" s="263">
        <f>SEPTIEMBRE!$BE14</f>
        <v>4303316</v>
      </c>
      <c r="O14" s="263">
        <f>OCTUBRE!$BE14</f>
        <v>0</v>
      </c>
      <c r="P14" s="263">
        <f>NOVIEMBRE!$BE14</f>
        <v>0</v>
      </c>
      <c r="Q14" s="542">
        <f>DICIEMBRE!$BE14</f>
        <v>0</v>
      </c>
      <c r="R14" s="551">
        <f t="shared" si="3"/>
        <v>11763111</v>
      </c>
      <c r="S14" s="611"/>
    </row>
    <row r="15" spans="1:19" s="610" customFormat="1" ht="24.95" customHeight="1" x14ac:dyDescent="0.2">
      <c r="B15" s="771" t="s">
        <v>79</v>
      </c>
      <c r="C15" s="537">
        <f>MARZO!$BC15*$G$4+JUNIO!$BC15*$I$4+SEPTIEMBRE!$BC15*$K$4+DICIEMBRE!$BC15*$M$4</f>
        <v>0</v>
      </c>
      <c r="D15" s="953">
        <f>MARZO!$BD15*$G$4+JUNIO!$BD15*$I$4+SEPTIEMBRE!$BD15*$K$4+DICIEMBRE!$BD15*$M$4</f>
        <v>0</v>
      </c>
      <c r="E15" s="954"/>
      <c r="F15" s="262">
        <f>ENERO!$BE15</f>
        <v>0</v>
      </c>
      <c r="G15" s="263">
        <f>FEBRERO!$BE15</f>
        <v>0</v>
      </c>
      <c r="H15" s="263">
        <f>MARZO!$BE15</f>
        <v>0</v>
      </c>
      <c r="I15" s="263">
        <f>ABRIL!$BE15</f>
        <v>0</v>
      </c>
      <c r="J15" s="263">
        <f>MAYO!$BE15</f>
        <v>0</v>
      </c>
      <c r="K15" s="263">
        <f>JUNIO!$BE15</f>
        <v>0</v>
      </c>
      <c r="L15" s="263">
        <f>JULIO!$BE15</f>
        <v>0</v>
      </c>
      <c r="M15" s="263">
        <f>AGOSTO!$BE15</f>
        <v>0</v>
      </c>
      <c r="N15" s="263">
        <f>SEPTIEMBRE!$BE15</f>
        <v>0</v>
      </c>
      <c r="O15" s="263">
        <f>OCTUBRE!$BE15</f>
        <v>0</v>
      </c>
      <c r="P15" s="263">
        <f>NOVIEMBRE!$BE15</f>
        <v>0</v>
      </c>
      <c r="Q15" s="542">
        <f>DICIEMBRE!$BE15</f>
        <v>0</v>
      </c>
      <c r="R15" s="551">
        <f t="shared" si="3"/>
        <v>0</v>
      </c>
      <c r="S15" s="611"/>
    </row>
    <row r="16" spans="1:19" s="610" customFormat="1" ht="24.95" customHeight="1" x14ac:dyDescent="0.2">
      <c r="B16" s="771" t="s">
        <v>443</v>
      </c>
      <c r="C16" s="537">
        <f>MARZO!$BC16*$G$4+JUNIO!$BC16*$I$4+SEPTIEMBRE!$BC16*$K$4+DICIEMBRE!$BC16*$M$4</f>
        <v>111280673</v>
      </c>
      <c r="D16" s="953">
        <f>MARZO!$BD16*$G$4+JUNIO!$BD16*$I$4+SEPTIEMBRE!$BD16*$K$4+DICIEMBRE!$BD16*$M$4</f>
        <v>67464121</v>
      </c>
      <c r="E16" s="954"/>
      <c r="F16" s="262">
        <f>ENERO!$BE16</f>
        <v>0</v>
      </c>
      <c r="G16" s="263">
        <f>FEBRERO!$BE16</f>
        <v>0</v>
      </c>
      <c r="H16" s="263">
        <f>MARZO!$BE16</f>
        <v>0</v>
      </c>
      <c r="I16" s="263">
        <f>ABRIL!$BE16</f>
        <v>0</v>
      </c>
      <c r="J16" s="263">
        <f>MAYO!$BE16</f>
        <v>27431733</v>
      </c>
      <c r="K16" s="263">
        <f>JUNIO!$BE16</f>
        <v>7495895</v>
      </c>
      <c r="L16" s="263">
        <f>JULIO!$BE16</f>
        <v>8358676</v>
      </c>
      <c r="M16" s="263">
        <f>AGOSTO!$BE16</f>
        <v>12015983</v>
      </c>
      <c r="N16" s="263">
        <f>SEPTIEMBRE!$BE16</f>
        <v>9703105</v>
      </c>
      <c r="O16" s="263">
        <f>OCTUBRE!$BE16</f>
        <v>0</v>
      </c>
      <c r="P16" s="263">
        <f>NOVIEMBRE!$BE16</f>
        <v>0</v>
      </c>
      <c r="Q16" s="542">
        <f>DICIEMBRE!$BE16</f>
        <v>0</v>
      </c>
      <c r="R16" s="551">
        <f t="shared" si="3"/>
        <v>65005392</v>
      </c>
      <c r="S16" s="611"/>
    </row>
    <row r="17" spans="1:252" s="610" customFormat="1" ht="24.95" customHeight="1" x14ac:dyDescent="0.2">
      <c r="B17" s="771" t="s">
        <v>444</v>
      </c>
      <c r="C17" s="537">
        <f>MARZO!$BC17*$G$4+JUNIO!$BC17*$I$4+SEPTIEMBRE!$BC17*$K$4+DICIEMBRE!$BC17*$M$4</f>
        <v>331051770</v>
      </c>
      <c r="D17" s="953">
        <f>MARZO!$BD17*$G$4+JUNIO!$BD17*$I$4+SEPTIEMBRE!$BD17*$K$4+DICIEMBRE!$BD17*$M$4</f>
        <v>218788942</v>
      </c>
      <c r="E17" s="954"/>
      <c r="F17" s="262">
        <f>ENERO!$BE17</f>
        <v>11749775</v>
      </c>
      <c r="G17" s="263">
        <f>FEBRERO!$BE17</f>
        <v>10513150</v>
      </c>
      <c r="H17" s="263">
        <f>MARZO!$BE17</f>
        <v>16331785</v>
      </c>
      <c r="I17" s="263">
        <f>ABRIL!$BE17</f>
        <v>12572658</v>
      </c>
      <c r="J17" s="263">
        <f>MAYO!$BE17</f>
        <v>25775075</v>
      </c>
      <c r="K17" s="263">
        <f>JUNIO!$BE17</f>
        <v>13416239</v>
      </c>
      <c r="L17" s="263">
        <f>JULIO!$BE17</f>
        <v>31728089</v>
      </c>
      <c r="M17" s="263">
        <f>AGOSTO!$BE17</f>
        <v>16053023</v>
      </c>
      <c r="N17" s="263">
        <f>SEPTIEMBRE!$BE17</f>
        <v>34081677</v>
      </c>
      <c r="O17" s="263">
        <f>OCTUBRE!$BE17</f>
        <v>0</v>
      </c>
      <c r="P17" s="263">
        <f>NOVIEMBRE!$BE17</f>
        <v>0</v>
      </c>
      <c r="Q17" s="542">
        <f>DICIEMBRE!$BE17</f>
        <v>0</v>
      </c>
      <c r="R17" s="551">
        <f t="shared" si="3"/>
        <v>172221471</v>
      </c>
      <c r="S17" s="611"/>
    </row>
    <row r="18" spans="1:252" s="610" customFormat="1" ht="36.75" customHeight="1" x14ac:dyDescent="0.2">
      <c r="B18" s="560" t="s">
        <v>563</v>
      </c>
      <c r="C18" s="537">
        <f>+MARZO!$F95*$G$4+JUNIO!$F95*$I$4+SEPTIEMBRE!$F95*$K$4+DICIEMBRE!$F95*$M$4</f>
        <v>0</v>
      </c>
      <c r="D18" s="953">
        <f>+MARZO!I95*$G$4+JUNIO!$I95*$I$4+SEPTIEMBRE!$I95*$K$4+DICIEMBRE!$I95*$M$4</f>
        <v>0</v>
      </c>
      <c r="E18" s="954"/>
      <c r="F18" s="262">
        <f>+ENERO!$K$95</f>
        <v>0</v>
      </c>
      <c r="G18" s="263">
        <f>+FEBRERO!$K$95</f>
        <v>0</v>
      </c>
      <c r="H18" s="263">
        <f>+MARZO!$K$95</f>
        <v>0</v>
      </c>
      <c r="I18" s="263">
        <f>+ABRIL!$K$95</f>
        <v>0</v>
      </c>
      <c r="J18" s="263">
        <f>+MAYO!$K$95</f>
        <v>0</v>
      </c>
      <c r="K18" s="263">
        <f>+JUNIO!$K$95</f>
        <v>0</v>
      </c>
      <c r="L18" s="263">
        <f>+JULIO!$K$95</f>
        <v>0</v>
      </c>
      <c r="M18" s="263">
        <f>+AGOSTO!$K$95</f>
        <v>0</v>
      </c>
      <c r="N18" s="263">
        <f>+SEPTIEMBRE!$K$95</f>
        <v>0</v>
      </c>
      <c r="O18" s="263">
        <f>+OCTUBRE!$K$95</f>
        <v>0</v>
      </c>
      <c r="P18" s="263">
        <f>+NOVIEMBRE!$K$95</f>
        <v>0</v>
      </c>
      <c r="Q18" s="542">
        <f>+DICIEMBRE!$K$95</f>
        <v>0</v>
      </c>
      <c r="R18" s="551">
        <f t="shared" si="3"/>
        <v>0</v>
      </c>
      <c r="S18" s="611"/>
    </row>
    <row r="19" spans="1:252" s="610" customFormat="1" ht="32.25" customHeight="1" x14ac:dyDescent="0.2">
      <c r="B19" s="560" t="s">
        <v>564</v>
      </c>
      <c r="C19" s="537">
        <f>+MARZO!$F96*$G$4+JUNIO!$F96*$I$4+SEPTIEMBRE!$F96*$K$4+DICIEMBRE!$F96*$M$4</f>
        <v>61305130</v>
      </c>
      <c r="D19" s="953">
        <f>+MARZO!I96*$G$4+JUNIO!$I96*$I$4+SEPTIEMBRE!$I96*$K$4+DICIEMBRE!$I96*$M$4</f>
        <v>137871796</v>
      </c>
      <c r="E19" s="954"/>
      <c r="F19" s="262">
        <f>+ENERO!$K$96</f>
        <v>0</v>
      </c>
      <c r="G19" s="263">
        <f>+FEBRERO!$K$96</f>
        <v>0</v>
      </c>
      <c r="H19" s="263">
        <f>+MARZO!$K$96</f>
        <v>0</v>
      </c>
      <c r="I19" s="263">
        <f>+ABRIL!$K$96</f>
        <v>0</v>
      </c>
      <c r="J19" s="263">
        <f>+MAYO!$K$96</f>
        <v>61305130</v>
      </c>
      <c r="K19" s="263">
        <f>+JUNIO!$K$96</f>
        <v>0</v>
      </c>
      <c r="L19" s="263">
        <f>+JULIO!$K$96</f>
        <v>75000000</v>
      </c>
      <c r="M19" s="263">
        <f>+AGOSTO!$K$96</f>
        <v>0</v>
      </c>
      <c r="N19" s="263">
        <f>+SEPTIEMBRE!$K$96</f>
        <v>1566666</v>
      </c>
      <c r="O19" s="263">
        <f>+OCTUBRE!$K$96</f>
        <v>0</v>
      </c>
      <c r="P19" s="263">
        <f>+NOVIEMBRE!$K$96</f>
        <v>0</v>
      </c>
      <c r="Q19" s="542">
        <f>+DICIEMBRE!$K$96</f>
        <v>0</v>
      </c>
      <c r="R19" s="551">
        <f t="shared" si="3"/>
        <v>137871796</v>
      </c>
      <c r="S19" s="611"/>
    </row>
    <row r="20" spans="1:252" s="610" customFormat="1" ht="39.75" customHeight="1" x14ac:dyDescent="0.2">
      <c r="B20" s="560" t="s">
        <v>565</v>
      </c>
      <c r="C20" s="537">
        <f>+MARZO!$F97*$G$4+JUNIO!$F97*$I$4+SEPTIEMBRE!$F97*$K$4+DICIEMBRE!$F97*$M$4</f>
        <v>0</v>
      </c>
      <c r="D20" s="953">
        <f>+MARZO!I97*$G$4+JUNIO!$I97*$I$4+SEPTIEMBRE!$I97*$K$4+DICIEMBRE!$I97*$M$4</f>
        <v>0</v>
      </c>
      <c r="E20" s="954"/>
      <c r="F20" s="262">
        <f>+ENERO!$K$97</f>
        <v>0</v>
      </c>
      <c r="G20" s="263">
        <f>+FEBRERO!$K$97</f>
        <v>0</v>
      </c>
      <c r="H20" s="263">
        <f>+MARZO!$K$97</f>
        <v>0</v>
      </c>
      <c r="I20" s="263">
        <f>+ABRIL!$K$97</f>
        <v>0</v>
      </c>
      <c r="J20" s="263">
        <f>+MAYO!$K$97</f>
        <v>0</v>
      </c>
      <c r="K20" s="263">
        <f>+JUNIO!$K$97</f>
        <v>0</v>
      </c>
      <c r="L20" s="263">
        <f>+JULIO!$K$97</f>
        <v>0</v>
      </c>
      <c r="M20" s="263">
        <f>+AGOSTO!$K$97</f>
        <v>0</v>
      </c>
      <c r="N20" s="263" t="str">
        <f>+SEPTIEMBRE!$K$97</f>
        <v xml:space="preserve"> </v>
      </c>
      <c r="O20" s="263">
        <f>+OCTUBRE!$K$97</f>
        <v>0</v>
      </c>
      <c r="P20" s="263">
        <f>+NOVIEMBRE!$K$97</f>
        <v>0</v>
      </c>
      <c r="Q20" s="542">
        <f>+DICIEMBRE!$K$97</f>
        <v>0</v>
      </c>
      <c r="R20" s="551">
        <f t="shared" si="3"/>
        <v>0</v>
      </c>
      <c r="S20" s="611"/>
    </row>
    <row r="21" spans="1:252" s="610" customFormat="1" ht="33.75" customHeight="1" x14ac:dyDescent="0.2">
      <c r="B21" s="560" t="s">
        <v>566</v>
      </c>
      <c r="C21" s="537">
        <f>+MARZO!$F99*$G$4+JUNIO!$F99*$I$4+SEPTIEMBRE!$F99*$K$4+DICIEMBRE!$F99*$M$4</f>
        <v>0</v>
      </c>
      <c r="D21" s="953">
        <f>+MARZO!$I99*$G$4+JUNIO!$I99*$I$4+SEPTIEMBRE!$I99*$K$4+DICIEMBRE!$I99*$M$4</f>
        <v>0</v>
      </c>
      <c r="E21" s="954"/>
      <c r="F21" s="262">
        <f>+ENERO!$K$99</f>
        <v>0</v>
      </c>
      <c r="G21" s="263">
        <f>+FEBRERO!$K$99</f>
        <v>0</v>
      </c>
      <c r="H21" s="263">
        <f>+MARZO!$K$99</f>
        <v>0</v>
      </c>
      <c r="I21" s="263">
        <f>+ABRIL!$K$99</f>
        <v>0</v>
      </c>
      <c r="J21" s="263">
        <f>+MAYO!$K$99</f>
        <v>0</v>
      </c>
      <c r="K21" s="263">
        <f>+JUNIO!$K$99</f>
        <v>0</v>
      </c>
      <c r="L21" s="263">
        <f>+JULIO!$K$99</f>
        <v>0</v>
      </c>
      <c r="M21" s="263">
        <f>+AGOSTO!$K$99</f>
        <v>0</v>
      </c>
      <c r="N21" s="263">
        <f>+SEPTIEMBRE!$K$99</f>
        <v>0</v>
      </c>
      <c r="O21" s="263">
        <f>+OCTUBRE!$K$99</f>
        <v>0</v>
      </c>
      <c r="P21" s="263">
        <f>+NOVIEMBRE!$K$99</f>
        <v>0</v>
      </c>
      <c r="Q21" s="542">
        <f>+DICIEMBRE!$K$99</f>
        <v>0</v>
      </c>
      <c r="R21" s="551">
        <f t="shared" si="3"/>
        <v>0</v>
      </c>
      <c r="S21" s="611"/>
    </row>
    <row r="22" spans="1:252" s="610" customFormat="1" ht="29.25" customHeight="1" x14ac:dyDescent="0.2">
      <c r="B22" s="560" t="s">
        <v>604</v>
      </c>
      <c r="C22" s="537">
        <f>+MARZO!$F100*$G$4+JUNIO!$F100*$I$4+SEPTIEMBRE!$F100*$K$4+DICIEMBRE!$F100*$M$4</f>
        <v>0</v>
      </c>
      <c r="D22" s="953">
        <f>+MARZO!$I100*$G$4+JUNIO!$I100*$I$4+SEPTIEMBRE!$I100*$K$4+DICIEMBRE!$I100*$M$4</f>
        <v>0</v>
      </c>
      <c r="E22" s="954"/>
      <c r="F22" s="262">
        <f>+ENERO!$K$100</f>
        <v>0</v>
      </c>
      <c r="G22" s="263">
        <f>+FEBRERO!$K$100</f>
        <v>0</v>
      </c>
      <c r="H22" s="263">
        <f>+MARZO!$K$100</f>
        <v>0</v>
      </c>
      <c r="I22" s="263">
        <f>+ABRIL!$K$100</f>
        <v>0</v>
      </c>
      <c r="J22" s="263">
        <f>+MAYO!$K$100</f>
        <v>0</v>
      </c>
      <c r="K22" s="263">
        <f>+JUNIO!$K$100</f>
        <v>0</v>
      </c>
      <c r="L22" s="263">
        <f>+JULIO!$K$100</f>
        <v>0</v>
      </c>
      <c r="M22" s="263">
        <f>+AGOSTO!$K$100</f>
        <v>0</v>
      </c>
      <c r="N22" s="263">
        <f>+SEPTIEMBRE!$K$100</f>
        <v>0</v>
      </c>
      <c r="O22" s="263">
        <f>+OCTUBRE!$K$100</f>
        <v>0</v>
      </c>
      <c r="P22" s="263">
        <f>+NOVIEMBRE!$K$100</f>
        <v>0</v>
      </c>
      <c r="Q22" s="542">
        <f>+DICIEMBRE!$K$100</f>
        <v>0</v>
      </c>
      <c r="R22" s="551">
        <f t="shared" si="3"/>
        <v>0</v>
      </c>
      <c r="S22" s="611"/>
    </row>
    <row r="23" spans="1:252" s="610" customFormat="1" ht="24.95" customHeight="1" x14ac:dyDescent="0.2">
      <c r="B23" s="560" t="s">
        <v>95</v>
      </c>
      <c r="C23" s="537">
        <f>MARZO!$BC19*$G$4+JUNIO!$BC19*$I$4+SEPTIEMBRE!$BC19*$K$4+DICIEMBRE!$BC19*$M$4</f>
        <v>107181679</v>
      </c>
      <c r="D23" s="953">
        <f>MARZO!$BD19*$G$4+JUNIO!$BD19*$I$4+SEPTIEMBRE!$BD19*$K$4+DICIEMBRE!$BD19*$M$4</f>
        <v>77018886</v>
      </c>
      <c r="E23" s="954"/>
      <c r="F23" s="262">
        <f>ENERO!$BE19</f>
        <v>10479124</v>
      </c>
      <c r="G23" s="263">
        <f>FEBRERO!$BE19</f>
        <v>8458108</v>
      </c>
      <c r="H23" s="263">
        <f>MARZO!$BE19</f>
        <v>9078900</v>
      </c>
      <c r="I23" s="263">
        <f>ABRIL!$BE19</f>
        <v>8183504</v>
      </c>
      <c r="J23" s="263">
        <f>MAYO!$BE19</f>
        <v>7854950</v>
      </c>
      <c r="K23" s="263">
        <f>JUNIO!$BE19</f>
        <v>7135000</v>
      </c>
      <c r="L23" s="263">
        <f>JULIO!$BE19</f>
        <v>10683950</v>
      </c>
      <c r="M23" s="263">
        <f>AGOSTO!$BE19</f>
        <v>7706600</v>
      </c>
      <c r="N23" s="263">
        <f>SEPTIEMBRE!$BE19</f>
        <v>7438750</v>
      </c>
      <c r="O23" s="263">
        <f>OCTUBRE!$BE19</f>
        <v>0</v>
      </c>
      <c r="P23" s="263">
        <f>NOVIEMBRE!$BE19</f>
        <v>0</v>
      </c>
      <c r="Q23" s="542">
        <f>DICIEMBRE!$BE19</f>
        <v>0</v>
      </c>
      <c r="R23" s="551">
        <f t="shared" si="3"/>
        <v>77018886</v>
      </c>
      <c r="S23" s="611"/>
    </row>
    <row r="24" spans="1:252" s="610" customFormat="1" ht="24.95" customHeight="1" x14ac:dyDescent="0.2">
      <c r="B24" s="261" t="s">
        <v>446</v>
      </c>
      <c r="C24" s="556">
        <f>MARZO!$BC20*$G$4+JUNIO!$BC20*$I$4+SEPTIEMBRE!$BC20*$K$4+DICIEMBRE!$BC20*$M$4</f>
        <v>27770947</v>
      </c>
      <c r="D24" s="955">
        <f>MARZO!$BD20*$G$4+JUNIO!$BD20*$I$4+SEPTIEMBRE!$BD20*$K$4+DICIEMBRE!$BD20*$M$4</f>
        <v>41646636</v>
      </c>
      <c r="E24" s="956"/>
      <c r="F24" s="557">
        <f>ENERO!$BE20</f>
        <v>413</v>
      </c>
      <c r="G24" s="558">
        <f>FEBRERO!$BE20</f>
        <v>27973</v>
      </c>
      <c r="H24" s="558">
        <f>MARZO!$BE20</f>
        <v>7398</v>
      </c>
      <c r="I24" s="558">
        <f>ABRIL!$BE20</f>
        <v>7154945</v>
      </c>
      <c r="J24" s="558">
        <f>MAYO!$BE20</f>
        <v>13435833</v>
      </c>
      <c r="K24" s="558">
        <f>JUNIO!$BE20</f>
        <v>0</v>
      </c>
      <c r="L24" s="558">
        <f>JULIO!$BE20</f>
        <v>20044862</v>
      </c>
      <c r="M24" s="558">
        <f>AGOSTO!$BE20</f>
        <v>76</v>
      </c>
      <c r="N24" s="558">
        <f>SEPTIEMBRE!$BE20</f>
        <v>972579</v>
      </c>
      <c r="O24" s="558">
        <f>OCTUBRE!$BE20</f>
        <v>0</v>
      </c>
      <c r="P24" s="558">
        <f>NOVIEMBRE!$BE20</f>
        <v>0</v>
      </c>
      <c r="Q24" s="559">
        <f>DICIEMBRE!$BE20</f>
        <v>0</v>
      </c>
      <c r="R24" s="550">
        <f t="shared" si="3"/>
        <v>41644079</v>
      </c>
      <c r="S24" s="611"/>
    </row>
    <row r="25" spans="1:252" s="610" customFormat="1" ht="42.75" customHeight="1" thickBot="1" x14ac:dyDescent="0.25">
      <c r="B25" s="264" t="s">
        <v>447</v>
      </c>
      <c r="C25" s="556">
        <f>MARZO!$BC21*$G$4+JUNIO!$BC21*$I$4+SEPTIEMBRE!$BC21*$K$4+DICIEMBRE!$BC21*$M$4</f>
        <v>577451227</v>
      </c>
      <c r="D25" s="969">
        <f>MARZO!$BD21*$G$4+JUNIO!$BD21*$I$4+SEPTIEMBRE!$BD21*$K$4+DICIEMBRE!$BD21*$M$4</f>
        <v>505084119</v>
      </c>
      <c r="E25" s="970"/>
      <c r="F25" s="538">
        <f>ENERO!$BE21</f>
        <v>98263834</v>
      </c>
      <c r="G25" s="539">
        <f>FEBRERO!$BE21</f>
        <v>87928530</v>
      </c>
      <c r="H25" s="539">
        <f>MARZO!$BE21</f>
        <v>91160684</v>
      </c>
      <c r="I25" s="539">
        <f>ABRIL!$BE21</f>
        <v>98239789</v>
      </c>
      <c r="J25" s="539">
        <f>MAYO!$BE21</f>
        <v>91318961</v>
      </c>
      <c r="K25" s="539">
        <f>JUNIO!$BE21</f>
        <v>17965571</v>
      </c>
      <c r="L25" s="539">
        <f>JULIO!$BE21</f>
        <v>178589</v>
      </c>
      <c r="M25" s="539">
        <f>AGOSTO!$BE21</f>
        <v>5541272</v>
      </c>
      <c r="N25" s="539">
        <f>SEPTIEMBRE!$BE21</f>
        <v>14486889</v>
      </c>
      <c r="O25" s="539">
        <f>OCTUBRE!$BE21</f>
        <v>0</v>
      </c>
      <c r="P25" s="539">
        <f>NOVIEMBRE!$BE21</f>
        <v>0</v>
      </c>
      <c r="Q25" s="543">
        <f>DICIEMBRE!$BE21</f>
        <v>0</v>
      </c>
      <c r="R25" s="552">
        <f t="shared" si="3"/>
        <v>505084119</v>
      </c>
      <c r="S25" s="611"/>
    </row>
    <row r="26" spans="1:252" s="610" customFormat="1" ht="24.95" customHeight="1" thickBot="1" x14ac:dyDescent="0.25">
      <c r="B26" s="561" t="s">
        <v>573</v>
      </c>
      <c r="C26" s="562">
        <f>C8+C9+C24+C25</f>
        <v>3877191906</v>
      </c>
      <c r="D26" s="951">
        <f t="shared" ref="D26:R26" si="4">D8+D9+D24+D25</f>
        <v>3025302308</v>
      </c>
      <c r="E26" s="952">
        <f t="shared" si="4"/>
        <v>0</v>
      </c>
      <c r="F26" s="563">
        <f t="shared" si="4"/>
        <v>274041104</v>
      </c>
      <c r="G26" s="564">
        <f t="shared" si="4"/>
        <v>282496943</v>
      </c>
      <c r="H26" s="564">
        <f t="shared" si="4"/>
        <v>195732584</v>
      </c>
      <c r="I26" s="564">
        <f t="shared" si="4"/>
        <v>198504938</v>
      </c>
      <c r="J26" s="564">
        <f t="shared" si="4"/>
        <v>321056101</v>
      </c>
      <c r="K26" s="564">
        <f t="shared" si="4"/>
        <v>188904773</v>
      </c>
      <c r="L26" s="564">
        <f t="shared" si="4"/>
        <v>344371172</v>
      </c>
      <c r="M26" s="564">
        <f t="shared" si="4"/>
        <v>271357847</v>
      </c>
      <c r="N26" s="564" t="e">
        <f t="shared" si="4"/>
        <v>#VALUE!</v>
      </c>
      <c r="O26" s="564" t="e">
        <f t="shared" si="4"/>
        <v>#VALUE!</v>
      </c>
      <c r="P26" s="564" t="e">
        <f t="shared" si="4"/>
        <v>#VALUE!</v>
      </c>
      <c r="Q26" s="565" t="e">
        <f t="shared" si="4"/>
        <v>#VALUE!</v>
      </c>
      <c r="R26" s="566">
        <f t="shared" si="4"/>
        <v>2185741028</v>
      </c>
      <c r="S26" s="611"/>
    </row>
    <row r="27" spans="1:252" s="610" customFormat="1" ht="24.95" customHeight="1" thickBot="1" x14ac:dyDescent="0.25">
      <c r="B27" s="265"/>
      <c r="C27" s="265"/>
      <c r="D27" s="266"/>
      <c r="E27" s="266"/>
      <c r="F27" s="266"/>
      <c r="G27" s="266"/>
      <c r="H27" s="266"/>
      <c r="I27" s="266"/>
      <c r="J27" s="266"/>
      <c r="K27" s="266"/>
      <c r="L27" s="266"/>
      <c r="M27" s="266"/>
      <c r="N27" s="266"/>
      <c r="O27" s="266"/>
      <c r="P27" s="266"/>
      <c r="Q27" s="266"/>
      <c r="R27" s="541"/>
      <c r="S27" s="611"/>
      <c r="T27" s="612"/>
      <c r="U27" s="612"/>
      <c r="V27" s="612"/>
      <c r="W27" s="612"/>
      <c r="X27" s="612"/>
      <c r="Y27" s="612"/>
      <c r="Z27" s="612"/>
      <c r="AA27" s="612"/>
      <c r="AB27" s="612"/>
      <c r="AC27" s="612"/>
      <c r="AD27" s="612"/>
      <c r="AE27" s="612"/>
      <c r="AF27" s="612"/>
      <c r="AG27" s="612"/>
      <c r="AH27" s="612"/>
      <c r="AI27" s="612"/>
      <c r="AJ27" s="612"/>
      <c r="AK27" s="612"/>
      <c r="AL27" s="612"/>
      <c r="AM27" s="612"/>
      <c r="AN27" s="612"/>
      <c r="AO27" s="612"/>
      <c r="AP27" s="612"/>
      <c r="AQ27" s="612"/>
      <c r="AR27" s="612"/>
      <c r="AS27" s="612"/>
      <c r="AT27" s="612"/>
      <c r="AU27" s="612"/>
      <c r="AV27" s="612"/>
      <c r="AW27" s="612"/>
      <c r="AX27" s="612"/>
      <c r="AY27" s="612"/>
      <c r="AZ27" s="612"/>
      <c r="BA27" s="612"/>
      <c r="BB27" s="612"/>
      <c r="BC27" s="612"/>
      <c r="BD27" s="612"/>
      <c r="BE27" s="612"/>
      <c r="BF27" s="612"/>
      <c r="BG27" s="612"/>
      <c r="BH27" s="612"/>
      <c r="BI27" s="612"/>
      <c r="BJ27" s="612"/>
      <c r="BK27" s="612"/>
      <c r="BL27" s="612"/>
      <c r="BM27" s="612"/>
      <c r="BN27" s="612"/>
      <c r="BO27" s="612"/>
      <c r="BP27" s="612"/>
      <c r="BQ27" s="612"/>
      <c r="BR27" s="612"/>
      <c r="BS27" s="612"/>
      <c r="BT27" s="612"/>
      <c r="BU27" s="612"/>
      <c r="BV27" s="612"/>
      <c r="BW27" s="612"/>
      <c r="BX27" s="612"/>
      <c r="BY27" s="612"/>
      <c r="BZ27" s="612"/>
      <c r="CA27" s="612"/>
      <c r="CB27" s="612"/>
      <c r="CC27" s="612"/>
      <c r="CD27" s="612"/>
      <c r="CE27" s="612"/>
      <c r="CF27" s="612"/>
      <c r="CG27" s="612"/>
      <c r="CH27" s="612"/>
      <c r="CI27" s="612"/>
      <c r="CJ27" s="612"/>
      <c r="CK27" s="612"/>
      <c r="CL27" s="612"/>
      <c r="CM27" s="612"/>
      <c r="CN27" s="612"/>
      <c r="CO27" s="612"/>
      <c r="CP27" s="612"/>
      <c r="CQ27" s="612"/>
      <c r="CR27" s="612"/>
      <c r="CS27" s="612"/>
      <c r="CT27" s="612"/>
      <c r="CU27" s="612"/>
      <c r="CV27" s="612"/>
      <c r="CW27" s="612"/>
      <c r="CX27" s="612"/>
      <c r="CY27" s="612"/>
      <c r="CZ27" s="612"/>
      <c r="DA27" s="612"/>
      <c r="DB27" s="612"/>
      <c r="DC27" s="612"/>
      <c r="DD27" s="612"/>
      <c r="DE27" s="612"/>
      <c r="DF27" s="612"/>
      <c r="DG27" s="612"/>
      <c r="DH27" s="612"/>
      <c r="DI27" s="612"/>
      <c r="DJ27" s="612"/>
      <c r="DK27" s="612"/>
      <c r="DL27" s="612"/>
      <c r="DM27" s="612"/>
      <c r="DN27" s="612"/>
      <c r="DO27" s="612"/>
      <c r="DP27" s="612"/>
      <c r="DQ27" s="612"/>
      <c r="DR27" s="612"/>
      <c r="DS27" s="612"/>
      <c r="DT27" s="612"/>
      <c r="DU27" s="612"/>
      <c r="DV27" s="612"/>
      <c r="DW27" s="612"/>
      <c r="DX27" s="612"/>
      <c r="DY27" s="612"/>
      <c r="DZ27" s="612"/>
      <c r="EA27" s="612"/>
      <c r="EB27" s="612"/>
      <c r="EC27" s="612"/>
      <c r="ED27" s="612"/>
      <c r="EE27" s="612"/>
      <c r="EF27" s="612"/>
      <c r="EG27" s="612"/>
      <c r="EH27" s="612"/>
      <c r="EI27" s="612"/>
      <c r="EJ27" s="612"/>
      <c r="EK27" s="612"/>
      <c r="EL27" s="612"/>
      <c r="EM27" s="612"/>
      <c r="EN27" s="612"/>
      <c r="EO27" s="612"/>
      <c r="EP27" s="612"/>
      <c r="EQ27" s="612"/>
      <c r="ER27" s="612"/>
      <c r="ES27" s="612"/>
      <c r="ET27" s="612"/>
      <c r="EU27" s="612"/>
      <c r="EV27" s="612"/>
      <c r="EW27" s="612"/>
      <c r="EX27" s="612"/>
      <c r="EY27" s="612"/>
      <c r="EZ27" s="612"/>
      <c r="FA27" s="612"/>
      <c r="FB27" s="612"/>
      <c r="FC27" s="612"/>
      <c r="FD27" s="612"/>
      <c r="FE27" s="612"/>
      <c r="FF27" s="612"/>
      <c r="FG27" s="612"/>
      <c r="FH27" s="612"/>
      <c r="FI27" s="612"/>
      <c r="FJ27" s="612"/>
      <c r="FK27" s="612"/>
      <c r="FL27" s="612"/>
      <c r="FM27" s="612"/>
      <c r="FN27" s="612"/>
      <c r="FO27" s="612"/>
      <c r="FP27" s="612"/>
      <c r="FQ27" s="612"/>
      <c r="FR27" s="612"/>
      <c r="FS27" s="612"/>
      <c r="FT27" s="612"/>
      <c r="FU27" s="612"/>
      <c r="FV27" s="612"/>
      <c r="FW27" s="612"/>
      <c r="FX27" s="612"/>
      <c r="FY27" s="612"/>
      <c r="FZ27" s="612"/>
      <c r="GA27" s="612"/>
      <c r="GB27" s="612"/>
      <c r="GC27" s="612"/>
      <c r="GD27" s="612"/>
      <c r="GE27" s="612"/>
      <c r="GF27" s="612"/>
      <c r="GG27" s="612"/>
      <c r="GH27" s="612"/>
      <c r="GI27" s="612"/>
      <c r="GJ27" s="612"/>
      <c r="GK27" s="612"/>
      <c r="GL27" s="612"/>
      <c r="GM27" s="612"/>
      <c r="GN27" s="612"/>
      <c r="GO27" s="612"/>
      <c r="GP27" s="612"/>
      <c r="GQ27" s="612"/>
      <c r="GR27" s="612"/>
      <c r="GS27" s="612"/>
      <c r="GT27" s="612"/>
      <c r="GU27" s="612"/>
      <c r="GV27" s="612"/>
      <c r="GW27" s="612"/>
      <c r="GX27" s="612"/>
      <c r="GY27" s="612"/>
      <c r="GZ27" s="612"/>
      <c r="HA27" s="612"/>
      <c r="HB27" s="612"/>
      <c r="HC27" s="612"/>
      <c r="HD27" s="612"/>
      <c r="HE27" s="612"/>
      <c r="HF27" s="612"/>
      <c r="HG27" s="612"/>
      <c r="HH27" s="612"/>
      <c r="HI27" s="612"/>
      <c r="HJ27" s="612"/>
      <c r="HK27" s="612"/>
      <c r="HL27" s="612"/>
      <c r="HM27" s="612"/>
      <c r="HN27" s="612"/>
      <c r="HO27" s="612"/>
      <c r="HP27" s="612"/>
      <c r="HQ27" s="612"/>
      <c r="HR27" s="612"/>
      <c r="HS27" s="612"/>
      <c r="HT27" s="612"/>
      <c r="HU27" s="612"/>
      <c r="HV27" s="612"/>
      <c r="HW27" s="612"/>
      <c r="HX27" s="612"/>
      <c r="HY27" s="612"/>
      <c r="HZ27" s="612"/>
      <c r="IA27" s="612"/>
      <c r="IB27" s="612"/>
      <c r="IC27" s="612"/>
      <c r="ID27" s="612"/>
      <c r="IE27" s="612"/>
      <c r="IF27" s="612"/>
      <c r="IG27" s="612"/>
      <c r="IH27" s="612"/>
      <c r="II27" s="612"/>
      <c r="IJ27" s="612"/>
      <c r="IK27" s="612"/>
      <c r="IL27" s="612"/>
      <c r="IM27" s="612"/>
      <c r="IN27" s="612"/>
      <c r="IO27" s="612"/>
      <c r="IP27" s="612"/>
      <c r="IQ27" s="612"/>
      <c r="IR27" s="612"/>
    </row>
    <row r="28" spans="1:252" s="610" customFormat="1" ht="24.95" customHeight="1" thickBot="1" x14ac:dyDescent="0.25">
      <c r="A28" s="613"/>
      <c r="B28" s="957" t="s">
        <v>34</v>
      </c>
      <c r="C28" s="962" t="s">
        <v>562</v>
      </c>
      <c r="D28" s="959" t="s">
        <v>533</v>
      </c>
      <c r="E28" s="959" t="s">
        <v>534</v>
      </c>
      <c r="F28" s="586" t="s">
        <v>387</v>
      </c>
      <c r="G28" s="255"/>
      <c r="H28" s="255"/>
      <c r="I28" s="255"/>
      <c r="J28" s="255"/>
      <c r="K28" s="255"/>
      <c r="L28" s="255"/>
      <c r="M28" s="255"/>
      <c r="N28" s="255"/>
      <c r="O28" s="255"/>
      <c r="P28" s="255"/>
      <c r="Q28" s="255"/>
      <c r="R28" s="959" t="s">
        <v>388</v>
      </c>
      <c r="S28" s="611"/>
    </row>
    <row r="29" spans="1:252" s="610" customFormat="1" ht="24.95" customHeight="1" thickBot="1" x14ac:dyDescent="0.25">
      <c r="A29" s="613"/>
      <c r="B29" s="958"/>
      <c r="C29" s="968"/>
      <c r="D29" s="960"/>
      <c r="E29" s="961"/>
      <c r="F29" s="588" t="str">
        <f t="shared" ref="F29:Q29" si="5">+F7</f>
        <v>ENERO</v>
      </c>
      <c r="G29" s="589" t="str">
        <f t="shared" si="5"/>
        <v>FEBRERO</v>
      </c>
      <c r="H29" s="589" t="str">
        <f t="shared" si="5"/>
        <v>MARZO</v>
      </c>
      <c r="I29" s="589" t="str">
        <f t="shared" si="5"/>
        <v>ABRIL</v>
      </c>
      <c r="J29" s="589" t="str">
        <f t="shared" si="5"/>
        <v>MAYO</v>
      </c>
      <c r="K29" s="589" t="str">
        <f t="shared" si="5"/>
        <v>JUNIO</v>
      </c>
      <c r="L29" s="589" t="str">
        <f t="shared" si="5"/>
        <v>JULIO</v>
      </c>
      <c r="M29" s="589" t="str">
        <f t="shared" si="5"/>
        <v>AGOSTO</v>
      </c>
      <c r="N29" s="589" t="str">
        <f t="shared" si="5"/>
        <v>SEPTIEMBRE</v>
      </c>
      <c r="O29" s="589" t="str">
        <f t="shared" si="5"/>
        <v>OCTUBRE</v>
      </c>
      <c r="P29" s="589" t="str">
        <f t="shared" si="5"/>
        <v>NOVIEMBRE</v>
      </c>
      <c r="Q29" s="590" t="str">
        <f t="shared" si="5"/>
        <v>DICIEMBRE</v>
      </c>
      <c r="R29" s="960"/>
      <c r="S29" s="611"/>
    </row>
    <row r="30" spans="1:252" s="610" customFormat="1" ht="24.95" customHeight="1" x14ac:dyDescent="0.2">
      <c r="A30" s="613"/>
      <c r="B30" s="572" t="s">
        <v>56</v>
      </c>
      <c r="C30" s="546">
        <f>+C31+C39+C46</f>
        <v>2821019353</v>
      </c>
      <c r="D30" s="546">
        <f t="shared" ref="D30:R30" si="6">+D31+D39+D46</f>
        <v>1999393294</v>
      </c>
      <c r="E30" s="547">
        <f t="shared" si="6"/>
        <v>1870783339</v>
      </c>
      <c r="F30" s="544">
        <f t="shared" si="6"/>
        <v>113238075</v>
      </c>
      <c r="G30" s="545">
        <f t="shared" si="6"/>
        <v>137638126</v>
      </c>
      <c r="H30" s="545">
        <f t="shared" si="6"/>
        <v>162490610</v>
      </c>
      <c r="I30" s="545">
        <f t="shared" si="6"/>
        <v>187822717</v>
      </c>
      <c r="J30" s="545">
        <f t="shared" si="6"/>
        <v>231807717</v>
      </c>
      <c r="K30" s="545">
        <f t="shared" si="6"/>
        <v>172273254</v>
      </c>
      <c r="L30" s="545">
        <f t="shared" si="6"/>
        <v>208903849</v>
      </c>
      <c r="M30" s="545">
        <f t="shared" si="6"/>
        <v>163815785</v>
      </c>
      <c r="N30" s="545">
        <f t="shared" si="6"/>
        <v>222881074</v>
      </c>
      <c r="O30" s="545">
        <f t="shared" si="6"/>
        <v>0</v>
      </c>
      <c r="P30" s="545">
        <f t="shared" si="6"/>
        <v>0</v>
      </c>
      <c r="Q30" s="592">
        <f t="shared" si="6"/>
        <v>0</v>
      </c>
      <c r="R30" s="548">
        <f t="shared" si="6"/>
        <v>1600871207</v>
      </c>
      <c r="S30" s="611"/>
    </row>
    <row r="31" spans="1:252" s="610" customFormat="1" ht="24.95" customHeight="1" x14ac:dyDescent="0.2">
      <c r="A31" s="613"/>
      <c r="B31" s="573" t="s">
        <v>568</v>
      </c>
      <c r="C31" s="548">
        <f>+C32+C38</f>
        <v>2098181582</v>
      </c>
      <c r="D31" s="548">
        <f t="shared" ref="D31:R31" si="7">+D32+D38</f>
        <v>1515696393</v>
      </c>
      <c r="E31" s="548">
        <f t="shared" si="7"/>
        <v>1419770783</v>
      </c>
      <c r="F31" s="593">
        <f t="shared" si="7"/>
        <v>103629447</v>
      </c>
      <c r="G31" s="578">
        <f t="shared" si="7"/>
        <v>119360741</v>
      </c>
      <c r="H31" s="578">
        <f t="shared" si="7"/>
        <v>123312581</v>
      </c>
      <c r="I31" s="578">
        <f t="shared" si="7"/>
        <v>155685465</v>
      </c>
      <c r="J31" s="578">
        <f t="shared" si="7"/>
        <v>153408263</v>
      </c>
      <c r="K31" s="578">
        <f t="shared" si="7"/>
        <v>138670264</v>
      </c>
      <c r="L31" s="578">
        <f t="shared" si="7"/>
        <v>165658923</v>
      </c>
      <c r="M31" s="578">
        <f t="shared" si="7"/>
        <v>142746209</v>
      </c>
      <c r="N31" s="578">
        <f t="shared" si="7"/>
        <v>166789531</v>
      </c>
      <c r="O31" s="578">
        <f t="shared" si="7"/>
        <v>0</v>
      </c>
      <c r="P31" s="578">
        <f t="shared" si="7"/>
        <v>0</v>
      </c>
      <c r="Q31" s="594">
        <f t="shared" si="7"/>
        <v>0</v>
      </c>
      <c r="R31" s="548">
        <f t="shared" si="7"/>
        <v>1269261424</v>
      </c>
      <c r="S31" s="611"/>
    </row>
    <row r="32" spans="1:252" s="610" customFormat="1" ht="24.95" customHeight="1" x14ac:dyDescent="0.2">
      <c r="A32" s="613"/>
      <c r="B32" s="772" t="s">
        <v>448</v>
      </c>
      <c r="C32" s="579">
        <f>+C33+C37</f>
        <v>1707852065</v>
      </c>
      <c r="D32" s="579">
        <f t="shared" ref="D32:R32" si="8">+D33+D37</f>
        <v>1158447893</v>
      </c>
      <c r="E32" s="579">
        <f t="shared" si="8"/>
        <v>1158447893</v>
      </c>
      <c r="F32" s="570">
        <f t="shared" si="8"/>
        <v>102969441</v>
      </c>
      <c r="G32" s="571">
        <f t="shared" si="8"/>
        <v>104514747</v>
      </c>
      <c r="H32" s="571">
        <f t="shared" si="8"/>
        <v>104524581</v>
      </c>
      <c r="I32" s="571">
        <f t="shared" si="8"/>
        <v>134177465</v>
      </c>
      <c r="J32" s="571">
        <f t="shared" si="8"/>
        <v>116284963</v>
      </c>
      <c r="K32" s="571">
        <f t="shared" si="8"/>
        <v>116801264</v>
      </c>
      <c r="L32" s="571">
        <f t="shared" si="8"/>
        <v>120206725</v>
      </c>
      <c r="M32" s="571">
        <f t="shared" si="8"/>
        <v>121619011</v>
      </c>
      <c r="N32" s="571">
        <f t="shared" si="8"/>
        <v>127128791</v>
      </c>
      <c r="O32" s="571">
        <f t="shared" si="8"/>
        <v>0</v>
      </c>
      <c r="P32" s="571">
        <f t="shared" si="8"/>
        <v>0</v>
      </c>
      <c r="Q32" s="595">
        <f t="shared" si="8"/>
        <v>0</v>
      </c>
      <c r="R32" s="579">
        <f t="shared" si="8"/>
        <v>1048226988</v>
      </c>
      <c r="S32" s="611"/>
    </row>
    <row r="33" spans="1:19" s="610" customFormat="1" ht="24.95" customHeight="1" x14ac:dyDescent="0.2">
      <c r="A33" s="613"/>
      <c r="B33" s="772" t="s">
        <v>567</v>
      </c>
      <c r="C33" s="579">
        <f>SUM(C34:C36)</f>
        <v>1254304402</v>
      </c>
      <c r="D33" s="579">
        <f t="shared" ref="D33:R33" si="9">SUM(D34:D36)</f>
        <v>857958328</v>
      </c>
      <c r="E33" s="579">
        <f t="shared" si="9"/>
        <v>857958328</v>
      </c>
      <c r="F33" s="570">
        <f t="shared" si="9"/>
        <v>83037860</v>
      </c>
      <c r="G33" s="571">
        <f t="shared" si="9"/>
        <v>76235562</v>
      </c>
      <c r="H33" s="571">
        <f t="shared" si="9"/>
        <v>78205333</v>
      </c>
      <c r="I33" s="571">
        <f t="shared" si="9"/>
        <v>105919146</v>
      </c>
      <c r="J33" s="571">
        <f t="shared" si="9"/>
        <v>92247154</v>
      </c>
      <c r="K33" s="571">
        <f t="shared" si="9"/>
        <v>89094455</v>
      </c>
      <c r="L33" s="571">
        <f t="shared" si="9"/>
        <v>92190745</v>
      </c>
      <c r="M33" s="571">
        <f t="shared" si="9"/>
        <v>93463696</v>
      </c>
      <c r="N33" s="571">
        <f t="shared" si="9"/>
        <v>97854052</v>
      </c>
      <c r="O33" s="571">
        <f t="shared" si="9"/>
        <v>0</v>
      </c>
      <c r="P33" s="571">
        <f t="shared" si="9"/>
        <v>0</v>
      </c>
      <c r="Q33" s="595">
        <f t="shared" si="9"/>
        <v>0</v>
      </c>
      <c r="R33" s="579">
        <f t="shared" si="9"/>
        <v>808248003</v>
      </c>
      <c r="S33" s="611"/>
    </row>
    <row r="34" spans="1:19" s="610" customFormat="1" ht="24.95" customHeight="1" x14ac:dyDescent="0.2">
      <c r="A34" s="613"/>
      <c r="B34" s="773" t="s">
        <v>450</v>
      </c>
      <c r="C34" s="580">
        <f>MARZO!$BN10*$G$4+JUNIO!$BN10*$I$4+SEPTIEMBRE!$BN10*$K$4+DICIEMBRE!$BN10*$M$4</f>
        <v>943171180</v>
      </c>
      <c r="D34" s="580">
        <f>MARZO!$BO10*$G$4+JUNIO!$BO10*$I$4+SEPTIEMBRE!$BO10*$K$4+DICIEMBRE!$BO10*$M$4</f>
        <v>701547252</v>
      </c>
      <c r="E34" s="580">
        <f>MARZO!$BP10*$G$4+JUNIO!$BP10*$I$4+SEPTIEMBRE!$BP10*$K$4+DICIEMBRE!$BP10*$M$4</f>
        <v>701547252</v>
      </c>
      <c r="F34" s="267">
        <f>ENERO!$BQ10</f>
        <v>70707778</v>
      </c>
      <c r="G34" s="268">
        <f>FEBRERO!$BQ10</f>
        <v>67109219</v>
      </c>
      <c r="H34" s="268">
        <f>MARZO!$BQ10</f>
        <v>65173904</v>
      </c>
      <c r="I34" s="268">
        <f>ABRIL!$BQ10</f>
        <v>89311009</v>
      </c>
      <c r="J34" s="268">
        <f>MAYO!$BQ10</f>
        <v>77590474</v>
      </c>
      <c r="K34" s="268">
        <f>JUNIO!$BQ10</f>
        <v>70966086</v>
      </c>
      <c r="L34" s="268">
        <f>JULIO!$BQ10</f>
        <v>75265871</v>
      </c>
      <c r="M34" s="268">
        <f>AGOSTO!$BQ10</f>
        <v>76382921</v>
      </c>
      <c r="N34" s="268">
        <f>SEPTIEMBRE!$BQ10</f>
        <v>79036575</v>
      </c>
      <c r="O34" s="268">
        <f>OCTUBRE!$BQ10</f>
        <v>0</v>
      </c>
      <c r="P34" s="268">
        <f>NOVIEMBRE!$BQ10</f>
        <v>0</v>
      </c>
      <c r="Q34" s="596">
        <f>DICIEMBRE!$BQ10</f>
        <v>0</v>
      </c>
      <c r="R34" s="567">
        <f t="shared" ref="R34:R55" si="10">SUM(F34:Q34)</f>
        <v>671543837</v>
      </c>
      <c r="S34" s="611"/>
    </row>
    <row r="35" spans="1:19" s="610" customFormat="1" ht="24.95" customHeight="1" x14ac:dyDescent="0.2">
      <c r="A35" s="613"/>
      <c r="B35" s="773" t="s">
        <v>451</v>
      </c>
      <c r="C35" s="580">
        <f>MARZO!$BN11*$G$4+JUNIO!$BN11*$I$4+SEPTIEMBRE!$BN11*$K$4+DICIEMBRE!$BN11*$M$4</f>
        <v>138639980</v>
      </c>
      <c r="D35" s="580">
        <f>MARZO!$BO11*$G$4+JUNIO!$BO11*$I$4+SEPTIEMBRE!$BO11*$K$4+DICIEMBRE!$BO11*$M$4</f>
        <v>119045861</v>
      </c>
      <c r="E35" s="580">
        <f>MARZO!$BP11*$G$4+JUNIO!$BP11*$I$4+SEPTIEMBRE!$BP11*$K$4+DICIEMBRE!$BP11*$M$4</f>
        <v>119045861</v>
      </c>
      <c r="F35" s="267">
        <f>ENERO!$BQ11</f>
        <v>12193561</v>
      </c>
      <c r="G35" s="268">
        <f>FEBRERO!$BQ11</f>
        <v>9012293</v>
      </c>
      <c r="H35" s="268">
        <f>MARZO!$BQ11</f>
        <v>10830681</v>
      </c>
      <c r="I35" s="268">
        <f>ABRIL!$BQ11</f>
        <v>15216510</v>
      </c>
      <c r="J35" s="268">
        <f>MAYO!$BQ11</f>
        <v>13831851</v>
      </c>
      <c r="K35" s="268">
        <f>JUNIO!$BQ11</f>
        <v>12586355</v>
      </c>
      <c r="L35" s="268">
        <f>JULIO!$BQ11</f>
        <v>12347470</v>
      </c>
      <c r="M35" s="268">
        <f>AGOSTO!$BQ11</f>
        <v>14991907</v>
      </c>
      <c r="N35" s="268">
        <f>SEPTIEMBRE!$BQ11</f>
        <v>12499107</v>
      </c>
      <c r="O35" s="268">
        <f>OCTUBRE!$BQ11</f>
        <v>0</v>
      </c>
      <c r="P35" s="268">
        <f>NOVIEMBRE!$BQ11</f>
        <v>0</v>
      </c>
      <c r="Q35" s="596">
        <f>DICIEMBRE!$BQ11</f>
        <v>0</v>
      </c>
      <c r="R35" s="567">
        <f t="shared" si="10"/>
        <v>113509735</v>
      </c>
      <c r="S35" s="611"/>
    </row>
    <row r="36" spans="1:19" s="610" customFormat="1" ht="24.95" customHeight="1" x14ac:dyDescent="0.2">
      <c r="A36" s="613"/>
      <c r="B36" s="773" t="s">
        <v>452</v>
      </c>
      <c r="C36" s="580">
        <f>MARZO!$BN12*$G$4+JUNIO!$BN12*$I$4+SEPTIEMBRE!$BN12*$K$4+DICIEMBRE!$BN12*$M$4</f>
        <v>172493242</v>
      </c>
      <c r="D36" s="580">
        <f>MARZO!$BO12*$G$4+JUNIO!$BO12*$I$4+SEPTIEMBRE!$BO12*$K$4+DICIEMBRE!$BO12*$M$4</f>
        <v>37365215</v>
      </c>
      <c r="E36" s="580">
        <f>MARZO!$BP12*$G$4+JUNIO!$BP12*$I$4+SEPTIEMBRE!$BP12*$K$4+DICIEMBRE!$BP12*$M$4</f>
        <v>37365215</v>
      </c>
      <c r="F36" s="267">
        <f>ENERO!$BQ12</f>
        <v>136521</v>
      </c>
      <c r="G36" s="268">
        <f>FEBRERO!$BQ12</f>
        <v>114050</v>
      </c>
      <c r="H36" s="268">
        <f>MARZO!$BQ12</f>
        <v>2200748</v>
      </c>
      <c r="I36" s="268">
        <f>ABRIL!$BQ12</f>
        <v>1391627</v>
      </c>
      <c r="J36" s="268">
        <f>MAYO!$BQ12</f>
        <v>824829</v>
      </c>
      <c r="K36" s="268">
        <f>JUNIO!$BQ12</f>
        <v>5542014</v>
      </c>
      <c r="L36" s="268">
        <f>JULIO!$BQ12</f>
        <v>4577404</v>
      </c>
      <c r="M36" s="268">
        <f>AGOSTO!$BQ12</f>
        <v>2088868</v>
      </c>
      <c r="N36" s="268">
        <f>SEPTIEMBRE!$BQ12</f>
        <v>6318370</v>
      </c>
      <c r="O36" s="268">
        <f>OCTUBRE!$BQ12</f>
        <v>0</v>
      </c>
      <c r="P36" s="268">
        <f>NOVIEMBRE!$BQ12</f>
        <v>0</v>
      </c>
      <c r="Q36" s="596">
        <f>DICIEMBRE!$BQ12</f>
        <v>0</v>
      </c>
      <c r="R36" s="567">
        <f t="shared" si="10"/>
        <v>23194431</v>
      </c>
      <c r="S36" s="611"/>
    </row>
    <row r="37" spans="1:19" s="610" customFormat="1" ht="24.95" customHeight="1" x14ac:dyDescent="0.2">
      <c r="A37" s="613"/>
      <c r="B37" s="772" t="s">
        <v>453</v>
      </c>
      <c r="C37" s="579">
        <f>MARZO!$BN13*$G$4+JUNIO!$BN13*$I$4+SEPTIEMBRE!$BN13*$K$4+DICIEMBRE!$BN13*$M$4</f>
        <v>453547663</v>
      </c>
      <c r="D37" s="580">
        <f>MARZO!$BO13*$G$4+JUNIO!$BO13*$I$4+SEPTIEMBRE!$BO13*$K$4+DICIEMBRE!$BO13*$M$4</f>
        <v>300489565</v>
      </c>
      <c r="E37" s="580">
        <f>MARZO!$BP13*$G$4+JUNIO!$BP13*$I$4+SEPTIEMBRE!$BP13*$K$4+DICIEMBRE!$BP13*$M$4</f>
        <v>300489565</v>
      </c>
      <c r="F37" s="267">
        <f>ENERO!$BQ13</f>
        <v>19931581</v>
      </c>
      <c r="G37" s="268">
        <f>FEBRERO!$BQ13</f>
        <v>28279185</v>
      </c>
      <c r="H37" s="268">
        <f>MARZO!$BQ13</f>
        <v>26319248</v>
      </c>
      <c r="I37" s="268">
        <f>ABRIL!$BQ13</f>
        <v>28258319</v>
      </c>
      <c r="J37" s="268">
        <f>MAYO!$BQ13</f>
        <v>24037809</v>
      </c>
      <c r="K37" s="268">
        <f>JUNIO!$BQ13</f>
        <v>27706809</v>
      </c>
      <c r="L37" s="268">
        <f>JULIO!$BQ13</f>
        <v>28015980</v>
      </c>
      <c r="M37" s="268">
        <f>AGOSTO!$BQ13</f>
        <v>28155315</v>
      </c>
      <c r="N37" s="268">
        <f>SEPTIEMBRE!$BQ13</f>
        <v>29274739</v>
      </c>
      <c r="O37" s="268">
        <f>OCTUBRE!$BQ13</f>
        <v>0</v>
      </c>
      <c r="P37" s="268">
        <f>NOVIEMBRE!$BQ13</f>
        <v>0</v>
      </c>
      <c r="Q37" s="596">
        <f>DICIEMBRE!$BQ13</f>
        <v>0</v>
      </c>
      <c r="R37" s="567">
        <f t="shared" si="10"/>
        <v>239978985</v>
      </c>
      <c r="S37" s="611"/>
    </row>
    <row r="38" spans="1:19" s="610" customFormat="1" ht="24.95" customHeight="1" x14ac:dyDescent="0.2">
      <c r="A38" s="613"/>
      <c r="B38" s="772" t="s">
        <v>449</v>
      </c>
      <c r="C38" s="579">
        <f>MARZO!$BN14*$G$4+JUNIO!$BN14*$I$4+SEPTIEMBRE!$BN14*$K$4+DICIEMBRE!$BN14*$M$4</f>
        <v>390329517</v>
      </c>
      <c r="D38" s="580">
        <f>MARZO!$BO14*$G$4+JUNIO!$BO14*$I$4+SEPTIEMBRE!$BO14*$K$4+DICIEMBRE!$BO14*$M$4</f>
        <v>357248500</v>
      </c>
      <c r="E38" s="580">
        <f>MARZO!$BP14*$G$4+JUNIO!$BP14*$I$4+SEPTIEMBRE!$BP14*$K$4+DICIEMBRE!$BP14*$M$4</f>
        <v>261322890</v>
      </c>
      <c r="F38" s="267">
        <f>ENERO!$BQ14</f>
        <v>660006</v>
      </c>
      <c r="G38" s="268">
        <f>FEBRERO!$BQ14</f>
        <v>14845994</v>
      </c>
      <c r="H38" s="268">
        <f>MARZO!$BQ14</f>
        <v>18788000</v>
      </c>
      <c r="I38" s="268">
        <f>ABRIL!$BQ14</f>
        <v>21508000</v>
      </c>
      <c r="J38" s="268">
        <f>MAYO!$BQ14</f>
        <v>37123300</v>
      </c>
      <c r="K38" s="268">
        <f>JUNIO!$BQ14</f>
        <v>21869000</v>
      </c>
      <c r="L38" s="268">
        <f>JULIO!$BQ14</f>
        <v>45452198</v>
      </c>
      <c r="M38" s="268">
        <f>AGOSTO!$BQ14</f>
        <v>21127198</v>
      </c>
      <c r="N38" s="268">
        <f>SEPTIEMBRE!$BQ14</f>
        <v>39660740</v>
      </c>
      <c r="O38" s="268">
        <f>OCTUBRE!$BQ14</f>
        <v>0</v>
      </c>
      <c r="P38" s="268">
        <f>NOVIEMBRE!$BQ14</f>
        <v>0</v>
      </c>
      <c r="Q38" s="596">
        <f>DICIEMBRE!$BQ14</f>
        <v>0</v>
      </c>
      <c r="R38" s="567">
        <f t="shared" si="10"/>
        <v>221034436</v>
      </c>
      <c r="S38" s="611"/>
    </row>
    <row r="39" spans="1:19" s="616" customFormat="1" ht="24.95" customHeight="1" x14ac:dyDescent="0.2">
      <c r="A39" s="614"/>
      <c r="B39" s="573" t="s">
        <v>569</v>
      </c>
      <c r="C39" s="579">
        <f>SUM(C40:C45)</f>
        <v>657265487</v>
      </c>
      <c r="D39" s="579">
        <f t="shared" ref="D39:I39" si="11">SUM(D40:D45)</f>
        <v>451524737</v>
      </c>
      <c r="E39" s="579">
        <f t="shared" si="11"/>
        <v>418840392</v>
      </c>
      <c r="F39" s="570">
        <f t="shared" si="11"/>
        <v>7150629</v>
      </c>
      <c r="G39" s="571">
        <f t="shared" si="11"/>
        <v>18277385</v>
      </c>
      <c r="H39" s="571">
        <f t="shared" si="11"/>
        <v>36546876</v>
      </c>
      <c r="I39" s="571">
        <f t="shared" si="11"/>
        <v>27049192</v>
      </c>
      <c r="J39" s="571">
        <f t="shared" ref="J39:R39" si="12">SUM(J40:J45)</f>
        <v>74237764</v>
      </c>
      <c r="K39" s="571">
        <f t="shared" si="12"/>
        <v>33602990</v>
      </c>
      <c r="L39" s="571">
        <f t="shared" si="12"/>
        <v>37761769</v>
      </c>
      <c r="M39" s="571">
        <f t="shared" si="12"/>
        <v>18163438</v>
      </c>
      <c r="N39" s="571">
        <f t="shared" si="12"/>
        <v>52719844</v>
      </c>
      <c r="O39" s="571">
        <f t="shared" si="12"/>
        <v>0</v>
      </c>
      <c r="P39" s="571">
        <f t="shared" si="12"/>
        <v>0</v>
      </c>
      <c r="Q39" s="595">
        <f t="shared" si="12"/>
        <v>0</v>
      </c>
      <c r="R39" s="579">
        <f t="shared" si="12"/>
        <v>305509887</v>
      </c>
      <c r="S39" s="615"/>
    </row>
    <row r="40" spans="1:19" s="610" customFormat="1" ht="24.95" customHeight="1" x14ac:dyDescent="0.2">
      <c r="A40" s="613"/>
      <c r="B40" s="773" t="s">
        <v>85</v>
      </c>
      <c r="C40" s="580">
        <f>MARZO!$BN16*$G$4+JUNIO!$BN16*$I$4+SEPTIEMBRE!$BN16*$K$4+DICIEMBRE!$BN16*$M$4</f>
        <v>161782184</v>
      </c>
      <c r="D40" s="580">
        <f>MARZO!$BO16*$G$4+JUNIO!$BO16*$I$4+SEPTIEMBRE!$BO16*$K$4+DICIEMBRE!$BO16*$M$4</f>
        <v>99088706</v>
      </c>
      <c r="E40" s="580">
        <f>MARZO!$BP16*$G$4+JUNIO!$BP16*$I$4+SEPTIEMBRE!$BP16*$K$4+DICIEMBRE!$BP16*$M$4</f>
        <v>99088706</v>
      </c>
      <c r="F40" s="267">
        <f>ENERO!$BQ16</f>
        <v>0</v>
      </c>
      <c r="G40" s="268">
        <f>FEBRERO!$BQ16</f>
        <v>0</v>
      </c>
      <c r="H40" s="268">
        <f>MARZO!$BQ16</f>
        <v>1855652</v>
      </c>
      <c r="I40" s="268">
        <f>ABRIL!$BQ16</f>
        <v>257269</v>
      </c>
      <c r="J40" s="268">
        <f>MAYO!$BQ16</f>
        <v>29947325</v>
      </c>
      <c r="K40" s="268">
        <f>JUNIO!$BQ16</f>
        <v>2095336</v>
      </c>
      <c r="L40" s="268">
        <f>JULIO!$BQ16</f>
        <v>2506993</v>
      </c>
      <c r="M40" s="268">
        <f>AGOSTO!$BQ16</f>
        <v>1627489</v>
      </c>
      <c r="N40" s="268">
        <f>SEPTIEMBRE!$BQ16</f>
        <v>11052499</v>
      </c>
      <c r="O40" s="268">
        <f>OCTUBRE!$BQ16</f>
        <v>0</v>
      </c>
      <c r="P40" s="268">
        <f>NOVIEMBRE!$BQ16</f>
        <v>0</v>
      </c>
      <c r="Q40" s="596">
        <f>DICIEMBRE!$BQ16</f>
        <v>0</v>
      </c>
      <c r="R40" s="567">
        <f t="shared" si="10"/>
        <v>49342563</v>
      </c>
      <c r="S40" s="611"/>
    </row>
    <row r="41" spans="1:19" s="610" customFormat="1" ht="24.95" customHeight="1" x14ac:dyDescent="0.2">
      <c r="A41" s="613"/>
      <c r="B41" s="773" t="s">
        <v>459</v>
      </c>
      <c r="C41" s="580">
        <f>MARZO!$BN17*$G$4+JUNIO!$BN17*$I$4+SEPTIEMBRE!$BN17*$K$4+DICIEMBRE!$BN17*$M$4</f>
        <v>264763207</v>
      </c>
      <c r="D41" s="580">
        <f>MARZO!$BO17*$G$4+JUNIO!$BO17*$I$4+SEPTIEMBRE!$BO17*$K$4+DICIEMBRE!$BO17*$M$4</f>
        <v>186303943</v>
      </c>
      <c r="E41" s="580">
        <f>MARZO!$BP17*$G$4+JUNIO!$BP17*$I$4+SEPTIEMBRE!$BP17*$K$4+DICIEMBRE!$BP17*$M$4</f>
        <v>163046444</v>
      </c>
      <c r="F41" s="267">
        <f>ENERO!$BQ17</f>
        <v>1598220</v>
      </c>
      <c r="G41" s="268">
        <f>FEBRERO!$BQ17</f>
        <v>2274949</v>
      </c>
      <c r="H41" s="268">
        <f>MARZO!$BQ17</f>
        <v>9733001</v>
      </c>
      <c r="I41" s="268">
        <f>ABRIL!$BQ17</f>
        <v>18096481</v>
      </c>
      <c r="J41" s="268">
        <f>MAYO!$BQ17</f>
        <v>28621091</v>
      </c>
      <c r="K41" s="268">
        <f>JUNIO!$BQ17</f>
        <v>22408921</v>
      </c>
      <c r="L41" s="268">
        <f>JULIO!$BQ17</f>
        <v>15680874</v>
      </c>
      <c r="M41" s="268">
        <f>AGOSTO!$BQ17</f>
        <v>11428814</v>
      </c>
      <c r="N41" s="268">
        <f>SEPTIEMBRE!$BQ17</f>
        <v>17005159</v>
      </c>
      <c r="O41" s="268">
        <f>OCTUBRE!$BQ17</f>
        <v>0</v>
      </c>
      <c r="P41" s="268">
        <f>NOVIEMBRE!$BQ17</f>
        <v>0</v>
      </c>
      <c r="Q41" s="596">
        <f>DICIEMBRE!$BQ17</f>
        <v>0</v>
      </c>
      <c r="R41" s="567">
        <f t="shared" si="10"/>
        <v>126847510</v>
      </c>
      <c r="S41" s="611"/>
    </row>
    <row r="42" spans="1:19" s="610" customFormat="1" ht="24.95" customHeight="1" x14ac:dyDescent="0.2">
      <c r="A42" s="613"/>
      <c r="B42" s="773" t="s">
        <v>89</v>
      </c>
      <c r="C42" s="580">
        <f>MARZO!$BN18*$G$4+JUNIO!$BN18*$I$4+SEPTIEMBRE!$BN18*$K$4+DICIEMBRE!$BN18*$M$4</f>
        <v>156785051</v>
      </c>
      <c r="D42" s="580">
        <f>MARZO!$BO18*$G$4+JUNIO!$BO18*$I$4+SEPTIEMBRE!$BO18*$K$4+DICIEMBRE!$BO18*$M$4</f>
        <v>110298826</v>
      </c>
      <c r="E42" s="580">
        <f>MARZO!$BP18*$G$4+JUNIO!$BP18*$I$4+SEPTIEMBRE!$BP18*$K$4+DICIEMBRE!$BP18*$M$4</f>
        <v>100871980</v>
      </c>
      <c r="F42" s="267">
        <f>ENERO!$BQ18</f>
        <v>5552409</v>
      </c>
      <c r="G42" s="268">
        <f>FEBRERO!$BQ18</f>
        <v>11674400</v>
      </c>
      <c r="H42" s="268">
        <f>MARZO!$BQ18</f>
        <v>22125672</v>
      </c>
      <c r="I42" s="268">
        <f>ABRIL!$BQ18</f>
        <v>2159000</v>
      </c>
      <c r="J42" s="268">
        <f>MAYO!$BQ18</f>
        <v>10896035</v>
      </c>
      <c r="K42" s="268">
        <f>JUNIO!$BQ18</f>
        <v>6116800</v>
      </c>
      <c r="L42" s="268">
        <f>JULIO!$BQ18</f>
        <v>11945482</v>
      </c>
      <c r="M42" s="268">
        <f>AGOSTO!$BQ18</f>
        <v>1590200</v>
      </c>
      <c r="N42" s="268">
        <f>SEPTIEMBRE!$BQ18</f>
        <v>8661782</v>
      </c>
      <c r="O42" s="268">
        <f>OCTUBRE!$BQ18</f>
        <v>0</v>
      </c>
      <c r="P42" s="268">
        <f>NOVIEMBRE!$BQ18</f>
        <v>0</v>
      </c>
      <c r="Q42" s="596">
        <f>DICIEMBRE!$BQ18</f>
        <v>0</v>
      </c>
      <c r="R42" s="567">
        <f t="shared" si="10"/>
        <v>80721780</v>
      </c>
      <c r="S42" s="611"/>
    </row>
    <row r="43" spans="1:19" s="610" customFormat="1" ht="24.95" customHeight="1" x14ac:dyDescent="0.2">
      <c r="A43" s="613"/>
      <c r="B43" s="773" t="s">
        <v>96</v>
      </c>
      <c r="C43" s="580">
        <f>MARZO!$BN19*$G$4+JUNIO!$BN19*$I$4+SEPTIEMBRE!$BN19*$K$4+DICIEMBRE!$BN19*$M$4</f>
        <v>55492147</v>
      </c>
      <c r="D43" s="580">
        <f>MARZO!$BO19*$G$4+JUNIO!$BO19*$I$4+SEPTIEMBRE!$BO19*$K$4+DICIEMBRE!$BO19*$M$4</f>
        <v>42071130</v>
      </c>
      <c r="E43" s="580">
        <f>MARZO!$BP19*$G$4+JUNIO!$BP19*$I$4+SEPTIEMBRE!$BP19*$K$4+DICIEMBRE!$BP19*$M$4</f>
        <v>42071130</v>
      </c>
      <c r="F43" s="267">
        <f>ENERO!$BQ19</f>
        <v>0</v>
      </c>
      <c r="G43" s="268">
        <f>FEBRERO!$BQ19</f>
        <v>4328036</v>
      </c>
      <c r="H43" s="268">
        <f>MARZO!$BQ19</f>
        <v>2832551</v>
      </c>
      <c r="I43" s="268">
        <f>ABRIL!$BQ19</f>
        <v>6536442</v>
      </c>
      <c r="J43" s="268">
        <f>MAYO!$BQ19</f>
        <v>4773313</v>
      </c>
      <c r="K43" s="268">
        <f>JUNIO!$BQ19</f>
        <v>2981933</v>
      </c>
      <c r="L43" s="268">
        <f>JULIO!$BQ19</f>
        <v>7628420</v>
      </c>
      <c r="M43" s="268">
        <f>AGOSTO!$BQ19</f>
        <v>3516935</v>
      </c>
      <c r="N43" s="268">
        <f>SEPTIEMBRE!$BQ19</f>
        <v>8338469</v>
      </c>
      <c r="O43" s="268">
        <f>OCTUBRE!$BQ19</f>
        <v>0</v>
      </c>
      <c r="P43" s="268">
        <f>NOVIEMBRE!$BQ19</f>
        <v>0</v>
      </c>
      <c r="Q43" s="596">
        <f>DICIEMBRE!$BQ19</f>
        <v>0</v>
      </c>
      <c r="R43" s="567">
        <f t="shared" si="10"/>
        <v>40936099</v>
      </c>
      <c r="S43" s="611"/>
    </row>
    <row r="44" spans="1:19" s="610" customFormat="1" ht="24.95" customHeight="1" x14ac:dyDescent="0.2">
      <c r="A44" s="613"/>
      <c r="B44" s="773" t="s">
        <v>454</v>
      </c>
      <c r="C44" s="580">
        <f>MARZO!$BN20*$G$4+JUNIO!$BN20*$I$4+SEPTIEMBRE!$BN20*$K$4+DICIEMBRE!$BN20*$M$4</f>
        <v>18442898</v>
      </c>
      <c r="D44" s="580">
        <f>MARZO!$BO20*$G$4+JUNIO!$BO20*$I$4+SEPTIEMBRE!$BO20*$K$4+DICIEMBRE!$BO20*$M$4</f>
        <v>13762132</v>
      </c>
      <c r="E44" s="580">
        <f>MARZO!$BP20*$G$4+JUNIO!$BP20*$I$4+SEPTIEMBRE!$BP20*$K$4+DICIEMBRE!$BP20*$M$4</f>
        <v>13762132</v>
      </c>
      <c r="F44" s="267">
        <f>ENERO!$BQ20</f>
        <v>0</v>
      </c>
      <c r="G44" s="268">
        <f>FEBRERO!$BQ20</f>
        <v>0</v>
      </c>
      <c r="H44" s="268">
        <f>MARZO!$BQ20</f>
        <v>0</v>
      </c>
      <c r="I44" s="268">
        <f>ABRIL!$BQ20</f>
        <v>0</v>
      </c>
      <c r="J44" s="268">
        <f>MAYO!$BQ20</f>
        <v>0</v>
      </c>
      <c r="K44" s="268">
        <f>JUNIO!$BQ20</f>
        <v>0</v>
      </c>
      <c r="L44" s="268">
        <f>JULIO!$BQ20</f>
        <v>0</v>
      </c>
      <c r="M44" s="268">
        <f>AGOSTO!$BQ20</f>
        <v>0</v>
      </c>
      <c r="N44" s="268">
        <f>SEPTIEMBRE!$BQ20</f>
        <v>7661935</v>
      </c>
      <c r="O44" s="268">
        <f>OCTUBRE!$BQ20</f>
        <v>0</v>
      </c>
      <c r="P44" s="268">
        <f>NOVIEMBRE!$BQ20</f>
        <v>0</v>
      </c>
      <c r="Q44" s="596">
        <f>DICIEMBRE!$BQ20</f>
        <v>0</v>
      </c>
      <c r="R44" s="567">
        <f t="shared" si="10"/>
        <v>7661935</v>
      </c>
      <c r="S44" s="611"/>
    </row>
    <row r="45" spans="1:19" s="610" customFormat="1" ht="24.95" customHeight="1" x14ac:dyDescent="0.2">
      <c r="A45" s="613"/>
      <c r="B45" s="773" t="s">
        <v>101</v>
      </c>
      <c r="C45" s="580">
        <f>MARZO!$BN21*$G$4+JUNIO!$BN21*$I$4+SEPTIEMBRE!$BN21*$K$4+DICIEMBRE!$BN21*$M$4</f>
        <v>0</v>
      </c>
      <c r="D45" s="580">
        <f>MARZO!$BO21*$G$4+JUNIO!$BO21*$I$4+SEPTIEMBRE!$BO21*$K$4+DICIEMBRE!$BO21*$M$4</f>
        <v>0</v>
      </c>
      <c r="E45" s="580">
        <f>MARZO!$BP21*$G$4+JUNIO!$BP21*$I$4+SEPTIEMBRE!$BP21*$K$4+DICIEMBRE!$BP21*$M$4</f>
        <v>0</v>
      </c>
      <c r="F45" s="267">
        <f>ENERO!$BQ21</f>
        <v>0</v>
      </c>
      <c r="G45" s="268">
        <f>FEBRERO!$BQ21</f>
        <v>0</v>
      </c>
      <c r="H45" s="268">
        <f>MARZO!$BQ21</f>
        <v>0</v>
      </c>
      <c r="I45" s="268">
        <f>ABRIL!$BQ21</f>
        <v>0</v>
      </c>
      <c r="J45" s="268">
        <f>MAYO!$BQ21</f>
        <v>0</v>
      </c>
      <c r="K45" s="268">
        <f>JUNIO!$BQ21</f>
        <v>0</v>
      </c>
      <c r="L45" s="268">
        <f>JULIO!$BQ21</f>
        <v>0</v>
      </c>
      <c r="M45" s="268">
        <f>AGOSTO!$BQ21</f>
        <v>0</v>
      </c>
      <c r="N45" s="268">
        <f>SEPTIEMBRE!$BQ21</f>
        <v>0</v>
      </c>
      <c r="O45" s="268">
        <f>OCTUBRE!$BQ21</f>
        <v>0</v>
      </c>
      <c r="P45" s="268">
        <f>NOVIEMBRE!$BQ21</f>
        <v>0</v>
      </c>
      <c r="Q45" s="596">
        <f>DICIEMBRE!$BQ21</f>
        <v>0</v>
      </c>
      <c r="R45" s="567">
        <f t="shared" si="10"/>
        <v>0</v>
      </c>
      <c r="S45" s="611"/>
    </row>
    <row r="46" spans="1:19" s="616" customFormat="1" ht="24.95" customHeight="1" x14ac:dyDescent="0.2">
      <c r="A46" s="614"/>
      <c r="B46" s="573" t="s">
        <v>307</v>
      </c>
      <c r="C46" s="579">
        <f>SUM(C47:C48)</f>
        <v>65572284</v>
      </c>
      <c r="D46" s="579">
        <f t="shared" ref="D46:R46" si="13">SUM(D47:D48)</f>
        <v>32172164</v>
      </c>
      <c r="E46" s="579">
        <f t="shared" si="13"/>
        <v>32172164</v>
      </c>
      <c r="F46" s="570">
        <f t="shared" si="13"/>
        <v>2457999</v>
      </c>
      <c r="G46" s="571">
        <f t="shared" si="13"/>
        <v>0</v>
      </c>
      <c r="H46" s="571">
        <f t="shared" si="13"/>
        <v>2631153</v>
      </c>
      <c r="I46" s="571">
        <f t="shared" si="13"/>
        <v>5088060</v>
      </c>
      <c r="J46" s="571">
        <f t="shared" si="13"/>
        <v>4161690</v>
      </c>
      <c r="K46" s="571">
        <f t="shared" si="13"/>
        <v>0</v>
      </c>
      <c r="L46" s="571">
        <f t="shared" si="13"/>
        <v>5483157</v>
      </c>
      <c r="M46" s="571">
        <f t="shared" si="13"/>
        <v>2906138</v>
      </c>
      <c r="N46" s="571">
        <f t="shared" si="13"/>
        <v>3371699</v>
      </c>
      <c r="O46" s="571">
        <f t="shared" si="13"/>
        <v>0</v>
      </c>
      <c r="P46" s="571">
        <f t="shared" si="13"/>
        <v>0</v>
      </c>
      <c r="Q46" s="595">
        <f t="shared" si="13"/>
        <v>0</v>
      </c>
      <c r="R46" s="579">
        <f t="shared" si="13"/>
        <v>26099896</v>
      </c>
      <c r="S46" s="615"/>
    </row>
    <row r="47" spans="1:19" s="610" customFormat="1" ht="24.95" customHeight="1" x14ac:dyDescent="0.2">
      <c r="A47" s="613"/>
      <c r="B47" s="773" t="s">
        <v>107</v>
      </c>
      <c r="C47" s="580">
        <f>MARZO!$BN23*$G$4+JUNIO!$BN23*$I$4+SEPTIEMBRE!$BN23*$K$4+DICIEMBRE!$BN23*$M$4</f>
        <v>39279816</v>
      </c>
      <c r="D47" s="580">
        <f>MARZO!$BO23*$G$4+JUNIO!$BO23*$I$4+SEPTIEMBRE!$BO23*$K$4+DICIEMBRE!$BO23*$M$4</f>
        <v>22897362</v>
      </c>
      <c r="E47" s="580">
        <f>MARZO!$BP23*$G$4+JUNIO!$BP23*$I$4+SEPTIEMBRE!$BP23*$K$4+DICIEMBRE!$BP23*$M$4</f>
        <v>22897362</v>
      </c>
      <c r="F47" s="267">
        <f>ENERO!$BQ23</f>
        <v>2457999</v>
      </c>
      <c r="G47" s="268">
        <f>FEBRERO!$BQ23</f>
        <v>0</v>
      </c>
      <c r="H47" s="268">
        <f>MARZO!$BQ23</f>
        <v>2631153</v>
      </c>
      <c r="I47" s="268">
        <f>ABRIL!$BQ23</f>
        <v>5088060</v>
      </c>
      <c r="J47" s="268">
        <f>MAYO!$BQ23</f>
        <v>2544030</v>
      </c>
      <c r="K47" s="268">
        <f>JUNIO!$BQ23</f>
        <v>0</v>
      </c>
      <c r="L47" s="268">
        <f>JULIO!$BQ23</f>
        <v>5088060</v>
      </c>
      <c r="M47" s="268">
        <f>AGOSTO!$BQ23</f>
        <v>2544030</v>
      </c>
      <c r="N47" s="268">
        <f>SEPTIEMBRE!$BQ23</f>
        <v>2544030</v>
      </c>
      <c r="O47" s="268">
        <f>OCTUBRE!$BQ23</f>
        <v>0</v>
      </c>
      <c r="P47" s="268">
        <f>NOVIEMBRE!$BQ23</f>
        <v>0</v>
      </c>
      <c r="Q47" s="596">
        <f>DICIEMBRE!$BQ23</f>
        <v>0</v>
      </c>
      <c r="R47" s="567">
        <f t="shared" si="10"/>
        <v>22897362</v>
      </c>
      <c r="S47" s="611"/>
    </row>
    <row r="48" spans="1:19" s="610" customFormat="1" ht="24.95" customHeight="1" x14ac:dyDescent="0.2">
      <c r="A48" s="613"/>
      <c r="B48" s="773" t="s">
        <v>112</v>
      </c>
      <c r="C48" s="580">
        <f>MARZO!$BN24*$G$4+JUNIO!$BN24*$I$4+SEPTIEMBRE!$BN24*$K$4+DICIEMBRE!$BN24*$M$4</f>
        <v>26292468</v>
      </c>
      <c r="D48" s="580">
        <f>MARZO!$BO24*$G$4+JUNIO!$BO24*$I$4+SEPTIEMBRE!$BO24*$K$4+DICIEMBRE!$BO24*$M$4</f>
        <v>9274802</v>
      </c>
      <c r="E48" s="580">
        <f>MARZO!$BP24*$G$4+JUNIO!$BP24*$I$4+SEPTIEMBRE!$BP24*$K$4+DICIEMBRE!$BP24*$M$4</f>
        <v>9274802</v>
      </c>
      <c r="F48" s="267">
        <f>ENERO!$BQ24</f>
        <v>0</v>
      </c>
      <c r="G48" s="268">
        <f>FEBRERO!$BQ24</f>
        <v>0</v>
      </c>
      <c r="H48" s="268">
        <f>MARZO!$BQ24</f>
        <v>0</v>
      </c>
      <c r="I48" s="268">
        <f>ABRIL!$BQ24</f>
        <v>0</v>
      </c>
      <c r="J48" s="268">
        <f>MAYO!$BQ24</f>
        <v>1617660</v>
      </c>
      <c r="K48" s="268">
        <f>JUNIO!$BQ24</f>
        <v>0</v>
      </c>
      <c r="L48" s="268">
        <f>JULIO!$BQ24</f>
        <v>395097</v>
      </c>
      <c r="M48" s="268">
        <f>AGOSTO!$BQ24</f>
        <v>362108</v>
      </c>
      <c r="N48" s="268">
        <f>SEPTIEMBRE!$BQ24</f>
        <v>827669</v>
      </c>
      <c r="O48" s="268">
        <f>OCTUBRE!$BQ24</f>
        <v>0</v>
      </c>
      <c r="P48" s="268">
        <f>NOVIEMBRE!$BQ24</f>
        <v>0</v>
      </c>
      <c r="Q48" s="596">
        <f>DICIEMBRE!$BQ24</f>
        <v>0</v>
      </c>
      <c r="R48" s="567">
        <f t="shared" si="10"/>
        <v>3202534</v>
      </c>
      <c r="S48" s="611"/>
    </row>
    <row r="49" spans="1:19" s="616" customFormat="1" ht="47.25" customHeight="1" x14ac:dyDescent="0.2">
      <c r="A49" s="614"/>
      <c r="B49" s="574" t="s">
        <v>570</v>
      </c>
      <c r="C49" s="579">
        <f>SUM(C50:C52)</f>
        <v>349217338</v>
      </c>
      <c r="D49" s="579">
        <f t="shared" ref="D49:R49" si="14">SUM(D50:D52)</f>
        <v>262899000</v>
      </c>
      <c r="E49" s="579">
        <f t="shared" si="14"/>
        <v>251090056</v>
      </c>
      <c r="F49" s="570">
        <f t="shared" si="14"/>
        <v>275000</v>
      </c>
      <c r="G49" s="571">
        <f t="shared" si="14"/>
        <v>2877500</v>
      </c>
      <c r="H49" s="571">
        <f t="shared" si="14"/>
        <v>4888978</v>
      </c>
      <c r="I49" s="571">
        <f t="shared" si="14"/>
        <v>6202384</v>
      </c>
      <c r="J49" s="571">
        <f t="shared" si="14"/>
        <v>15160960</v>
      </c>
      <c r="K49" s="571">
        <f t="shared" si="14"/>
        <v>16240578</v>
      </c>
      <c r="L49" s="571">
        <f t="shared" si="14"/>
        <v>12017553</v>
      </c>
      <c r="M49" s="571">
        <f t="shared" si="14"/>
        <v>7171469</v>
      </c>
      <c r="N49" s="571">
        <f t="shared" si="14"/>
        <v>21273150</v>
      </c>
      <c r="O49" s="571">
        <f t="shared" si="14"/>
        <v>0</v>
      </c>
      <c r="P49" s="571">
        <f t="shared" si="14"/>
        <v>0</v>
      </c>
      <c r="Q49" s="595">
        <f t="shared" si="14"/>
        <v>0</v>
      </c>
      <c r="R49" s="579">
        <f t="shared" si="14"/>
        <v>86107572</v>
      </c>
      <c r="S49" s="615"/>
    </row>
    <row r="50" spans="1:19" s="610" customFormat="1" ht="24.95" customHeight="1" x14ac:dyDescent="0.2">
      <c r="A50" s="613"/>
      <c r="B50" s="773" t="s">
        <v>456</v>
      </c>
      <c r="C50" s="580">
        <f>MARZO!$BN26*$G$4+JUNIO!$BN26*$I$4+SEPTIEMBRE!$BN26*$K$4+DICIEMBRE!$BN26*$M$4</f>
        <v>211675731</v>
      </c>
      <c r="D50" s="580">
        <f>MARZO!$BO26*$G$4+JUNIO!$BO26*$I$4+SEPTIEMBRE!$BO26*$K$4+DICIEMBRE!$BO26*$M$4</f>
        <v>153166071</v>
      </c>
      <c r="E50" s="580">
        <f>MARZO!$BP26*$G$4+JUNIO!$BP26*$I$4+SEPTIEMBRE!$BP26*$K$4+DICIEMBRE!$BP26*$M$4</f>
        <v>141397907</v>
      </c>
      <c r="F50" s="267">
        <f>ENERO!$BQ26</f>
        <v>275000</v>
      </c>
      <c r="G50" s="268">
        <f>FEBRERO!$BQ26</f>
        <v>0</v>
      </c>
      <c r="H50" s="268">
        <f>MARZO!$BQ26</f>
        <v>2536814</v>
      </c>
      <c r="I50" s="268">
        <f>ABRIL!$BQ26</f>
        <v>1321946</v>
      </c>
      <c r="J50" s="268">
        <f>MAYO!$BQ26</f>
        <v>3546098</v>
      </c>
      <c r="K50" s="268">
        <f>JUNIO!$BQ26</f>
        <v>10532776</v>
      </c>
      <c r="L50" s="268">
        <f>JULIO!$BQ26</f>
        <v>3381026</v>
      </c>
      <c r="M50" s="268">
        <f>AGOSTO!$BQ26</f>
        <v>3106568</v>
      </c>
      <c r="N50" s="268">
        <f>SEPTIEMBRE!$BQ26</f>
        <v>9191273</v>
      </c>
      <c r="O50" s="268">
        <f>OCTUBRE!$BQ26</f>
        <v>0</v>
      </c>
      <c r="P50" s="268">
        <f>NOVIEMBRE!$BQ26</f>
        <v>0</v>
      </c>
      <c r="Q50" s="596">
        <f>DICIEMBRE!$BQ26</f>
        <v>0</v>
      </c>
      <c r="R50" s="567">
        <f t="shared" si="10"/>
        <v>33891501</v>
      </c>
      <c r="S50" s="611"/>
    </row>
    <row r="51" spans="1:19" s="610" customFormat="1" ht="24.95" customHeight="1" x14ac:dyDescent="0.2">
      <c r="A51" s="613"/>
      <c r="B51" s="773" t="s">
        <v>571</v>
      </c>
      <c r="C51" s="580">
        <f>MARZO!$BN27*$G$4+JUNIO!$BN27*$I$4+SEPTIEMBRE!$BN27*$K$4+DICIEMBRE!$BN27*$M$4</f>
        <v>0</v>
      </c>
      <c r="D51" s="580">
        <f>MARZO!$BO27*$G$4+JUNIO!$BO27*$I$4+SEPTIEMBRE!$BO27*$K$4+DICIEMBRE!$BO27*$M$4</f>
        <v>0</v>
      </c>
      <c r="E51" s="580">
        <f>MARZO!$BP27*$G$4+JUNIO!$BP27*$I$4+SEPTIEMBRE!$BP27*$K$4+DICIEMBRE!$BP27*$M$4</f>
        <v>0</v>
      </c>
      <c r="F51" s="267">
        <f>ENERO!$BQ27</f>
        <v>0</v>
      </c>
      <c r="G51" s="268">
        <f>FEBRERO!$BQ27</f>
        <v>0</v>
      </c>
      <c r="H51" s="268">
        <f>MARZO!$BQ27</f>
        <v>0</v>
      </c>
      <c r="I51" s="268">
        <f>ABRIL!$BQ27</f>
        <v>0</v>
      </c>
      <c r="J51" s="268">
        <f>MAYO!$BQ27</f>
        <v>0</v>
      </c>
      <c r="K51" s="268">
        <f>JUNIO!$BQ27</f>
        <v>0</v>
      </c>
      <c r="L51" s="268">
        <f>JULIO!$BQ27</f>
        <v>0</v>
      </c>
      <c r="M51" s="268">
        <f>AGOSTO!$BQ27</f>
        <v>0</v>
      </c>
      <c r="N51" s="268">
        <f>SEPTIEMBRE!$BQ27</f>
        <v>0</v>
      </c>
      <c r="O51" s="268">
        <f>OCTUBRE!$BQ27</f>
        <v>0</v>
      </c>
      <c r="P51" s="268">
        <f>NOVIEMBRE!$BQ27</f>
        <v>0</v>
      </c>
      <c r="Q51" s="596">
        <f>DICIEMBRE!$BQ27</f>
        <v>0</v>
      </c>
      <c r="R51" s="567">
        <f t="shared" si="10"/>
        <v>0</v>
      </c>
      <c r="S51" s="611"/>
    </row>
    <row r="52" spans="1:19" s="610" customFormat="1" ht="24.95" customHeight="1" x14ac:dyDescent="0.2">
      <c r="A52" s="613"/>
      <c r="B52" s="773" t="s">
        <v>572</v>
      </c>
      <c r="C52" s="580">
        <f>MARZO!$BN28*$G$4+JUNIO!$BN28*$I$4+SEPTIEMBRE!$BN28*$K$4+DICIEMBRE!$BN28*$M$4</f>
        <v>137541607</v>
      </c>
      <c r="D52" s="580">
        <f>MARZO!$BO28*$G$4+JUNIO!$BO28*$I$4+SEPTIEMBRE!$BO28*$K$4+DICIEMBRE!$BO28*$M$4</f>
        <v>109732929</v>
      </c>
      <c r="E52" s="580">
        <f>MARZO!$BP28*$G$4+JUNIO!$BP28*$I$4+SEPTIEMBRE!$BP28*$K$4+DICIEMBRE!$BP28*$M$4</f>
        <v>109692149</v>
      </c>
      <c r="F52" s="267">
        <f>ENERO!$BQ28</f>
        <v>0</v>
      </c>
      <c r="G52" s="268">
        <f>FEBRERO!$BQ28</f>
        <v>2877500</v>
      </c>
      <c r="H52" s="268">
        <f>MARZO!$BQ28</f>
        <v>2352164</v>
      </c>
      <c r="I52" s="268">
        <f>ABRIL!$BQ28</f>
        <v>4880438</v>
      </c>
      <c r="J52" s="268">
        <f>MAYO!$BQ28</f>
        <v>11614862</v>
      </c>
      <c r="K52" s="268">
        <f>JUNIO!$BQ28</f>
        <v>5707802</v>
      </c>
      <c r="L52" s="268">
        <f>JULIO!$BQ28</f>
        <v>8636527</v>
      </c>
      <c r="M52" s="268">
        <f>AGOSTO!$BQ28</f>
        <v>4064901</v>
      </c>
      <c r="N52" s="268">
        <f>SEPTIEMBRE!$BQ28</f>
        <v>12081877</v>
      </c>
      <c r="O52" s="268">
        <f>OCTUBRE!$BQ28</f>
        <v>0</v>
      </c>
      <c r="P52" s="268">
        <f>NOVIEMBRE!$BQ28</f>
        <v>0</v>
      </c>
      <c r="Q52" s="596">
        <f>DICIEMBRE!$BQ28</f>
        <v>0</v>
      </c>
      <c r="R52" s="567">
        <f t="shared" si="10"/>
        <v>52216071</v>
      </c>
      <c r="S52" s="611"/>
    </row>
    <row r="53" spans="1:19" s="616" customFormat="1" ht="24.95" customHeight="1" x14ac:dyDescent="0.2">
      <c r="A53" s="614"/>
      <c r="B53" s="574" t="s">
        <v>72</v>
      </c>
      <c r="C53" s="579">
        <f>MARZO!$BN29*$G$4+JUNIO!$BN29*$I$4+SEPTIEMBRE!$BN29*$K$4+DICIEMBRE!$BN29*$M$4</f>
        <v>378000000</v>
      </c>
      <c r="D53" s="579">
        <f>MARZO!$BO29*$G$4+JUNIO!$BO29*$I$4+SEPTIEMBRE!$BO29*$K$4+DICIEMBRE!$BO29*$M$4</f>
        <v>121430326</v>
      </c>
      <c r="E53" s="579">
        <f>MARZO!$BP29*$G$4+JUNIO!$BP29*$I$4+SEPTIEMBRE!$BP29*$K$4+DICIEMBRE!$BP29*$M$4</f>
        <v>81872992</v>
      </c>
      <c r="F53" s="267">
        <f>ENERO!$BQ29</f>
        <v>0</v>
      </c>
      <c r="G53" s="268">
        <f>FEBRERO!$BQ29</f>
        <v>0</v>
      </c>
      <c r="H53" s="268">
        <f>MARZO!$BQ29</f>
        <v>0</v>
      </c>
      <c r="I53" s="268">
        <f>ABRIL!$BQ29</f>
        <v>0</v>
      </c>
      <c r="J53" s="268">
        <f>MAYO!$BQ29</f>
        <v>12900000</v>
      </c>
      <c r="K53" s="268">
        <f>JUNIO!$BQ29</f>
        <v>8430000</v>
      </c>
      <c r="L53" s="268">
        <f>JULIO!$BQ29</f>
        <v>15215000</v>
      </c>
      <c r="M53" s="268">
        <f>AGOSTO!$BQ29</f>
        <v>11775000</v>
      </c>
      <c r="N53" s="268">
        <f>SEPTIEMBRE!$BQ29</f>
        <v>15141000</v>
      </c>
      <c r="O53" s="268">
        <f>OCTUBRE!$BQ29</f>
        <v>0</v>
      </c>
      <c r="P53" s="268">
        <f>NOVIEMBRE!$BQ29</f>
        <v>0</v>
      </c>
      <c r="Q53" s="596">
        <f>DICIEMBRE!$BQ29</f>
        <v>0</v>
      </c>
      <c r="R53" s="567">
        <f t="shared" si="10"/>
        <v>63461000</v>
      </c>
      <c r="S53" s="615"/>
    </row>
    <row r="54" spans="1:19" s="616" customFormat="1" ht="24.95" customHeight="1" x14ac:dyDescent="0.2">
      <c r="A54" s="614"/>
      <c r="B54" s="574" t="s">
        <v>76</v>
      </c>
      <c r="C54" s="579">
        <f>MARZO!$BN30*$G$4+JUNIO!$BN30*$I$4+SEPTIEMBRE!$BN30*$K$4+DICIEMBRE!$BN30*$M$4</f>
        <v>0</v>
      </c>
      <c r="D54" s="579">
        <f>MARZO!$BO30*$G$4+JUNIO!$BO30*$I$4+SEPTIEMBRE!$BO30*$K$4+DICIEMBRE!$BO30*$M$4</f>
        <v>0</v>
      </c>
      <c r="E54" s="579">
        <f>MARZO!$BP30*$G$4+JUNIO!$BP30*$I$4+SEPTIEMBRE!$BP30*$K$4+DICIEMBRE!$BP30*$M$4</f>
        <v>0</v>
      </c>
      <c r="F54" s="267">
        <f>ENERO!$BQ30</f>
        <v>0</v>
      </c>
      <c r="G54" s="268">
        <f>FEBRERO!$BQ30</f>
        <v>0</v>
      </c>
      <c r="H54" s="268">
        <f>MARZO!$BQ30</f>
        <v>0</v>
      </c>
      <c r="I54" s="268">
        <f>ABRIL!$BQ30</f>
        <v>0</v>
      </c>
      <c r="J54" s="268">
        <f>MAYO!$BQ30</f>
        <v>0</v>
      </c>
      <c r="K54" s="268">
        <f>JUNIO!$BQ30</f>
        <v>0</v>
      </c>
      <c r="L54" s="268">
        <f>JULIO!$BQ30</f>
        <v>0</v>
      </c>
      <c r="M54" s="268">
        <f>AGOSTO!$BQ30</f>
        <v>0</v>
      </c>
      <c r="N54" s="268">
        <f>SEPTIEMBRE!$BQ30</f>
        <v>0</v>
      </c>
      <c r="O54" s="268">
        <f>OCTUBRE!$BQ30</f>
        <v>0</v>
      </c>
      <c r="P54" s="268">
        <f>NOVIEMBRE!$BQ30</f>
        <v>0</v>
      </c>
      <c r="Q54" s="596">
        <f>DICIEMBRE!$BQ30</f>
        <v>0</v>
      </c>
      <c r="R54" s="567">
        <f t="shared" si="10"/>
        <v>0</v>
      </c>
      <c r="S54" s="615"/>
    </row>
    <row r="55" spans="1:19" s="616" customFormat="1" ht="36.75" customHeight="1" thickBot="1" x14ac:dyDescent="0.25">
      <c r="A55" s="614"/>
      <c r="B55" s="575" t="s">
        <v>134</v>
      </c>
      <c r="C55" s="581">
        <f>MARZO!$BN31*$G$4+JUNIO!$BN31*$I$4+SEPTIEMBRE!$BN31*$K$4+DICIEMBRE!$BN31*$M$4</f>
        <v>342364056</v>
      </c>
      <c r="D55" s="581">
        <f>MARZO!$BO31*$G$4+JUNIO!$BO31*$I$4+SEPTIEMBRE!$BO31*$K$4+DICIEMBRE!$BO31*$M$4</f>
        <v>342364056</v>
      </c>
      <c r="E55" s="587">
        <f>MARZO!$BP31*$G$4+JUNIO!$BP31*$I$4+SEPTIEMBRE!$BP31*$K$4+DICIEMBRE!$BP31*$M$4</f>
        <v>342364056</v>
      </c>
      <c r="F55" s="568">
        <f>ENERO!$BQ31</f>
        <v>49299658</v>
      </c>
      <c r="G55" s="569">
        <f>FEBRERO!$BQ31</f>
        <v>140400696</v>
      </c>
      <c r="H55" s="569">
        <f>MARZO!$BQ31</f>
        <v>28355553</v>
      </c>
      <c r="I55" s="569">
        <f>ABRIL!$BQ31</f>
        <v>24176986</v>
      </c>
      <c r="J55" s="569">
        <f>MAYO!$BQ31</f>
        <v>53511528</v>
      </c>
      <c r="K55" s="569">
        <f>JUNIO!$BQ31</f>
        <v>780870</v>
      </c>
      <c r="L55" s="569">
        <f>JULIO!$BQ31</f>
        <v>4287996</v>
      </c>
      <c r="M55" s="569">
        <f>AGOSTO!$BQ31</f>
        <v>0</v>
      </c>
      <c r="N55" s="569">
        <f>SEPTIEMBRE!$BQ31</f>
        <v>3024160</v>
      </c>
      <c r="O55" s="569">
        <f>OCTUBRE!$BQ31</f>
        <v>0</v>
      </c>
      <c r="P55" s="569">
        <f>NOVIEMBRE!$BQ31</f>
        <v>0</v>
      </c>
      <c r="Q55" s="597">
        <f>DICIEMBRE!$BQ31</f>
        <v>0</v>
      </c>
      <c r="R55" s="591">
        <f t="shared" si="10"/>
        <v>303837447</v>
      </c>
      <c r="S55" s="615"/>
    </row>
    <row r="56" spans="1:19" s="610" customFormat="1" ht="24.95" customHeight="1" thickBot="1" x14ac:dyDescent="0.25">
      <c r="A56" s="613"/>
      <c r="B56" s="576" t="s">
        <v>140</v>
      </c>
      <c r="C56" s="269">
        <f>C30+C49+C53+C54+C55</f>
        <v>3890600747</v>
      </c>
      <c r="D56" s="269">
        <f t="shared" ref="D56:R56" si="15">D30+D49+D53+D54+D55</f>
        <v>2726086676</v>
      </c>
      <c r="E56" s="583">
        <f t="shared" si="15"/>
        <v>2546110443</v>
      </c>
      <c r="F56" s="272">
        <f t="shared" si="15"/>
        <v>162812733</v>
      </c>
      <c r="G56" s="272">
        <f t="shared" si="15"/>
        <v>280916322</v>
      </c>
      <c r="H56" s="272">
        <f t="shared" si="15"/>
        <v>195735141</v>
      </c>
      <c r="I56" s="272">
        <f t="shared" si="15"/>
        <v>218202087</v>
      </c>
      <c r="J56" s="272">
        <f t="shared" si="15"/>
        <v>313380205</v>
      </c>
      <c r="K56" s="272">
        <f t="shared" si="15"/>
        <v>197724702</v>
      </c>
      <c r="L56" s="272">
        <f t="shared" si="15"/>
        <v>240424398</v>
      </c>
      <c r="M56" s="272">
        <f t="shared" si="15"/>
        <v>182762254</v>
      </c>
      <c r="N56" s="272">
        <f t="shared" si="15"/>
        <v>262319384</v>
      </c>
      <c r="O56" s="272">
        <f t="shared" si="15"/>
        <v>0</v>
      </c>
      <c r="P56" s="272">
        <f t="shared" si="15"/>
        <v>0</v>
      </c>
      <c r="Q56" s="272">
        <f t="shared" si="15"/>
        <v>0</v>
      </c>
      <c r="R56" s="584">
        <f t="shared" si="15"/>
        <v>2054277226</v>
      </c>
      <c r="S56" s="611"/>
    </row>
    <row r="57" spans="1:19" s="610" customFormat="1" ht="24.95" customHeight="1" thickBot="1" x14ac:dyDescent="0.25">
      <c r="A57" s="613"/>
      <c r="B57" s="577" t="s">
        <v>137</v>
      </c>
      <c r="C57" s="582">
        <f>C26-C56</f>
        <v>-13408841</v>
      </c>
      <c r="D57" s="582">
        <f t="shared" ref="D57:R57" si="16">D26-D56</f>
        <v>299215632</v>
      </c>
      <c r="E57" s="270">
        <f t="shared" si="16"/>
        <v>-2546110443</v>
      </c>
      <c r="F57" s="271">
        <f t="shared" si="16"/>
        <v>111228371</v>
      </c>
      <c r="G57" s="271">
        <f t="shared" si="16"/>
        <v>1580621</v>
      </c>
      <c r="H57" s="271">
        <f t="shared" si="16"/>
        <v>-2557</v>
      </c>
      <c r="I57" s="271">
        <f t="shared" si="16"/>
        <v>-19697149</v>
      </c>
      <c r="J57" s="271">
        <f t="shared" si="16"/>
        <v>7675896</v>
      </c>
      <c r="K57" s="271">
        <f t="shared" si="16"/>
        <v>-8819929</v>
      </c>
      <c r="L57" s="271">
        <f t="shared" si="16"/>
        <v>103946774</v>
      </c>
      <c r="M57" s="271">
        <f t="shared" si="16"/>
        <v>88595593</v>
      </c>
      <c r="N57" s="271" t="e">
        <f t="shared" si="16"/>
        <v>#VALUE!</v>
      </c>
      <c r="O57" s="271" t="e">
        <f t="shared" si="16"/>
        <v>#VALUE!</v>
      </c>
      <c r="P57" s="271" t="e">
        <f t="shared" si="16"/>
        <v>#VALUE!</v>
      </c>
      <c r="Q57" s="271" t="e">
        <f t="shared" si="16"/>
        <v>#VALUE!</v>
      </c>
      <c r="R57" s="585">
        <f t="shared" si="16"/>
        <v>131463802</v>
      </c>
      <c r="S57" s="611"/>
    </row>
    <row r="70" spans="2:2" ht="24.95" customHeight="1" x14ac:dyDescent="0.2">
      <c r="B70" s="639"/>
    </row>
    <row r="122" spans="2:2" ht="24.95" customHeight="1" x14ac:dyDescent="0.2">
      <c r="B122" s="639"/>
    </row>
  </sheetData>
  <sheetProtection password="C677" sheet="1" objects="1" scenarios="1" formatCells="0" formatColumns="0"/>
  <mergeCells count="32">
    <mergeCell ref="B1:J1"/>
    <mergeCell ref="H2:R2"/>
    <mergeCell ref="B4:D4"/>
    <mergeCell ref="B6:B7"/>
    <mergeCell ref="R6:R7"/>
    <mergeCell ref="B3:M3"/>
    <mergeCell ref="C6:C7"/>
    <mergeCell ref="B28:B29"/>
    <mergeCell ref="D28:D29"/>
    <mergeCell ref="R28:R29"/>
    <mergeCell ref="E28:E29"/>
    <mergeCell ref="D6:E7"/>
    <mergeCell ref="D8:E8"/>
    <mergeCell ref="D10:E10"/>
    <mergeCell ref="D11:E11"/>
    <mergeCell ref="D12:E12"/>
    <mergeCell ref="C28:C29"/>
    <mergeCell ref="D9:E9"/>
    <mergeCell ref="D19:E19"/>
    <mergeCell ref="D20:E20"/>
    <mergeCell ref="D21:E21"/>
    <mergeCell ref="D23:E23"/>
    <mergeCell ref="D25:E25"/>
    <mergeCell ref="D26:E26"/>
    <mergeCell ref="D13:E13"/>
    <mergeCell ref="D14:E14"/>
    <mergeCell ref="D15:E15"/>
    <mergeCell ref="D16:E16"/>
    <mergeCell ref="D17:E17"/>
    <mergeCell ref="D18:E18"/>
    <mergeCell ref="D22:E22"/>
    <mergeCell ref="D24:E24"/>
  </mergeCells>
  <dataValidations count="1">
    <dataValidation type="custom" allowBlank="1" showInputMessage="1" showErrorMessage="1" errorTitle="CUIDADO..." error="Debe registrar el número 1 en el cuadro correspondiente al trimestre que consolidará. o puede seleccionar mas de un trimestre a la vez_x000a__x000a_CANOBO - 2010" sqref="G4 I4 K4 M4">
      <formula1>+SUM($G$4:$M$4)=1</formula1>
    </dataValidation>
  </dataValidations>
  <printOptions horizontalCentered="1" verticalCentered="1"/>
  <pageMargins left="0.59055118110236227" right="0.59055118110236227" top="0.43307086614173229" bottom="0.39370078740157483" header="0.23622047244094491" footer="0.23622047244094491"/>
  <pageSetup paperSize="14" scale="45" orientation="landscape" blackAndWhite="1" horizontalDpi="300" verticalDpi="300" r:id="rId1"/>
  <headerFooter alignWithMargins="0">
    <oddFooter>&amp;CPágina &amp;P de &amp;N</oddFooter>
  </headerFooter>
  <rowBreaks count="1" manualBreakCount="1">
    <brk id="27" min="1" max="1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22"/>
  <sheetViews>
    <sheetView zoomScale="80" zoomScaleNormal="80" workbookViewId="0">
      <selection activeCell="E17" sqref="E17"/>
    </sheetView>
  </sheetViews>
  <sheetFormatPr baseColWidth="10" defaultRowHeight="12.75" x14ac:dyDescent="0.2"/>
  <cols>
    <col min="1" max="1" width="24.28515625" customWidth="1"/>
    <col min="2" max="2" width="25" customWidth="1"/>
    <col min="3" max="3" width="26" customWidth="1"/>
    <col min="4" max="4" width="23.140625" customWidth="1"/>
    <col min="5" max="5" width="17.28515625" customWidth="1"/>
    <col min="6" max="6" width="18.28515625" customWidth="1"/>
    <col min="7" max="7" width="24.5703125" customWidth="1"/>
    <col min="8" max="8" width="22.5703125" customWidth="1"/>
    <col min="9" max="9" width="23.5703125" customWidth="1"/>
    <col min="10" max="10" width="25" customWidth="1"/>
    <col min="11" max="11" width="4.42578125" customWidth="1"/>
  </cols>
  <sheetData>
    <row r="1" spans="1:12" ht="26.25" x14ac:dyDescent="0.2">
      <c r="A1" s="979" t="s">
        <v>574</v>
      </c>
      <c r="B1" s="979"/>
      <c r="C1" s="979"/>
      <c r="D1" s="979"/>
      <c r="E1" s="979"/>
      <c r="F1" s="979"/>
      <c r="G1" s="979"/>
      <c r="H1" s="979"/>
      <c r="I1" s="235"/>
      <c r="J1" s="235"/>
      <c r="K1" s="34"/>
      <c r="L1" s="236"/>
    </row>
    <row r="2" spans="1:12" ht="26.25" x14ac:dyDescent="0.2">
      <c r="A2" s="980" t="str">
        <f>+CONCATENATE(INSTRUCCIONES!B5," - ",INSTRUCCIONES!B3)</f>
        <v>ESE HOSPITAL SAN JUAN DE DIOS - TITIRIBI</v>
      </c>
      <c r="B2" s="980"/>
      <c r="C2" s="980"/>
      <c r="D2" s="980"/>
      <c r="E2" s="980"/>
      <c r="F2" s="980"/>
      <c r="G2" s="980"/>
      <c r="H2" s="980"/>
      <c r="I2" s="235"/>
      <c r="J2" s="235"/>
      <c r="K2" s="34"/>
      <c r="L2" s="236"/>
    </row>
    <row r="3" spans="1:12" ht="26.25" x14ac:dyDescent="0.2">
      <c r="A3" s="980"/>
      <c r="B3" s="980"/>
      <c r="C3" s="980"/>
      <c r="D3" s="980"/>
      <c r="E3" s="980"/>
      <c r="F3" s="980"/>
      <c r="G3" s="980"/>
      <c r="H3" s="980"/>
      <c r="I3" s="34"/>
      <c r="J3" s="237"/>
      <c r="K3" s="34"/>
      <c r="L3" s="236"/>
    </row>
    <row r="4" spans="1:12" ht="15.75" x14ac:dyDescent="0.2">
      <c r="A4" s="239"/>
      <c r="B4" s="239"/>
      <c r="C4" s="239"/>
      <c r="D4" s="239"/>
      <c r="E4" s="239"/>
      <c r="F4" s="239"/>
      <c r="G4" s="239"/>
      <c r="H4" s="239"/>
      <c r="I4" s="34"/>
      <c r="J4" s="237"/>
      <c r="K4" s="34"/>
      <c r="L4" s="236"/>
    </row>
    <row r="5" spans="1:12" x14ac:dyDescent="0.2">
      <c r="A5" s="240"/>
      <c r="B5" s="241"/>
      <c r="C5" s="242"/>
      <c r="D5" s="242"/>
      <c r="E5" s="243"/>
      <c r="F5" s="243"/>
      <c r="G5" s="244"/>
      <c r="H5" s="240"/>
      <c r="I5" s="34"/>
      <c r="J5" s="237"/>
      <c r="K5" s="34"/>
      <c r="L5" s="236"/>
    </row>
    <row r="6" spans="1:12" s="238" customFormat="1" x14ac:dyDescent="0.2">
      <c r="A6" s="978" t="s">
        <v>38</v>
      </c>
      <c r="B6" s="981" t="s">
        <v>13</v>
      </c>
      <c r="C6" s="981"/>
      <c r="D6" s="982" t="s">
        <v>537</v>
      </c>
      <c r="E6" s="978" t="s">
        <v>53</v>
      </c>
      <c r="F6" s="978"/>
      <c r="G6" s="978" t="s">
        <v>525</v>
      </c>
      <c r="H6" s="978"/>
      <c r="I6" s="978" t="s">
        <v>538</v>
      </c>
      <c r="J6" s="978"/>
    </row>
    <row r="7" spans="1:12" s="238" customFormat="1" x14ac:dyDescent="0.2">
      <c r="A7" s="978"/>
      <c r="B7" s="245" t="s">
        <v>30</v>
      </c>
      <c r="C7" s="245" t="s">
        <v>31</v>
      </c>
      <c r="D7" s="983"/>
      <c r="E7" s="246" t="s">
        <v>45</v>
      </c>
      <c r="F7" s="246" t="s">
        <v>24</v>
      </c>
      <c r="G7" s="246" t="s">
        <v>526</v>
      </c>
      <c r="H7" s="246" t="s">
        <v>527</v>
      </c>
      <c r="I7" s="273" t="s">
        <v>526</v>
      </c>
      <c r="J7" s="273" t="s">
        <v>527</v>
      </c>
    </row>
    <row r="8" spans="1:12" s="238" customFormat="1" ht="17.25" customHeight="1" x14ac:dyDescent="0.2">
      <c r="A8" s="978"/>
      <c r="B8" s="247" t="s">
        <v>27</v>
      </c>
      <c r="C8" s="247" t="s">
        <v>331</v>
      </c>
      <c r="D8" s="248" t="s">
        <v>341</v>
      </c>
      <c r="E8" s="249" t="s">
        <v>348</v>
      </c>
      <c r="F8" s="249" t="s">
        <v>366</v>
      </c>
      <c r="G8" s="248" t="s">
        <v>528</v>
      </c>
      <c r="H8" s="248" t="s">
        <v>529</v>
      </c>
      <c r="I8" s="248" t="s">
        <v>539</v>
      </c>
      <c r="J8" s="248" t="s">
        <v>540</v>
      </c>
    </row>
    <row r="9" spans="1:12" s="238" customFormat="1" ht="73.5" customHeight="1" x14ac:dyDescent="0.2">
      <c r="A9" s="775">
        <f>+DICIEMBRE!$F$8</f>
        <v>3890600747</v>
      </c>
      <c r="B9" s="775">
        <f>+DICIEMBRE!$I$8</f>
        <v>3025302308</v>
      </c>
      <c r="C9" s="776">
        <f>+DICIEMBRE!$L$8</f>
        <v>2185743585</v>
      </c>
      <c r="D9" s="250">
        <f>+C9/B9</f>
        <v>0.72248765990099528</v>
      </c>
      <c r="E9" s="776">
        <f>+DICIEMBRE!$AA$8</f>
        <v>2726086676</v>
      </c>
      <c r="F9" s="776">
        <f>+DICIEMBRE!$AG$8</f>
        <v>2054277226</v>
      </c>
      <c r="G9" s="251">
        <f>+B9/E9</f>
        <v>1.1097601314860026</v>
      </c>
      <c r="H9" s="251">
        <f>+C9/E9</f>
        <v>0.80178800044874288</v>
      </c>
      <c r="I9" s="775">
        <f>+B9-E9</f>
        <v>299215632</v>
      </c>
      <c r="J9" s="775">
        <f>+C9-E9</f>
        <v>-540343091</v>
      </c>
    </row>
    <row r="10" spans="1:12" x14ac:dyDescent="0.2">
      <c r="A10" s="252"/>
      <c r="B10" s="252"/>
      <c r="C10" s="252"/>
      <c r="D10" s="252"/>
      <c r="E10" s="252"/>
      <c r="F10" s="252"/>
      <c r="G10" s="252"/>
      <c r="H10" s="252"/>
    </row>
    <row r="11" spans="1:12" x14ac:dyDescent="0.2">
      <c r="A11" s="252"/>
      <c r="B11" s="252"/>
      <c r="C11" s="252"/>
      <c r="D11" s="252"/>
      <c r="E11" s="252"/>
      <c r="F11" s="252"/>
      <c r="G11" s="252"/>
      <c r="H11" s="252"/>
    </row>
    <row r="12" spans="1:12" x14ac:dyDescent="0.2">
      <c r="A12" s="252" t="s">
        <v>530</v>
      </c>
      <c r="B12" s="252"/>
      <c r="C12" s="252"/>
      <c r="D12" s="252"/>
      <c r="E12" s="252"/>
      <c r="F12" s="252"/>
      <c r="G12" s="252"/>
      <c r="H12" s="252"/>
    </row>
    <row r="13" spans="1:12" x14ac:dyDescent="0.2">
      <c r="A13" s="252"/>
      <c r="B13" s="252"/>
      <c r="C13" s="252"/>
      <c r="D13" s="252"/>
      <c r="E13" s="252"/>
      <c r="F13" s="252"/>
      <c r="G13" s="252"/>
      <c r="H13" s="252"/>
    </row>
    <row r="14" spans="1:12" x14ac:dyDescent="0.2">
      <c r="A14" s="252" t="s">
        <v>531</v>
      </c>
      <c r="B14" s="252"/>
      <c r="C14" s="252" t="s">
        <v>536</v>
      </c>
      <c r="D14" s="252"/>
      <c r="E14" s="252"/>
      <c r="F14" s="252"/>
      <c r="G14" s="252"/>
      <c r="H14" s="252"/>
    </row>
    <row r="15" spans="1:12" x14ac:dyDescent="0.2">
      <c r="A15" s="252" t="s">
        <v>542</v>
      </c>
      <c r="B15" s="252"/>
      <c r="C15" s="252" t="s">
        <v>535</v>
      </c>
      <c r="D15" s="252"/>
      <c r="E15" s="252"/>
      <c r="F15" s="252"/>
      <c r="G15" s="252"/>
      <c r="H15" s="252"/>
    </row>
    <row r="16" spans="1:12" x14ac:dyDescent="0.2">
      <c r="A16" s="252"/>
      <c r="B16" s="252"/>
      <c r="C16" s="252"/>
      <c r="D16" s="252"/>
      <c r="E16" s="252"/>
      <c r="F16" s="252"/>
      <c r="G16" s="252"/>
      <c r="H16" s="252"/>
    </row>
    <row r="17" spans="1:8" x14ac:dyDescent="0.2">
      <c r="A17" s="252"/>
      <c r="B17" s="252"/>
      <c r="C17" s="252"/>
      <c r="D17" s="252"/>
      <c r="E17" s="252"/>
      <c r="F17" s="252"/>
      <c r="G17" s="252"/>
      <c r="H17" s="252"/>
    </row>
    <row r="70" spans="2:2" x14ac:dyDescent="0.2">
      <c r="B70" s="638"/>
    </row>
    <row r="122" spans="2:2" x14ac:dyDescent="0.2">
      <c r="B122" s="641"/>
    </row>
  </sheetData>
  <sheetProtection password="C677" sheet="1" objects="1" scenarios="1" formatCells="0" formatColumns="0"/>
  <mergeCells count="9">
    <mergeCell ref="I6:J6"/>
    <mergeCell ref="A1:H1"/>
    <mergeCell ref="A2:H2"/>
    <mergeCell ref="A3:H3"/>
    <mergeCell ref="A6:A8"/>
    <mergeCell ref="B6:C6"/>
    <mergeCell ref="D6:D7"/>
    <mergeCell ref="E6:F6"/>
    <mergeCell ref="G6:H6"/>
  </mergeCell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122"/>
  <sheetViews>
    <sheetView zoomScale="80" zoomScaleNormal="80" workbookViewId="0">
      <selection activeCell="D19" sqref="D19"/>
    </sheetView>
  </sheetViews>
  <sheetFormatPr baseColWidth="10" defaultRowHeight="12.75" x14ac:dyDescent="0.2"/>
  <cols>
    <col min="1" max="1" width="20.140625" style="229" customWidth="1"/>
    <col min="2" max="2" width="21.28515625" style="229" customWidth="1"/>
    <col min="3" max="18" width="17.85546875" style="229" customWidth="1"/>
    <col min="19" max="16384" width="11.42578125" style="229"/>
  </cols>
  <sheetData>
    <row r="1" spans="1:18" ht="26.25" x14ac:dyDescent="0.2">
      <c r="A1" s="986" t="s">
        <v>575</v>
      </c>
      <c r="B1" s="987"/>
      <c r="C1" s="987"/>
      <c r="D1" s="987"/>
      <c r="E1" s="987"/>
      <c r="F1" s="987"/>
      <c r="G1" s="987"/>
      <c r="H1" s="987"/>
      <c r="I1" s="987"/>
      <c r="J1" s="987"/>
      <c r="K1" s="987"/>
      <c r="L1" s="987"/>
      <c r="M1" s="987"/>
      <c r="N1" s="987"/>
      <c r="O1" s="987"/>
      <c r="P1" s="987"/>
      <c r="Q1" s="987"/>
      <c r="R1" s="987"/>
    </row>
    <row r="2" spans="1:18" ht="26.25" x14ac:dyDescent="0.2">
      <c r="A2" s="988" t="str">
        <f>+CONCATENATE(INSTRUCCIONES!B5," - ",INSTRUCCIONES!B3)</f>
        <v>ESE HOSPITAL SAN JUAN DE DIOS - TITIRIBI</v>
      </c>
      <c r="B2" s="989"/>
      <c r="C2" s="989"/>
      <c r="D2" s="989"/>
      <c r="E2" s="989"/>
      <c r="F2" s="989"/>
      <c r="G2" s="989"/>
      <c r="H2" s="989"/>
      <c r="I2" s="989"/>
      <c r="J2" s="989"/>
      <c r="K2" s="989"/>
      <c r="L2" s="989"/>
      <c r="M2" s="989"/>
      <c r="N2" s="989"/>
      <c r="O2" s="989"/>
      <c r="P2" s="989"/>
      <c r="Q2" s="989"/>
      <c r="R2" s="989"/>
    </row>
    <row r="3" spans="1:18" ht="26.25" x14ac:dyDescent="0.2">
      <c r="A3" s="988"/>
      <c r="B3" s="989"/>
      <c r="C3" s="989"/>
      <c r="D3" s="989"/>
      <c r="E3" s="989"/>
      <c r="F3" s="989"/>
      <c r="G3" s="989"/>
      <c r="H3" s="989"/>
      <c r="I3" s="989"/>
      <c r="J3" s="989"/>
      <c r="K3" s="989"/>
      <c r="L3" s="989"/>
      <c r="M3" s="989"/>
      <c r="N3" s="989"/>
      <c r="O3" s="989"/>
      <c r="P3" s="989"/>
      <c r="Q3" s="989"/>
      <c r="R3" s="989"/>
    </row>
    <row r="8" spans="1:18" ht="51" customHeight="1" x14ac:dyDescent="0.2">
      <c r="A8" s="992" t="s">
        <v>509</v>
      </c>
      <c r="B8" s="992" t="s">
        <v>510</v>
      </c>
      <c r="C8" s="990" t="s">
        <v>511</v>
      </c>
      <c r="D8" s="991"/>
      <c r="E8" s="993" t="s">
        <v>512</v>
      </c>
      <c r="F8" s="993" t="s">
        <v>520</v>
      </c>
      <c r="G8" s="990" t="s">
        <v>513</v>
      </c>
      <c r="H8" s="991"/>
      <c r="I8" s="984" t="s">
        <v>522</v>
      </c>
      <c r="J8" s="984" t="s">
        <v>523</v>
      </c>
      <c r="K8" s="990" t="s">
        <v>515</v>
      </c>
      <c r="L8" s="991"/>
      <c r="M8" s="984" t="s">
        <v>514</v>
      </c>
      <c r="N8" s="984" t="s">
        <v>521</v>
      </c>
      <c r="O8" s="990" t="s">
        <v>516</v>
      </c>
      <c r="P8" s="991"/>
      <c r="Q8" s="984" t="s">
        <v>517</v>
      </c>
      <c r="R8" s="984" t="s">
        <v>524</v>
      </c>
    </row>
    <row r="9" spans="1:18" ht="60.75" customHeight="1" x14ac:dyDescent="0.2">
      <c r="A9" s="992"/>
      <c r="B9" s="992"/>
      <c r="C9" s="230" t="s">
        <v>518</v>
      </c>
      <c r="D9" s="230" t="s">
        <v>519</v>
      </c>
      <c r="E9" s="994"/>
      <c r="F9" s="994"/>
      <c r="G9" s="230" t="s">
        <v>518</v>
      </c>
      <c r="H9" s="230" t="s">
        <v>519</v>
      </c>
      <c r="I9" s="985"/>
      <c r="J9" s="985"/>
      <c r="K9" s="230" t="s">
        <v>518</v>
      </c>
      <c r="L9" s="230" t="s">
        <v>519</v>
      </c>
      <c r="M9" s="985"/>
      <c r="N9" s="985"/>
      <c r="O9" s="230" t="s">
        <v>518</v>
      </c>
      <c r="P9" s="230" t="s">
        <v>519</v>
      </c>
      <c r="Q9" s="985"/>
      <c r="R9" s="985"/>
    </row>
    <row r="10" spans="1:18" s="233" customFormat="1" ht="79.5" customHeight="1" x14ac:dyDescent="0.2">
      <c r="A10" s="234">
        <f>+DICIEMBRE!F19-(SUMIF(DICIEMBRE!B21:B92,DICIEMBRE!B24,DICIEMBRE!F21:F92))</f>
        <v>3013140862</v>
      </c>
      <c r="B10" s="234">
        <f>+DICIEMBRE!I19-(SUMIF(DICIEMBRE!B21:B92,DICIEMBRE!B24,DICIEMBRE!I21:I92))</f>
        <v>2173338810</v>
      </c>
      <c r="C10" s="234">
        <f>+DICIEMBRE!X148</f>
        <v>74533223</v>
      </c>
      <c r="D10" s="234">
        <f>+DICIEMBRE!X156</f>
        <v>82251828</v>
      </c>
      <c r="E10" s="232">
        <f>+IF(A10=0," ",(C10+D10)/A10)</f>
        <v>5.2033760843139765E-2</v>
      </c>
      <c r="F10" s="232">
        <f>+IF(B10=0," ",(C10+D10)/B10)</f>
        <v>7.2140179100744994E-2</v>
      </c>
      <c r="G10" s="234">
        <f>+DICIEMBRE!AA148</f>
        <v>35234897</v>
      </c>
      <c r="H10" s="234">
        <f>+DICIEMBRE!AA156</f>
        <v>75063929</v>
      </c>
      <c r="I10" s="231">
        <f>+IF(A10=0," ",(G10+H10)/A10)</f>
        <v>3.6605930838158073E-2</v>
      </c>
      <c r="J10" s="231">
        <f>+IF(B10=0," ",(G10+H10)/B10)</f>
        <v>5.0750865669214273E-2</v>
      </c>
      <c r="K10" s="234">
        <f>+DICIEMBRE!AD148</f>
        <v>35234897</v>
      </c>
      <c r="L10" s="234">
        <f>+DICIEMBRE!AD156</f>
        <v>65637083</v>
      </c>
      <c r="M10" s="231">
        <f>+IF(A10=0," ",(K10+L10)/A10)</f>
        <v>3.3477352908434989E-2</v>
      </c>
      <c r="N10" s="231">
        <f>+IF(B10=0," ",(K10+L10)/B10)</f>
        <v>4.6413370771214449E-2</v>
      </c>
      <c r="O10" s="234">
        <f>+DICIEMBRE!AG148</f>
        <v>28636860</v>
      </c>
      <c r="P10" s="234">
        <f>+DICIEMBRE!AG156</f>
        <v>52084920</v>
      </c>
      <c r="Q10" s="231">
        <f>+IF(A10=0," ",(O10+P10)/A10)</f>
        <v>2.6789912485677875E-2</v>
      </c>
      <c r="R10" s="231">
        <f>+IF(B10=0," ",(O10+P10)/B10)</f>
        <v>3.7141829717751186E-2</v>
      </c>
    </row>
    <row r="70" spans="2:2" x14ac:dyDescent="0.2">
      <c r="B70" s="637"/>
    </row>
    <row r="122" spans="2:2" x14ac:dyDescent="0.2">
      <c r="B122" s="640"/>
    </row>
  </sheetData>
  <sheetProtection password="C677" sheet="1" objects="1" scenarios="1" formatCells="0" formatColumns="0"/>
  <mergeCells count="17">
    <mergeCell ref="F8:F9"/>
    <mergeCell ref="J8:J9"/>
    <mergeCell ref="R8:R9"/>
    <mergeCell ref="A1:R1"/>
    <mergeCell ref="A2:R2"/>
    <mergeCell ref="A3:R3"/>
    <mergeCell ref="G8:H8"/>
    <mergeCell ref="I8:I9"/>
    <mergeCell ref="K8:L8"/>
    <mergeCell ref="M8:M9"/>
    <mergeCell ref="O8:P8"/>
    <mergeCell ref="Q8:Q9"/>
    <mergeCell ref="N8:N9"/>
    <mergeCell ref="A8:A9"/>
    <mergeCell ref="B8:B9"/>
    <mergeCell ref="C8:D8"/>
    <mergeCell ref="E8:E9"/>
  </mergeCells>
  <printOptions horizontalCentered="1"/>
  <pageMargins left="0.59055118110236227" right="0.59055118110236227" top="0.43307086614173229" bottom="0.39370078740157483" header="0.23622047244094491" footer="0.23622047244094491"/>
  <pageSetup paperSize="14" scale="40" orientation="landscape" blackAndWhite="1" horizontalDpi="300" verticalDpi="300" r:id="rId1"/>
  <headerFooter alignWithMargins="0">
    <oddFooter>&amp;CPágina &amp;P de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S259"/>
  <sheetViews>
    <sheetView showGridLines="0" topLeftCell="T241" workbookViewId="0">
      <selection activeCell="T247" sqref="T247"/>
    </sheetView>
  </sheetViews>
  <sheetFormatPr baseColWidth="10" defaultColWidth="0" defaultRowHeight="24.95" customHeight="1" x14ac:dyDescent="0.2"/>
  <cols>
    <col min="1" max="1" width="14.7109375" style="763" customWidth="1"/>
    <col min="2" max="2" width="51.7109375" style="670" customWidth="1"/>
    <col min="3" max="3" width="15.85546875" style="275" customWidth="1"/>
    <col min="4" max="4" width="16.140625" style="275" customWidth="1"/>
    <col min="5" max="6" width="14.42578125" style="275" customWidth="1"/>
    <col min="7" max="7" width="17.85546875" style="275" customWidth="1"/>
    <col min="8" max="9" width="14.42578125" style="275" customWidth="1"/>
    <col min="10" max="10" width="18"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7109375" style="712" customWidth="1"/>
    <col min="20" max="20" width="52.42578125" style="686" customWidth="1"/>
    <col min="21" max="21" width="17" style="275" customWidth="1"/>
    <col min="22" max="23" width="14.7109375" style="275" customWidth="1"/>
    <col min="24" max="24" width="16.28515625" style="275" customWidth="1"/>
    <col min="25"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43.28515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3" style="275" customWidth="1"/>
    <col min="60" max="63" width="17.5703125" style="275" customWidth="1"/>
    <col min="64" max="64" width="11" style="275" customWidth="1"/>
    <col min="65" max="65" width="76" style="275" customWidth="1"/>
    <col min="66" max="66" width="19.7109375" style="275" customWidth="1"/>
    <col min="67" max="67" width="15.71093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274" t="str">
        <f>IF(SUM(C12:C15)=0,"",IF(SUM(H12:H15)=SUM(C12:C15),"OJO - EN LA DISPONIBILIDAD INICIAL, NI EL RECONOCIMIENTO NI EL RECAUDO PUEDEN SER IGUALES AL PRESUPUESTO INICIAL, haga click en la celda B8 para mas información",""))</f>
        <v/>
      </c>
      <c r="D1" s="274"/>
      <c r="E1" s="274"/>
      <c r="F1" s="274"/>
      <c r="G1" s="274"/>
      <c r="H1" s="274"/>
      <c r="I1" s="274"/>
      <c r="J1" s="274"/>
      <c r="K1" s="881" t="str">
        <f>+IF(L8&gt;I8,"OJO - SUS RECAUDOS SON SUPERIORES A SUS RECONOCIMIENTOS, VERIFIQUE","")</f>
        <v/>
      </c>
      <c r="L1" s="881"/>
      <c r="M1" s="881"/>
      <c r="N1" s="881"/>
      <c r="U1" s="849" t="str">
        <f>+IF(AA8&gt;X8,"OJO - HA COMPROMETIDO MUCHO MAS DE LO QUE TIENE PRESUPUESTADO","")</f>
        <v/>
      </c>
      <c r="V1" s="849"/>
      <c r="W1" s="849"/>
      <c r="X1" s="849"/>
      <c r="Y1" s="276" t="str">
        <f>+IF(AD8&gt;AA8,"OJO - SUS OBLIGACIONES SUPERAN SUS COMPROMISOS, VERIFIQUE","")</f>
        <v/>
      </c>
      <c r="AC1" s="276" t="str">
        <f>+IF(AG8&gt;AD8,"OJO - SUS PAGOS NO PUEDEN SUPERAR SUS OBLIGACIONES, VERIFIQUE","")</f>
        <v/>
      </c>
    </row>
    <row r="2" spans="1:69" ht="38.25" customHeight="1" thickBot="1" x14ac:dyDescent="0.3">
      <c r="A2" s="742"/>
      <c r="B2" s="685" t="s">
        <v>489</v>
      </c>
      <c r="C2" s="277"/>
      <c r="D2" s="890" t="str">
        <f>+IF(F2="","","MUNICIPIO:")</f>
        <v>MUNICIPIO:</v>
      </c>
      <c r="E2" s="890"/>
      <c r="F2" s="278" t="str">
        <f>IF(INSTRUCCIONES!B3=0,"",INSTRUCCIONES!B3)</f>
        <v>TITIRIBI</v>
      </c>
      <c r="G2" s="279"/>
      <c r="H2" s="279"/>
      <c r="I2" s="279"/>
      <c r="J2" s="279"/>
      <c r="K2" s="280"/>
      <c r="L2" s="891" t="s">
        <v>392</v>
      </c>
      <c r="M2" s="865"/>
      <c r="N2" s="281" t="s">
        <v>393</v>
      </c>
      <c r="P2" s="899" t="s">
        <v>43</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43</v>
      </c>
      <c r="AM2" s="900"/>
      <c r="AO2" s="2">
        <v>1</v>
      </c>
      <c r="AP2" s="283" t="s">
        <v>8</v>
      </c>
      <c r="AQ2" s="284"/>
      <c r="AR2" s="3"/>
      <c r="AS2" s="3"/>
      <c r="AT2" s="3"/>
      <c r="AU2" s="3"/>
      <c r="AV2" s="3"/>
      <c r="AW2" s="3"/>
      <c r="AX2" s="3"/>
      <c r="AY2" s="3"/>
      <c r="AZ2" s="4"/>
      <c r="BB2" s="899" t="s">
        <v>404</v>
      </c>
      <c r="BC2" s="901"/>
      <c r="BD2" s="51" t="s">
        <v>392</v>
      </c>
      <c r="BE2" s="281" t="str">
        <f>+L3</f>
        <v>ENERO</v>
      </c>
      <c r="BF2" s="276"/>
      <c r="BG2" s="899" t="s">
        <v>405</v>
      </c>
      <c r="BH2" s="901"/>
      <c r="BI2" s="901"/>
      <c r="BJ2" s="51" t="s">
        <v>392</v>
      </c>
      <c r="BK2" s="281" t="str">
        <f>+BE2</f>
        <v>ENERO</v>
      </c>
      <c r="BM2" s="899" t="s">
        <v>405</v>
      </c>
      <c r="BN2" s="901"/>
      <c r="BO2" s="901"/>
      <c r="BP2" s="51" t="s">
        <v>392</v>
      </c>
      <c r="BQ2" s="281" t="str">
        <f>+BK2</f>
        <v>ENERO</v>
      </c>
    </row>
    <row r="3" spans="1:69" ht="24.95" customHeight="1" thickBot="1" x14ac:dyDescent="0.3">
      <c r="A3" s="743"/>
      <c r="B3" s="886" t="s">
        <v>9</v>
      </c>
      <c r="C3" s="285"/>
      <c r="D3" s="930" t="str">
        <f>+IF(F3="","","INSTITUCION:")</f>
        <v>INSTITUCION:</v>
      </c>
      <c r="E3" s="930"/>
      <c r="F3" s="882" t="str">
        <f>IF(INSTRUCCIONES!B5=0,"",INSTRUCCIONES!B5)</f>
        <v>ESE HOSPITAL SAN JUAN DE DIOS</v>
      </c>
      <c r="G3" s="882"/>
      <c r="H3" s="882"/>
      <c r="I3" s="882"/>
      <c r="J3" s="882"/>
      <c r="K3" s="883"/>
      <c r="L3" s="915" t="s">
        <v>10</v>
      </c>
      <c r="M3" s="916"/>
      <c r="N3" s="888">
        <f>+INSTRUCCIONES!F3</f>
        <v>2015</v>
      </c>
      <c r="P3" s="904" t="s">
        <v>544</v>
      </c>
      <c r="Q3" s="907" t="s">
        <v>545</v>
      </c>
      <c r="R3" s="282"/>
      <c r="S3" s="714"/>
      <c r="T3" s="914" t="s">
        <v>11</v>
      </c>
      <c r="U3" s="286"/>
      <c r="V3" s="855" t="str">
        <f>+IF(F3="","","E.S.E. HOSPITAL:")</f>
        <v>E.S.E. HOSPITAL:</v>
      </c>
      <c r="W3" s="855"/>
      <c r="X3" s="855"/>
      <c r="Y3" s="857" t="str">
        <f>IF(INSTRUCCIONES!B5=0,"",INSTRUCCIONES!B5)</f>
        <v>ESE HOSPITAL SAN JUAN DE DIOS</v>
      </c>
      <c r="Z3" s="857"/>
      <c r="AA3" s="857"/>
      <c r="AB3" s="857"/>
      <c r="AC3" s="857"/>
      <c r="AD3" s="857"/>
      <c r="AE3" s="857"/>
      <c r="AF3" s="857"/>
      <c r="AG3" s="858"/>
      <c r="AH3" s="861" t="str">
        <f>+L3</f>
        <v>ENERO</v>
      </c>
      <c r="AI3" s="862"/>
      <c r="AJ3" s="853">
        <f>+N3</f>
        <v>2015</v>
      </c>
      <c r="AL3" s="904" t="s">
        <v>546</v>
      </c>
      <c r="AM3" s="907" t="s">
        <v>547</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43"/>
      <c r="B4" s="887"/>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48"/>
      <c r="BE4" s="47"/>
      <c r="BF4" s="7"/>
      <c r="BG4" s="294"/>
      <c r="BH4" s="295"/>
      <c r="BI4" s="48"/>
      <c r="BJ4" s="48"/>
      <c r="BK4" s="296"/>
      <c r="BL4" s="8"/>
      <c r="BM4" s="294"/>
      <c r="BN4" s="297"/>
      <c r="BO4" s="49"/>
      <c r="BP4" s="49"/>
      <c r="BQ4" s="298"/>
    </row>
    <row r="5" spans="1:69" ht="42" customHeight="1" thickBot="1" x14ac:dyDescent="0.3">
      <c r="A5" s="892" t="s">
        <v>19</v>
      </c>
      <c r="B5" s="894" t="str">
        <f>IF(SUM(C8:N125)=0,"DESCRIPCIÓN",IF(I10&gt;0,"DESCRIPCIÓN",IF(MARZO!I10=0,"OJO - RECUERDE RECAUDAR LA DISPONIBLIDAD INICIAL EN ESTE TRIMESTRE, haga clik en H9 para ampliar la información","")))</f>
        <v>DESCRIPCIÓN</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307" t="str">
        <f>+CONCATENATE("ACUMULADO ",N3)</f>
        <v>ACUMULADO 2015</v>
      </c>
      <c r="BD5" s="308"/>
      <c r="BE5" s="309"/>
      <c r="BF5" s="310" t="s">
        <v>14</v>
      </c>
      <c r="BG5" s="878" t="s">
        <v>34</v>
      </c>
      <c r="BH5" s="875" t="str">
        <f>+CONCATENATE("ACUMULADO ",N3)</f>
        <v>ACUMULADO 2015</v>
      </c>
      <c r="BI5" s="876"/>
      <c r="BJ5" s="876"/>
      <c r="BK5" s="877"/>
      <c r="BM5" s="910" t="s">
        <v>34</v>
      </c>
      <c r="BN5" s="311" t="str">
        <f>+CONCATENATE("ACUMULADO ",BQ3)</f>
        <v>ACUMULADO 2015</v>
      </c>
      <c r="BO5" s="312"/>
      <c r="BP5" s="313"/>
      <c r="BQ5" s="314"/>
    </row>
    <row r="6" spans="1:69" ht="24.95" customHeight="1" thickBot="1" x14ac:dyDescent="0.25">
      <c r="A6" s="893"/>
      <c r="B6" s="895"/>
      <c r="C6" s="130" t="s">
        <v>35</v>
      </c>
      <c r="D6" s="121" t="s">
        <v>36</v>
      </c>
      <c r="E6" s="121" t="s">
        <v>37</v>
      </c>
      <c r="F6" s="122" t="s">
        <v>38</v>
      </c>
      <c r="G6" s="130" t="s">
        <v>39</v>
      </c>
      <c r="H6" s="121" t="s">
        <v>40</v>
      </c>
      <c r="I6" s="122" t="s">
        <v>41</v>
      </c>
      <c r="J6" s="130" t="s">
        <v>39</v>
      </c>
      <c r="K6" s="121" t="s">
        <v>40</v>
      </c>
      <c r="L6" s="122" t="s">
        <v>41</v>
      </c>
      <c r="M6" s="130" t="s">
        <v>42</v>
      </c>
      <c r="N6" s="122" t="s">
        <v>22</v>
      </c>
      <c r="P6" s="162" t="s">
        <v>491</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491</v>
      </c>
      <c r="AM6" s="122" t="s">
        <v>479</v>
      </c>
      <c r="AO6" s="317"/>
      <c r="AP6" s="318"/>
      <c r="AQ6" s="319" t="s">
        <v>38</v>
      </c>
      <c r="AR6" s="319" t="str">
        <f>+L3</f>
        <v>ENERO</v>
      </c>
      <c r="AS6" s="319" t="str">
        <f>AR6</f>
        <v>ENERO</v>
      </c>
      <c r="AT6" s="319" t="str">
        <f>AR6</f>
        <v>ENERO</v>
      </c>
      <c r="AU6" s="319" t="s">
        <v>16</v>
      </c>
      <c r="AV6" s="319" t="s">
        <v>31</v>
      </c>
      <c r="AW6" s="319"/>
      <c r="AX6" s="319"/>
      <c r="AY6" s="319" t="s">
        <v>16</v>
      </c>
      <c r="AZ6" s="320" t="s">
        <v>31</v>
      </c>
      <c r="BB6" s="321"/>
      <c r="BC6" s="322" t="s">
        <v>47</v>
      </c>
      <c r="BD6" s="323" t="s">
        <v>48</v>
      </c>
      <c r="BE6" s="324" t="s">
        <v>49</v>
      </c>
      <c r="BF6" s="325"/>
      <c r="BG6" s="879"/>
      <c r="BH6" s="326" t="s">
        <v>47</v>
      </c>
      <c r="BI6" s="326" t="s">
        <v>50</v>
      </c>
      <c r="BJ6" s="326" t="s">
        <v>51</v>
      </c>
      <c r="BK6" s="327" t="s">
        <v>52</v>
      </c>
      <c r="BM6" s="911"/>
      <c r="BN6" s="328" t="s">
        <v>47</v>
      </c>
      <c r="BO6" s="326" t="s">
        <v>50</v>
      </c>
      <c r="BP6" s="326" t="s">
        <v>51</v>
      </c>
      <c r="BQ6" s="327" t="s">
        <v>52</v>
      </c>
    </row>
    <row r="7" spans="1:69" s="9" customFormat="1" ht="24.95" customHeight="1" thickBot="1" x14ac:dyDescent="0.3">
      <c r="A7" s="677"/>
      <c r="B7" s="620"/>
      <c r="C7" s="185"/>
      <c r="D7" s="185"/>
      <c r="E7" s="185"/>
      <c r="F7" s="185"/>
      <c r="G7" s="185"/>
      <c r="H7" s="185"/>
      <c r="I7" s="185"/>
      <c r="J7" s="185"/>
      <c r="K7" s="185"/>
      <c r="L7" s="185"/>
      <c r="M7" s="185"/>
      <c r="N7" s="186"/>
      <c r="O7" s="282"/>
      <c r="P7" s="187"/>
      <c r="Q7" s="18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177772378</v>
      </c>
      <c r="AS7" s="330">
        <f>L22</f>
        <v>81308744</v>
      </c>
      <c r="AT7" s="13"/>
      <c r="AU7" s="331">
        <f t="shared" ref="AU7:AU17" si="0">IF(AQ7=0," ",AR7/AQ7)</f>
        <v>0.10107851826705785</v>
      </c>
      <c r="AV7" s="331">
        <f t="shared" ref="AV7:AV17" si="1">IF(AQ7=0," ",AS7/AQ7)</f>
        <v>4.62308456360725E-2</v>
      </c>
      <c r="AW7" s="330">
        <f>I23/AO$2*12+I24</f>
        <v>1238872352</v>
      </c>
      <c r="AX7" s="330">
        <f>L23/AO$2*12+L24</f>
        <v>81308744</v>
      </c>
      <c r="AY7" s="330">
        <f t="shared" ref="AY7:AY16" si="2">AW7-AQ7</f>
        <v>-519882931</v>
      </c>
      <c r="AZ7" s="332">
        <f t="shared" ref="AZ7:AZ16" si="3">AX7-AQ7</f>
        <v>-1677446539</v>
      </c>
      <c r="BB7" s="333" t="s">
        <v>55</v>
      </c>
      <c r="BC7" s="54">
        <f>F10</f>
        <v>90342061</v>
      </c>
      <c r="BD7" s="55">
        <f>I10</f>
        <v>90342061</v>
      </c>
      <c r="BE7" s="56">
        <f>K10</f>
        <v>90342061</v>
      </c>
      <c r="BF7" s="57"/>
      <c r="BG7" s="58" t="s">
        <v>56</v>
      </c>
      <c r="BH7" s="59">
        <f>+SUM(BH8:BH11)</f>
        <v>2632253239</v>
      </c>
      <c r="BI7" s="59">
        <f>+SUM(BI8:BI11)</f>
        <v>172392034</v>
      </c>
      <c r="BJ7" s="59">
        <f>+SUM(BJ8:BJ11)</f>
        <v>164968034</v>
      </c>
      <c r="BK7" s="60">
        <f>+SUM(BK8:BK11)</f>
        <v>113238075</v>
      </c>
      <c r="BM7" s="61" t="s">
        <v>56</v>
      </c>
      <c r="BN7" s="62">
        <f>BN8+BN15+BN22</f>
        <v>2632253239</v>
      </c>
      <c r="BO7" s="63">
        <f>BO8+BO15+BO22</f>
        <v>172392034</v>
      </c>
      <c r="BP7" s="63">
        <f>BP8+BP15+BP22</f>
        <v>164968034</v>
      </c>
      <c r="BQ7" s="64">
        <f>BQ8+BQ15+BQ22</f>
        <v>113238075</v>
      </c>
    </row>
    <row r="8" spans="1:69" s="9" customFormat="1" ht="24.95" customHeight="1" thickBot="1" x14ac:dyDescent="0.3">
      <c r="A8" s="744">
        <v>1</v>
      </c>
      <c r="B8" s="643" t="s">
        <v>13</v>
      </c>
      <c r="C8" s="334">
        <f>C10+C17+C113</f>
        <v>3135701014</v>
      </c>
      <c r="D8" s="334">
        <f t="shared" ref="D8:N8" si="4">D10+D17+D113</f>
        <v>0</v>
      </c>
      <c r="E8" s="334">
        <f t="shared" si="4"/>
        <v>635728489</v>
      </c>
      <c r="F8" s="334">
        <f t="shared" si="4"/>
        <v>3771429503</v>
      </c>
      <c r="G8" s="334">
        <f t="shared" si="4"/>
        <v>0</v>
      </c>
      <c r="H8" s="334">
        <f t="shared" si="4"/>
        <v>406203599</v>
      </c>
      <c r="I8" s="334">
        <f t="shared" si="4"/>
        <v>406203599</v>
      </c>
      <c r="J8" s="334">
        <f t="shared" si="4"/>
        <v>0</v>
      </c>
      <c r="K8" s="334">
        <f t="shared" si="4"/>
        <v>274041104</v>
      </c>
      <c r="L8" s="334">
        <f t="shared" si="4"/>
        <v>274041104</v>
      </c>
      <c r="M8" s="334">
        <f t="shared" si="4"/>
        <v>3365225904</v>
      </c>
      <c r="N8" s="334">
        <f t="shared" si="4"/>
        <v>3497388399</v>
      </c>
      <c r="O8" s="336"/>
      <c r="P8" s="337">
        <f>P10+P17+P113</f>
        <v>0</v>
      </c>
      <c r="Q8" s="335">
        <f>Q10+Q17+Q113</f>
        <v>635728489</v>
      </c>
      <c r="S8" s="715"/>
      <c r="T8" s="687" t="s">
        <v>53</v>
      </c>
      <c r="U8" s="338">
        <f t="shared" ref="U8:AM8" si="5">U10+U207+U220+U232</f>
        <v>3135701014</v>
      </c>
      <c r="V8" s="339">
        <f t="shared" si="5"/>
        <v>0</v>
      </c>
      <c r="W8" s="339">
        <f t="shared" si="5"/>
        <v>635728489</v>
      </c>
      <c r="X8" s="340">
        <f t="shared" si="5"/>
        <v>3771429503</v>
      </c>
      <c r="Y8" s="341">
        <f t="shared" si="5"/>
        <v>0</v>
      </c>
      <c r="Z8" s="339">
        <f t="shared" si="5"/>
        <v>544885270</v>
      </c>
      <c r="AA8" s="340">
        <f t="shared" si="5"/>
        <v>544885270</v>
      </c>
      <c r="AB8" s="341">
        <f t="shared" si="5"/>
        <v>0</v>
      </c>
      <c r="AC8" s="339">
        <f t="shared" si="5"/>
        <v>537461270</v>
      </c>
      <c r="AD8" s="340">
        <f t="shared" si="5"/>
        <v>537461270</v>
      </c>
      <c r="AE8" s="341">
        <f t="shared" si="5"/>
        <v>0</v>
      </c>
      <c r="AF8" s="339">
        <f t="shared" si="5"/>
        <v>162812733</v>
      </c>
      <c r="AG8" s="340">
        <f t="shared" si="5"/>
        <v>162812733</v>
      </c>
      <c r="AH8" s="341">
        <f t="shared" si="5"/>
        <v>3226544233</v>
      </c>
      <c r="AI8" s="339">
        <f t="shared" si="5"/>
        <v>3233968233</v>
      </c>
      <c r="AJ8" s="342">
        <f t="shared" si="5"/>
        <v>3608616770</v>
      </c>
      <c r="AL8" s="343">
        <f t="shared" si="5"/>
        <v>0</v>
      </c>
      <c r="AM8" s="344">
        <f t="shared" si="5"/>
        <v>635728489</v>
      </c>
      <c r="AO8" s="21"/>
      <c r="AP8" s="11" t="s">
        <v>58</v>
      </c>
      <c r="AQ8" s="12">
        <f>F25</f>
        <v>945539330</v>
      </c>
      <c r="AR8" s="12">
        <f>I25</f>
        <v>77570949</v>
      </c>
      <c r="AS8" s="12">
        <f>L25</f>
        <v>53051517</v>
      </c>
      <c r="AT8" s="13"/>
      <c r="AU8" s="345">
        <f t="shared" si="0"/>
        <v>8.2038839145908399E-2</v>
      </c>
      <c r="AV8" s="345">
        <f t="shared" si="1"/>
        <v>5.6107149979684079E-2</v>
      </c>
      <c r="AW8" s="12">
        <f>I26/AO$2*12+I27</f>
        <v>769577451</v>
      </c>
      <c r="AX8" s="12">
        <f>L26/AO$2*12+L27</f>
        <v>475344267</v>
      </c>
      <c r="AY8" s="12">
        <f t="shared" si="2"/>
        <v>-175961879</v>
      </c>
      <c r="AZ8" s="346">
        <f t="shared" si="3"/>
        <v>-470195063</v>
      </c>
      <c r="BB8" s="143" t="s">
        <v>59</v>
      </c>
      <c r="BC8" s="65">
        <f>BC9+BC19</f>
        <v>3103041868</v>
      </c>
      <c r="BD8" s="66">
        <f>BD9+BD19</f>
        <v>217597291</v>
      </c>
      <c r="BE8" s="67">
        <f>BE9+BE19</f>
        <v>85434796</v>
      </c>
      <c r="BF8" s="57"/>
      <c r="BG8" s="68" t="s">
        <v>60</v>
      </c>
      <c r="BH8" s="69">
        <f>BN9+BN13</f>
        <v>1628143224</v>
      </c>
      <c r="BI8" s="69">
        <f>BO9+BO13</f>
        <v>117371591</v>
      </c>
      <c r="BJ8" s="69">
        <f>BP9+BP13</f>
        <v>117371591</v>
      </c>
      <c r="BK8" s="70">
        <f>BQ9+BQ13</f>
        <v>102969441</v>
      </c>
      <c r="BM8" s="71" t="s">
        <v>61</v>
      </c>
      <c r="BN8" s="72">
        <f>BN9+BN14+BN13</f>
        <v>1994472741</v>
      </c>
      <c r="BO8" s="69">
        <f>BO9+BO14+BO13</f>
        <v>129987591</v>
      </c>
      <c r="BP8" s="69">
        <f>BP9+BP14+BP13</f>
        <v>125531591</v>
      </c>
      <c r="BQ8" s="70">
        <f>BQ9+BQ14+BQ13</f>
        <v>103629447</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24815647</v>
      </c>
      <c r="AS9" s="12">
        <f>L28+L75</f>
        <v>24815647</v>
      </c>
      <c r="AT9" s="13"/>
      <c r="AU9" s="353">
        <f t="shared" si="0"/>
        <v>7.0754915275543159E-2</v>
      </c>
      <c r="AV9" s="353">
        <f t="shared" si="1"/>
        <v>7.0754915275543159E-2</v>
      </c>
      <c r="AW9" s="354">
        <f>(I30+I33+I36+I76)/AO$2*12+I31+I34+I37+I38+I39+I40+I77</f>
        <v>24815647</v>
      </c>
      <c r="AX9" s="354">
        <f>(L30+L33+L36+L76)/AO$2*12+L31+L34+L37+L38+L39+L40+L77</f>
        <v>24815647</v>
      </c>
      <c r="AY9" s="354">
        <f t="shared" si="2"/>
        <v>-325911181</v>
      </c>
      <c r="AZ9" s="355">
        <f t="shared" si="3"/>
        <v>-325911181</v>
      </c>
      <c r="BB9" s="356" t="s">
        <v>437</v>
      </c>
      <c r="BC9" s="73">
        <f>BC10+BC18</f>
        <v>2995860189</v>
      </c>
      <c r="BD9" s="74">
        <f>BD10+BD18</f>
        <v>207118167</v>
      </c>
      <c r="BE9" s="75">
        <f>BE10+BE18</f>
        <v>74955672</v>
      </c>
      <c r="BF9" s="76"/>
      <c r="BG9" s="77" t="s">
        <v>64</v>
      </c>
      <c r="BH9" s="78">
        <f t="shared" ref="BH9:BK10" si="6">BN14</f>
        <v>366329517</v>
      </c>
      <c r="BI9" s="78">
        <f t="shared" si="6"/>
        <v>12616000</v>
      </c>
      <c r="BJ9" s="78">
        <f t="shared" si="6"/>
        <v>8160000</v>
      </c>
      <c r="BK9" s="79">
        <f t="shared" si="6"/>
        <v>660006</v>
      </c>
      <c r="BM9" s="140" t="s">
        <v>65</v>
      </c>
      <c r="BN9" s="80">
        <f>SUM(BN10:BN12)</f>
        <v>1188004402</v>
      </c>
      <c r="BO9" s="78">
        <f>SUM(BO10:BO12)</f>
        <v>89699910</v>
      </c>
      <c r="BP9" s="78">
        <f>SUM(BP10:BP12)</f>
        <v>89699910</v>
      </c>
      <c r="BQ9" s="79">
        <f>SUM(BQ10:BQ12)</f>
        <v>83037860</v>
      </c>
    </row>
    <row r="10" spans="1:69" s="9" customFormat="1" ht="24.95" customHeight="1" x14ac:dyDescent="0.2">
      <c r="A10" s="745">
        <v>10</v>
      </c>
      <c r="B10" s="645" t="s">
        <v>57</v>
      </c>
      <c r="C10" s="177">
        <f t="shared" ref="C10:N10" si="7">SUM(C12:C15)</f>
        <v>0</v>
      </c>
      <c r="D10" s="357">
        <f t="shared" si="7"/>
        <v>0</v>
      </c>
      <c r="E10" s="357">
        <f t="shared" si="7"/>
        <v>90342061</v>
      </c>
      <c r="F10" s="178">
        <f t="shared" si="7"/>
        <v>90342061</v>
      </c>
      <c r="G10" s="358">
        <f t="shared" si="7"/>
        <v>0</v>
      </c>
      <c r="H10" s="357">
        <f t="shared" si="7"/>
        <v>90342061</v>
      </c>
      <c r="I10" s="359">
        <f t="shared" si="7"/>
        <v>90342061</v>
      </c>
      <c r="J10" s="177">
        <f t="shared" si="7"/>
        <v>0</v>
      </c>
      <c r="K10" s="357">
        <f t="shared" si="7"/>
        <v>90342061</v>
      </c>
      <c r="L10" s="178">
        <f t="shared" si="7"/>
        <v>90342061</v>
      </c>
      <c r="M10" s="177">
        <f t="shared" si="7"/>
        <v>0</v>
      </c>
      <c r="N10" s="178">
        <f t="shared" si="7"/>
        <v>0</v>
      </c>
      <c r="O10" s="13"/>
      <c r="P10" s="177">
        <f>SUM(P12:P15)</f>
        <v>0</v>
      </c>
      <c r="Q10" s="178">
        <f>SUM(Q12:Q15)</f>
        <v>90342061</v>
      </c>
      <c r="S10" s="360" t="s">
        <v>27</v>
      </c>
      <c r="T10" s="688" t="s">
        <v>56</v>
      </c>
      <c r="U10" s="361">
        <f t="shared" ref="U10:AJ10" si="8">U12+U110+U170+U193</f>
        <v>2832701014</v>
      </c>
      <c r="V10" s="362">
        <f t="shared" si="8"/>
        <v>0</v>
      </c>
      <c r="W10" s="362">
        <f t="shared" si="8"/>
        <v>457728489</v>
      </c>
      <c r="X10" s="363">
        <f t="shared" si="8"/>
        <v>3290429503</v>
      </c>
      <c r="Y10" s="364">
        <f t="shared" si="8"/>
        <v>0</v>
      </c>
      <c r="Z10" s="362">
        <f t="shared" si="8"/>
        <v>544885270</v>
      </c>
      <c r="AA10" s="363">
        <f t="shared" si="8"/>
        <v>544885270</v>
      </c>
      <c r="AB10" s="364">
        <f t="shared" si="8"/>
        <v>0</v>
      </c>
      <c r="AC10" s="362">
        <f t="shared" si="8"/>
        <v>537461270</v>
      </c>
      <c r="AD10" s="365">
        <f t="shared" si="8"/>
        <v>537461270</v>
      </c>
      <c r="AE10" s="364">
        <f t="shared" si="8"/>
        <v>0</v>
      </c>
      <c r="AF10" s="362">
        <f t="shared" si="8"/>
        <v>162812733</v>
      </c>
      <c r="AG10" s="363">
        <f t="shared" si="8"/>
        <v>162812733</v>
      </c>
      <c r="AH10" s="364">
        <f t="shared" si="8"/>
        <v>2745544233</v>
      </c>
      <c r="AI10" s="362">
        <f t="shared" si="8"/>
        <v>2752968233</v>
      </c>
      <c r="AJ10" s="363">
        <f t="shared" si="8"/>
        <v>3127616770</v>
      </c>
      <c r="AL10" s="366">
        <f>AL12+AL110+AL170+AL193</f>
        <v>0</v>
      </c>
      <c r="AM10" s="367">
        <f>AM12+AM110+AM170+AM193</f>
        <v>457728489</v>
      </c>
      <c r="AO10" s="352"/>
      <c r="AP10" s="11" t="s">
        <v>67</v>
      </c>
      <c r="AQ10" s="12">
        <f>F42</f>
        <v>94000000</v>
      </c>
      <c r="AR10" s="12">
        <f>I42</f>
        <v>0</v>
      </c>
      <c r="AS10" s="12">
        <f>L42</f>
        <v>0</v>
      </c>
      <c r="AT10" s="13"/>
      <c r="AU10" s="353">
        <f t="shared" si="0"/>
        <v>0</v>
      </c>
      <c r="AV10" s="353">
        <f t="shared" si="1"/>
        <v>0</v>
      </c>
      <c r="AW10" s="354">
        <f>I43/AO$2*12+I44</f>
        <v>0</v>
      </c>
      <c r="AX10" s="354">
        <f>L43/AO$2*12+L44</f>
        <v>0</v>
      </c>
      <c r="AY10" s="354">
        <f t="shared" si="2"/>
        <v>-94000000</v>
      </c>
      <c r="AZ10" s="355">
        <f t="shared" si="3"/>
        <v>-94000000</v>
      </c>
      <c r="BB10" s="368" t="s">
        <v>438</v>
      </c>
      <c r="BC10" s="73">
        <f>BC11+BC12+BC13+BC14+BC16+BC17+BC15</f>
        <v>2995860189</v>
      </c>
      <c r="BD10" s="74">
        <f>BD11+BD12+BD13+BD14+BD16+BD17+BD15</f>
        <v>207118167</v>
      </c>
      <c r="BE10" s="75">
        <f>BE11+BE12+BE13+BE14+BE16+BE17+BE15</f>
        <v>74955672</v>
      </c>
      <c r="BF10" s="76"/>
      <c r="BG10" s="68" t="s">
        <v>68</v>
      </c>
      <c r="BH10" s="81">
        <f t="shared" si="6"/>
        <v>577708214</v>
      </c>
      <c r="BI10" s="81">
        <f t="shared" si="6"/>
        <v>37369044</v>
      </c>
      <c r="BJ10" s="81">
        <f t="shared" si="6"/>
        <v>34401044</v>
      </c>
      <c r="BK10" s="82">
        <f t="shared" si="6"/>
        <v>7150629</v>
      </c>
      <c r="BM10" s="137" t="s">
        <v>450</v>
      </c>
      <c r="BN10" s="83">
        <f>X17+X66</f>
        <v>945471180</v>
      </c>
      <c r="BO10" s="81">
        <f>AA17+AA66</f>
        <v>76069106</v>
      </c>
      <c r="BP10" s="81">
        <f>AD17+AD66</f>
        <v>76069106</v>
      </c>
      <c r="BQ10" s="82">
        <f>AF17+AF66</f>
        <v>70707778</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689"/>
      <c r="U11" s="164"/>
      <c r="V11" s="164"/>
      <c r="W11" s="164"/>
      <c r="X11" s="169"/>
      <c r="Y11" s="370"/>
      <c r="Z11" s="164"/>
      <c r="AA11" s="169"/>
      <c r="AB11" s="370"/>
      <c r="AC11" s="164"/>
      <c r="AD11" s="164"/>
      <c r="AE11" s="370"/>
      <c r="AF11" s="164"/>
      <c r="AG11" s="169"/>
      <c r="AH11" s="370"/>
      <c r="AI11" s="164"/>
      <c r="AJ11" s="169"/>
      <c r="AL11" s="371"/>
      <c r="AM11" s="372"/>
      <c r="AO11" s="373" t="s">
        <v>13</v>
      </c>
      <c r="AP11" s="535" t="s">
        <v>559</v>
      </c>
      <c r="AQ11" s="12">
        <f>F88</f>
        <v>0</v>
      </c>
      <c r="AR11" s="12">
        <f>I88</f>
        <v>0</v>
      </c>
      <c r="AS11" s="12">
        <f>L88</f>
        <v>0</v>
      </c>
      <c r="AT11" s="374">
        <f>AO2/12</f>
        <v>8.3333333333333329E-2</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62909682</v>
      </c>
      <c r="BE11" s="75">
        <f>K26</f>
        <v>38390250</v>
      </c>
      <c r="BF11" s="76"/>
      <c r="BG11" s="68" t="s">
        <v>69</v>
      </c>
      <c r="BH11" s="84">
        <f>BN22</f>
        <v>60072284</v>
      </c>
      <c r="BI11" s="84">
        <f>BO22</f>
        <v>5035399</v>
      </c>
      <c r="BJ11" s="84">
        <f>BP22</f>
        <v>5035399</v>
      </c>
      <c r="BK11" s="85">
        <f>BQ22</f>
        <v>2457999</v>
      </c>
      <c r="BM11" s="138" t="s">
        <v>451</v>
      </c>
      <c r="BN11" s="86">
        <f>X18+X67</f>
        <v>70039980</v>
      </c>
      <c r="BO11" s="84">
        <f>AA18+AA67</f>
        <v>13486804</v>
      </c>
      <c r="BP11" s="84">
        <f>AD18+AD67</f>
        <v>13486804</v>
      </c>
      <c r="BQ11" s="85">
        <f>AF18+AF67</f>
        <v>12193561</v>
      </c>
    </row>
    <row r="12" spans="1:69" s="9" customFormat="1" ht="24.95" customHeight="1" x14ac:dyDescent="0.2">
      <c r="A12" s="618">
        <v>1001</v>
      </c>
      <c r="B12" s="646" t="str">
        <f>+CONCATENATE("Bienestar Social (Caja, Bancos, Inversiones Tempor.) a Dic-31-",INSTRUCCIONES!$F$3-1)</f>
        <v>Bienestar Social (Caja, Bancos, Inversiones Tempor.) a Dic-31-2014</v>
      </c>
      <c r="C12" s="375">
        <v>0</v>
      </c>
      <c r="D12" s="376">
        <f t="shared" ref="D12:E15" si="9">P12</f>
        <v>0</v>
      </c>
      <c r="E12" s="376">
        <f t="shared" si="9"/>
        <v>81553</v>
      </c>
      <c r="F12" s="146">
        <f>SUM(C12:E12)</f>
        <v>81553</v>
      </c>
      <c r="G12" s="222">
        <v>0</v>
      </c>
      <c r="H12" s="377">
        <v>81553</v>
      </c>
      <c r="I12" s="146">
        <f>SUM(G12:H12)</f>
        <v>81553</v>
      </c>
      <c r="J12" s="222">
        <v>0</v>
      </c>
      <c r="K12" s="134">
        <f>+H12</f>
        <v>81553</v>
      </c>
      <c r="L12" s="146">
        <f>SUM(J12:K12)</f>
        <v>81553</v>
      </c>
      <c r="M12" s="222">
        <f>F12-I12</f>
        <v>0</v>
      </c>
      <c r="N12" s="146">
        <f>F12-L12</f>
        <v>0</v>
      </c>
      <c r="O12" s="297"/>
      <c r="P12" s="375">
        <v>0</v>
      </c>
      <c r="Q12" s="378">
        <v>81553</v>
      </c>
      <c r="S12" s="716">
        <v>1000000</v>
      </c>
      <c r="T12" s="690" t="s">
        <v>62</v>
      </c>
      <c r="U12" s="379">
        <f t="shared" ref="U12:AJ12" si="10">U14+U63</f>
        <v>1994472741</v>
      </c>
      <c r="V12" s="380">
        <f t="shared" si="10"/>
        <v>0</v>
      </c>
      <c r="W12" s="380">
        <f t="shared" si="10"/>
        <v>139312300</v>
      </c>
      <c r="X12" s="367">
        <f t="shared" si="10"/>
        <v>2133785041</v>
      </c>
      <c r="Y12" s="366">
        <f t="shared" si="10"/>
        <v>0</v>
      </c>
      <c r="Z12" s="380">
        <f t="shared" si="10"/>
        <v>269299891</v>
      </c>
      <c r="AA12" s="367">
        <f t="shared" si="10"/>
        <v>269299891</v>
      </c>
      <c r="AB12" s="366">
        <f t="shared" si="10"/>
        <v>0</v>
      </c>
      <c r="AC12" s="380">
        <f t="shared" si="10"/>
        <v>264843891</v>
      </c>
      <c r="AD12" s="381">
        <f t="shared" si="10"/>
        <v>264843891</v>
      </c>
      <c r="AE12" s="366">
        <f t="shared" si="10"/>
        <v>0</v>
      </c>
      <c r="AF12" s="380">
        <f t="shared" si="10"/>
        <v>119315933</v>
      </c>
      <c r="AG12" s="367">
        <f t="shared" si="10"/>
        <v>119315933</v>
      </c>
      <c r="AH12" s="366">
        <f t="shared" si="10"/>
        <v>1864485150</v>
      </c>
      <c r="AI12" s="380">
        <f t="shared" si="10"/>
        <v>1868941150</v>
      </c>
      <c r="AJ12" s="367">
        <f t="shared" si="10"/>
        <v>2014469108</v>
      </c>
      <c r="AK12" s="10"/>
      <c r="AL12" s="382">
        <f>AL14+AL63</f>
        <v>0</v>
      </c>
      <c r="AM12" s="383">
        <f>AM14+AM63</f>
        <v>139312300</v>
      </c>
      <c r="AO12" s="373"/>
      <c r="AP12" s="535" t="s">
        <v>560</v>
      </c>
      <c r="AQ12" s="12">
        <f>F89</f>
        <v>50000000</v>
      </c>
      <c r="AR12" s="12">
        <f>I89</f>
        <v>0</v>
      </c>
      <c r="AS12" s="12">
        <f>L89</f>
        <v>0</v>
      </c>
      <c r="AT12" s="13"/>
      <c r="AU12" s="353">
        <f t="shared" si="0"/>
        <v>0</v>
      </c>
      <c r="AV12" s="353">
        <f t="shared" si="1"/>
        <v>0</v>
      </c>
      <c r="AW12" s="354">
        <f>I89</f>
        <v>0</v>
      </c>
      <c r="AX12" s="354">
        <f>L89</f>
        <v>0</v>
      </c>
      <c r="AY12" s="354">
        <f t="shared" si="2"/>
        <v>-50000000</v>
      </c>
      <c r="AZ12" s="355">
        <f t="shared" si="3"/>
        <v>-50000000</v>
      </c>
      <c r="BB12" s="368" t="s">
        <v>440</v>
      </c>
      <c r="BC12" s="73">
        <f>F23</f>
        <v>1323143662</v>
      </c>
      <c r="BD12" s="74">
        <f>I23</f>
        <v>96463634</v>
      </c>
      <c r="BE12" s="75">
        <f>K23</f>
        <v>0</v>
      </c>
      <c r="BF12" s="76"/>
      <c r="BG12" s="384" t="s">
        <v>395</v>
      </c>
      <c r="BH12" s="84">
        <f>BN25</f>
        <v>315812208</v>
      </c>
      <c r="BI12" s="15">
        <f>BO25</f>
        <v>30129180</v>
      </c>
      <c r="BJ12" s="84">
        <f>BP25</f>
        <v>30129180</v>
      </c>
      <c r="BK12" s="85">
        <f>BQ25</f>
        <v>275000</v>
      </c>
      <c r="BM12" s="139" t="s">
        <v>452</v>
      </c>
      <c r="BN12" s="86">
        <f>X16+X65-X81-X33-BN10-BN11</f>
        <v>172493242</v>
      </c>
      <c r="BO12" s="84">
        <f>AA16+AA65-AA81-AA33-BO10-BO11</f>
        <v>144000</v>
      </c>
      <c r="BP12" s="84">
        <f>AD16+AD65-AD81-AD33-BP10-BP11</f>
        <v>144000</v>
      </c>
      <c r="BQ12" s="85">
        <f>AF16+AF65-AF81-AF33-BQ10-BQ11</f>
        <v>136521</v>
      </c>
    </row>
    <row r="13" spans="1:69" s="9" customFormat="1" ht="24.95" customHeight="1" x14ac:dyDescent="0.25">
      <c r="A13" s="618">
        <v>1002</v>
      </c>
      <c r="B13" s="646" t="str">
        <f>+CONCATENATE("Fondo Vivienda (Caja, Bancos, Inversiones Tempor.) a Dic-31-",INSTRUCCIONES!$F$3-1)</f>
        <v>Fondo Vivienda (Caja, Bancos, Inversiones Tempor.) a Dic-31-2014</v>
      </c>
      <c r="C13" s="375">
        <v>0</v>
      </c>
      <c r="D13" s="376">
        <f t="shared" si="9"/>
        <v>0</v>
      </c>
      <c r="E13" s="376">
        <f t="shared" si="9"/>
        <v>0</v>
      </c>
      <c r="F13" s="146">
        <f>SUM(C13:E13)</f>
        <v>0</v>
      </c>
      <c r="G13" s="222">
        <v>0</v>
      </c>
      <c r="H13" s="377">
        <v>0</v>
      </c>
      <c r="I13" s="146">
        <f>SUM(G13:H13)</f>
        <v>0</v>
      </c>
      <c r="J13" s="222">
        <v>0</v>
      </c>
      <c r="K13" s="134">
        <f>+H13</f>
        <v>0</v>
      </c>
      <c r="L13" s="146">
        <f>SUM(J13:K13)</f>
        <v>0</v>
      </c>
      <c r="M13" s="222">
        <f>F13-I13</f>
        <v>0</v>
      </c>
      <c r="N13" s="146">
        <f>F13-L13</f>
        <v>0</v>
      </c>
      <c r="O13" s="385"/>
      <c r="P13" s="375">
        <v>0</v>
      </c>
      <c r="Q13" s="378">
        <v>0</v>
      </c>
      <c r="S13" s="369"/>
      <c r="T13" s="689"/>
      <c r="U13" s="164"/>
      <c r="V13" s="164"/>
      <c r="W13" s="164"/>
      <c r="X13" s="169"/>
      <c r="Y13" s="370"/>
      <c r="Z13" s="164"/>
      <c r="AA13" s="169"/>
      <c r="AB13" s="370"/>
      <c r="AC13" s="164"/>
      <c r="AD13" s="164"/>
      <c r="AE13" s="370"/>
      <c r="AF13" s="164"/>
      <c r="AG13" s="169"/>
      <c r="AH13" s="370"/>
      <c r="AI13" s="164"/>
      <c r="AJ13" s="169"/>
      <c r="AK13" s="10"/>
      <c r="AL13" s="371"/>
      <c r="AM13" s="372"/>
      <c r="AO13" s="20"/>
      <c r="AP13" s="535" t="s">
        <v>561</v>
      </c>
      <c r="AQ13" s="12">
        <f>F90</f>
        <v>24000000</v>
      </c>
      <c r="AR13" s="12">
        <f>I90</f>
        <v>0</v>
      </c>
      <c r="AS13" s="12">
        <f>L90</f>
        <v>0</v>
      </c>
      <c r="AT13" s="13"/>
      <c r="AU13" s="353">
        <f t="shared" si="0"/>
        <v>0</v>
      </c>
      <c r="AV13" s="353">
        <f t="shared" si="1"/>
        <v>0</v>
      </c>
      <c r="AW13" s="354">
        <f>I90</f>
        <v>0</v>
      </c>
      <c r="AX13" s="354">
        <f>L90</f>
        <v>0</v>
      </c>
      <c r="AY13" s="354">
        <f t="shared" si="2"/>
        <v>-24000000</v>
      </c>
      <c r="AZ13" s="355">
        <f t="shared" si="3"/>
        <v>-24000000</v>
      </c>
      <c r="BA13" s="385"/>
      <c r="BB13" s="534" t="s">
        <v>441</v>
      </c>
      <c r="BC13" s="87">
        <f>+F30+F33+F36+F38+F39+F40</f>
        <v>350726828</v>
      </c>
      <c r="BD13" s="88">
        <f>+I30+I33+I36+I38+I39+I40</f>
        <v>24815647</v>
      </c>
      <c r="BE13" s="89">
        <f>+K30+K33+K36+K38+K39+K40</f>
        <v>24815647</v>
      </c>
      <c r="BF13" s="90"/>
      <c r="BG13" s="91" t="s">
        <v>72</v>
      </c>
      <c r="BH13" s="84">
        <f t="shared" ref="BH13:BK15" si="11">BN29</f>
        <v>481000000</v>
      </c>
      <c r="BI13" s="84">
        <f t="shared" si="11"/>
        <v>0</v>
      </c>
      <c r="BJ13" s="84">
        <f t="shared" si="11"/>
        <v>0</v>
      </c>
      <c r="BK13" s="85">
        <f t="shared" si="11"/>
        <v>0</v>
      </c>
      <c r="BM13" s="142" t="s">
        <v>453</v>
      </c>
      <c r="BN13" s="83">
        <f>X43-X55+X57-X61+X90-X102+X104-X108</f>
        <v>440138822</v>
      </c>
      <c r="BO13" s="81">
        <f>AA43-AA55+AA57-AA61+AA90-AA102+AA104-AA108</f>
        <v>27671681</v>
      </c>
      <c r="BP13" s="81">
        <f>AD43-AD55+AD57-AD61+AD90-AD102+AD104-AD108</f>
        <v>27671681</v>
      </c>
      <c r="BQ13" s="82">
        <f>AF43-AF55+AF57-AF61+AF90-AF102+AF104-AF108</f>
        <v>19931581</v>
      </c>
    </row>
    <row r="14" spans="1:69" s="9" customFormat="1" ht="24.95" customHeight="1" x14ac:dyDescent="0.25">
      <c r="A14" s="618">
        <v>1003</v>
      </c>
      <c r="B14" s="646" t="str">
        <f>+CONCATENATE("Fondos Comunes y Especiales (Caja, Bancos, Invers. Tempor.) a Dic-31-",INSTRUCCIONES!$F$3-1)</f>
        <v>Fondos Comunes y Especiales (Caja, Bancos, Invers. Tempor.) a Dic-31-2014</v>
      </c>
      <c r="C14" s="375">
        <v>0</v>
      </c>
      <c r="D14" s="376">
        <f t="shared" si="9"/>
        <v>0</v>
      </c>
      <c r="E14" s="376">
        <f t="shared" si="9"/>
        <v>11310362</v>
      </c>
      <c r="F14" s="146">
        <f>SUM(C14:E14)</f>
        <v>11310362</v>
      </c>
      <c r="G14" s="222">
        <v>0</v>
      </c>
      <c r="H14" s="377">
        <v>11310362</v>
      </c>
      <c r="I14" s="146">
        <f>SUM(G14:H14)</f>
        <v>11310362</v>
      </c>
      <c r="J14" s="222">
        <v>0</v>
      </c>
      <c r="K14" s="134">
        <f>+H14</f>
        <v>11310362</v>
      </c>
      <c r="L14" s="146">
        <f>SUM(J14:K14)</f>
        <v>11310362</v>
      </c>
      <c r="M14" s="222">
        <f>F14-I14</f>
        <v>0</v>
      </c>
      <c r="N14" s="146">
        <f>F14-L14</f>
        <v>0</v>
      </c>
      <c r="O14" s="385"/>
      <c r="P14" s="375">
        <v>0</v>
      </c>
      <c r="Q14" s="378">
        <v>11310362</v>
      </c>
      <c r="S14" s="717">
        <v>1010000</v>
      </c>
      <c r="T14" s="691" t="s">
        <v>66</v>
      </c>
      <c r="U14" s="135">
        <f t="shared" ref="U14:AJ14" si="12">U16+U35+U43+U57</f>
        <v>717551072</v>
      </c>
      <c r="V14" s="124">
        <f t="shared" si="12"/>
        <v>0</v>
      </c>
      <c r="W14" s="124">
        <f t="shared" si="12"/>
        <v>61017882</v>
      </c>
      <c r="X14" s="133">
        <f t="shared" si="12"/>
        <v>778568954</v>
      </c>
      <c r="Y14" s="131">
        <f t="shared" si="12"/>
        <v>0</v>
      </c>
      <c r="Z14" s="124">
        <f t="shared" si="12"/>
        <v>97836764</v>
      </c>
      <c r="AA14" s="133">
        <f t="shared" si="12"/>
        <v>97836764</v>
      </c>
      <c r="AB14" s="131">
        <f t="shared" si="12"/>
        <v>0</v>
      </c>
      <c r="AC14" s="124">
        <f t="shared" si="12"/>
        <v>97836764</v>
      </c>
      <c r="AD14" s="132">
        <f t="shared" si="12"/>
        <v>97836764</v>
      </c>
      <c r="AE14" s="131">
        <f t="shared" si="12"/>
        <v>0</v>
      </c>
      <c r="AF14" s="124">
        <f t="shared" si="12"/>
        <v>38272976</v>
      </c>
      <c r="AG14" s="133">
        <f t="shared" si="12"/>
        <v>38272976</v>
      </c>
      <c r="AH14" s="131">
        <f t="shared" si="12"/>
        <v>680732190</v>
      </c>
      <c r="AI14" s="124">
        <f t="shared" si="12"/>
        <v>680732190</v>
      </c>
      <c r="AJ14" s="133">
        <f t="shared" si="12"/>
        <v>740295978</v>
      </c>
      <c r="AK14" s="10"/>
      <c r="AL14" s="131">
        <f>AL16+AL35+AL43+AL57</f>
        <v>0</v>
      </c>
      <c r="AM14" s="133">
        <f>AM16+AM35+AM43+AM57</f>
        <v>61017882</v>
      </c>
      <c r="AO14" s="21"/>
      <c r="AP14" s="11" t="s">
        <v>75</v>
      </c>
      <c r="AQ14" s="12">
        <f>F19-AQ7-AQ8-AQ9-AQ10-AQ11-AQ12-AQ13</f>
        <v>318225176</v>
      </c>
      <c r="AR14" s="12">
        <f>I19-AR7-AR8-AR9-AR10-AR11-AR12-AR13</f>
        <v>25143027</v>
      </c>
      <c r="AS14" s="12">
        <f>L19-AS7-AS8-AS9-AS10-AS11-AS12-AS13</f>
        <v>13963598</v>
      </c>
      <c r="AT14" s="385"/>
      <c r="AU14" s="353">
        <f t="shared" si="0"/>
        <v>7.9010175486555465E-2</v>
      </c>
      <c r="AV14" s="353">
        <f t="shared" si="1"/>
        <v>4.3879614352071251E-2</v>
      </c>
      <c r="AW14" s="680">
        <f>(I41+I46+I49+I52+I55+I58+I61+I64+I67+I70+I73+I78+I81+I82+I83+I85+I94+I104)/AO$2*12+I47+I50+I53+I56+I59+I62+I65+I68+I71+I74</f>
        <v>404073759</v>
      </c>
      <c r="AX14" s="354">
        <f>(L41+L46+L49+L52+L55+L58+L61+L64+L67+L70+L73+L78+L81+L82+L83+L85+L94+L104)/AO$2*12+L47+L50+L53+L56+L59+L62+L65+L68+L71+L74</f>
        <v>269920611</v>
      </c>
      <c r="AY14" s="354">
        <f t="shared" si="2"/>
        <v>85848583</v>
      </c>
      <c r="AZ14" s="355">
        <f t="shared" si="3"/>
        <v>-48304565</v>
      </c>
      <c r="BB14" s="386" t="s">
        <v>442</v>
      </c>
      <c r="BC14" s="92">
        <f>+F64</f>
        <v>22951026</v>
      </c>
      <c r="BD14" s="93">
        <f>+I64</f>
        <v>3770887</v>
      </c>
      <c r="BE14" s="94">
        <f>K64</f>
        <v>0</v>
      </c>
      <c r="BF14" s="95"/>
      <c r="BG14" s="91" t="s">
        <v>76</v>
      </c>
      <c r="BH14" s="81">
        <f t="shared" si="11"/>
        <v>0</v>
      </c>
      <c r="BI14" s="81">
        <f t="shared" si="11"/>
        <v>0</v>
      </c>
      <c r="BJ14" s="81">
        <f t="shared" si="11"/>
        <v>0</v>
      </c>
      <c r="BK14" s="82">
        <f t="shared" si="11"/>
        <v>0</v>
      </c>
      <c r="BM14" s="141" t="s">
        <v>449</v>
      </c>
      <c r="BN14" s="86">
        <f>X35-X41+X83-X88</f>
        <v>366329517</v>
      </c>
      <c r="BO14" s="84">
        <f>AA35-AA41+AA83-AA88</f>
        <v>12616000</v>
      </c>
      <c r="BP14" s="84">
        <f>AD35-AD41+AD83-AD88</f>
        <v>8160000</v>
      </c>
      <c r="BQ14" s="85">
        <f>AF35-AF41+AF83-AF88</f>
        <v>660006</v>
      </c>
    </row>
    <row r="15" spans="1:69" s="9" customFormat="1" ht="24.95" customHeight="1" thickBot="1" x14ac:dyDescent="0.3">
      <c r="A15" s="619">
        <v>1004</v>
      </c>
      <c r="B15" s="646" t="str">
        <f>+CONCATENATE("Cesantias Ley 50/1990 a Dic-31-",INSTRUCCIONES!$F$3-1)</f>
        <v>Cesantias Ley 50/1990 a Dic-31-2014</v>
      </c>
      <c r="C15" s="387">
        <v>0</v>
      </c>
      <c r="D15" s="388">
        <f t="shared" si="9"/>
        <v>0</v>
      </c>
      <c r="E15" s="388">
        <f t="shared" si="9"/>
        <v>78950146</v>
      </c>
      <c r="F15" s="389">
        <f>SUM(C15:E15)</f>
        <v>78950146</v>
      </c>
      <c r="G15" s="390">
        <v>0</v>
      </c>
      <c r="H15" s="391">
        <v>78950146</v>
      </c>
      <c r="I15" s="389">
        <f>SUM(G15:H15)</f>
        <v>78950146</v>
      </c>
      <c r="J15" s="390">
        <v>0</v>
      </c>
      <c r="K15" s="168">
        <f>+H15</f>
        <v>78950146</v>
      </c>
      <c r="L15" s="389">
        <f>SUM(J15:K15)</f>
        <v>78950146</v>
      </c>
      <c r="M15" s="390">
        <f>F15-I15</f>
        <v>0</v>
      </c>
      <c r="N15" s="389">
        <f>F15-L15</f>
        <v>0</v>
      </c>
      <c r="O15" s="385"/>
      <c r="P15" s="387">
        <v>0</v>
      </c>
      <c r="Q15" s="392">
        <v>78950146</v>
      </c>
      <c r="S15" s="369"/>
      <c r="T15" s="689" t="str">
        <f>IF($F$8-$X$8=0," ","OJO: PRESUPUESTO DESEQUILIBRADO")</f>
        <v xml:space="preserve"> </v>
      </c>
      <c r="U15" s="164"/>
      <c r="V15" s="164"/>
      <c r="W15" s="164"/>
      <c r="X15" s="169"/>
      <c r="Y15" s="370"/>
      <c r="Z15" s="164"/>
      <c r="AA15" s="169"/>
      <c r="AB15" s="370"/>
      <c r="AC15" s="164"/>
      <c r="AD15" s="164"/>
      <c r="AE15" s="370"/>
      <c r="AF15" s="164"/>
      <c r="AG15" s="169"/>
      <c r="AH15" s="370"/>
      <c r="AI15" s="164"/>
      <c r="AJ15" s="169"/>
      <c r="AK15" s="10"/>
      <c r="AL15" s="173"/>
      <c r="AM15" s="174"/>
      <c r="AO15" s="20"/>
      <c r="AP15" s="11" t="s">
        <v>78</v>
      </c>
      <c r="AQ15" s="12">
        <f>F113</f>
        <v>32659146</v>
      </c>
      <c r="AR15" s="12">
        <f>I113</f>
        <v>413</v>
      </c>
      <c r="AS15" s="12">
        <f>L113</f>
        <v>413</v>
      </c>
      <c r="AT15" s="13"/>
      <c r="AU15" s="353">
        <f t="shared" si="0"/>
        <v>1.2645768508460081E-5</v>
      </c>
      <c r="AV15" s="345">
        <f t="shared" si="1"/>
        <v>1.2645768508460081E-5</v>
      </c>
      <c r="AW15" s="12">
        <f t="shared" ref="AW15:AX17" si="13">+AR15</f>
        <v>413</v>
      </c>
      <c r="AX15" s="12">
        <f t="shared" si="13"/>
        <v>413</v>
      </c>
      <c r="AY15" s="12">
        <f t="shared" si="2"/>
        <v>-32658733</v>
      </c>
      <c r="AZ15" s="346">
        <f t="shared" si="3"/>
        <v>-32658733</v>
      </c>
      <c r="BA15" s="385"/>
      <c r="BB15" s="368" t="s">
        <v>79</v>
      </c>
      <c r="BC15" s="92">
        <f>F46+F49</f>
        <v>0</v>
      </c>
      <c r="BD15" s="93">
        <f>I46+I49</f>
        <v>0</v>
      </c>
      <c r="BE15" s="94">
        <f>K46+K49</f>
        <v>0</v>
      </c>
      <c r="BF15" s="95"/>
      <c r="BG15" s="91" t="s">
        <v>80</v>
      </c>
      <c r="BH15" s="81">
        <f t="shared" si="11"/>
        <v>342364056</v>
      </c>
      <c r="BI15" s="81">
        <f t="shared" si="11"/>
        <v>342364056</v>
      </c>
      <c r="BJ15" s="81">
        <f t="shared" si="11"/>
        <v>342364056</v>
      </c>
      <c r="BK15" s="82">
        <f t="shared" si="11"/>
        <v>49299658</v>
      </c>
      <c r="BM15" s="71" t="s">
        <v>68</v>
      </c>
      <c r="BN15" s="83">
        <f>SUM(BN16:BN21)</f>
        <v>577708214</v>
      </c>
      <c r="BO15" s="81">
        <f>SUM(BO16:BO21)</f>
        <v>37369044</v>
      </c>
      <c r="BP15" s="81">
        <f>SUM(BP16:BP21)</f>
        <v>34401044</v>
      </c>
      <c r="BQ15" s="82">
        <f>SUM(BQ16:BQ21)</f>
        <v>7150629</v>
      </c>
    </row>
    <row r="16" spans="1:69" s="9" customFormat="1" ht="24.95" customHeight="1" thickBot="1" x14ac:dyDescent="0.3">
      <c r="A16" s="746"/>
      <c r="B16" s="647"/>
      <c r="C16" s="393"/>
      <c r="D16" s="393"/>
      <c r="E16" s="393"/>
      <c r="F16" s="393"/>
      <c r="G16" s="393"/>
      <c r="H16" s="393"/>
      <c r="I16" s="393"/>
      <c r="J16" s="393"/>
      <c r="K16" s="393"/>
      <c r="L16" s="393"/>
      <c r="M16" s="393"/>
      <c r="N16" s="394"/>
      <c r="O16" s="385"/>
      <c r="P16" s="395"/>
      <c r="Q16" s="396"/>
      <c r="S16" s="718">
        <v>1010100</v>
      </c>
      <c r="T16" s="692" t="s">
        <v>70</v>
      </c>
      <c r="U16" s="135">
        <f t="shared" ref="U16:AJ16" si="14">SUM(U17:U20)+U33</f>
        <v>372660589</v>
      </c>
      <c r="V16" s="124">
        <f t="shared" si="14"/>
        <v>0</v>
      </c>
      <c r="W16" s="124">
        <f t="shared" si="14"/>
        <v>2702630</v>
      </c>
      <c r="X16" s="133">
        <f t="shared" si="14"/>
        <v>375363219</v>
      </c>
      <c r="Y16" s="131">
        <f t="shared" si="14"/>
        <v>0</v>
      </c>
      <c r="Z16" s="124">
        <f t="shared" si="14"/>
        <v>28264422</v>
      </c>
      <c r="AA16" s="133">
        <f t="shared" si="14"/>
        <v>28264422</v>
      </c>
      <c r="AB16" s="131">
        <f t="shared" si="14"/>
        <v>0</v>
      </c>
      <c r="AC16" s="124">
        <f t="shared" si="14"/>
        <v>28264422</v>
      </c>
      <c r="AD16" s="132">
        <f t="shared" si="14"/>
        <v>28264422</v>
      </c>
      <c r="AE16" s="131">
        <f t="shared" si="14"/>
        <v>0</v>
      </c>
      <c r="AF16" s="124">
        <f t="shared" si="14"/>
        <v>27157280</v>
      </c>
      <c r="AG16" s="133">
        <f t="shared" si="14"/>
        <v>27157280</v>
      </c>
      <c r="AH16" s="131">
        <f t="shared" si="14"/>
        <v>347098797</v>
      </c>
      <c r="AI16" s="124">
        <f t="shared" si="14"/>
        <v>347098797</v>
      </c>
      <c r="AJ16" s="133">
        <f t="shared" si="14"/>
        <v>348205939</v>
      </c>
      <c r="AK16" s="10"/>
      <c r="AL16" s="131">
        <f>SUM(AL17:AL20)+AL33</f>
        <v>0</v>
      </c>
      <c r="AM16" s="133">
        <f>SUM(AM17:AM20)+AM33</f>
        <v>2702630</v>
      </c>
      <c r="AO16" s="21"/>
      <c r="AP16" s="397" t="s">
        <v>83</v>
      </c>
      <c r="AQ16" s="398">
        <f>F10</f>
        <v>90342061</v>
      </c>
      <c r="AR16" s="398">
        <f>I10</f>
        <v>90342061</v>
      </c>
      <c r="AS16" s="398">
        <f>L10</f>
        <v>90342061</v>
      </c>
      <c r="AT16" s="385"/>
      <c r="AU16" s="399">
        <f t="shared" si="0"/>
        <v>1</v>
      </c>
      <c r="AV16" s="399">
        <f t="shared" si="1"/>
        <v>1</v>
      </c>
      <c r="AW16" s="398">
        <f t="shared" si="13"/>
        <v>90342061</v>
      </c>
      <c r="AX16" s="398">
        <f t="shared" si="13"/>
        <v>90342061</v>
      </c>
      <c r="AY16" s="12">
        <f t="shared" si="2"/>
        <v>0</v>
      </c>
      <c r="AZ16" s="400">
        <f t="shared" si="3"/>
        <v>0</v>
      </c>
      <c r="BA16" s="385"/>
      <c r="BB16" s="386" t="s">
        <v>443</v>
      </c>
      <c r="BC16" s="92">
        <f>F43</f>
        <v>94000000</v>
      </c>
      <c r="BD16" s="93">
        <f>I43</f>
        <v>0</v>
      </c>
      <c r="BE16" s="94">
        <f>K43</f>
        <v>0</v>
      </c>
      <c r="BF16" s="76"/>
      <c r="BG16" s="91" t="s">
        <v>84</v>
      </c>
      <c r="BH16" s="96">
        <f>BH7+BH12+BH13+BH14+BH15</f>
        <v>3771429503</v>
      </c>
      <c r="BI16" s="96">
        <f>BI7+BI12+BI13+BI14+BI15</f>
        <v>544885270</v>
      </c>
      <c r="BJ16" s="96">
        <f>BJ7+BJ12+BJ13+BJ14+BJ15</f>
        <v>537461270</v>
      </c>
      <c r="BK16" s="97">
        <f>BK7+BK12+BK13+BK14+BK15</f>
        <v>162812733</v>
      </c>
      <c r="BM16" s="202" t="s">
        <v>85</v>
      </c>
      <c r="BN16" s="83">
        <f>X114-X121+X147-X148-X153</f>
        <v>138486846</v>
      </c>
      <c r="BO16" s="81">
        <f>AA114-AA121+AA147-AA148-AA153</f>
        <v>4948243</v>
      </c>
      <c r="BP16" s="81">
        <f>AD114-AD121+AD147-AD148-AD153</f>
        <v>4948243</v>
      </c>
      <c r="BQ16" s="82">
        <f>AF114-AF121+AF147-AF148-AF153</f>
        <v>0</v>
      </c>
    </row>
    <row r="17" spans="1:70" s="385" customFormat="1" ht="24.95" customHeight="1" thickBot="1" x14ac:dyDescent="0.3">
      <c r="A17" s="745">
        <v>11</v>
      </c>
      <c r="B17" s="648" t="s">
        <v>73</v>
      </c>
      <c r="C17" s="337">
        <f>C19+C94+C104</f>
        <v>3103041868</v>
      </c>
      <c r="D17" s="334">
        <f t="shared" ref="D17:N17" si="15">D19+D94+D104</f>
        <v>0</v>
      </c>
      <c r="E17" s="334">
        <f t="shared" si="15"/>
        <v>545386428</v>
      </c>
      <c r="F17" s="334">
        <f t="shared" si="15"/>
        <v>3648428296</v>
      </c>
      <c r="G17" s="334">
        <f t="shared" si="15"/>
        <v>0</v>
      </c>
      <c r="H17" s="334">
        <f t="shared" si="15"/>
        <v>315861125</v>
      </c>
      <c r="I17" s="334">
        <f t="shared" si="15"/>
        <v>315861125</v>
      </c>
      <c r="J17" s="334">
        <f t="shared" si="15"/>
        <v>0</v>
      </c>
      <c r="K17" s="334">
        <f t="shared" si="15"/>
        <v>183698630</v>
      </c>
      <c r="L17" s="334">
        <f t="shared" si="15"/>
        <v>183698630</v>
      </c>
      <c r="M17" s="334">
        <f t="shared" si="15"/>
        <v>3332567171</v>
      </c>
      <c r="N17" s="335">
        <f t="shared" si="15"/>
        <v>3464729666</v>
      </c>
      <c r="P17" s="177">
        <f>P19+P94+P104</f>
        <v>0</v>
      </c>
      <c r="Q17" s="178">
        <f>Q19+Q94+Q104</f>
        <v>545386428</v>
      </c>
      <c r="R17" s="9"/>
      <c r="S17" s="719">
        <v>1010101</v>
      </c>
      <c r="T17" s="693" t="s">
        <v>71</v>
      </c>
      <c r="U17" s="401">
        <v>304405836</v>
      </c>
      <c r="V17" s="15">
        <f t="shared" ref="V17:W19" si="16">AL17</f>
        <v>0</v>
      </c>
      <c r="W17" s="15">
        <f t="shared" si="16"/>
        <v>0</v>
      </c>
      <c r="X17" s="16">
        <f>SUM(U17:W17)</f>
        <v>304405836</v>
      </c>
      <c r="Y17" s="19">
        <v>0</v>
      </c>
      <c r="Z17" s="377">
        <v>24453543</v>
      </c>
      <c r="AA17" s="16">
        <f>SUM(Y17:Z17)</f>
        <v>24453543</v>
      </c>
      <c r="AB17" s="19">
        <v>0</v>
      </c>
      <c r="AC17" s="377">
        <v>24453543</v>
      </c>
      <c r="AD17" s="18">
        <f>SUM(AB17:AC17)</f>
        <v>24453543</v>
      </c>
      <c r="AE17" s="19">
        <v>0</v>
      </c>
      <c r="AF17" s="377">
        <v>24453543</v>
      </c>
      <c r="AG17" s="16">
        <f>SUM(AE17:AF17)</f>
        <v>24453543</v>
      </c>
      <c r="AH17" s="19">
        <f>X17-AA17</f>
        <v>279952293</v>
      </c>
      <c r="AI17" s="15">
        <f>X17-AD17</f>
        <v>279952293</v>
      </c>
      <c r="AJ17" s="16">
        <f>X17-AG17</f>
        <v>279952293</v>
      </c>
      <c r="AK17" s="9"/>
      <c r="AL17" s="375">
        <v>0</v>
      </c>
      <c r="AM17" s="378">
        <v>0</v>
      </c>
      <c r="AN17" s="9"/>
      <c r="AO17" s="352"/>
      <c r="AP17" s="402" t="s">
        <v>87</v>
      </c>
      <c r="AQ17" s="403">
        <f>SUM(AQ7:AQ16)</f>
        <v>3664247824</v>
      </c>
      <c r="AR17" s="404">
        <f>SUM(AR7:AR16)</f>
        <v>395644475</v>
      </c>
      <c r="AS17" s="405">
        <f>SUM(AS7:AS16)</f>
        <v>263481980</v>
      </c>
      <c r="AT17" s="406"/>
      <c r="AU17" s="404">
        <f t="shared" si="0"/>
        <v>0.1079742675723562</v>
      </c>
      <c r="AV17" s="404">
        <f t="shared" si="1"/>
        <v>7.1906157185726419E-2</v>
      </c>
      <c r="AW17" s="407">
        <f t="shared" si="13"/>
        <v>395644475</v>
      </c>
      <c r="AX17" s="407">
        <f t="shared" si="13"/>
        <v>263481980</v>
      </c>
      <c r="AY17" s="407">
        <f>SUM(AY7:AY16)</f>
        <v>-1136566141</v>
      </c>
      <c r="AZ17" s="408">
        <f>SUM(AZ7:AZ16)</f>
        <v>-2722516081</v>
      </c>
      <c r="BA17" s="9"/>
      <c r="BB17" s="368" t="s">
        <v>444</v>
      </c>
      <c r="BC17" s="73">
        <f>F41+F52+F55+F58+F61+F67+F70+F73+F76+F79+F82+F86+F87+F88+F89+F90+F91</f>
        <v>331051770</v>
      </c>
      <c r="BD17" s="74">
        <f>I41+I52+I55+I58+I61+I67+I70+I73+I76+I79+I82+I86+I87+I88+I89+I90+I91</f>
        <v>19158317</v>
      </c>
      <c r="BE17" s="75">
        <f>K41+K52+K55+K58+K61+K67+K70+K73+K76+K79+K82+K86+K87+K88+K89+K90+K91</f>
        <v>11749775</v>
      </c>
      <c r="BF17" s="76"/>
      <c r="BG17" s="98" t="s">
        <v>88</v>
      </c>
      <c r="BH17" s="99">
        <f>BC22-BH16</f>
        <v>0</v>
      </c>
      <c r="BI17" s="99"/>
      <c r="BJ17" s="99"/>
      <c r="BK17" s="100"/>
      <c r="BM17" s="202" t="s">
        <v>459</v>
      </c>
      <c r="BN17" s="83">
        <f>X123-X126-X139+X155-X156-X167-X168</f>
        <v>216163207</v>
      </c>
      <c r="BO17" s="81">
        <f>AA123-AA126-AA139+AA155-AA156-AA167-AA168</f>
        <v>12217070</v>
      </c>
      <c r="BP17" s="81">
        <f>AD123-AD126-AD139+AD155-AD156-AD167-AD168</f>
        <v>12217070</v>
      </c>
      <c r="BQ17" s="82">
        <f>AF123-AF126-AF139+AF155-AF156-AF167-AF168</f>
        <v>1598220</v>
      </c>
      <c r="BR17" s="9"/>
    </row>
    <row r="18" spans="1:70" s="9" customFormat="1" ht="24.95" customHeight="1" thickBot="1" x14ac:dyDescent="0.25">
      <c r="A18" s="618"/>
      <c r="B18" s="649"/>
      <c r="C18" s="297"/>
      <c r="D18" s="297"/>
      <c r="E18" s="297"/>
      <c r="F18" s="297"/>
      <c r="G18" s="297"/>
      <c r="H18" s="297"/>
      <c r="I18" s="297"/>
      <c r="J18" s="297"/>
      <c r="K18" s="297"/>
      <c r="L18" s="297"/>
      <c r="M18" s="297"/>
      <c r="N18" s="466"/>
      <c r="P18" s="410"/>
      <c r="Q18" s="409"/>
      <c r="S18" s="719">
        <v>1010102</v>
      </c>
      <c r="T18" s="693" t="s">
        <v>74</v>
      </c>
      <c r="U18" s="401">
        <v>12090252</v>
      </c>
      <c r="V18" s="15">
        <f t="shared" si="16"/>
        <v>0</v>
      </c>
      <c r="W18" s="15">
        <f t="shared" si="16"/>
        <v>0</v>
      </c>
      <c r="X18" s="16">
        <f>SUM(U18:W18)</f>
        <v>12090252</v>
      </c>
      <c r="Y18" s="19">
        <v>0</v>
      </c>
      <c r="Z18" s="377">
        <v>1036249</v>
      </c>
      <c r="AA18" s="16">
        <f>SUM(Y18:Z18)</f>
        <v>1036249</v>
      </c>
      <c r="AB18" s="19">
        <v>0</v>
      </c>
      <c r="AC18" s="377">
        <v>1036249</v>
      </c>
      <c r="AD18" s="18">
        <f>SUM(AB18:AC18)</f>
        <v>1036249</v>
      </c>
      <c r="AE18" s="19">
        <v>0</v>
      </c>
      <c r="AF18" s="377">
        <v>1036249</v>
      </c>
      <c r="AG18" s="16">
        <f>SUM(AE18:AF18)</f>
        <v>1036249</v>
      </c>
      <c r="AH18" s="19">
        <f>X18-AA18</f>
        <v>11054003</v>
      </c>
      <c r="AI18" s="15">
        <f>X18-AD18</f>
        <v>11054003</v>
      </c>
      <c r="AJ18" s="16">
        <f>X18-AG18</f>
        <v>11054003</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0</v>
      </c>
      <c r="BD18" s="74">
        <f>+I95+I96+I97+I99+I100+I101</f>
        <v>0</v>
      </c>
      <c r="BE18" s="75">
        <f>+K95+K96+K97+K99+K100+K101</f>
        <v>0</v>
      </c>
      <c r="BF18" s="95"/>
      <c r="BM18" s="202" t="s">
        <v>89</v>
      </c>
      <c r="BN18" s="83">
        <f>X148+X156</f>
        <v>156785051</v>
      </c>
      <c r="BO18" s="81">
        <f>AA148+AA156</f>
        <v>17370022</v>
      </c>
      <c r="BP18" s="81">
        <f>AD148+AD156</f>
        <v>14402022</v>
      </c>
      <c r="BQ18" s="82">
        <f>AF148+AF156</f>
        <v>5552409</v>
      </c>
      <c r="BR18" s="385"/>
    </row>
    <row r="19" spans="1:70" s="9" customFormat="1" ht="24.95" customHeight="1" thickBot="1" x14ac:dyDescent="0.3">
      <c r="A19" s="747">
        <v>113</v>
      </c>
      <c r="B19" s="650" t="s">
        <v>81</v>
      </c>
      <c r="C19" s="337">
        <f t="shared" ref="C19:N19" si="17">C21+C85</f>
        <v>2995860189</v>
      </c>
      <c r="D19" s="334">
        <f t="shared" si="17"/>
        <v>0</v>
      </c>
      <c r="E19" s="334">
        <f t="shared" si="17"/>
        <v>545386428</v>
      </c>
      <c r="F19" s="335">
        <f t="shared" si="17"/>
        <v>3541246617</v>
      </c>
      <c r="G19" s="337">
        <f t="shared" si="17"/>
        <v>0</v>
      </c>
      <c r="H19" s="334">
        <f t="shared" si="17"/>
        <v>305302001</v>
      </c>
      <c r="I19" s="335">
        <f t="shared" si="17"/>
        <v>305302001</v>
      </c>
      <c r="J19" s="337">
        <f t="shared" si="17"/>
        <v>0</v>
      </c>
      <c r="K19" s="334">
        <f t="shared" si="17"/>
        <v>173139506</v>
      </c>
      <c r="L19" s="335">
        <f t="shared" si="17"/>
        <v>173139506</v>
      </c>
      <c r="M19" s="337">
        <f t="shared" si="17"/>
        <v>3235944616</v>
      </c>
      <c r="N19" s="335">
        <f t="shared" si="17"/>
        <v>3368107111</v>
      </c>
      <c r="O19" s="385"/>
      <c r="P19" s="43">
        <f>P21+P85</f>
        <v>0</v>
      </c>
      <c r="Q19" s="45">
        <f>Q21+Q85</f>
        <v>545386428</v>
      </c>
      <c r="S19" s="719">
        <v>1010103</v>
      </c>
      <c r="T19" s="693" t="s">
        <v>77</v>
      </c>
      <c r="U19" s="401">
        <v>0</v>
      </c>
      <c r="V19" s="15">
        <f t="shared" si="16"/>
        <v>0</v>
      </c>
      <c r="W19" s="15">
        <f t="shared" si="16"/>
        <v>0</v>
      </c>
      <c r="X19" s="16">
        <f>SUM(U19:W19)</f>
        <v>0</v>
      </c>
      <c r="Y19" s="19">
        <v>0</v>
      </c>
      <c r="Z19" s="377">
        <v>0</v>
      </c>
      <c r="AA19" s="16">
        <f>SUM(Y19:Z19)</f>
        <v>0</v>
      </c>
      <c r="AB19" s="19">
        <v>0</v>
      </c>
      <c r="AC19" s="377">
        <v>0</v>
      </c>
      <c r="AD19" s="18">
        <f>SUM(AB19:AC19)</f>
        <v>0</v>
      </c>
      <c r="AE19" s="19">
        <v>0</v>
      </c>
      <c r="AF19" s="377">
        <v>0</v>
      </c>
      <c r="AG19" s="16">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10479124</v>
      </c>
      <c r="BE19" s="94">
        <f>+K105+K106+K107+K108+K109+K110+K98</f>
        <v>10479124</v>
      </c>
      <c r="BF19" s="57"/>
      <c r="BG19" s="385"/>
      <c r="BH19" s="385"/>
      <c r="BI19" s="385"/>
      <c r="BJ19" s="385"/>
      <c r="BK19" s="385"/>
      <c r="BM19" s="202" t="s">
        <v>96</v>
      </c>
      <c r="BN19" s="83">
        <f>X126+X167</f>
        <v>55492147</v>
      </c>
      <c r="BO19" s="81">
        <f>AA126+AA167</f>
        <v>2833709</v>
      </c>
      <c r="BP19" s="81">
        <f>AD126+AD167</f>
        <v>2833709</v>
      </c>
      <c r="BQ19" s="82">
        <f>AF126+AF167</f>
        <v>0</v>
      </c>
    </row>
    <row r="20" spans="1:70" s="425" customFormat="1" ht="24.95" customHeight="1" thickBot="1" x14ac:dyDescent="0.3">
      <c r="A20" s="618"/>
      <c r="B20" s="651"/>
      <c r="C20" s="297"/>
      <c r="D20" s="297"/>
      <c r="E20" s="297"/>
      <c r="F20" s="297"/>
      <c r="G20" s="297"/>
      <c r="H20" s="297"/>
      <c r="I20" s="297"/>
      <c r="J20" s="297"/>
      <c r="K20" s="297"/>
      <c r="L20" s="297"/>
      <c r="M20" s="297"/>
      <c r="N20" s="466"/>
      <c r="O20" s="9"/>
      <c r="P20" s="410"/>
      <c r="Q20" s="409"/>
      <c r="R20" s="9"/>
      <c r="S20" s="719">
        <v>1010104</v>
      </c>
      <c r="T20" s="693" t="s">
        <v>82</v>
      </c>
      <c r="U20" s="17">
        <f t="shared" ref="U20:AJ20" si="18">SUM(U21:U32)</f>
        <v>56164501</v>
      </c>
      <c r="V20" s="15">
        <f t="shared" si="18"/>
        <v>0</v>
      </c>
      <c r="W20" s="15">
        <f t="shared" si="18"/>
        <v>0</v>
      </c>
      <c r="X20" s="16">
        <f t="shared" si="18"/>
        <v>56164501</v>
      </c>
      <c r="Y20" s="19">
        <f t="shared" si="18"/>
        <v>0</v>
      </c>
      <c r="Z20" s="145">
        <f t="shared" si="18"/>
        <v>72000</v>
      </c>
      <c r="AA20" s="16">
        <f t="shared" si="18"/>
        <v>72000</v>
      </c>
      <c r="AB20" s="19">
        <f t="shared" si="18"/>
        <v>0</v>
      </c>
      <c r="AC20" s="145">
        <f t="shared" si="18"/>
        <v>72000</v>
      </c>
      <c r="AD20" s="18">
        <f t="shared" si="18"/>
        <v>72000</v>
      </c>
      <c r="AE20" s="19">
        <f t="shared" si="18"/>
        <v>0</v>
      </c>
      <c r="AF20" s="145">
        <f t="shared" si="18"/>
        <v>72000</v>
      </c>
      <c r="AG20" s="16">
        <f t="shared" si="18"/>
        <v>72000</v>
      </c>
      <c r="AH20" s="19">
        <f t="shared" si="18"/>
        <v>56092501</v>
      </c>
      <c r="AI20" s="15">
        <f t="shared" si="18"/>
        <v>56092501</v>
      </c>
      <c r="AJ20" s="16">
        <f t="shared" si="18"/>
        <v>56092501</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594347</v>
      </c>
      <c r="BD20" s="66">
        <f>+I115+I117+I119+I120+I121+I123+I124</f>
        <v>413</v>
      </c>
      <c r="BE20" s="67">
        <f>+K115+K117+K119+K120+K121+K123+K124</f>
        <v>413</v>
      </c>
      <c r="BF20" s="57"/>
      <c r="BG20" s="385"/>
      <c r="BH20" s="385"/>
      <c r="BI20" s="385"/>
      <c r="BJ20" s="385"/>
      <c r="BK20" s="385"/>
      <c r="BL20" s="385"/>
      <c r="BM20" s="142" t="s">
        <v>454</v>
      </c>
      <c r="BN20" s="83">
        <f>+X141-X143</f>
        <v>10780963</v>
      </c>
      <c r="BO20" s="81">
        <f>+AA141-AA143</f>
        <v>0</v>
      </c>
      <c r="BP20" s="81">
        <f>+AD141-AD143</f>
        <v>0</v>
      </c>
      <c r="BQ20" s="82">
        <f>+AF141-AF143</f>
        <v>0</v>
      </c>
      <c r="BR20" s="9"/>
    </row>
    <row r="21" spans="1:70" s="425" customFormat="1" ht="24.95" customHeight="1" thickBot="1" x14ac:dyDescent="0.3">
      <c r="A21" s="748">
        <v>11301</v>
      </c>
      <c r="B21" s="652" t="s">
        <v>90</v>
      </c>
      <c r="C21" s="177">
        <f t="shared" ref="C21:N21" si="19">C22+C25+C28+C41+C42+C45+C48+C51+C54+C57+C60+C63+C66+C69+C72+C75+C78+C81</f>
        <v>2921860189</v>
      </c>
      <c r="D21" s="357">
        <f t="shared" si="19"/>
        <v>0</v>
      </c>
      <c r="E21" s="357">
        <f t="shared" si="19"/>
        <v>545386428</v>
      </c>
      <c r="F21" s="357">
        <f t="shared" si="19"/>
        <v>3467246617</v>
      </c>
      <c r="G21" s="357">
        <f t="shared" si="19"/>
        <v>0</v>
      </c>
      <c r="H21" s="357">
        <f t="shared" si="19"/>
        <v>305302001</v>
      </c>
      <c r="I21" s="357">
        <f t="shared" si="19"/>
        <v>305302001</v>
      </c>
      <c r="J21" s="357">
        <f t="shared" si="19"/>
        <v>0</v>
      </c>
      <c r="K21" s="357">
        <f t="shared" si="19"/>
        <v>173139506</v>
      </c>
      <c r="L21" s="357">
        <f t="shared" si="19"/>
        <v>173139506</v>
      </c>
      <c r="M21" s="357">
        <f t="shared" si="19"/>
        <v>3161944616</v>
      </c>
      <c r="N21" s="178">
        <f t="shared" si="19"/>
        <v>3294107111</v>
      </c>
      <c r="O21" s="385"/>
      <c r="P21" s="43">
        <f>P22+P25+P28+P41+P42+P45+P48+P51+P54+P57+P60+P63+P66+P69+P72+P75+P78+P81</f>
        <v>0</v>
      </c>
      <c r="Q21" s="45">
        <f>Q22+Q25+Q28+Q41+Q42+Q45+Q48+Q51+Q54+Q57+Q60+Q63+Q66+Q69+Q72+Q75+Q78+Q81</f>
        <v>545386428</v>
      </c>
      <c r="R21" s="9"/>
      <c r="S21" s="720" t="s">
        <v>86</v>
      </c>
      <c r="T21" s="694" t="s">
        <v>406</v>
      </c>
      <c r="U21" s="401">
        <v>27481083</v>
      </c>
      <c r="V21" s="15">
        <f t="shared" ref="V21:V33" si="20">AL21</f>
        <v>0</v>
      </c>
      <c r="W21" s="15">
        <f t="shared" ref="W21:W33" si="21">AM21</f>
        <v>0</v>
      </c>
      <c r="X21" s="16">
        <f t="shared" ref="X21:X33" si="22">SUM(U21:W21)</f>
        <v>27481083</v>
      </c>
      <c r="Y21" s="19">
        <v>0</v>
      </c>
      <c r="Z21" s="377">
        <v>0</v>
      </c>
      <c r="AA21" s="16">
        <f t="shared" ref="AA21:AA33" si="23">SUM(Y21:Z21)</f>
        <v>0</v>
      </c>
      <c r="AB21" s="19">
        <v>0</v>
      </c>
      <c r="AC21" s="377">
        <v>0</v>
      </c>
      <c r="AD21" s="18">
        <f t="shared" ref="AD21:AD33" si="24">SUM(AB21:AC21)</f>
        <v>0</v>
      </c>
      <c r="AE21" s="19">
        <v>0</v>
      </c>
      <c r="AF21" s="377">
        <v>0</v>
      </c>
      <c r="AG21" s="16">
        <f t="shared" ref="AG21:AG33" si="25">SUM(AE21:AF21)</f>
        <v>0</v>
      </c>
      <c r="AH21" s="19">
        <f t="shared" ref="AH21:AH33" si="26">X21-AA21</f>
        <v>27481083</v>
      </c>
      <c r="AI21" s="15">
        <f t="shared" ref="AI21:AI33" si="27">X21-AD21</f>
        <v>27481083</v>
      </c>
      <c r="AJ21" s="16">
        <f t="shared" ref="AJ21:AJ33" si="28">X21-AG21</f>
        <v>27481083</v>
      </c>
      <c r="AK21" s="9"/>
      <c r="AL21" s="375">
        <v>0</v>
      </c>
      <c r="AM21" s="378">
        <v>0</v>
      </c>
      <c r="AN21" s="9"/>
      <c r="AO21" s="352"/>
      <c r="AP21" s="426"/>
      <c r="AQ21" s="427"/>
      <c r="AR21" s="428" t="str">
        <f>AR6</f>
        <v>ENERO</v>
      </c>
      <c r="AS21" s="429" t="str">
        <f>AR6</f>
        <v>ENERO</v>
      </c>
      <c r="AT21" s="428" t="str">
        <f>AR6</f>
        <v>ENERO</v>
      </c>
      <c r="AU21" s="428" t="s">
        <v>46</v>
      </c>
      <c r="AV21" s="428" t="s">
        <v>24</v>
      </c>
      <c r="AW21" s="430"/>
      <c r="AX21" s="430"/>
      <c r="AY21" s="428" t="s">
        <v>46</v>
      </c>
      <c r="AZ21" s="431" t="s">
        <v>24</v>
      </c>
      <c r="BA21" s="9"/>
      <c r="BB21" s="101" t="s">
        <v>447</v>
      </c>
      <c r="BC21" s="65">
        <f>SUMIF($B8:B122,$B24,F8:F122)+F122</f>
        <v>577451227</v>
      </c>
      <c r="BD21" s="66">
        <f>SUMIF($B8:B122,$B24,I8:I122)+I122</f>
        <v>98263834</v>
      </c>
      <c r="BE21" s="67">
        <f>SUMIF($B8:B122,$B24,K8:K122)+K122</f>
        <v>98263834</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v>1130101</v>
      </c>
      <c r="B22" s="653" t="s">
        <v>92</v>
      </c>
      <c r="C22" s="43">
        <f t="shared" ref="C22:N22" si="29">SUM(C23:C24)</f>
        <v>1323143662</v>
      </c>
      <c r="D22" s="44">
        <f t="shared" si="29"/>
        <v>0</v>
      </c>
      <c r="E22" s="44">
        <f t="shared" si="29"/>
        <v>435611621</v>
      </c>
      <c r="F22" s="44">
        <f t="shared" si="29"/>
        <v>1758755283</v>
      </c>
      <c r="G22" s="44">
        <f t="shared" si="29"/>
        <v>0</v>
      </c>
      <c r="H22" s="44">
        <f t="shared" si="29"/>
        <v>177772378</v>
      </c>
      <c r="I22" s="44">
        <f t="shared" si="29"/>
        <v>177772378</v>
      </c>
      <c r="J22" s="44">
        <f t="shared" si="29"/>
        <v>0</v>
      </c>
      <c r="K22" s="44">
        <f t="shared" si="29"/>
        <v>81308744</v>
      </c>
      <c r="L22" s="44">
        <f t="shared" si="29"/>
        <v>81308744</v>
      </c>
      <c r="M22" s="44">
        <f t="shared" si="29"/>
        <v>1580982905</v>
      </c>
      <c r="N22" s="45">
        <f t="shared" si="29"/>
        <v>1677446539</v>
      </c>
      <c r="P22" s="43">
        <f>SUM(P23:P24)</f>
        <v>0</v>
      </c>
      <c r="Q22" s="45">
        <f>SUM(Q23:Q24)</f>
        <v>435611621</v>
      </c>
      <c r="S22" s="720" t="s">
        <v>91</v>
      </c>
      <c r="T22" s="694" t="s">
        <v>407</v>
      </c>
      <c r="U22" s="401">
        <v>0</v>
      </c>
      <c r="V22" s="15">
        <f t="shared" si="20"/>
        <v>0</v>
      </c>
      <c r="W22" s="15">
        <f t="shared" si="21"/>
        <v>0</v>
      </c>
      <c r="X22" s="16">
        <f t="shared" si="22"/>
        <v>0</v>
      </c>
      <c r="Y22" s="19">
        <v>0</v>
      </c>
      <c r="Z22" s="377">
        <v>0</v>
      </c>
      <c r="AA22" s="16">
        <f t="shared" si="23"/>
        <v>0</v>
      </c>
      <c r="AB22" s="19">
        <v>0</v>
      </c>
      <c r="AC22" s="377">
        <v>0</v>
      </c>
      <c r="AD22" s="18">
        <f t="shared" si="24"/>
        <v>0</v>
      </c>
      <c r="AE22" s="19">
        <v>0</v>
      </c>
      <c r="AF22" s="377">
        <v>0</v>
      </c>
      <c r="AG22" s="16">
        <f t="shared" si="25"/>
        <v>0</v>
      </c>
      <c r="AH22" s="19">
        <f t="shared" si="26"/>
        <v>0</v>
      </c>
      <c r="AI22" s="15">
        <f t="shared" si="27"/>
        <v>0</v>
      </c>
      <c r="AJ22" s="16">
        <f t="shared" si="28"/>
        <v>0</v>
      </c>
      <c r="AL22" s="375">
        <v>0</v>
      </c>
      <c r="AM22" s="378">
        <v>0</v>
      </c>
      <c r="AO22" s="21"/>
      <c r="AP22" s="432" t="s">
        <v>106</v>
      </c>
      <c r="AQ22" s="433">
        <f>X17+X66</f>
        <v>945471180</v>
      </c>
      <c r="AR22" s="433">
        <f>AD17+AD66</f>
        <v>76069106</v>
      </c>
      <c r="AS22" s="433">
        <f>AG17+AG66</f>
        <v>70707778</v>
      </c>
      <c r="AT22" s="434"/>
      <c r="AU22" s="435">
        <f t="shared" ref="AU22:AU32" si="30">IF(AQ22=0," ",AR22/AQ22)</f>
        <v>8.0456292702650117E-2</v>
      </c>
      <c r="AV22" s="435">
        <f t="shared" ref="AV22:AV32" si="31">IF(AQ22=0," ",AS22/AQ22)</f>
        <v>7.4785757086746951E-2</v>
      </c>
      <c r="AW22" s="436">
        <f>AR22/$AO$2*12</f>
        <v>912829272</v>
      </c>
      <c r="AX22" s="436">
        <f>AS22/$AO$2*12</f>
        <v>848493336</v>
      </c>
      <c r="AY22" s="436">
        <f t="shared" ref="AY22:AY28" si="32">AQ22-AW22</f>
        <v>32641908</v>
      </c>
      <c r="AZ22" s="437">
        <f t="shared" ref="AZ22:AZ31" si="33">AQ22-AX22</f>
        <v>96977844</v>
      </c>
      <c r="BA22" s="385"/>
      <c r="BB22" s="102" t="s">
        <v>111</v>
      </c>
      <c r="BC22" s="103">
        <f>BC7+BC8+BC20+BC21</f>
        <v>3771429503</v>
      </c>
      <c r="BD22" s="104">
        <f>BD7+BD8+BD20+BD21</f>
        <v>406203599</v>
      </c>
      <c r="BE22" s="105">
        <f>BE7+BE8+BE20+BE21</f>
        <v>274041104</v>
      </c>
      <c r="BF22" s="57"/>
      <c r="BG22" s="385"/>
      <c r="BH22" s="385"/>
      <c r="BI22" s="385"/>
      <c r="BJ22" s="385"/>
      <c r="BK22" s="385"/>
      <c r="BM22" s="71" t="s">
        <v>69</v>
      </c>
      <c r="BN22" s="83">
        <f>BN23+BN24</f>
        <v>60072284</v>
      </c>
      <c r="BO22" s="81">
        <f>BO23+BO24</f>
        <v>5035399</v>
      </c>
      <c r="BP22" s="81">
        <f>BP23+BP24</f>
        <v>5035399</v>
      </c>
      <c r="BQ22" s="82">
        <f>BQ23+BQ24</f>
        <v>2457999</v>
      </c>
      <c r="BR22" s="385"/>
    </row>
    <row r="23" spans="1:70" s="425" customFormat="1" ht="24.95" customHeight="1" x14ac:dyDescent="0.2">
      <c r="A23" s="618" t="s">
        <v>97</v>
      </c>
      <c r="B23" s="654" t="str">
        <f>+CONCATENATE("Vigencia ",INSTRUCCIONES!$F$3)</f>
        <v>Vigencia 2015</v>
      </c>
      <c r="C23" s="375">
        <v>1323143662</v>
      </c>
      <c r="D23" s="376">
        <f>P23</f>
        <v>0</v>
      </c>
      <c r="E23" s="376">
        <f>Q23</f>
        <v>0</v>
      </c>
      <c r="F23" s="376">
        <f>SUM(C23:E23)</f>
        <v>1323143662</v>
      </c>
      <c r="G23" s="376">
        <v>0</v>
      </c>
      <c r="H23" s="377">
        <v>96463634</v>
      </c>
      <c r="I23" s="376">
        <f>SUM(G23:H23)</f>
        <v>96463634</v>
      </c>
      <c r="J23" s="376">
        <v>0</v>
      </c>
      <c r="K23" s="377">
        <v>0</v>
      </c>
      <c r="L23" s="376">
        <f>SUM(J23:K23)</f>
        <v>0</v>
      </c>
      <c r="M23" s="376">
        <f>F23-I23</f>
        <v>1226680028</v>
      </c>
      <c r="N23" s="146">
        <f>F23-L23</f>
        <v>1323143662</v>
      </c>
      <c r="O23" s="9"/>
      <c r="P23" s="375">
        <v>0</v>
      </c>
      <c r="Q23" s="378">
        <v>0</v>
      </c>
      <c r="R23" s="9"/>
      <c r="S23" s="720" t="s">
        <v>93</v>
      </c>
      <c r="T23" s="694" t="s">
        <v>408</v>
      </c>
      <c r="U23" s="401">
        <v>12683577</v>
      </c>
      <c r="V23" s="15">
        <f t="shared" si="20"/>
        <v>0</v>
      </c>
      <c r="W23" s="15">
        <f t="shared" si="21"/>
        <v>0</v>
      </c>
      <c r="X23" s="16">
        <f t="shared" si="22"/>
        <v>12683577</v>
      </c>
      <c r="Y23" s="19">
        <v>0</v>
      </c>
      <c r="Z23" s="377">
        <v>0</v>
      </c>
      <c r="AA23" s="16">
        <f t="shared" si="23"/>
        <v>0</v>
      </c>
      <c r="AB23" s="19">
        <v>0</v>
      </c>
      <c r="AC23" s="377">
        <v>0</v>
      </c>
      <c r="AD23" s="18">
        <f t="shared" si="24"/>
        <v>0</v>
      </c>
      <c r="AE23" s="19">
        <v>0</v>
      </c>
      <c r="AF23" s="377">
        <v>0</v>
      </c>
      <c r="AG23" s="16">
        <f t="shared" si="25"/>
        <v>0</v>
      </c>
      <c r="AH23" s="19">
        <f t="shared" si="26"/>
        <v>12683577</v>
      </c>
      <c r="AI23" s="15">
        <f t="shared" si="27"/>
        <v>12683577</v>
      </c>
      <c r="AJ23" s="16">
        <f t="shared" si="28"/>
        <v>12683577</v>
      </c>
      <c r="AK23" s="9"/>
      <c r="AL23" s="375">
        <v>0</v>
      </c>
      <c r="AM23" s="378">
        <v>0</v>
      </c>
      <c r="AN23" s="9"/>
      <c r="AO23" s="373"/>
      <c r="AP23" s="438" t="s">
        <v>110</v>
      </c>
      <c r="AQ23" s="439">
        <f>X16+X65-AQ22</f>
        <v>258891529</v>
      </c>
      <c r="AR23" s="439">
        <f>AD16+AD65-AR22</f>
        <v>29989111</v>
      </c>
      <c r="AS23" s="439">
        <f>AG16+AG65-AS22</f>
        <v>21056068</v>
      </c>
      <c r="AT23" s="330"/>
      <c r="AU23" s="345">
        <f t="shared" si="30"/>
        <v>0.1158365865265526</v>
      </c>
      <c r="AV23" s="345">
        <f t="shared" si="31"/>
        <v>8.1331622094131945E-2</v>
      </c>
      <c r="AW23" s="439">
        <f>(AR23-AD21-AD22-AD23-AD25-AD30-AD33-AD70-AD71-AD72-AD74-AD78-AD81)/$AO$2*12+AX22/12*2.5+AD30+AD33+AD78+AD81</f>
        <v>356697400</v>
      </c>
      <c r="AX23" s="439">
        <f>(AS23-AG21-AG22-AG23-AG25-AG30-AG33-AG70-AG71-AG72-AG74-AG78-AG81)/$AO$2*12+AX22/12*2.5+AG30+AG33+AG78+AG81</f>
        <v>333456415</v>
      </c>
      <c r="AY23" s="439">
        <f t="shared" si="32"/>
        <v>-97805871</v>
      </c>
      <c r="AZ23" s="46">
        <f t="shared" si="33"/>
        <v>-74564886</v>
      </c>
      <c r="BA23" s="385"/>
      <c r="BF23" s="385"/>
      <c r="BG23" s="385"/>
      <c r="BH23" s="385"/>
      <c r="BI23" s="385"/>
      <c r="BJ23" s="385"/>
      <c r="BK23" s="385"/>
      <c r="BL23" s="385"/>
      <c r="BM23" s="140" t="s">
        <v>107</v>
      </c>
      <c r="BN23" s="83">
        <f>X177</f>
        <v>39279816</v>
      </c>
      <c r="BO23" s="81">
        <f>AA177</f>
        <v>2457999</v>
      </c>
      <c r="BP23" s="81">
        <f>AD177</f>
        <v>2457999</v>
      </c>
      <c r="BQ23" s="82">
        <f>AF177</f>
        <v>2457999</v>
      </c>
      <c r="BR23" s="9"/>
    </row>
    <row r="24" spans="1:70" s="425" customFormat="1" ht="24.95" customHeight="1" x14ac:dyDescent="0.2">
      <c r="A24" s="618" t="s">
        <v>102</v>
      </c>
      <c r="B24" s="654" t="s">
        <v>589</v>
      </c>
      <c r="C24" s="375">
        <v>0</v>
      </c>
      <c r="D24" s="376">
        <f>P24</f>
        <v>0</v>
      </c>
      <c r="E24" s="376">
        <f>Q24</f>
        <v>435611621</v>
      </c>
      <c r="F24" s="376">
        <f>SUM(C24:E24)</f>
        <v>435611621</v>
      </c>
      <c r="G24" s="376">
        <v>0</v>
      </c>
      <c r="H24" s="377">
        <v>81308744</v>
      </c>
      <c r="I24" s="376">
        <f>SUM(G24:H24)</f>
        <v>81308744</v>
      </c>
      <c r="J24" s="376">
        <v>0</v>
      </c>
      <c r="K24" s="377">
        <v>81308744</v>
      </c>
      <c r="L24" s="376">
        <f>SUM(J24:K24)</f>
        <v>81308744</v>
      </c>
      <c r="M24" s="376">
        <f>F24-I24</f>
        <v>354302877</v>
      </c>
      <c r="N24" s="146">
        <f>F24-L24</f>
        <v>354302877</v>
      </c>
      <c r="O24" s="385"/>
      <c r="P24" s="375">
        <v>0</v>
      </c>
      <c r="Q24" s="378">
        <v>435611621</v>
      </c>
      <c r="R24" s="9"/>
      <c r="S24" s="720" t="s">
        <v>98</v>
      </c>
      <c r="T24" s="694" t="s">
        <v>409</v>
      </c>
      <c r="U24" s="401">
        <v>0</v>
      </c>
      <c r="V24" s="15">
        <f t="shared" si="20"/>
        <v>0</v>
      </c>
      <c r="W24" s="15">
        <f t="shared" si="21"/>
        <v>0</v>
      </c>
      <c r="X24" s="16">
        <f t="shared" si="22"/>
        <v>0</v>
      </c>
      <c r="Y24" s="19">
        <v>0</v>
      </c>
      <c r="Z24" s="377">
        <v>0</v>
      </c>
      <c r="AA24" s="16">
        <f t="shared" si="23"/>
        <v>0</v>
      </c>
      <c r="AB24" s="19">
        <v>0</v>
      </c>
      <c r="AC24" s="377">
        <v>0</v>
      </c>
      <c r="AD24" s="18">
        <f t="shared" si="24"/>
        <v>0</v>
      </c>
      <c r="AE24" s="19">
        <v>0</v>
      </c>
      <c r="AF24" s="377">
        <v>0</v>
      </c>
      <c r="AG24" s="16">
        <f t="shared" si="25"/>
        <v>0</v>
      </c>
      <c r="AH24" s="19">
        <f t="shared" si="26"/>
        <v>0</v>
      </c>
      <c r="AI24" s="15">
        <f t="shared" si="27"/>
        <v>0</v>
      </c>
      <c r="AJ24" s="16">
        <f t="shared" si="28"/>
        <v>0</v>
      </c>
      <c r="AK24" s="9"/>
      <c r="AL24" s="375">
        <v>0</v>
      </c>
      <c r="AM24" s="378">
        <v>0</v>
      </c>
      <c r="AN24" s="9"/>
      <c r="AO24" s="373"/>
      <c r="AP24" s="418" t="s">
        <v>115</v>
      </c>
      <c r="AQ24" s="434">
        <f>X35+X83</f>
        <v>400283995</v>
      </c>
      <c r="AR24" s="434">
        <f>AD35+AD83</f>
        <v>42114478</v>
      </c>
      <c r="AS24" s="434">
        <f>AG35+AG83</f>
        <v>7620506</v>
      </c>
      <c r="AT24" s="434"/>
      <c r="AU24" s="376">
        <f t="shared" si="30"/>
        <v>0.10521149615287516</v>
      </c>
      <c r="AV24" s="376">
        <f t="shared" si="31"/>
        <v>1.9037748436581882E-2</v>
      </c>
      <c r="AW24" s="376">
        <f>(AR24-AD41-AD88)/$AO$2*12+AD41+AD88</f>
        <v>131874478</v>
      </c>
      <c r="AX24" s="376">
        <f>(AS24-AG41-AG88)/$AO$2*12+AG41+AG88</f>
        <v>14880572</v>
      </c>
      <c r="AY24" s="376">
        <f t="shared" si="32"/>
        <v>268409517</v>
      </c>
      <c r="AZ24" s="146">
        <f t="shared" si="33"/>
        <v>385403423</v>
      </c>
      <c r="BA24" s="9"/>
      <c r="BB24" s="440"/>
      <c r="BC24" s="385"/>
      <c r="BD24" s="385"/>
      <c r="BE24" s="385"/>
      <c r="BF24" s="385"/>
      <c r="BG24" s="385"/>
      <c r="BH24" s="385"/>
      <c r="BI24" s="385"/>
      <c r="BJ24" s="385"/>
      <c r="BK24" s="385"/>
      <c r="BL24" s="385"/>
      <c r="BM24" s="140" t="s">
        <v>112</v>
      </c>
      <c r="BN24" s="83">
        <f>X170-X177-X174-X183-X191</f>
        <v>20792468</v>
      </c>
      <c r="BO24" s="81">
        <f>AA170-AA177-AA174-AA183-AA191</f>
        <v>2577400</v>
      </c>
      <c r="BP24" s="81">
        <f>AD170-AD177-AD174-AD183-AD191</f>
        <v>2577400</v>
      </c>
      <c r="BQ24" s="82">
        <f>AF170-AF177-AF174-AF183-AF191</f>
        <v>0</v>
      </c>
      <c r="BR24" s="385"/>
    </row>
    <row r="25" spans="1:70" s="385" customFormat="1" ht="24.95" customHeight="1" x14ac:dyDescent="0.25">
      <c r="A25" s="747">
        <v>1130102</v>
      </c>
      <c r="B25" s="653" t="s">
        <v>104</v>
      </c>
      <c r="C25" s="43">
        <f t="shared" ref="C25:N25" si="34">SUM(C26:C27)</f>
        <v>873986903</v>
      </c>
      <c r="D25" s="44">
        <f t="shared" si="34"/>
        <v>0</v>
      </c>
      <c r="E25" s="44">
        <f t="shared" si="34"/>
        <v>71552427</v>
      </c>
      <c r="F25" s="44">
        <f t="shared" si="34"/>
        <v>945539330</v>
      </c>
      <c r="G25" s="44">
        <f t="shared" si="34"/>
        <v>0</v>
      </c>
      <c r="H25" s="44">
        <f t="shared" si="34"/>
        <v>77570949</v>
      </c>
      <c r="I25" s="44">
        <f t="shared" si="34"/>
        <v>77570949</v>
      </c>
      <c r="J25" s="44">
        <f t="shared" si="34"/>
        <v>0</v>
      </c>
      <c r="K25" s="44">
        <f t="shared" si="34"/>
        <v>53051517</v>
      </c>
      <c r="L25" s="44">
        <f t="shared" si="34"/>
        <v>53051517</v>
      </c>
      <c r="M25" s="44">
        <f t="shared" si="34"/>
        <v>867968381</v>
      </c>
      <c r="N25" s="45">
        <f t="shared" si="34"/>
        <v>892487813</v>
      </c>
      <c r="P25" s="43">
        <f>SUM(P26:P27)</f>
        <v>0</v>
      </c>
      <c r="Q25" s="45">
        <f>SUM(Q26:Q27)</f>
        <v>71552427</v>
      </c>
      <c r="R25" s="9"/>
      <c r="S25" s="720" t="s">
        <v>103</v>
      </c>
      <c r="T25" s="694" t="s">
        <v>410</v>
      </c>
      <c r="U25" s="401">
        <v>12683577</v>
      </c>
      <c r="V25" s="15">
        <f t="shared" si="20"/>
        <v>0</v>
      </c>
      <c r="W25" s="15">
        <f t="shared" si="21"/>
        <v>0</v>
      </c>
      <c r="X25" s="16">
        <f t="shared" si="22"/>
        <v>12683577</v>
      </c>
      <c r="Y25" s="19">
        <v>0</v>
      </c>
      <c r="Z25" s="377">
        <v>0</v>
      </c>
      <c r="AA25" s="16">
        <f t="shared" si="23"/>
        <v>0</v>
      </c>
      <c r="AB25" s="19">
        <v>0</v>
      </c>
      <c r="AC25" s="377">
        <v>0</v>
      </c>
      <c r="AD25" s="18">
        <f t="shared" si="24"/>
        <v>0</v>
      </c>
      <c r="AE25" s="19">
        <v>0</v>
      </c>
      <c r="AF25" s="377">
        <v>0</v>
      </c>
      <c r="AG25" s="16">
        <f t="shared" si="25"/>
        <v>0</v>
      </c>
      <c r="AH25" s="19">
        <f t="shared" si="26"/>
        <v>12683577</v>
      </c>
      <c r="AI25" s="15">
        <f t="shared" si="27"/>
        <v>12683577</v>
      </c>
      <c r="AJ25" s="16">
        <f t="shared" si="28"/>
        <v>12683577</v>
      </c>
      <c r="AK25" s="9"/>
      <c r="AL25" s="375">
        <v>0</v>
      </c>
      <c r="AM25" s="378">
        <v>0</v>
      </c>
      <c r="AN25" s="9"/>
      <c r="AO25" s="21"/>
      <c r="AP25" s="441" t="s">
        <v>118</v>
      </c>
      <c r="AQ25" s="376">
        <f>X43+X57+X90+X104</f>
        <v>529138337</v>
      </c>
      <c r="AR25" s="376">
        <f>AD43+AD57+AD90+AD104</f>
        <v>116671196</v>
      </c>
      <c r="AS25" s="376">
        <f>AG43+AG57+AG90+AG104</f>
        <v>19931581</v>
      </c>
      <c r="AT25" s="434"/>
      <c r="AU25" s="376">
        <f t="shared" si="30"/>
        <v>0.22049280470108898</v>
      </c>
      <c r="AV25" s="376">
        <f t="shared" si="31"/>
        <v>3.7667996450614388E-2</v>
      </c>
      <c r="AW25" s="376">
        <f>(AR25-AD55-AD61-AD102-AD108)/$AO$2*12+AD55+AD61+AD102+AD108</f>
        <v>421059687</v>
      </c>
      <c r="AX25" s="376">
        <f>(AS25-AG55-AG61-AG102-AG108)/$AO$2*12+AG55+AG61+AG102+AG108</f>
        <v>239178972</v>
      </c>
      <c r="AY25" s="376">
        <f t="shared" si="32"/>
        <v>108078650</v>
      </c>
      <c r="AZ25" s="146">
        <f t="shared" si="33"/>
        <v>289959365</v>
      </c>
      <c r="BB25" s="440"/>
      <c r="BM25" s="143" t="s">
        <v>455</v>
      </c>
      <c r="BN25" s="106">
        <f>+SUM(BN26:BN28)</f>
        <v>315812208</v>
      </c>
      <c r="BO25" s="107">
        <f>+SUM(BO26:BO28)</f>
        <v>30129180</v>
      </c>
      <c r="BP25" s="107">
        <f>+SUM(BP26:BP28)</f>
        <v>30129180</v>
      </c>
      <c r="BQ25" s="108">
        <f>+SUM(BQ26:BQ28)</f>
        <v>275000</v>
      </c>
    </row>
    <row r="26" spans="1:70" s="9" customFormat="1" ht="24.95" customHeight="1" x14ac:dyDescent="0.2">
      <c r="A26" s="618" t="s">
        <v>108</v>
      </c>
      <c r="B26" s="654" t="str">
        <f>+CONCATENATE("Vigencia ",INSTRUCCIONES!$F$3)</f>
        <v>Vigencia 2015</v>
      </c>
      <c r="C26" s="375">
        <v>873986903</v>
      </c>
      <c r="D26" s="376">
        <f>P26</f>
        <v>0</v>
      </c>
      <c r="E26" s="376">
        <f>Q26</f>
        <v>0</v>
      </c>
      <c r="F26" s="376">
        <f>SUM(C26:E26)</f>
        <v>873986903</v>
      </c>
      <c r="G26" s="376">
        <v>0</v>
      </c>
      <c r="H26" s="377">
        <v>62909682</v>
      </c>
      <c r="I26" s="376">
        <f>SUM(G26:H26)</f>
        <v>62909682</v>
      </c>
      <c r="J26" s="376">
        <v>0</v>
      </c>
      <c r="K26" s="377">
        <v>38390250</v>
      </c>
      <c r="L26" s="376">
        <f>SUM(J26:K26)</f>
        <v>38390250</v>
      </c>
      <c r="M26" s="376">
        <f>F26-I26</f>
        <v>811077221</v>
      </c>
      <c r="N26" s="146">
        <f>F26-L26</f>
        <v>835596653</v>
      </c>
      <c r="P26" s="375">
        <v>0</v>
      </c>
      <c r="Q26" s="378">
        <v>0</v>
      </c>
      <c r="S26" s="720" t="s">
        <v>105</v>
      </c>
      <c r="T26" s="694" t="s">
        <v>411</v>
      </c>
      <c r="U26" s="401">
        <v>0</v>
      </c>
      <c r="V26" s="15">
        <f t="shared" si="20"/>
        <v>0</v>
      </c>
      <c r="W26" s="15">
        <f t="shared" si="21"/>
        <v>0</v>
      </c>
      <c r="X26" s="16">
        <f t="shared" si="22"/>
        <v>0</v>
      </c>
      <c r="Y26" s="19">
        <v>0</v>
      </c>
      <c r="Z26" s="377">
        <v>0</v>
      </c>
      <c r="AA26" s="16">
        <f t="shared" si="23"/>
        <v>0</v>
      </c>
      <c r="AB26" s="19">
        <v>0</v>
      </c>
      <c r="AC26" s="377">
        <v>0</v>
      </c>
      <c r="AD26" s="18">
        <f t="shared" si="24"/>
        <v>0</v>
      </c>
      <c r="AE26" s="19">
        <v>0</v>
      </c>
      <c r="AF26" s="377">
        <v>0</v>
      </c>
      <c r="AG26" s="16">
        <f t="shared" si="25"/>
        <v>0</v>
      </c>
      <c r="AH26" s="19">
        <f t="shared" si="26"/>
        <v>0</v>
      </c>
      <c r="AI26" s="15">
        <f t="shared" si="27"/>
        <v>0</v>
      </c>
      <c r="AJ26" s="16">
        <f t="shared" si="28"/>
        <v>0</v>
      </c>
      <c r="AL26" s="375">
        <v>0</v>
      </c>
      <c r="AM26" s="378">
        <v>0</v>
      </c>
      <c r="AO26" s="21"/>
      <c r="AP26" s="442" t="s">
        <v>122</v>
      </c>
      <c r="AQ26" s="330">
        <f>X110</f>
        <v>680002228</v>
      </c>
      <c r="AR26" s="330">
        <f>AD110</f>
        <v>136695058</v>
      </c>
      <c r="AS26" s="330">
        <f>AG110</f>
        <v>19349925</v>
      </c>
      <c r="AT26" s="374">
        <f>AO2/12</f>
        <v>8.3333333333333329E-2</v>
      </c>
      <c r="AU26" s="345">
        <f t="shared" si="30"/>
        <v>0.20102148547666229</v>
      </c>
      <c r="AV26" s="345">
        <f t="shared" si="31"/>
        <v>2.8455678824628794E-2</v>
      </c>
      <c r="AW26" s="439">
        <f>(AR26-AD121-AD139-AD143-AD153-AD168)/$AO$2*12+AD121+AD139+AD143+AD153+AD168</f>
        <v>515106542</v>
      </c>
      <c r="AX26" s="439">
        <f>(AS26-AG121-AG139-AG143-AG153-AG168)/$AO$2*12+AG121+AG139+AG143+AG153+AG168</f>
        <v>98006844</v>
      </c>
      <c r="AY26" s="439">
        <f t="shared" si="32"/>
        <v>164895686</v>
      </c>
      <c r="AZ26" s="46">
        <f t="shared" si="33"/>
        <v>581995384</v>
      </c>
      <c r="BA26" s="385"/>
      <c r="BB26" s="385"/>
      <c r="BC26" s="385"/>
      <c r="BD26" s="385"/>
      <c r="BE26" s="385"/>
      <c r="BF26" s="385"/>
      <c r="BG26" s="385"/>
      <c r="BH26" s="385"/>
      <c r="BI26" s="385"/>
      <c r="BJ26" s="385"/>
      <c r="BK26" s="385"/>
      <c r="BM26" s="109" t="s">
        <v>456</v>
      </c>
      <c r="BN26" s="86">
        <f>+X196+X212</f>
        <v>187244601</v>
      </c>
      <c r="BO26" s="84">
        <f>+AA196+AA212</f>
        <v>16828901</v>
      </c>
      <c r="BP26" s="84">
        <f>+AD196+AD212</f>
        <v>16828901</v>
      </c>
      <c r="BQ26" s="85">
        <f>+AF196+AF212</f>
        <v>275000</v>
      </c>
      <c r="BR26" s="385"/>
    </row>
    <row r="27" spans="1:70" s="425" customFormat="1" ht="24.95" customHeight="1" x14ac:dyDescent="0.2">
      <c r="A27" s="618" t="s">
        <v>113</v>
      </c>
      <c r="B27" s="654" t="s">
        <v>589</v>
      </c>
      <c r="C27" s="375">
        <v>0</v>
      </c>
      <c r="D27" s="376">
        <f>P27</f>
        <v>0</v>
      </c>
      <c r="E27" s="376">
        <f>Q27</f>
        <v>71552427</v>
      </c>
      <c r="F27" s="376">
        <f>SUM(C27:E27)</f>
        <v>71552427</v>
      </c>
      <c r="G27" s="376">
        <v>0</v>
      </c>
      <c r="H27" s="377">
        <v>14661267</v>
      </c>
      <c r="I27" s="376">
        <f>SUM(G27:H27)</f>
        <v>14661267</v>
      </c>
      <c r="J27" s="376">
        <v>0</v>
      </c>
      <c r="K27" s="377">
        <v>14661267</v>
      </c>
      <c r="L27" s="376">
        <f>SUM(J27:K27)</f>
        <v>14661267</v>
      </c>
      <c r="M27" s="376">
        <f>F27-I27</f>
        <v>56891160</v>
      </c>
      <c r="N27" s="146">
        <f>F27-L27</f>
        <v>56891160</v>
      </c>
      <c r="O27" s="385"/>
      <c r="P27" s="375">
        <v>0</v>
      </c>
      <c r="Q27" s="378">
        <v>71552427</v>
      </c>
      <c r="R27" s="9"/>
      <c r="S27" s="720" t="s">
        <v>109</v>
      </c>
      <c r="T27" s="694" t="s">
        <v>412</v>
      </c>
      <c r="U27" s="401">
        <v>1625120</v>
      </c>
      <c r="V27" s="15">
        <f t="shared" si="20"/>
        <v>0</v>
      </c>
      <c r="W27" s="15">
        <f t="shared" si="21"/>
        <v>0</v>
      </c>
      <c r="X27" s="16">
        <f t="shared" si="22"/>
        <v>1625120</v>
      </c>
      <c r="Y27" s="19">
        <v>0</v>
      </c>
      <c r="Z27" s="377">
        <v>72000</v>
      </c>
      <c r="AA27" s="16">
        <f t="shared" si="23"/>
        <v>72000</v>
      </c>
      <c r="AB27" s="19">
        <v>0</v>
      </c>
      <c r="AC27" s="377">
        <v>72000</v>
      </c>
      <c r="AD27" s="18">
        <f t="shared" si="24"/>
        <v>72000</v>
      </c>
      <c r="AE27" s="19">
        <v>0</v>
      </c>
      <c r="AF27" s="377">
        <v>72000</v>
      </c>
      <c r="AG27" s="16">
        <f t="shared" si="25"/>
        <v>72000</v>
      </c>
      <c r="AH27" s="19">
        <f t="shared" si="26"/>
        <v>1553120</v>
      </c>
      <c r="AI27" s="15">
        <f t="shared" si="27"/>
        <v>1553120</v>
      </c>
      <c r="AJ27" s="16">
        <f t="shared" si="28"/>
        <v>1553120</v>
      </c>
      <c r="AK27" s="9"/>
      <c r="AL27" s="375">
        <v>0</v>
      </c>
      <c r="AM27" s="378">
        <v>0</v>
      </c>
      <c r="AN27" s="9"/>
      <c r="AO27" s="352"/>
      <c r="AP27" s="441" t="s">
        <v>126</v>
      </c>
      <c r="AQ27" s="376">
        <f>X170</f>
        <v>68994094</v>
      </c>
      <c r="AR27" s="376">
        <f>AD170</f>
        <v>13957209</v>
      </c>
      <c r="AS27" s="376">
        <f>AG170</f>
        <v>10957640</v>
      </c>
      <c r="AT27" s="434"/>
      <c r="AU27" s="376">
        <f t="shared" si="30"/>
        <v>0.20229570664410781</v>
      </c>
      <c r="AV27" s="376">
        <f t="shared" si="31"/>
        <v>0.15881997088040609</v>
      </c>
      <c r="AW27" s="376">
        <f>(AR27-AD174-AD183-AD191)/$AO$2*12+AD174+AD183+AD191</f>
        <v>69346598</v>
      </c>
      <c r="AX27" s="376">
        <f>(AS27-AG174-AG183-AG191)/$AO$2*12+AG174+AG183+AG191</f>
        <v>37995629</v>
      </c>
      <c r="AY27" s="376">
        <f t="shared" si="32"/>
        <v>-352504</v>
      </c>
      <c r="AZ27" s="146">
        <f t="shared" si="33"/>
        <v>30998465</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v>1130103</v>
      </c>
      <c r="B28" s="630" t="s">
        <v>116</v>
      </c>
      <c r="C28" s="43">
        <f>C29+C32+C35+C38+C39+C40</f>
        <v>350726828</v>
      </c>
      <c r="D28" s="44">
        <f>+D29+D32+D35+D38+D39+D40</f>
        <v>0</v>
      </c>
      <c r="E28" s="44">
        <f>+E29+E32+E35+E38+E39+E40</f>
        <v>0</v>
      </c>
      <c r="F28" s="44">
        <f>+F29+F32+F35+F38+F39+F40</f>
        <v>350726828</v>
      </c>
      <c r="G28" s="44">
        <f t="shared" ref="G28:N28" si="35">G29+G32+G35+G38+G39+G40</f>
        <v>0</v>
      </c>
      <c r="H28" s="44">
        <f t="shared" si="35"/>
        <v>24815647</v>
      </c>
      <c r="I28" s="44">
        <f t="shared" si="35"/>
        <v>24815647</v>
      </c>
      <c r="J28" s="44">
        <f t="shared" si="35"/>
        <v>0</v>
      </c>
      <c r="K28" s="44">
        <f t="shared" si="35"/>
        <v>24815647</v>
      </c>
      <c r="L28" s="44">
        <f t="shared" si="35"/>
        <v>24815647</v>
      </c>
      <c r="M28" s="44">
        <f t="shared" si="35"/>
        <v>325911181</v>
      </c>
      <c r="N28" s="45">
        <f t="shared" si="35"/>
        <v>325911181</v>
      </c>
      <c r="O28" s="385"/>
      <c r="P28" s="43">
        <f>P29+P32+P35+P38+P39+P940</f>
        <v>0</v>
      </c>
      <c r="Q28" s="45">
        <f>Q29+Q32+Q35+Q38+Q39+Q40</f>
        <v>0</v>
      </c>
      <c r="R28" s="9"/>
      <c r="S28" s="720" t="s">
        <v>114</v>
      </c>
      <c r="T28" s="694" t="s">
        <v>413</v>
      </c>
      <c r="U28" s="401">
        <v>0</v>
      </c>
      <c r="V28" s="15">
        <f t="shared" si="20"/>
        <v>0</v>
      </c>
      <c r="W28" s="15">
        <f t="shared" si="21"/>
        <v>0</v>
      </c>
      <c r="X28" s="16">
        <f t="shared" si="22"/>
        <v>0</v>
      </c>
      <c r="Y28" s="19">
        <v>0</v>
      </c>
      <c r="Z28" s="377">
        <v>0</v>
      </c>
      <c r="AA28" s="16">
        <f t="shared" si="23"/>
        <v>0</v>
      </c>
      <c r="AB28" s="19">
        <v>0</v>
      </c>
      <c r="AC28" s="377">
        <v>0</v>
      </c>
      <c r="AD28" s="18">
        <f t="shared" si="24"/>
        <v>0</v>
      </c>
      <c r="AE28" s="19">
        <v>0</v>
      </c>
      <c r="AF28" s="377">
        <v>0</v>
      </c>
      <c r="AG28" s="16">
        <f t="shared" si="25"/>
        <v>0</v>
      </c>
      <c r="AH28" s="19">
        <f t="shared" si="26"/>
        <v>0</v>
      </c>
      <c r="AI28" s="15">
        <f t="shared" si="27"/>
        <v>0</v>
      </c>
      <c r="AJ28" s="16">
        <f t="shared" si="28"/>
        <v>0</v>
      </c>
      <c r="AK28" s="9"/>
      <c r="AL28" s="375">
        <v>0</v>
      </c>
      <c r="AM28" s="378">
        <v>0</v>
      </c>
      <c r="AN28" s="9"/>
      <c r="AO28" s="352"/>
      <c r="AP28" s="441" t="s">
        <v>129</v>
      </c>
      <c r="AQ28" s="434">
        <f>X193</f>
        <v>407648140</v>
      </c>
      <c r="AR28" s="434">
        <f>AD193</f>
        <v>121965112</v>
      </c>
      <c r="AS28" s="434">
        <f>AG193</f>
        <v>13189235</v>
      </c>
      <c r="AT28" s="434"/>
      <c r="AU28" s="376">
        <f t="shared" si="30"/>
        <v>0.29919212191180367</v>
      </c>
      <c r="AV28" s="376">
        <f t="shared" si="31"/>
        <v>3.2354458921362919E-2</v>
      </c>
      <c r="AW28" s="376">
        <f>(AR28-AD205)/$AO$2*12+AD205</f>
        <v>453386092</v>
      </c>
      <c r="AX28" s="376">
        <f>(AS28-AG205)/$AO$2*12+AG205</f>
        <v>16214235</v>
      </c>
      <c r="AY28" s="376">
        <f t="shared" si="32"/>
        <v>-45737952</v>
      </c>
      <c r="AZ28" s="146">
        <f t="shared" si="33"/>
        <v>391433905</v>
      </c>
      <c r="BA28" s="385"/>
      <c r="BB28" s="385"/>
      <c r="BC28" s="385"/>
      <c r="BD28" s="385"/>
      <c r="BE28" s="385"/>
      <c r="BF28" s="385"/>
      <c r="BG28" s="385"/>
      <c r="BH28" s="385"/>
      <c r="BI28" s="385"/>
      <c r="BJ28" s="385"/>
      <c r="BK28" s="385"/>
      <c r="BL28" s="385"/>
      <c r="BM28" s="71" t="s">
        <v>458</v>
      </c>
      <c r="BN28" s="83">
        <f>+X194-X196-X205</f>
        <v>128567607</v>
      </c>
      <c r="BO28" s="81">
        <f>+AA194-AA196-AA205</f>
        <v>13300279</v>
      </c>
      <c r="BP28" s="81">
        <f>+AD194-AD196-AD205</f>
        <v>13300279</v>
      </c>
      <c r="BQ28" s="82">
        <f>+AF194-AF196-AF205</f>
        <v>0</v>
      </c>
      <c r="BR28" s="9"/>
    </row>
    <row r="29" spans="1:70" s="9" customFormat="1" ht="24.95" customHeight="1" x14ac:dyDescent="0.25">
      <c r="A29" s="618" t="s">
        <v>119</v>
      </c>
      <c r="B29" s="655" t="s">
        <v>120</v>
      </c>
      <c r="C29" s="19">
        <f t="shared" ref="C29:N29" si="36">SUM(C30:C31)</f>
        <v>24095828</v>
      </c>
      <c r="D29" s="15">
        <f t="shared" si="36"/>
        <v>0</v>
      </c>
      <c r="E29" s="15">
        <f t="shared" si="36"/>
        <v>0</v>
      </c>
      <c r="F29" s="15">
        <f t="shared" si="36"/>
        <v>24095828</v>
      </c>
      <c r="G29" s="15">
        <f t="shared" si="36"/>
        <v>0</v>
      </c>
      <c r="H29" s="15">
        <f t="shared" si="36"/>
        <v>0</v>
      </c>
      <c r="I29" s="15">
        <f t="shared" si="36"/>
        <v>0</v>
      </c>
      <c r="J29" s="15">
        <f t="shared" si="36"/>
        <v>0</v>
      </c>
      <c r="K29" s="15">
        <f t="shared" si="36"/>
        <v>0</v>
      </c>
      <c r="L29" s="15">
        <f t="shared" si="36"/>
        <v>0</v>
      </c>
      <c r="M29" s="15">
        <f t="shared" si="36"/>
        <v>24095828</v>
      </c>
      <c r="N29" s="16">
        <f t="shared" si="36"/>
        <v>24095828</v>
      </c>
      <c r="O29" s="385"/>
      <c r="P29" s="147">
        <f>SUM(P30:P31)</f>
        <v>0</v>
      </c>
      <c r="Q29" s="148">
        <f>SUM(Q30:Q31)</f>
        <v>0</v>
      </c>
      <c r="S29" s="720" t="s">
        <v>117</v>
      </c>
      <c r="T29" s="694" t="s">
        <v>414</v>
      </c>
      <c r="U29" s="401">
        <v>0</v>
      </c>
      <c r="V29" s="15">
        <f t="shared" si="20"/>
        <v>0</v>
      </c>
      <c r="W29" s="15">
        <f t="shared" si="21"/>
        <v>0</v>
      </c>
      <c r="X29" s="16">
        <f t="shared" si="22"/>
        <v>0</v>
      </c>
      <c r="Y29" s="19">
        <v>0</v>
      </c>
      <c r="Z29" s="377">
        <v>0</v>
      </c>
      <c r="AA29" s="16">
        <f t="shared" si="23"/>
        <v>0</v>
      </c>
      <c r="AB29" s="19">
        <v>0</v>
      </c>
      <c r="AC29" s="377">
        <v>0</v>
      </c>
      <c r="AD29" s="18">
        <f t="shared" si="24"/>
        <v>0</v>
      </c>
      <c r="AE29" s="19">
        <v>0</v>
      </c>
      <c r="AF29" s="377">
        <v>0</v>
      </c>
      <c r="AG29" s="16">
        <f t="shared" si="25"/>
        <v>0</v>
      </c>
      <c r="AH29" s="19">
        <f t="shared" si="26"/>
        <v>0</v>
      </c>
      <c r="AI29" s="15">
        <f t="shared" si="27"/>
        <v>0</v>
      </c>
      <c r="AJ29" s="16">
        <f t="shared" si="28"/>
        <v>0</v>
      </c>
      <c r="AL29" s="375">
        <v>0</v>
      </c>
      <c r="AM29" s="378">
        <v>0</v>
      </c>
      <c r="AO29" s="21"/>
      <c r="AP29" s="442" t="s">
        <v>133</v>
      </c>
      <c r="AQ29" s="12">
        <f>X207</f>
        <v>0</v>
      </c>
      <c r="AR29" s="12">
        <f>AD207</f>
        <v>0</v>
      </c>
      <c r="AS29" s="12">
        <f>AG207</f>
        <v>0</v>
      </c>
      <c r="AT29" s="330"/>
      <c r="AU29" s="345" t="str">
        <f t="shared" si="30"/>
        <v xml:space="preserve"> </v>
      </c>
      <c r="AV29" s="345" t="str">
        <f t="shared" si="31"/>
        <v xml:space="preserve"> </v>
      </c>
      <c r="AW29" s="439">
        <f>(AR29-AD218)/$AO$2*12+AD218</f>
        <v>0</v>
      </c>
      <c r="AX29" s="439">
        <f>(AS29-AG218)/$AO$2*12+AG218</f>
        <v>0</v>
      </c>
      <c r="AY29" s="439">
        <v>0</v>
      </c>
      <c r="AZ29" s="46">
        <f t="shared" si="33"/>
        <v>0</v>
      </c>
      <c r="BA29" s="385"/>
      <c r="BB29" s="385"/>
      <c r="BC29" s="385"/>
      <c r="BD29" s="385"/>
      <c r="BE29" s="385"/>
      <c r="BF29" s="425"/>
      <c r="BG29" s="385"/>
      <c r="BH29" s="385"/>
      <c r="BI29" s="385"/>
      <c r="BJ29" s="385"/>
      <c r="BK29" s="385"/>
      <c r="BM29" s="110" t="s">
        <v>72</v>
      </c>
      <c r="BN29" s="106">
        <f>X232-X256-X241</f>
        <v>481000000</v>
      </c>
      <c r="BO29" s="107">
        <f>AA232-AA256-AA241</f>
        <v>0</v>
      </c>
      <c r="BP29" s="107">
        <f>AD232-AD256-AD241</f>
        <v>0</v>
      </c>
      <c r="BQ29" s="108">
        <f>AF232-AF256-AF241</f>
        <v>0</v>
      </c>
      <c r="BR29" s="385"/>
    </row>
    <row r="30" spans="1:70" s="425" customFormat="1" ht="24.95" customHeight="1" x14ac:dyDescent="0.25">
      <c r="A30" s="618" t="s">
        <v>123</v>
      </c>
      <c r="B30" s="654" t="str">
        <f>+CONCATENATE("Vigencia ",INSTRUCCIONES!$F$3)</f>
        <v>Vigencia 2015</v>
      </c>
      <c r="C30" s="375">
        <v>24095828</v>
      </c>
      <c r="D30" s="376">
        <f>P30</f>
        <v>0</v>
      </c>
      <c r="E30" s="376">
        <f>Q30</f>
        <v>0</v>
      </c>
      <c r="F30" s="376">
        <f>SUM(C30:E30)</f>
        <v>24095828</v>
      </c>
      <c r="G30" s="376">
        <v>0</v>
      </c>
      <c r="H30" s="377">
        <v>0</v>
      </c>
      <c r="I30" s="376">
        <f>SUM(G30:H30)</f>
        <v>0</v>
      </c>
      <c r="J30" s="376">
        <v>0</v>
      </c>
      <c r="K30" s="377">
        <v>0</v>
      </c>
      <c r="L30" s="376">
        <f>SUM(J30:K30)</f>
        <v>0</v>
      </c>
      <c r="M30" s="376">
        <f>F30-I30</f>
        <v>24095828</v>
      </c>
      <c r="N30" s="146">
        <f>F30-L30</f>
        <v>24095828</v>
      </c>
      <c r="O30" s="9"/>
      <c r="P30" s="375">
        <v>0</v>
      </c>
      <c r="Q30" s="378">
        <v>0</v>
      </c>
      <c r="R30" s="9"/>
      <c r="S30" s="720" t="s">
        <v>121</v>
      </c>
      <c r="T30" s="694" t="s">
        <v>415</v>
      </c>
      <c r="U30" s="401">
        <v>0</v>
      </c>
      <c r="V30" s="15">
        <f t="shared" si="20"/>
        <v>0</v>
      </c>
      <c r="W30" s="15">
        <f t="shared" si="21"/>
        <v>0</v>
      </c>
      <c r="X30" s="16">
        <f t="shared" si="22"/>
        <v>0</v>
      </c>
      <c r="Y30" s="19">
        <v>0</v>
      </c>
      <c r="Z30" s="377">
        <v>0</v>
      </c>
      <c r="AA30" s="16">
        <f t="shared" si="23"/>
        <v>0</v>
      </c>
      <c r="AB30" s="19">
        <v>0</v>
      </c>
      <c r="AC30" s="377">
        <v>0</v>
      </c>
      <c r="AD30" s="18">
        <f t="shared" si="24"/>
        <v>0</v>
      </c>
      <c r="AE30" s="19">
        <v>0</v>
      </c>
      <c r="AF30" s="377">
        <v>0</v>
      </c>
      <c r="AG30" s="16">
        <f t="shared" si="25"/>
        <v>0</v>
      </c>
      <c r="AH30" s="19">
        <f t="shared" si="26"/>
        <v>0</v>
      </c>
      <c r="AI30" s="15">
        <f t="shared" si="27"/>
        <v>0</v>
      </c>
      <c r="AJ30" s="16">
        <f t="shared" si="28"/>
        <v>0</v>
      </c>
      <c r="AK30" s="9"/>
      <c r="AL30" s="375">
        <v>0</v>
      </c>
      <c r="AM30" s="378">
        <v>0</v>
      </c>
      <c r="AN30" s="9"/>
      <c r="AO30" s="373" t="s">
        <v>53</v>
      </c>
      <c r="AP30" s="441" t="s">
        <v>136</v>
      </c>
      <c r="AQ30" s="376">
        <f>X220+X232</f>
        <v>481000000</v>
      </c>
      <c r="AR30" s="376">
        <f>AD220+AD232</f>
        <v>0</v>
      </c>
      <c r="AS30" s="376">
        <f>AG220+AG232</f>
        <v>0</v>
      </c>
      <c r="AT30" s="434"/>
      <c r="AU30" s="376">
        <f t="shared" si="30"/>
        <v>0</v>
      </c>
      <c r="AV30" s="376">
        <f t="shared" si="31"/>
        <v>0</v>
      </c>
      <c r="AW30" s="376">
        <f>(AR30-AD225-AD230-AD241-AD256)/$AO$2*12+AD225+AD230+AD241+AD256</f>
        <v>0</v>
      </c>
      <c r="AX30" s="376">
        <f>(AS30-AG225-AG230-AG241-AG256)/$AO$2*12+AG225+AG230+AG241+AG256</f>
        <v>0</v>
      </c>
      <c r="AY30" s="376">
        <f>AQ30-AW30</f>
        <v>481000000</v>
      </c>
      <c r="AZ30" s="146">
        <f t="shared" si="33"/>
        <v>481000000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
        <v>127</v>
      </c>
      <c r="B31" s="654" t="s">
        <v>589</v>
      </c>
      <c r="C31" s="375">
        <v>0</v>
      </c>
      <c r="D31" s="376">
        <f>P31</f>
        <v>0</v>
      </c>
      <c r="E31" s="376">
        <f>Q31</f>
        <v>0</v>
      </c>
      <c r="F31" s="376">
        <f>SUM(C31:E31)</f>
        <v>0</v>
      </c>
      <c r="G31" s="376">
        <v>0</v>
      </c>
      <c r="H31" s="377">
        <v>0</v>
      </c>
      <c r="I31" s="376">
        <f>SUM(G31:H31)</f>
        <v>0</v>
      </c>
      <c r="J31" s="376">
        <v>0</v>
      </c>
      <c r="K31" s="377">
        <v>0</v>
      </c>
      <c r="L31" s="376">
        <f>SUM(J31:K31)</f>
        <v>0</v>
      </c>
      <c r="M31" s="376">
        <f>F31-I31</f>
        <v>0</v>
      </c>
      <c r="N31" s="146">
        <f>F31-L31</f>
        <v>0</v>
      </c>
      <c r="O31" s="385"/>
      <c r="P31" s="375">
        <v>0</v>
      </c>
      <c r="Q31" s="378">
        <v>0</v>
      </c>
      <c r="R31" s="9"/>
      <c r="S31" s="720" t="s">
        <v>124</v>
      </c>
      <c r="T31" s="694" t="s">
        <v>125</v>
      </c>
      <c r="U31" s="401">
        <v>1691144</v>
      </c>
      <c r="V31" s="15">
        <f t="shared" si="20"/>
        <v>0</v>
      </c>
      <c r="W31" s="15">
        <f t="shared" si="21"/>
        <v>0</v>
      </c>
      <c r="X31" s="16">
        <f t="shared" si="22"/>
        <v>1691144</v>
      </c>
      <c r="Y31" s="19">
        <v>0</v>
      </c>
      <c r="Z31" s="377">
        <v>0</v>
      </c>
      <c r="AA31" s="16">
        <f t="shared" si="23"/>
        <v>0</v>
      </c>
      <c r="AB31" s="19">
        <v>0</v>
      </c>
      <c r="AC31" s="377">
        <v>0</v>
      </c>
      <c r="AD31" s="18">
        <f t="shared" si="24"/>
        <v>0</v>
      </c>
      <c r="AE31" s="19">
        <v>0</v>
      </c>
      <c r="AF31" s="377">
        <v>0</v>
      </c>
      <c r="AG31" s="16">
        <f t="shared" si="25"/>
        <v>0</v>
      </c>
      <c r="AH31" s="19">
        <f t="shared" si="26"/>
        <v>1691144</v>
      </c>
      <c r="AI31" s="15">
        <f t="shared" si="27"/>
        <v>1691144</v>
      </c>
      <c r="AJ31" s="16">
        <f t="shared" si="28"/>
        <v>1691144</v>
      </c>
      <c r="AK31" s="9"/>
      <c r="AL31" s="375">
        <v>0</v>
      </c>
      <c r="AM31" s="378">
        <v>0</v>
      </c>
      <c r="AN31" s="9"/>
      <c r="AO31" s="352"/>
      <c r="AP31" s="418" t="s">
        <v>139</v>
      </c>
      <c r="AQ31" s="434">
        <f>X258</f>
        <v>0</v>
      </c>
      <c r="AR31" s="434">
        <f>AD258</f>
        <v>-263420166</v>
      </c>
      <c r="AS31" s="434">
        <f>AG258</f>
        <v>-162812733</v>
      </c>
      <c r="AT31" s="434"/>
      <c r="AU31" s="376" t="str">
        <f t="shared" si="30"/>
        <v xml:space="preserve"> </v>
      </c>
      <c r="AV31" s="376" t="str">
        <f t="shared" si="31"/>
        <v xml:space="preserve"> </v>
      </c>
      <c r="AW31" s="376">
        <f>AQ31</f>
        <v>0</v>
      </c>
      <c r="AX31" s="376">
        <f>AQ31</f>
        <v>0</v>
      </c>
      <c r="AY31" s="376">
        <f>AQ31-AW31</f>
        <v>0</v>
      </c>
      <c r="AZ31" s="146">
        <f t="shared" si="33"/>
        <v>0</v>
      </c>
      <c r="BA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49299658</v>
      </c>
      <c r="BR31" s="9"/>
    </row>
    <row r="32" spans="1:70" s="9" customFormat="1" ht="24.95" customHeight="1" thickBot="1" x14ac:dyDescent="0.3">
      <c r="A32" s="618" t="s">
        <v>130</v>
      </c>
      <c r="B32" s="655" t="s">
        <v>131</v>
      </c>
      <c r="C32" s="19">
        <f t="shared" ref="C32:N32" si="37">SUM(C33:C34)</f>
        <v>0</v>
      </c>
      <c r="D32" s="15">
        <f t="shared" si="37"/>
        <v>0</v>
      </c>
      <c r="E32" s="15">
        <f t="shared" si="37"/>
        <v>0</v>
      </c>
      <c r="F32" s="15">
        <f t="shared" si="37"/>
        <v>0</v>
      </c>
      <c r="G32" s="15">
        <f t="shared" si="37"/>
        <v>0</v>
      </c>
      <c r="H32" s="15">
        <f t="shared" si="37"/>
        <v>0</v>
      </c>
      <c r="I32" s="15">
        <f t="shared" si="37"/>
        <v>0</v>
      </c>
      <c r="J32" s="15">
        <f t="shared" si="37"/>
        <v>0</v>
      </c>
      <c r="K32" s="15">
        <f t="shared" si="37"/>
        <v>0</v>
      </c>
      <c r="L32" s="15">
        <f t="shared" si="37"/>
        <v>0</v>
      </c>
      <c r="M32" s="15">
        <f t="shared" si="37"/>
        <v>0</v>
      </c>
      <c r="N32" s="16">
        <f t="shared" si="37"/>
        <v>0</v>
      </c>
      <c r="O32" s="385"/>
      <c r="P32" s="147">
        <f>SUM(P33:P34)</f>
        <v>0</v>
      </c>
      <c r="Q32" s="148">
        <f>SUM(Q33:Q34)</f>
        <v>0</v>
      </c>
      <c r="S32" s="720" t="s">
        <v>128</v>
      </c>
      <c r="T32" s="695"/>
      <c r="U32" s="401">
        <v>0</v>
      </c>
      <c r="V32" s="15">
        <f t="shared" si="20"/>
        <v>0</v>
      </c>
      <c r="W32" s="15">
        <f t="shared" si="21"/>
        <v>0</v>
      </c>
      <c r="X32" s="16">
        <f t="shared" si="22"/>
        <v>0</v>
      </c>
      <c r="Y32" s="19">
        <v>0</v>
      </c>
      <c r="Z32" s="377">
        <v>0</v>
      </c>
      <c r="AA32" s="16">
        <f t="shared" si="23"/>
        <v>0</v>
      </c>
      <c r="AB32" s="19">
        <v>0</v>
      </c>
      <c r="AC32" s="377">
        <v>0</v>
      </c>
      <c r="AD32" s="18">
        <f t="shared" si="24"/>
        <v>0</v>
      </c>
      <c r="AE32" s="19">
        <v>0</v>
      </c>
      <c r="AF32" s="377">
        <v>0</v>
      </c>
      <c r="AG32" s="16">
        <f t="shared" si="25"/>
        <v>0</v>
      </c>
      <c r="AH32" s="19">
        <f t="shared" si="26"/>
        <v>0</v>
      </c>
      <c r="AI32" s="15">
        <f t="shared" si="27"/>
        <v>0</v>
      </c>
      <c r="AJ32" s="16">
        <f t="shared" si="28"/>
        <v>0</v>
      </c>
      <c r="AL32" s="375">
        <v>0</v>
      </c>
      <c r="AM32" s="378">
        <v>0</v>
      </c>
      <c r="AO32" s="21"/>
      <c r="AP32" s="443" t="s">
        <v>144</v>
      </c>
      <c r="AQ32" s="398">
        <f>SUM(AQ22:AQ31)</f>
        <v>3771429503</v>
      </c>
      <c r="AR32" s="398">
        <f>SUM(AR22:AR31)</f>
        <v>274041104</v>
      </c>
      <c r="AS32" s="398">
        <f>SUM(AS22:AS31)</f>
        <v>0</v>
      </c>
      <c r="AT32" s="444"/>
      <c r="AU32" s="445">
        <f t="shared" si="30"/>
        <v>7.2662395991231657E-2</v>
      </c>
      <c r="AV32" s="445">
        <f t="shared" si="31"/>
        <v>0</v>
      </c>
      <c r="AW32" s="354">
        <f>SUM(AW22:AW31)</f>
        <v>2860300069</v>
      </c>
      <c r="AX32" s="354">
        <f>SUM(AX22:AX31)</f>
        <v>1588226003</v>
      </c>
      <c r="AY32" s="354">
        <f>SUM(AY22:AY31)</f>
        <v>911129434</v>
      </c>
      <c r="AZ32" s="355">
        <f>SUM(AZ22:AZ31)</f>
        <v>2183203500</v>
      </c>
      <c r="BA32" s="385"/>
      <c r="BB32" s="385"/>
      <c r="BC32" s="385"/>
      <c r="BD32" s="385"/>
      <c r="BE32" s="385"/>
      <c r="BF32" s="425"/>
      <c r="BG32" s="385"/>
      <c r="BH32" s="385"/>
      <c r="BI32" s="385"/>
      <c r="BJ32" s="385"/>
      <c r="BK32" s="385"/>
      <c r="BM32" s="110" t="s">
        <v>140</v>
      </c>
      <c r="BN32" s="106">
        <f>+BN7+BN25+BN29+BN30+BN31</f>
        <v>3771429503</v>
      </c>
      <c r="BO32" s="107">
        <f>+BO7+BO25+BO29+BO30+BO31</f>
        <v>544885270</v>
      </c>
      <c r="BP32" s="107">
        <f>+BP7+BP25+BP29+BP30+BP31</f>
        <v>537461270</v>
      </c>
      <c r="BQ32" s="108">
        <f>+BQ7+BQ25+BQ29+BQ30+BQ31</f>
        <v>162812733</v>
      </c>
      <c r="BR32" s="385"/>
    </row>
    <row r="33" spans="1:70" s="425" customFormat="1" ht="24.95" customHeight="1" thickBot="1" x14ac:dyDescent="0.3">
      <c r="A33" s="618" t="s">
        <v>135</v>
      </c>
      <c r="B33" s="654" t="str">
        <f>+CONCATENATE("Vigencia ",INSTRUCCIONES!$F$3)</f>
        <v>Vigencia 2015</v>
      </c>
      <c r="C33" s="375">
        <v>0</v>
      </c>
      <c r="D33" s="376">
        <f>P33</f>
        <v>0</v>
      </c>
      <c r="E33" s="376">
        <f>Q33</f>
        <v>0</v>
      </c>
      <c r="F33" s="376">
        <f>SUM(C33:E33)</f>
        <v>0</v>
      </c>
      <c r="G33" s="376">
        <v>0</v>
      </c>
      <c r="H33" s="377">
        <v>0</v>
      </c>
      <c r="I33" s="376">
        <f>SUM(G33:H33)</f>
        <v>0</v>
      </c>
      <c r="J33" s="376">
        <v>0</v>
      </c>
      <c r="K33" s="377">
        <v>0</v>
      </c>
      <c r="L33" s="376">
        <f>SUM(J33:K33)</f>
        <v>0</v>
      </c>
      <c r="M33" s="376">
        <f>F33-I33</f>
        <v>0</v>
      </c>
      <c r="N33" s="146">
        <f>F33-L33</f>
        <v>0</v>
      </c>
      <c r="O33" s="9"/>
      <c r="P33" s="375">
        <v>0</v>
      </c>
      <c r="Q33" s="378">
        <v>0</v>
      </c>
      <c r="R33" s="9"/>
      <c r="S33" s="719">
        <v>1010199</v>
      </c>
      <c r="T33" s="693" t="s">
        <v>132</v>
      </c>
      <c r="U33" s="401">
        <v>0</v>
      </c>
      <c r="V33" s="15">
        <f t="shared" si="20"/>
        <v>0</v>
      </c>
      <c r="W33" s="15">
        <f t="shared" si="21"/>
        <v>2702630</v>
      </c>
      <c r="X33" s="16">
        <f t="shared" si="22"/>
        <v>2702630</v>
      </c>
      <c r="Y33" s="19">
        <v>0</v>
      </c>
      <c r="Z33" s="377">
        <v>2702630</v>
      </c>
      <c r="AA33" s="16">
        <f t="shared" si="23"/>
        <v>2702630</v>
      </c>
      <c r="AB33" s="19">
        <v>0</v>
      </c>
      <c r="AC33" s="377">
        <v>2702630</v>
      </c>
      <c r="AD33" s="18">
        <f t="shared" si="24"/>
        <v>2702630</v>
      </c>
      <c r="AE33" s="19">
        <v>0</v>
      </c>
      <c r="AF33" s="377">
        <v>1595488</v>
      </c>
      <c r="AG33" s="16">
        <f t="shared" si="25"/>
        <v>1595488</v>
      </c>
      <c r="AH33" s="19">
        <f t="shared" si="26"/>
        <v>0</v>
      </c>
      <c r="AI33" s="15">
        <f t="shared" si="27"/>
        <v>0</v>
      </c>
      <c r="AJ33" s="16">
        <f t="shared" si="28"/>
        <v>1107142</v>
      </c>
      <c r="AK33" s="9"/>
      <c r="AL33" s="375">
        <v>0</v>
      </c>
      <c r="AM33" s="378">
        <v>2702630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-138681671</v>
      </c>
      <c r="BP33" s="113">
        <f>AD258</f>
        <v>-263420166</v>
      </c>
      <c r="BQ33" s="114">
        <f>AF258</f>
        <v>3334575666</v>
      </c>
      <c r="BR33" s="385"/>
    </row>
    <row r="34" spans="1:70" s="425" customFormat="1" ht="24.95" customHeight="1" thickBot="1" x14ac:dyDescent="0.25">
      <c r="A34" s="618" t="s">
        <v>138</v>
      </c>
      <c r="B34" s="654" t="s">
        <v>589</v>
      </c>
      <c r="C34" s="375">
        <v>0</v>
      </c>
      <c r="D34" s="376">
        <f>P34</f>
        <v>0</v>
      </c>
      <c r="E34" s="376">
        <f>Q34</f>
        <v>0</v>
      </c>
      <c r="F34" s="376">
        <f>SUM(C34:E34)</f>
        <v>0</v>
      </c>
      <c r="G34" s="376">
        <v>0</v>
      </c>
      <c r="H34" s="377">
        <v>0</v>
      </c>
      <c r="I34" s="376">
        <f>SUM(G34:H34)</f>
        <v>0</v>
      </c>
      <c r="J34" s="376">
        <v>0</v>
      </c>
      <c r="K34" s="377">
        <v>0</v>
      </c>
      <c r="L34" s="376">
        <f>SUM(J34:K34)</f>
        <v>0</v>
      </c>
      <c r="M34" s="376">
        <f>F34-I34</f>
        <v>0</v>
      </c>
      <c r="N34" s="146">
        <f>F34-L34</f>
        <v>0</v>
      </c>
      <c r="O34" s="385"/>
      <c r="P34" s="375">
        <v>0</v>
      </c>
      <c r="Q34" s="378">
        <v>0</v>
      </c>
      <c r="R34" s="9"/>
      <c r="S34" s="369"/>
      <c r="T34" s="689"/>
      <c r="U34" s="164"/>
      <c r="V34" s="164"/>
      <c r="W34" s="164"/>
      <c r="X34" s="169"/>
      <c r="Y34" s="370"/>
      <c r="Z34" s="164"/>
      <c r="AA34" s="169"/>
      <c r="AB34" s="370"/>
      <c r="AC34" s="164"/>
      <c r="AD34" s="164"/>
      <c r="AE34" s="370"/>
      <c r="AF34" s="164"/>
      <c r="AG34" s="169"/>
      <c r="AH34" s="370"/>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F34" s="385"/>
      <c r="BG34" s="385"/>
      <c r="BH34" s="385"/>
      <c r="BI34" s="385"/>
      <c r="BJ34" s="385"/>
      <c r="BK34" s="385"/>
      <c r="BL34" s="385"/>
      <c r="BM34" s="9"/>
      <c r="BN34" s="9"/>
      <c r="BO34" s="9"/>
      <c r="BP34" s="9"/>
      <c r="BQ34" s="9"/>
      <c r="BR34" s="9"/>
    </row>
    <row r="35" spans="1:70" s="385" customFormat="1" ht="24.95" customHeight="1" thickBot="1" x14ac:dyDescent="0.25">
      <c r="A35" s="618" t="s">
        <v>141</v>
      </c>
      <c r="B35" s="655" t="s">
        <v>142</v>
      </c>
      <c r="C35" s="19">
        <f t="shared" ref="C35:N35" si="38">SUM(C36:C37)</f>
        <v>0</v>
      </c>
      <c r="D35" s="15">
        <f t="shared" si="38"/>
        <v>0</v>
      </c>
      <c r="E35" s="15">
        <f t="shared" si="38"/>
        <v>0</v>
      </c>
      <c r="F35" s="15">
        <f t="shared" si="38"/>
        <v>0</v>
      </c>
      <c r="G35" s="15">
        <f t="shared" si="38"/>
        <v>0</v>
      </c>
      <c r="H35" s="15">
        <f t="shared" si="38"/>
        <v>0</v>
      </c>
      <c r="I35" s="15">
        <f t="shared" si="38"/>
        <v>0</v>
      </c>
      <c r="J35" s="15">
        <f t="shared" si="38"/>
        <v>0</v>
      </c>
      <c r="K35" s="15">
        <f t="shared" si="38"/>
        <v>0</v>
      </c>
      <c r="L35" s="15">
        <f t="shared" si="38"/>
        <v>0</v>
      </c>
      <c r="M35" s="15">
        <f t="shared" si="38"/>
        <v>0</v>
      </c>
      <c r="N35" s="16">
        <f t="shared" si="38"/>
        <v>0</v>
      </c>
      <c r="P35" s="147">
        <f>SUM(P36:P37)</f>
        <v>0</v>
      </c>
      <c r="Q35" s="148">
        <f>SUM(Q36:Q37)</f>
        <v>0</v>
      </c>
      <c r="R35" s="9"/>
      <c r="S35" s="718">
        <v>1010200</v>
      </c>
      <c r="T35" s="692" t="s">
        <v>115</v>
      </c>
      <c r="U35" s="135">
        <f t="shared" ref="U35:AJ35" si="39">SUM(U36:U41)</f>
        <v>215072393</v>
      </c>
      <c r="V35" s="124">
        <f t="shared" si="39"/>
        <v>0</v>
      </c>
      <c r="W35" s="124">
        <f t="shared" si="39"/>
        <v>27070478</v>
      </c>
      <c r="X35" s="133">
        <f t="shared" si="39"/>
        <v>242142871</v>
      </c>
      <c r="Y35" s="131">
        <f t="shared" si="39"/>
        <v>0</v>
      </c>
      <c r="Z35" s="124">
        <f t="shared" si="39"/>
        <v>30710478</v>
      </c>
      <c r="AA35" s="133">
        <f t="shared" si="39"/>
        <v>30710478</v>
      </c>
      <c r="AB35" s="131">
        <f t="shared" si="39"/>
        <v>0</v>
      </c>
      <c r="AC35" s="124">
        <f t="shared" si="39"/>
        <v>30710478</v>
      </c>
      <c r="AD35" s="132">
        <f t="shared" si="39"/>
        <v>30710478</v>
      </c>
      <c r="AE35" s="131">
        <f t="shared" si="39"/>
        <v>0</v>
      </c>
      <c r="AF35" s="124">
        <f t="shared" si="39"/>
        <v>5776506</v>
      </c>
      <c r="AG35" s="133">
        <f t="shared" si="39"/>
        <v>5776506</v>
      </c>
      <c r="AH35" s="131">
        <f t="shared" si="39"/>
        <v>211432393</v>
      </c>
      <c r="AI35" s="124">
        <f t="shared" si="39"/>
        <v>211432393</v>
      </c>
      <c r="AJ35" s="133">
        <f t="shared" si="39"/>
        <v>236366365</v>
      </c>
      <c r="AK35" s="9"/>
      <c r="AL35" s="131">
        <f>SUM(AL36:AL41)</f>
        <v>0</v>
      </c>
      <c r="AM35" s="133">
        <f>SUM(AM36:AM41)</f>
        <v>27070478</v>
      </c>
      <c r="AN35" s="9"/>
      <c r="AO35" s="352"/>
      <c r="AP35" s="453"/>
      <c r="AQ35" s="295"/>
      <c r="AR35" s="454"/>
      <c r="AS35" s="454"/>
      <c r="AT35" s="454"/>
      <c r="AU35" s="455">
        <f>AR17-AR32</f>
        <v>121603371</v>
      </c>
      <c r="AV35" s="456">
        <f>AS17-AR32</f>
        <v>-10559124</v>
      </c>
      <c r="AW35" s="456" t="s">
        <v>158</v>
      </c>
      <c r="AX35" s="457"/>
      <c r="AY35" s="456">
        <f>AY17+AY32</f>
        <v>-225436707</v>
      </c>
      <c r="AZ35" s="458">
        <f>AZ17+AY32</f>
        <v>-1811386647</v>
      </c>
      <c r="BF35" s="425"/>
    </row>
    <row r="36" spans="1:70" s="385" customFormat="1" ht="24.95" customHeight="1" thickBot="1" x14ac:dyDescent="0.25">
      <c r="A36" s="618" t="s">
        <v>145</v>
      </c>
      <c r="B36" s="654" t="str">
        <f>+CONCATENATE("Vigencia ",INSTRUCCIONES!$F$3)</f>
        <v>Vigencia 2015</v>
      </c>
      <c r="C36" s="375">
        <v>0</v>
      </c>
      <c r="D36" s="376">
        <f t="shared" ref="D36:E41" si="40">P36</f>
        <v>0</v>
      </c>
      <c r="E36" s="376">
        <f t="shared" si="40"/>
        <v>0</v>
      </c>
      <c r="F36" s="376">
        <f t="shared" ref="F36:F41" si="41">SUM(C36:E36)</f>
        <v>0</v>
      </c>
      <c r="G36" s="376">
        <v>0</v>
      </c>
      <c r="H36" s="377">
        <v>0</v>
      </c>
      <c r="I36" s="376">
        <f t="shared" ref="I36:I41" si="42">SUM(G36:H36)</f>
        <v>0</v>
      </c>
      <c r="J36" s="376">
        <v>0</v>
      </c>
      <c r="K36" s="377">
        <v>0</v>
      </c>
      <c r="L36" s="376">
        <f t="shared" ref="L36:L41" si="43">SUM(J36:K36)</f>
        <v>0</v>
      </c>
      <c r="M36" s="376">
        <f t="shared" ref="M36:M41" si="44">F36-I36</f>
        <v>0</v>
      </c>
      <c r="N36" s="146">
        <f t="shared" ref="N36:N41" si="45">F36-L36</f>
        <v>0</v>
      </c>
      <c r="O36" s="9"/>
      <c r="P36" s="375">
        <v>0</v>
      </c>
      <c r="Q36" s="378">
        <v>0</v>
      </c>
      <c r="R36" s="9"/>
      <c r="S36" s="719" t="s">
        <v>143</v>
      </c>
      <c r="T36" s="693" t="s">
        <v>461</v>
      </c>
      <c r="U36" s="401">
        <v>213224393</v>
      </c>
      <c r="V36" s="15">
        <f t="shared" ref="V36:W41" si="46">AL36</f>
        <v>0</v>
      </c>
      <c r="W36" s="15">
        <f t="shared" si="46"/>
        <v>0</v>
      </c>
      <c r="X36" s="16">
        <f t="shared" ref="X36:X41" si="47">SUM(U36:W36)</f>
        <v>213224393</v>
      </c>
      <c r="Y36" s="19">
        <v>0</v>
      </c>
      <c r="Z36" s="377">
        <v>3640000</v>
      </c>
      <c r="AA36" s="16">
        <f t="shared" ref="AA36:AA41" si="48">SUM(Y36:Z36)</f>
        <v>3640000</v>
      </c>
      <c r="AB36" s="19">
        <v>0</v>
      </c>
      <c r="AC36" s="377">
        <v>3640000</v>
      </c>
      <c r="AD36" s="18">
        <f t="shared" ref="AD36:AD41" si="49">SUM(AB36:AC36)</f>
        <v>3640000</v>
      </c>
      <c r="AE36" s="19">
        <v>0</v>
      </c>
      <c r="AF36" s="377">
        <v>660006</v>
      </c>
      <c r="AG36" s="16">
        <f t="shared" ref="AG36:AG41" si="50">SUM(AE36:AF36)</f>
        <v>660006</v>
      </c>
      <c r="AH36" s="19">
        <f t="shared" ref="AH36:AH41" si="51">X36-AA36</f>
        <v>209584393</v>
      </c>
      <c r="AI36" s="15">
        <f t="shared" ref="AI36:AI41" si="52">X36-AD36</f>
        <v>209584393</v>
      </c>
      <c r="AJ36" s="16">
        <f t="shared" ref="AJ36:AJ41" si="53">X36-AG36</f>
        <v>212564387</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
        <v>148</v>
      </c>
      <c r="B37" s="654" t="s">
        <v>589</v>
      </c>
      <c r="C37" s="375">
        <v>0</v>
      </c>
      <c r="D37" s="376">
        <f t="shared" si="40"/>
        <v>0</v>
      </c>
      <c r="E37" s="376">
        <f t="shared" si="40"/>
        <v>0</v>
      </c>
      <c r="F37" s="376">
        <f t="shared" si="41"/>
        <v>0</v>
      </c>
      <c r="G37" s="376">
        <v>0</v>
      </c>
      <c r="H37" s="377">
        <v>0</v>
      </c>
      <c r="I37" s="376">
        <f t="shared" si="42"/>
        <v>0</v>
      </c>
      <c r="J37" s="376">
        <v>0</v>
      </c>
      <c r="K37" s="377">
        <v>0</v>
      </c>
      <c r="L37" s="376">
        <f t="shared" si="43"/>
        <v>0</v>
      </c>
      <c r="M37" s="376">
        <f t="shared" si="44"/>
        <v>0</v>
      </c>
      <c r="N37" s="146">
        <f t="shared" si="45"/>
        <v>0</v>
      </c>
      <c r="P37" s="375">
        <v>0</v>
      </c>
      <c r="Q37" s="378">
        <v>0</v>
      </c>
      <c r="R37" s="9"/>
      <c r="S37" s="719" t="s">
        <v>146</v>
      </c>
      <c r="T37" s="693" t="s">
        <v>147</v>
      </c>
      <c r="U37" s="401">
        <v>0</v>
      </c>
      <c r="V37" s="15">
        <f t="shared" si="46"/>
        <v>0</v>
      </c>
      <c r="W37" s="15">
        <f t="shared" si="46"/>
        <v>0</v>
      </c>
      <c r="X37" s="16">
        <f t="shared" si="47"/>
        <v>0</v>
      </c>
      <c r="Y37" s="19">
        <v>0</v>
      </c>
      <c r="Z37" s="377">
        <v>0</v>
      </c>
      <c r="AA37" s="16">
        <f t="shared" si="48"/>
        <v>0</v>
      </c>
      <c r="AB37" s="19">
        <v>0</v>
      </c>
      <c r="AC37" s="377">
        <v>0</v>
      </c>
      <c r="AD37" s="18">
        <f t="shared" si="49"/>
        <v>0</v>
      </c>
      <c r="AE37" s="19">
        <v>0</v>
      </c>
      <c r="AF37" s="377">
        <v>0</v>
      </c>
      <c r="AG37" s="16">
        <f t="shared" si="50"/>
        <v>0</v>
      </c>
      <c r="AH37" s="19">
        <f t="shared" si="51"/>
        <v>0</v>
      </c>
      <c r="AI37" s="15">
        <f t="shared" si="52"/>
        <v>0</v>
      </c>
      <c r="AJ37" s="16">
        <f t="shared" si="53"/>
        <v>0</v>
      </c>
      <c r="AK37" s="9"/>
      <c r="AL37" s="375">
        <v>0</v>
      </c>
      <c r="AM37" s="378">
        <v>0</v>
      </c>
      <c r="AN37" s="9"/>
      <c r="AO37" s="24" t="s">
        <v>161</v>
      </c>
      <c r="BB37" s="425"/>
      <c r="BC37" s="425"/>
      <c r="BD37" s="425"/>
      <c r="BE37" s="425"/>
    </row>
    <row r="38" spans="1:70" s="385" customFormat="1" ht="24.95" customHeight="1" x14ac:dyDescent="0.2">
      <c r="A38" s="749" t="s">
        <v>576</v>
      </c>
      <c r="B38" s="656" t="s">
        <v>579</v>
      </c>
      <c r="C38" s="375">
        <v>326631000</v>
      </c>
      <c r="D38" s="376">
        <f t="shared" si="40"/>
        <v>0</v>
      </c>
      <c r="E38" s="376">
        <f t="shared" si="40"/>
        <v>0</v>
      </c>
      <c r="F38" s="376">
        <f t="shared" si="41"/>
        <v>326631000</v>
      </c>
      <c r="G38" s="376">
        <v>0</v>
      </c>
      <c r="H38" s="377">
        <v>24815647</v>
      </c>
      <c r="I38" s="376">
        <f t="shared" si="42"/>
        <v>24815647</v>
      </c>
      <c r="J38" s="376">
        <v>0</v>
      </c>
      <c r="K38" s="377">
        <f>H38</f>
        <v>24815647</v>
      </c>
      <c r="L38" s="376">
        <f t="shared" si="43"/>
        <v>24815647</v>
      </c>
      <c r="M38" s="376">
        <f t="shared" si="44"/>
        <v>301815353</v>
      </c>
      <c r="N38" s="146">
        <f t="shared" si="45"/>
        <v>301815353</v>
      </c>
      <c r="O38" s="533"/>
      <c r="P38" s="375">
        <v>0</v>
      </c>
      <c r="Q38" s="378">
        <v>0</v>
      </c>
      <c r="R38" s="9"/>
      <c r="S38" s="719" t="s">
        <v>149</v>
      </c>
      <c r="T38" s="693" t="s">
        <v>150</v>
      </c>
      <c r="U38" s="401">
        <v>1848000</v>
      </c>
      <c r="V38" s="15">
        <f t="shared" si="46"/>
        <v>0</v>
      </c>
      <c r="W38" s="15">
        <f t="shared" si="46"/>
        <v>0</v>
      </c>
      <c r="X38" s="16">
        <f t="shared" si="47"/>
        <v>1848000</v>
      </c>
      <c r="Y38" s="19">
        <v>0</v>
      </c>
      <c r="Z38" s="377">
        <v>0</v>
      </c>
      <c r="AA38" s="16">
        <f t="shared" si="48"/>
        <v>0</v>
      </c>
      <c r="AB38" s="19">
        <v>0</v>
      </c>
      <c r="AC38" s="377">
        <v>0</v>
      </c>
      <c r="AD38" s="18">
        <f t="shared" si="49"/>
        <v>0</v>
      </c>
      <c r="AE38" s="19">
        <v>0</v>
      </c>
      <c r="AF38" s="377">
        <v>0</v>
      </c>
      <c r="AG38" s="16">
        <f t="shared" si="50"/>
        <v>0</v>
      </c>
      <c r="AH38" s="19">
        <f t="shared" si="51"/>
        <v>1848000</v>
      </c>
      <c r="AI38" s="15">
        <f t="shared" si="52"/>
        <v>1848000</v>
      </c>
      <c r="AJ38" s="16">
        <f t="shared" si="53"/>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
        <v>577</v>
      </c>
      <c r="B39" s="656" t="s">
        <v>580</v>
      </c>
      <c r="C39" s="375">
        <v>0</v>
      </c>
      <c r="D39" s="376">
        <f t="shared" si="40"/>
        <v>0</v>
      </c>
      <c r="E39" s="376">
        <f t="shared" si="40"/>
        <v>0</v>
      </c>
      <c r="F39" s="376">
        <f t="shared" si="41"/>
        <v>0</v>
      </c>
      <c r="G39" s="376">
        <v>0</v>
      </c>
      <c r="H39" s="377">
        <v>0</v>
      </c>
      <c r="I39" s="376">
        <f t="shared" si="42"/>
        <v>0</v>
      </c>
      <c r="J39" s="376">
        <v>0</v>
      </c>
      <c r="K39" s="377">
        <v>0</v>
      </c>
      <c r="L39" s="376">
        <f t="shared" si="43"/>
        <v>0</v>
      </c>
      <c r="M39" s="376">
        <f t="shared" si="44"/>
        <v>0</v>
      </c>
      <c r="N39" s="146">
        <f t="shared" si="45"/>
        <v>0</v>
      </c>
      <c r="O39" s="533"/>
      <c r="P39" s="375">
        <v>0</v>
      </c>
      <c r="Q39" s="378">
        <v>0</v>
      </c>
      <c r="R39" s="9"/>
      <c r="S39" s="719" t="s">
        <v>156</v>
      </c>
      <c r="T39" s="693" t="s">
        <v>157</v>
      </c>
      <c r="U39" s="401">
        <v>0</v>
      </c>
      <c r="V39" s="15">
        <f t="shared" si="46"/>
        <v>0</v>
      </c>
      <c r="W39" s="15">
        <f t="shared" si="46"/>
        <v>0</v>
      </c>
      <c r="X39" s="16">
        <f t="shared" si="47"/>
        <v>0</v>
      </c>
      <c r="Y39" s="19">
        <v>0</v>
      </c>
      <c r="Z39" s="377">
        <v>0</v>
      </c>
      <c r="AA39" s="16">
        <f t="shared" si="48"/>
        <v>0</v>
      </c>
      <c r="AB39" s="19">
        <v>0</v>
      </c>
      <c r="AC39" s="377">
        <v>0</v>
      </c>
      <c r="AD39" s="18">
        <f t="shared" si="49"/>
        <v>0</v>
      </c>
      <c r="AE39" s="19">
        <v>0</v>
      </c>
      <c r="AF39" s="377">
        <v>0</v>
      </c>
      <c r="AG39" s="16">
        <f t="shared" si="50"/>
        <v>0</v>
      </c>
      <c r="AH39" s="19">
        <f t="shared" si="51"/>
        <v>0</v>
      </c>
      <c r="AI39" s="15">
        <f t="shared" si="52"/>
        <v>0</v>
      </c>
      <c r="AJ39" s="16">
        <f t="shared" si="53"/>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
        <v>578</v>
      </c>
      <c r="B40" s="656" t="s">
        <v>581</v>
      </c>
      <c r="C40" s="375">
        <v>0</v>
      </c>
      <c r="D40" s="376">
        <f t="shared" si="40"/>
        <v>0</v>
      </c>
      <c r="E40" s="376">
        <f t="shared" si="40"/>
        <v>0</v>
      </c>
      <c r="F40" s="376">
        <f t="shared" si="41"/>
        <v>0</v>
      </c>
      <c r="G40" s="376">
        <v>0</v>
      </c>
      <c r="H40" s="377">
        <v>0</v>
      </c>
      <c r="I40" s="376">
        <f t="shared" si="42"/>
        <v>0</v>
      </c>
      <c r="J40" s="376">
        <v>0</v>
      </c>
      <c r="K40" s="377">
        <v>0</v>
      </c>
      <c r="L40" s="376">
        <f t="shared" si="43"/>
        <v>0</v>
      </c>
      <c r="M40" s="376">
        <f t="shared" si="44"/>
        <v>0</v>
      </c>
      <c r="N40" s="146">
        <f t="shared" si="45"/>
        <v>0</v>
      </c>
      <c r="O40" s="533"/>
      <c r="P40" s="375">
        <v>0</v>
      </c>
      <c r="Q40" s="378">
        <v>0</v>
      </c>
      <c r="R40" s="9"/>
      <c r="S40" s="719" t="s">
        <v>159</v>
      </c>
      <c r="T40" s="693" t="s">
        <v>160</v>
      </c>
      <c r="U40" s="401">
        <v>0</v>
      </c>
      <c r="V40" s="15">
        <f t="shared" si="46"/>
        <v>0</v>
      </c>
      <c r="W40" s="15">
        <f t="shared" si="46"/>
        <v>0</v>
      </c>
      <c r="X40" s="16">
        <f t="shared" si="47"/>
        <v>0</v>
      </c>
      <c r="Y40" s="19">
        <v>0</v>
      </c>
      <c r="Z40" s="377">
        <v>0</v>
      </c>
      <c r="AA40" s="16">
        <f t="shared" si="48"/>
        <v>0</v>
      </c>
      <c r="AB40" s="19">
        <v>0</v>
      </c>
      <c r="AC40" s="377">
        <v>0</v>
      </c>
      <c r="AD40" s="18">
        <f t="shared" si="49"/>
        <v>0</v>
      </c>
      <c r="AE40" s="19">
        <v>0</v>
      </c>
      <c r="AF40" s="377">
        <v>0</v>
      </c>
      <c r="AG40" s="16">
        <f t="shared" si="50"/>
        <v>0</v>
      </c>
      <c r="AH40" s="19">
        <f t="shared" si="51"/>
        <v>0</v>
      </c>
      <c r="AI40" s="15">
        <f t="shared" si="52"/>
        <v>0</v>
      </c>
      <c r="AJ40" s="16">
        <f t="shared" si="53"/>
        <v>0</v>
      </c>
      <c r="AK40" s="9"/>
      <c r="AL40" s="375">
        <v>0</v>
      </c>
      <c r="AM40" s="378">
        <v>0</v>
      </c>
      <c r="AN40" s="9"/>
      <c r="AO40" s="385"/>
      <c r="AP40" s="385"/>
      <c r="AQ40" s="385"/>
      <c r="AR40" s="385"/>
      <c r="AS40" s="385"/>
      <c r="AT40" s="385"/>
      <c r="AU40" s="385"/>
      <c r="AV40" s="385"/>
      <c r="AW40" s="385"/>
      <c r="AX40" s="385"/>
      <c r="AY40" s="385"/>
      <c r="AZ40" s="385"/>
      <c r="BA40" s="385"/>
      <c r="BB40" s="385"/>
      <c r="BC40" s="385"/>
      <c r="BD40" s="385"/>
      <c r="BE40" s="385"/>
      <c r="BF40" s="385"/>
      <c r="BG40" s="385"/>
      <c r="BH40" s="385"/>
      <c r="BI40" s="385"/>
      <c r="BJ40" s="385"/>
      <c r="BK40" s="385"/>
      <c r="BL40" s="385"/>
      <c r="BM40" s="385"/>
      <c r="BN40" s="385"/>
      <c r="BO40" s="385"/>
      <c r="BP40" s="385"/>
      <c r="BQ40" s="385"/>
      <c r="BR40" s="385"/>
    </row>
    <row r="41" spans="1:70" s="425" customFormat="1" ht="24.95" customHeight="1" x14ac:dyDescent="0.2">
      <c r="A41" s="747">
        <v>1130104</v>
      </c>
      <c r="B41" s="653" t="s">
        <v>162</v>
      </c>
      <c r="C41" s="375">
        <v>0</v>
      </c>
      <c r="D41" s="124">
        <f t="shared" si="40"/>
        <v>0</v>
      </c>
      <c r="E41" s="124">
        <f t="shared" si="40"/>
        <v>0</v>
      </c>
      <c r="F41" s="124">
        <f t="shared" si="41"/>
        <v>0</v>
      </c>
      <c r="G41" s="124">
        <v>0</v>
      </c>
      <c r="H41" s="377">
        <v>0</v>
      </c>
      <c r="I41" s="124">
        <f t="shared" si="42"/>
        <v>0</v>
      </c>
      <c r="J41" s="124">
        <v>0</v>
      </c>
      <c r="K41" s="377">
        <v>0</v>
      </c>
      <c r="L41" s="124">
        <f t="shared" si="43"/>
        <v>0</v>
      </c>
      <c r="M41" s="124">
        <f t="shared" si="44"/>
        <v>0</v>
      </c>
      <c r="N41" s="133">
        <f t="shared" si="45"/>
        <v>0</v>
      </c>
      <c r="O41" s="385"/>
      <c r="P41" s="377">
        <v>0</v>
      </c>
      <c r="Q41" s="378">
        <v>0</v>
      </c>
      <c r="R41" s="9"/>
      <c r="S41" s="719">
        <v>1010299</v>
      </c>
      <c r="T41" s="693" t="s">
        <v>132</v>
      </c>
      <c r="U41" s="401">
        <v>0</v>
      </c>
      <c r="V41" s="15">
        <f t="shared" si="46"/>
        <v>0</v>
      </c>
      <c r="W41" s="15">
        <f t="shared" si="46"/>
        <v>27070478</v>
      </c>
      <c r="X41" s="16">
        <f t="shared" si="47"/>
        <v>27070478</v>
      </c>
      <c r="Y41" s="19">
        <v>0</v>
      </c>
      <c r="Z41" s="377">
        <v>27070478</v>
      </c>
      <c r="AA41" s="16">
        <f t="shared" si="48"/>
        <v>27070478</v>
      </c>
      <c r="AB41" s="19">
        <v>0</v>
      </c>
      <c r="AC41" s="377">
        <v>27070478</v>
      </c>
      <c r="AD41" s="18">
        <f t="shared" si="49"/>
        <v>27070478</v>
      </c>
      <c r="AE41" s="19">
        <v>0</v>
      </c>
      <c r="AF41" s="377">
        <v>5116500</v>
      </c>
      <c r="AG41" s="16">
        <f t="shared" si="50"/>
        <v>5116500</v>
      </c>
      <c r="AH41" s="19">
        <f t="shared" si="51"/>
        <v>0</v>
      </c>
      <c r="AI41" s="15">
        <f t="shared" si="52"/>
        <v>0</v>
      </c>
      <c r="AJ41" s="16">
        <f t="shared" si="53"/>
        <v>21953978</v>
      </c>
      <c r="AK41" s="9"/>
      <c r="AL41" s="375">
        <v>0</v>
      </c>
      <c r="AM41" s="378">
        <v>27070478</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v>1130106</v>
      </c>
      <c r="B42" s="653" t="s">
        <v>541</v>
      </c>
      <c r="C42" s="43">
        <f t="shared" ref="C42:N42" si="54">SUM(C43:C44)</f>
        <v>94000000</v>
      </c>
      <c r="D42" s="44">
        <f t="shared" si="54"/>
        <v>0</v>
      </c>
      <c r="E42" s="44">
        <f t="shared" si="54"/>
        <v>0</v>
      </c>
      <c r="F42" s="44">
        <f t="shared" si="54"/>
        <v>94000000</v>
      </c>
      <c r="G42" s="44">
        <f t="shared" si="54"/>
        <v>0</v>
      </c>
      <c r="H42" s="44">
        <f t="shared" si="54"/>
        <v>0</v>
      </c>
      <c r="I42" s="44">
        <f t="shared" si="54"/>
        <v>0</v>
      </c>
      <c r="J42" s="44">
        <f t="shared" si="54"/>
        <v>0</v>
      </c>
      <c r="K42" s="44">
        <f t="shared" si="54"/>
        <v>0</v>
      </c>
      <c r="L42" s="44">
        <f t="shared" si="54"/>
        <v>0</v>
      </c>
      <c r="M42" s="44">
        <f t="shared" si="54"/>
        <v>94000000</v>
      </c>
      <c r="N42" s="45">
        <f t="shared" si="54"/>
        <v>94000000</v>
      </c>
      <c r="P42" s="43">
        <f>SUM(P43:P44)</f>
        <v>0</v>
      </c>
      <c r="Q42" s="45">
        <f>SUM(Q43:Q44)</f>
        <v>0</v>
      </c>
      <c r="R42" s="9"/>
      <c r="S42" s="369"/>
      <c r="T42" s="689"/>
      <c r="U42" s="164"/>
      <c r="V42" s="164"/>
      <c r="W42" s="164"/>
      <c r="X42" s="169"/>
      <c r="Y42" s="370"/>
      <c r="Z42" s="164"/>
      <c r="AA42" s="169"/>
      <c r="AB42" s="370"/>
      <c r="AC42" s="164"/>
      <c r="AD42" s="164"/>
      <c r="AE42" s="370"/>
      <c r="AF42" s="164"/>
      <c r="AG42" s="169"/>
      <c r="AH42" s="370"/>
      <c r="AI42" s="164"/>
      <c r="AJ42" s="169"/>
      <c r="AK42" s="10"/>
      <c r="AL42" s="175"/>
      <c r="AM42" s="176"/>
      <c r="AN42" s="9"/>
      <c r="AO42" s="297"/>
      <c r="AP42" s="297"/>
      <c r="AQ42" s="297"/>
      <c r="AR42" s="297"/>
      <c r="AS42" s="297"/>
      <c r="AT42" s="297"/>
      <c r="AU42" s="297"/>
      <c r="AV42" s="297"/>
      <c r="AW42" s="297"/>
      <c r="AX42" s="297"/>
      <c r="AY42" s="297"/>
      <c r="AZ42" s="297"/>
      <c r="BB42" s="425"/>
      <c r="BC42" s="425"/>
      <c r="BD42" s="425"/>
      <c r="BE42" s="425"/>
    </row>
    <row r="43" spans="1:70" s="425" customFormat="1" ht="24.95" customHeight="1" x14ac:dyDescent="0.2">
      <c r="A43" s="618" t="s">
        <v>164</v>
      </c>
      <c r="B43" s="654" t="str">
        <f>+CONCATENATE("Vigencia ",INSTRUCCIONES!$F$3)</f>
        <v>Vigencia 2015</v>
      </c>
      <c r="C43" s="375">
        <v>94000000</v>
      </c>
      <c r="D43" s="376">
        <f>P43</f>
        <v>0</v>
      </c>
      <c r="E43" s="376">
        <f>Q43</f>
        <v>0</v>
      </c>
      <c r="F43" s="376">
        <f>SUM(C43:E43)</f>
        <v>94000000</v>
      </c>
      <c r="G43" s="376">
        <v>0</v>
      </c>
      <c r="H43" s="377">
        <v>0</v>
      </c>
      <c r="I43" s="376">
        <f>SUM(G43:H43)</f>
        <v>0</v>
      </c>
      <c r="J43" s="376">
        <v>0</v>
      </c>
      <c r="K43" s="377">
        <v>0</v>
      </c>
      <c r="L43" s="376">
        <f>SUM(J43:K43)</f>
        <v>0</v>
      </c>
      <c r="M43" s="376">
        <f>F43-I43</f>
        <v>94000000</v>
      </c>
      <c r="N43" s="146">
        <f>F43-L43</f>
        <v>94000000</v>
      </c>
      <c r="O43" s="385"/>
      <c r="P43" s="375">
        <v>0</v>
      </c>
      <c r="Q43" s="378">
        <v>0</v>
      </c>
      <c r="R43" s="9"/>
      <c r="S43" s="718">
        <v>1010300</v>
      </c>
      <c r="T43" s="692" t="s">
        <v>163</v>
      </c>
      <c r="U43" s="135">
        <f t="shared" ref="U43:AJ43" si="55">U44+U49+U55</f>
        <v>111328187</v>
      </c>
      <c r="V43" s="124">
        <f t="shared" si="55"/>
        <v>0</v>
      </c>
      <c r="W43" s="124">
        <f t="shared" si="55"/>
        <v>29964174</v>
      </c>
      <c r="X43" s="133">
        <f t="shared" si="55"/>
        <v>141292361</v>
      </c>
      <c r="Y43" s="131">
        <f t="shared" si="55"/>
        <v>0</v>
      </c>
      <c r="Z43" s="124">
        <f t="shared" si="55"/>
        <v>36323164</v>
      </c>
      <c r="AA43" s="133">
        <f t="shared" si="55"/>
        <v>36323164</v>
      </c>
      <c r="AB43" s="131">
        <f t="shared" si="55"/>
        <v>0</v>
      </c>
      <c r="AC43" s="124">
        <f t="shared" si="55"/>
        <v>36323164</v>
      </c>
      <c r="AD43" s="132">
        <f t="shared" si="55"/>
        <v>36323164</v>
      </c>
      <c r="AE43" s="131">
        <f t="shared" si="55"/>
        <v>0</v>
      </c>
      <c r="AF43" s="124">
        <f t="shared" si="55"/>
        <v>5339190</v>
      </c>
      <c r="AG43" s="133">
        <f t="shared" si="55"/>
        <v>5339190</v>
      </c>
      <c r="AH43" s="131">
        <f t="shared" si="55"/>
        <v>104969197</v>
      </c>
      <c r="AI43" s="124">
        <f t="shared" si="55"/>
        <v>104969197</v>
      </c>
      <c r="AJ43" s="133">
        <f t="shared" si="55"/>
        <v>135953171</v>
      </c>
      <c r="AK43" s="9"/>
      <c r="AL43" s="131">
        <f>AL44+AL49+AL55</f>
        <v>0</v>
      </c>
      <c r="AM43" s="133">
        <f>AM44+AM49+AM55</f>
        <v>29964174</v>
      </c>
      <c r="AN43" s="9"/>
      <c r="AO43" s="385"/>
      <c r="AP43" s="460"/>
      <c r="AQ43" s="297"/>
      <c r="AR43" s="297"/>
      <c r="AS43" s="297"/>
      <c r="AT43" s="297"/>
      <c r="AU43" s="297"/>
      <c r="AV43" s="297"/>
      <c r="AW43" s="297"/>
      <c r="AX43" s="297"/>
      <c r="AY43" s="297"/>
      <c r="AZ43" s="297"/>
      <c r="BA43" s="385"/>
      <c r="BB43" s="385"/>
      <c r="BC43" s="385"/>
      <c r="BD43" s="385"/>
      <c r="BE43" s="385"/>
      <c r="BF43" s="385"/>
      <c r="BG43" s="385"/>
      <c r="BH43" s="385"/>
      <c r="BI43" s="385"/>
      <c r="BJ43" s="385"/>
      <c r="BK43" s="385"/>
      <c r="BL43" s="385"/>
      <c r="BM43" s="385"/>
      <c r="BN43" s="385"/>
      <c r="BO43" s="385"/>
      <c r="BP43" s="385"/>
      <c r="BQ43" s="385"/>
      <c r="BR43" s="385"/>
    </row>
    <row r="44" spans="1:70" s="425" customFormat="1" ht="24.95" customHeight="1" x14ac:dyDescent="0.2">
      <c r="A44" s="618" t="s">
        <v>166</v>
      </c>
      <c r="B44" s="654" t="s">
        <v>589</v>
      </c>
      <c r="C44" s="375">
        <v>0</v>
      </c>
      <c r="D44" s="376">
        <f>P44</f>
        <v>0</v>
      </c>
      <c r="E44" s="376">
        <f>Q44</f>
        <v>0</v>
      </c>
      <c r="F44" s="376">
        <f>SUM(C44:E44)</f>
        <v>0</v>
      </c>
      <c r="G44" s="376">
        <v>0</v>
      </c>
      <c r="H44" s="377">
        <v>0</v>
      </c>
      <c r="I44" s="376">
        <f>SUM(G44:H44)</f>
        <v>0</v>
      </c>
      <c r="J44" s="376">
        <v>0</v>
      </c>
      <c r="K44" s="377">
        <v>0</v>
      </c>
      <c r="L44" s="376">
        <f>SUM(J44:K44)</f>
        <v>0</v>
      </c>
      <c r="M44" s="376">
        <f>F44-I44</f>
        <v>0</v>
      </c>
      <c r="N44" s="146">
        <f>F44-L44</f>
        <v>0</v>
      </c>
      <c r="O44" s="385"/>
      <c r="P44" s="375">
        <v>0</v>
      </c>
      <c r="Q44" s="378">
        <v>0</v>
      </c>
      <c r="R44" s="9"/>
      <c r="S44" s="719">
        <v>1010301</v>
      </c>
      <c r="T44" s="693" t="s">
        <v>165</v>
      </c>
      <c r="U44" s="27">
        <f t="shared" ref="U44:AJ44" si="56">SUM(U45:U48)</f>
        <v>96536264</v>
      </c>
      <c r="V44" s="25">
        <f t="shared" si="56"/>
        <v>0</v>
      </c>
      <c r="W44" s="25">
        <f t="shared" si="56"/>
        <v>0</v>
      </c>
      <c r="X44" s="26">
        <f t="shared" si="56"/>
        <v>96536264</v>
      </c>
      <c r="Y44" s="29">
        <f t="shared" si="56"/>
        <v>0</v>
      </c>
      <c r="Z44" s="25">
        <f t="shared" si="56"/>
        <v>5339190</v>
      </c>
      <c r="AA44" s="26">
        <f t="shared" si="56"/>
        <v>5339190</v>
      </c>
      <c r="AB44" s="29">
        <f t="shared" si="56"/>
        <v>0</v>
      </c>
      <c r="AC44" s="25">
        <f t="shared" si="56"/>
        <v>5339190</v>
      </c>
      <c r="AD44" s="28">
        <f t="shared" si="56"/>
        <v>5339190</v>
      </c>
      <c r="AE44" s="29">
        <f t="shared" si="56"/>
        <v>0</v>
      </c>
      <c r="AF44" s="25">
        <f t="shared" si="56"/>
        <v>5339190</v>
      </c>
      <c r="AG44" s="26">
        <f t="shared" si="56"/>
        <v>5339190</v>
      </c>
      <c r="AH44" s="19">
        <f t="shared" si="56"/>
        <v>91197074</v>
      </c>
      <c r="AI44" s="15">
        <f t="shared" si="56"/>
        <v>91197074</v>
      </c>
      <c r="AJ44" s="16">
        <f t="shared" si="56"/>
        <v>91197074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v>1130107</v>
      </c>
      <c r="B45" s="653" t="s">
        <v>168</v>
      </c>
      <c r="C45" s="43">
        <f t="shared" ref="C45:N45" si="57">SUM(C46:C47)</f>
        <v>0</v>
      </c>
      <c r="D45" s="44">
        <f t="shared" si="57"/>
        <v>0</v>
      </c>
      <c r="E45" s="44">
        <f t="shared" si="57"/>
        <v>0</v>
      </c>
      <c r="F45" s="44">
        <f t="shared" si="57"/>
        <v>0</v>
      </c>
      <c r="G45" s="44">
        <f t="shared" si="57"/>
        <v>0</v>
      </c>
      <c r="H45" s="44">
        <f t="shared" si="57"/>
        <v>0</v>
      </c>
      <c r="I45" s="44">
        <f t="shared" si="57"/>
        <v>0</v>
      </c>
      <c r="J45" s="44">
        <f t="shared" si="57"/>
        <v>0</v>
      </c>
      <c r="K45" s="44">
        <f t="shared" si="57"/>
        <v>0</v>
      </c>
      <c r="L45" s="44">
        <f t="shared" si="57"/>
        <v>0</v>
      </c>
      <c r="M45" s="44">
        <f t="shared" si="57"/>
        <v>0</v>
      </c>
      <c r="N45" s="45">
        <f t="shared" si="57"/>
        <v>0</v>
      </c>
      <c r="P45" s="43">
        <f>SUM(P46:P47)</f>
        <v>0</v>
      </c>
      <c r="Q45" s="45">
        <f>SUM(Q46:Q47)</f>
        <v>0</v>
      </c>
      <c r="R45" s="9"/>
      <c r="S45" s="720" t="s">
        <v>167</v>
      </c>
      <c r="T45" s="694" t="s">
        <v>416</v>
      </c>
      <c r="U45" s="401">
        <v>26843256</v>
      </c>
      <c r="V45" s="15">
        <f t="shared" ref="V45:W48" si="58">AL45</f>
        <v>0</v>
      </c>
      <c r="W45" s="15">
        <f t="shared" si="58"/>
        <v>0</v>
      </c>
      <c r="X45" s="16">
        <f>SUM(U45:W45)</f>
        <v>26843256</v>
      </c>
      <c r="Y45" s="19">
        <v>0</v>
      </c>
      <c r="Z45" s="377">
        <v>2166630</v>
      </c>
      <c r="AA45" s="16">
        <f>SUM(Y45:Z45)</f>
        <v>2166630</v>
      </c>
      <c r="AB45" s="19">
        <v>0</v>
      </c>
      <c r="AC45" s="377">
        <v>2166630</v>
      </c>
      <c r="AD45" s="18">
        <f>SUM(AB45:AC45)</f>
        <v>2166630</v>
      </c>
      <c r="AE45" s="19">
        <v>0</v>
      </c>
      <c r="AF45" s="377">
        <v>2166630</v>
      </c>
      <c r="AG45" s="16">
        <f>SUM(AE45:AF45)</f>
        <v>2166630</v>
      </c>
      <c r="AH45" s="19">
        <f>X45-AA45</f>
        <v>24676626</v>
      </c>
      <c r="AI45" s="15">
        <f>X45-AD45</f>
        <v>24676626</v>
      </c>
      <c r="AJ45" s="16">
        <f>X45-AG45</f>
        <v>24676626</v>
      </c>
      <c r="AK45" s="9"/>
      <c r="AL45" s="375">
        <v>0</v>
      </c>
      <c r="AM45" s="378">
        <v>0</v>
      </c>
      <c r="AN45" s="9"/>
      <c r="AO45" s="297"/>
      <c r="AP45" s="297"/>
      <c r="AQ45" s="297"/>
      <c r="AR45" s="297"/>
      <c r="AS45" s="297"/>
      <c r="AT45" s="297"/>
      <c r="AU45" s="297"/>
      <c r="AV45" s="297"/>
      <c r="AW45" s="297"/>
      <c r="AX45" s="297"/>
      <c r="AY45" s="297"/>
      <c r="AZ45" s="297"/>
      <c r="BB45" s="425"/>
      <c r="BC45" s="425"/>
      <c r="BD45" s="425"/>
      <c r="BE45" s="425"/>
    </row>
    <row r="46" spans="1:70" s="425" customFormat="1" ht="24.95" customHeight="1" x14ac:dyDescent="0.2">
      <c r="A46" s="618" t="s">
        <v>170</v>
      </c>
      <c r="B46" s="654" t="str">
        <f>+CONCATENATE("Vigencia ",INSTRUCCIONES!$F$3)</f>
        <v>Vigencia 2015</v>
      </c>
      <c r="C46" s="375">
        <v>0</v>
      </c>
      <c r="D46" s="376">
        <f>P46</f>
        <v>0</v>
      </c>
      <c r="E46" s="376">
        <f>Q46</f>
        <v>0</v>
      </c>
      <c r="F46" s="376">
        <f>SUM(C46:E46)</f>
        <v>0</v>
      </c>
      <c r="G46" s="376">
        <v>0</v>
      </c>
      <c r="H46" s="377">
        <v>0</v>
      </c>
      <c r="I46" s="376">
        <f>SUM(G46:H46)</f>
        <v>0</v>
      </c>
      <c r="J46" s="376">
        <v>0</v>
      </c>
      <c r="K46" s="377">
        <v>0</v>
      </c>
      <c r="L46" s="376">
        <f>SUM(J46:K46)</f>
        <v>0</v>
      </c>
      <c r="M46" s="376">
        <f>F46-I46</f>
        <v>0</v>
      </c>
      <c r="N46" s="146">
        <f>F46-L46</f>
        <v>0</v>
      </c>
      <c r="O46" s="385"/>
      <c r="P46" s="375">
        <v>0</v>
      </c>
      <c r="Q46" s="378">
        <v>0</v>
      </c>
      <c r="R46" s="9"/>
      <c r="S46" s="720" t="s">
        <v>169</v>
      </c>
      <c r="T46" s="694" t="s">
        <v>417</v>
      </c>
      <c r="U46" s="401">
        <v>37896396</v>
      </c>
      <c r="V46" s="15">
        <f t="shared" si="58"/>
        <v>0</v>
      </c>
      <c r="W46" s="15">
        <f t="shared" si="58"/>
        <v>0</v>
      </c>
      <c r="X46" s="16">
        <f>SUM(U46:W46)</f>
        <v>37896396</v>
      </c>
      <c r="Y46" s="19">
        <v>0</v>
      </c>
      <c r="Z46" s="377">
        <v>3058774</v>
      </c>
      <c r="AA46" s="16">
        <f>SUM(Y46:Z46)</f>
        <v>3058774</v>
      </c>
      <c r="AB46" s="19">
        <v>0</v>
      </c>
      <c r="AC46" s="377">
        <v>3058774</v>
      </c>
      <c r="AD46" s="18">
        <f>SUM(AB46:AC46)</f>
        <v>3058774</v>
      </c>
      <c r="AE46" s="19">
        <v>0</v>
      </c>
      <c r="AF46" s="377">
        <v>3058774</v>
      </c>
      <c r="AG46" s="16">
        <f>SUM(AE46:AF46)</f>
        <v>3058774</v>
      </c>
      <c r="AH46" s="19">
        <f>X46-AA46</f>
        <v>34837622</v>
      </c>
      <c r="AI46" s="15">
        <f>X46-AD46</f>
        <v>34837622</v>
      </c>
      <c r="AJ46" s="16">
        <f>X46-AG46</f>
        <v>34837622</v>
      </c>
      <c r="AK46" s="9"/>
      <c r="AL46" s="375">
        <v>0</v>
      </c>
      <c r="AM46" s="378">
        <v>0</v>
      </c>
      <c r="AN46" s="9"/>
      <c r="AO46" s="461"/>
      <c r="AP46" s="460"/>
      <c r="AQ46" s="297"/>
      <c r="AR46" s="297"/>
      <c r="AS46" s="297"/>
      <c r="AT46" s="297"/>
      <c r="AU46" s="297"/>
      <c r="AV46" s="297"/>
      <c r="AW46" s="297"/>
      <c r="AX46" s="297"/>
      <c r="AY46" s="297"/>
      <c r="AZ46" s="297"/>
      <c r="BA46" s="385"/>
      <c r="BB46" s="385"/>
      <c r="BC46" s="385"/>
      <c r="BD46" s="385"/>
      <c r="BE46" s="385"/>
      <c r="BF46" s="385"/>
      <c r="BG46" s="385"/>
      <c r="BH46" s="385"/>
      <c r="BI46" s="385"/>
      <c r="BJ46" s="385"/>
      <c r="BK46" s="385"/>
      <c r="BL46" s="385"/>
    </row>
    <row r="47" spans="1:70" s="425" customFormat="1" ht="24.95" customHeight="1" x14ac:dyDescent="0.2">
      <c r="A47" s="618" t="s">
        <v>172</v>
      </c>
      <c r="B47" s="654" t="s">
        <v>589</v>
      </c>
      <c r="C47" s="375">
        <v>0</v>
      </c>
      <c r="D47" s="376">
        <f>P47</f>
        <v>0</v>
      </c>
      <c r="E47" s="376">
        <f>Q47</f>
        <v>0</v>
      </c>
      <c r="F47" s="376">
        <f>SUM(C47:E47)</f>
        <v>0</v>
      </c>
      <c r="G47" s="376">
        <v>0</v>
      </c>
      <c r="H47" s="377">
        <v>0</v>
      </c>
      <c r="I47" s="376">
        <f>SUM(G47:H47)</f>
        <v>0</v>
      </c>
      <c r="J47" s="376">
        <v>0</v>
      </c>
      <c r="K47" s="377">
        <v>0</v>
      </c>
      <c r="L47" s="376">
        <f>SUM(J47:K47)</f>
        <v>0</v>
      </c>
      <c r="M47" s="376">
        <f>F47-I47</f>
        <v>0</v>
      </c>
      <c r="N47" s="146">
        <f>F47-L47</f>
        <v>0</v>
      </c>
      <c r="O47" s="385"/>
      <c r="P47" s="375">
        <v>0</v>
      </c>
      <c r="Q47" s="378">
        <v>0</v>
      </c>
      <c r="R47" s="9"/>
      <c r="S47" s="720" t="s">
        <v>171</v>
      </c>
      <c r="T47" s="694" t="s">
        <v>418</v>
      </c>
      <c r="U47" s="401">
        <v>30148119</v>
      </c>
      <c r="V47" s="15">
        <f t="shared" si="58"/>
        <v>0</v>
      </c>
      <c r="W47" s="15">
        <f t="shared" si="58"/>
        <v>0</v>
      </c>
      <c r="X47" s="16">
        <f>SUM(U47:W47)</f>
        <v>30148119</v>
      </c>
      <c r="Y47" s="19">
        <v>0</v>
      </c>
      <c r="Z47" s="377">
        <v>0</v>
      </c>
      <c r="AA47" s="16">
        <f>SUM(Y47:Z47)</f>
        <v>0</v>
      </c>
      <c r="AB47" s="19">
        <v>0</v>
      </c>
      <c r="AC47" s="377">
        <v>0</v>
      </c>
      <c r="AD47" s="18">
        <f>SUM(AB47:AC47)</f>
        <v>0</v>
      </c>
      <c r="AE47" s="19">
        <v>0</v>
      </c>
      <c r="AF47" s="377">
        <v>0</v>
      </c>
      <c r="AG47" s="16">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v>1130108</v>
      </c>
      <c r="B48" s="653" t="s">
        <v>174</v>
      </c>
      <c r="C48" s="43">
        <f t="shared" ref="C48:N48" si="59">SUM(C49:C50)</f>
        <v>0</v>
      </c>
      <c r="D48" s="44">
        <f t="shared" si="59"/>
        <v>0</v>
      </c>
      <c r="E48" s="44">
        <f t="shared" si="59"/>
        <v>0</v>
      </c>
      <c r="F48" s="44">
        <f t="shared" si="59"/>
        <v>0</v>
      </c>
      <c r="G48" s="44">
        <f t="shared" si="59"/>
        <v>0</v>
      </c>
      <c r="H48" s="44">
        <f t="shared" si="59"/>
        <v>0</v>
      </c>
      <c r="I48" s="44">
        <f t="shared" si="59"/>
        <v>0</v>
      </c>
      <c r="J48" s="44">
        <f t="shared" si="59"/>
        <v>0</v>
      </c>
      <c r="K48" s="44">
        <f t="shared" si="59"/>
        <v>0</v>
      </c>
      <c r="L48" s="44">
        <f t="shared" si="59"/>
        <v>0</v>
      </c>
      <c r="M48" s="44">
        <f t="shared" si="59"/>
        <v>0</v>
      </c>
      <c r="N48" s="45">
        <f t="shared" si="59"/>
        <v>0</v>
      </c>
      <c r="P48" s="43">
        <f>SUM(P49:P50)</f>
        <v>0</v>
      </c>
      <c r="Q48" s="45">
        <f>SUM(Q49:Q50)</f>
        <v>0</v>
      </c>
      <c r="R48" s="9"/>
      <c r="S48" s="720" t="s">
        <v>173</v>
      </c>
      <c r="T48" s="694" t="s">
        <v>556</v>
      </c>
      <c r="U48" s="401">
        <v>1648493</v>
      </c>
      <c r="V48" s="15">
        <f t="shared" si="58"/>
        <v>0</v>
      </c>
      <c r="W48" s="15">
        <f t="shared" si="58"/>
        <v>0</v>
      </c>
      <c r="X48" s="16">
        <f>SUM(U48:W48)</f>
        <v>1648493</v>
      </c>
      <c r="Y48" s="19">
        <v>0</v>
      </c>
      <c r="Z48" s="377">
        <v>113786</v>
      </c>
      <c r="AA48" s="16">
        <f>SUM(Y48:Z48)</f>
        <v>113786</v>
      </c>
      <c r="AB48" s="19">
        <v>0</v>
      </c>
      <c r="AC48" s="377">
        <v>113786</v>
      </c>
      <c r="AD48" s="18">
        <f>SUM(AB48:AC48)</f>
        <v>113786</v>
      </c>
      <c r="AE48" s="19">
        <v>0</v>
      </c>
      <c r="AF48" s="377">
        <v>113786</v>
      </c>
      <c r="AG48" s="16">
        <f>SUM(AE48:AF48)</f>
        <v>113786</v>
      </c>
      <c r="AH48" s="19">
        <f>X48-AA48</f>
        <v>1534707</v>
      </c>
      <c r="AI48" s="15">
        <f>X48-AD48</f>
        <v>1534707</v>
      </c>
      <c r="AJ48" s="16">
        <f>X48-AG48</f>
        <v>1534707</v>
      </c>
      <c r="AK48" s="9"/>
      <c r="AL48" s="375">
        <v>0</v>
      </c>
      <c r="AM48" s="378">
        <v>0</v>
      </c>
      <c r="AN48" s="9"/>
      <c r="AO48" s="297"/>
      <c r="AP48" s="297"/>
      <c r="AQ48" s="297"/>
      <c r="AR48" s="297"/>
      <c r="AS48" s="297"/>
      <c r="AT48" s="297"/>
      <c r="AU48" s="297"/>
      <c r="AV48" s="297"/>
      <c r="AW48" s="297"/>
      <c r="AX48" s="297"/>
      <c r="AY48" s="297"/>
      <c r="AZ48" s="297"/>
      <c r="BB48" s="425"/>
      <c r="BC48" s="425"/>
      <c r="BD48" s="425"/>
      <c r="BE48" s="425"/>
    </row>
    <row r="49" spans="1:70" s="425" customFormat="1" ht="24.95" customHeight="1" x14ac:dyDescent="0.2">
      <c r="A49" s="618" t="s">
        <v>390</v>
      </c>
      <c r="B49" s="654" t="str">
        <f>+CONCATENATE("Vigencia ",INSTRUCCIONES!$F$3)</f>
        <v>Vigencia 2015</v>
      </c>
      <c r="C49" s="375">
        <v>0</v>
      </c>
      <c r="D49" s="376">
        <f>P49</f>
        <v>0</v>
      </c>
      <c r="E49" s="376">
        <f>Q49</f>
        <v>0</v>
      </c>
      <c r="F49" s="376">
        <f>SUM(C49:E49)</f>
        <v>0</v>
      </c>
      <c r="G49" s="376">
        <v>0</v>
      </c>
      <c r="H49" s="377">
        <v>0</v>
      </c>
      <c r="I49" s="376">
        <f>SUM(G49:H49)</f>
        <v>0</v>
      </c>
      <c r="J49" s="376">
        <v>0</v>
      </c>
      <c r="K49" s="377">
        <v>0</v>
      </c>
      <c r="L49" s="376">
        <f>SUM(J49:K49)</f>
        <v>0</v>
      </c>
      <c r="M49" s="376">
        <f>F49-I49</f>
        <v>0</v>
      </c>
      <c r="N49" s="146">
        <f>F49-L49</f>
        <v>0</v>
      </c>
      <c r="O49" s="385"/>
      <c r="P49" s="375">
        <v>0</v>
      </c>
      <c r="Q49" s="378">
        <v>0</v>
      </c>
      <c r="R49" s="9"/>
      <c r="S49" s="719">
        <v>1010302</v>
      </c>
      <c r="T49" s="693" t="s">
        <v>175</v>
      </c>
      <c r="U49" s="17">
        <f t="shared" ref="U49:AJ49" si="60">SUM(U50:U54)</f>
        <v>14791923</v>
      </c>
      <c r="V49" s="15">
        <f t="shared" si="60"/>
        <v>0</v>
      </c>
      <c r="W49" s="15">
        <f t="shared" si="60"/>
        <v>0</v>
      </c>
      <c r="X49" s="16">
        <f t="shared" si="60"/>
        <v>14791923</v>
      </c>
      <c r="Y49" s="19">
        <f t="shared" si="60"/>
        <v>0</v>
      </c>
      <c r="Z49" s="145">
        <f t="shared" si="60"/>
        <v>1019800</v>
      </c>
      <c r="AA49" s="16">
        <f t="shared" si="60"/>
        <v>1019800</v>
      </c>
      <c r="AB49" s="19">
        <f t="shared" si="60"/>
        <v>0</v>
      </c>
      <c r="AC49" s="145">
        <f t="shared" si="60"/>
        <v>1019800</v>
      </c>
      <c r="AD49" s="18">
        <f t="shared" si="60"/>
        <v>1019800</v>
      </c>
      <c r="AE49" s="19">
        <f t="shared" si="60"/>
        <v>0</v>
      </c>
      <c r="AF49" s="145">
        <f t="shared" si="60"/>
        <v>0</v>
      </c>
      <c r="AG49" s="16">
        <f t="shared" si="60"/>
        <v>0</v>
      </c>
      <c r="AH49" s="19">
        <f t="shared" si="60"/>
        <v>13772123</v>
      </c>
      <c r="AI49" s="15">
        <f t="shared" si="60"/>
        <v>13772123</v>
      </c>
      <c r="AJ49" s="16">
        <f t="shared" si="60"/>
        <v>14791923</v>
      </c>
      <c r="AK49" s="9"/>
      <c r="AL49" s="29">
        <f>SUM(AL50:AL54)</f>
        <v>0</v>
      </c>
      <c r="AM49" s="26">
        <f>SUM(AM50:AM54)</f>
        <v>0</v>
      </c>
      <c r="AN49" s="9"/>
      <c r="AO49" s="461"/>
      <c r="AP49" s="460"/>
      <c r="AQ49" s="297"/>
      <c r="AR49" s="297"/>
      <c r="AS49" s="297"/>
      <c r="AT49" s="297"/>
      <c r="AU49" s="297"/>
      <c r="AV49" s="297"/>
      <c r="AW49" s="297"/>
      <c r="AX49" s="297"/>
      <c r="AY49" s="297"/>
      <c r="AZ49" s="297"/>
      <c r="BA49" s="385"/>
      <c r="BB49" s="385"/>
      <c r="BC49" s="385"/>
      <c r="BD49" s="385"/>
      <c r="BE49" s="385"/>
      <c r="BF49" s="385"/>
      <c r="BG49" s="385"/>
      <c r="BH49" s="385"/>
      <c r="BI49" s="385"/>
      <c r="BJ49" s="385"/>
      <c r="BK49" s="385"/>
      <c r="BL49" s="385"/>
      <c r="BM49" s="385"/>
      <c r="BN49" s="385"/>
      <c r="BO49" s="385"/>
      <c r="BP49" s="385"/>
      <c r="BQ49" s="385"/>
      <c r="BR49" s="385"/>
    </row>
    <row r="50" spans="1:70" s="425" customFormat="1" ht="24.95" customHeight="1" x14ac:dyDescent="0.2">
      <c r="A50" s="618" t="s">
        <v>391</v>
      </c>
      <c r="B50" s="654" t="s">
        <v>589</v>
      </c>
      <c r="C50" s="375">
        <v>0</v>
      </c>
      <c r="D50" s="376">
        <f>P50</f>
        <v>0</v>
      </c>
      <c r="E50" s="376">
        <f>Q50</f>
        <v>0</v>
      </c>
      <c r="F50" s="376">
        <f>SUM(C50:E50)</f>
        <v>0</v>
      </c>
      <c r="G50" s="376">
        <v>0</v>
      </c>
      <c r="H50" s="377">
        <v>0</v>
      </c>
      <c r="I50" s="376">
        <f>SUM(G50:H50)</f>
        <v>0</v>
      </c>
      <c r="J50" s="376">
        <v>0</v>
      </c>
      <c r="K50" s="377">
        <v>0</v>
      </c>
      <c r="L50" s="376">
        <f>SUM(J50:K50)</f>
        <v>0</v>
      </c>
      <c r="M50" s="376">
        <f>F50-I50</f>
        <v>0</v>
      </c>
      <c r="N50" s="146">
        <f>F50-L50</f>
        <v>0</v>
      </c>
      <c r="O50" s="385"/>
      <c r="P50" s="375">
        <v>0</v>
      </c>
      <c r="Q50" s="378">
        <v>0</v>
      </c>
      <c r="R50" s="9"/>
      <c r="S50" s="720" t="s">
        <v>176</v>
      </c>
      <c r="T50" s="694" t="s">
        <v>419</v>
      </c>
      <c r="U50" s="401">
        <v>0</v>
      </c>
      <c r="V50" s="15">
        <f t="shared" ref="V50:W55" si="61">AL50</f>
        <v>0</v>
      </c>
      <c r="W50" s="15">
        <f t="shared" si="61"/>
        <v>0</v>
      </c>
      <c r="X50" s="16">
        <f t="shared" ref="X50:X55" si="62">SUM(U50:W50)</f>
        <v>0</v>
      </c>
      <c r="Y50" s="19">
        <v>0</v>
      </c>
      <c r="Z50" s="377">
        <v>0</v>
      </c>
      <c r="AA50" s="16">
        <f t="shared" ref="AA50:AA55" si="63">SUM(Y50:Z50)</f>
        <v>0</v>
      </c>
      <c r="AB50" s="19">
        <v>0</v>
      </c>
      <c r="AC50" s="377">
        <v>0</v>
      </c>
      <c r="AD50" s="18">
        <f t="shared" ref="AD50:AD55" si="64">SUM(AB50:AC50)</f>
        <v>0</v>
      </c>
      <c r="AE50" s="19">
        <v>0</v>
      </c>
      <c r="AF50" s="377">
        <v>0</v>
      </c>
      <c r="AG50" s="16">
        <f t="shared" ref="AG50:AG55" si="65">SUM(AE50:AF50)</f>
        <v>0</v>
      </c>
      <c r="AH50" s="19">
        <f t="shared" ref="AH50:AH55" si="66">X50-AA50</f>
        <v>0</v>
      </c>
      <c r="AI50" s="15">
        <f t="shared" ref="AI50:AI55" si="67">X50-AD50</f>
        <v>0</v>
      </c>
      <c r="AJ50" s="16">
        <f t="shared" ref="AJ50:AJ55" si="68">X50-AG50</f>
        <v>0</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v>1130109</v>
      </c>
      <c r="B51" s="653" t="s">
        <v>178</v>
      </c>
      <c r="C51" s="43">
        <f t="shared" ref="C51:N51" si="69">SUM(C52:C53)</f>
        <v>0</v>
      </c>
      <c r="D51" s="44">
        <f t="shared" si="69"/>
        <v>0</v>
      </c>
      <c r="E51" s="44">
        <f t="shared" si="69"/>
        <v>0</v>
      </c>
      <c r="F51" s="44">
        <f t="shared" si="69"/>
        <v>0</v>
      </c>
      <c r="G51" s="44">
        <f t="shared" si="69"/>
        <v>0</v>
      </c>
      <c r="H51" s="44">
        <f t="shared" si="69"/>
        <v>0</v>
      </c>
      <c r="I51" s="44">
        <f t="shared" si="69"/>
        <v>0</v>
      </c>
      <c r="J51" s="44">
        <f t="shared" si="69"/>
        <v>0</v>
      </c>
      <c r="K51" s="44">
        <f t="shared" si="69"/>
        <v>0</v>
      </c>
      <c r="L51" s="44">
        <f t="shared" si="69"/>
        <v>0</v>
      </c>
      <c r="M51" s="44">
        <f t="shared" si="69"/>
        <v>0</v>
      </c>
      <c r="N51" s="45">
        <f t="shared" si="69"/>
        <v>0</v>
      </c>
      <c r="P51" s="43">
        <f>SUM(P52:P53)</f>
        <v>0</v>
      </c>
      <c r="Q51" s="45">
        <f>SUM(Q52:Q53)</f>
        <v>0</v>
      </c>
      <c r="R51" s="9"/>
      <c r="S51" s="720" t="s">
        <v>177</v>
      </c>
      <c r="T51" s="694" t="s">
        <v>420</v>
      </c>
      <c r="U51" s="401">
        <v>0</v>
      </c>
      <c r="V51" s="15">
        <f t="shared" si="61"/>
        <v>0</v>
      </c>
      <c r="W51" s="15">
        <f t="shared" si="61"/>
        <v>0</v>
      </c>
      <c r="X51" s="16">
        <f t="shared" si="62"/>
        <v>0</v>
      </c>
      <c r="Y51" s="19">
        <v>0</v>
      </c>
      <c r="Z51" s="377">
        <v>0</v>
      </c>
      <c r="AA51" s="16">
        <f t="shared" si="63"/>
        <v>0</v>
      </c>
      <c r="AB51" s="19">
        <v>0</v>
      </c>
      <c r="AC51" s="377">
        <v>0</v>
      </c>
      <c r="AD51" s="18">
        <f t="shared" si="64"/>
        <v>0</v>
      </c>
      <c r="AE51" s="19">
        <v>0</v>
      </c>
      <c r="AF51" s="377">
        <v>0</v>
      </c>
      <c r="AG51" s="16">
        <f t="shared" si="65"/>
        <v>0</v>
      </c>
      <c r="AH51" s="19">
        <f t="shared" si="66"/>
        <v>0</v>
      </c>
      <c r="AI51" s="15">
        <f t="shared" si="67"/>
        <v>0</v>
      </c>
      <c r="AJ51" s="16">
        <f t="shared" si="68"/>
        <v>0</v>
      </c>
      <c r="AK51" s="9"/>
      <c r="AL51" s="375">
        <v>0</v>
      </c>
      <c r="AM51" s="378">
        <v>0</v>
      </c>
      <c r="AN51" s="9"/>
      <c r="AO51" s="297"/>
      <c r="AP51" s="297"/>
      <c r="AQ51" s="297"/>
      <c r="AR51" s="297"/>
      <c r="AS51" s="297"/>
      <c r="AT51" s="297"/>
      <c r="AU51" s="297"/>
      <c r="AV51" s="297"/>
      <c r="AW51" s="297"/>
      <c r="AX51" s="297"/>
      <c r="AY51" s="297"/>
      <c r="AZ51" s="297"/>
      <c r="BB51" s="425"/>
      <c r="BC51" s="425"/>
      <c r="BD51" s="425"/>
      <c r="BE51" s="425"/>
    </row>
    <row r="52" spans="1:70" s="425" customFormat="1" ht="24.95" customHeight="1" x14ac:dyDescent="0.2">
      <c r="A52" s="618" t="s">
        <v>180</v>
      </c>
      <c r="B52" s="654" t="str">
        <f>+CONCATENATE("Vigencia ",INSTRUCCIONES!$F$3)</f>
        <v>Vigencia 2015</v>
      </c>
      <c r="C52" s="375">
        <v>0</v>
      </c>
      <c r="D52" s="376">
        <f>P52</f>
        <v>0</v>
      </c>
      <c r="E52" s="376">
        <f>Q52</f>
        <v>0</v>
      </c>
      <c r="F52" s="376">
        <f>SUM(C52:E52)</f>
        <v>0</v>
      </c>
      <c r="G52" s="376">
        <v>0</v>
      </c>
      <c r="H52" s="377">
        <v>0</v>
      </c>
      <c r="I52" s="376">
        <f>SUM(G52:H52)</f>
        <v>0</v>
      </c>
      <c r="J52" s="376">
        <v>0</v>
      </c>
      <c r="K52" s="377">
        <v>0</v>
      </c>
      <c r="L52" s="376">
        <f>SUM(J52:K52)</f>
        <v>0</v>
      </c>
      <c r="M52" s="376">
        <f>F52-I52</f>
        <v>0</v>
      </c>
      <c r="N52" s="146">
        <f>F52-L52</f>
        <v>0</v>
      </c>
      <c r="O52" s="385"/>
      <c r="P52" s="375">
        <v>0</v>
      </c>
      <c r="Q52" s="378">
        <v>0</v>
      </c>
      <c r="R52" s="9"/>
      <c r="S52" s="720" t="s">
        <v>179</v>
      </c>
      <c r="T52" s="694" t="s">
        <v>421</v>
      </c>
      <c r="U52" s="401">
        <v>0</v>
      </c>
      <c r="V52" s="15">
        <f t="shared" si="61"/>
        <v>0</v>
      </c>
      <c r="W52" s="15">
        <f t="shared" si="61"/>
        <v>0</v>
      </c>
      <c r="X52" s="16">
        <f t="shared" si="62"/>
        <v>0</v>
      </c>
      <c r="Y52" s="19">
        <v>0</v>
      </c>
      <c r="Z52" s="377">
        <v>0</v>
      </c>
      <c r="AA52" s="16">
        <f t="shared" si="63"/>
        <v>0</v>
      </c>
      <c r="AB52" s="19">
        <v>0</v>
      </c>
      <c r="AC52" s="377">
        <v>0</v>
      </c>
      <c r="AD52" s="18">
        <f t="shared" si="64"/>
        <v>0</v>
      </c>
      <c r="AE52" s="19">
        <v>0</v>
      </c>
      <c r="AF52" s="377">
        <v>0</v>
      </c>
      <c r="AG52" s="16">
        <f t="shared" si="65"/>
        <v>0</v>
      </c>
      <c r="AH52" s="19">
        <f t="shared" si="66"/>
        <v>0</v>
      </c>
      <c r="AI52" s="15">
        <f t="shared" si="67"/>
        <v>0</v>
      </c>
      <c r="AJ52" s="16">
        <f t="shared" si="68"/>
        <v>0</v>
      </c>
      <c r="AK52" s="9"/>
      <c r="AL52" s="375">
        <v>0</v>
      </c>
      <c r="AM52" s="378">
        <v>0</v>
      </c>
      <c r="AN52" s="9"/>
      <c r="AO52" s="462"/>
      <c r="AP52" s="462"/>
      <c r="AQ52" s="462"/>
      <c r="AR52" s="297"/>
      <c r="AS52" s="461"/>
      <c r="AT52" s="461"/>
      <c r="AU52" s="461"/>
      <c r="AV52" s="461"/>
      <c r="AW52" s="461"/>
      <c r="AX52" s="461"/>
      <c r="AY52" s="461"/>
      <c r="AZ52" s="461"/>
      <c r="BA52" s="385"/>
      <c r="BB52" s="385"/>
      <c r="BC52" s="385"/>
      <c r="BD52" s="385"/>
      <c r="BE52" s="385"/>
      <c r="BF52" s="385"/>
      <c r="BG52" s="385"/>
      <c r="BH52" s="385"/>
      <c r="BI52" s="385"/>
      <c r="BJ52" s="385"/>
      <c r="BK52" s="385"/>
      <c r="BL52" s="385"/>
      <c r="BM52" s="385"/>
      <c r="BN52" s="385"/>
      <c r="BO52" s="385"/>
      <c r="BP52" s="385"/>
      <c r="BQ52" s="385"/>
      <c r="BR52" s="385"/>
    </row>
    <row r="53" spans="1:70" s="425" customFormat="1" ht="24.95" customHeight="1" x14ac:dyDescent="0.2">
      <c r="A53" s="618" t="s">
        <v>182</v>
      </c>
      <c r="B53" s="654" t="s">
        <v>589</v>
      </c>
      <c r="C53" s="375">
        <v>0</v>
      </c>
      <c r="D53" s="376">
        <f>P53</f>
        <v>0</v>
      </c>
      <c r="E53" s="376">
        <f>Q53</f>
        <v>0</v>
      </c>
      <c r="F53" s="376">
        <f>SUM(C53:E53)</f>
        <v>0</v>
      </c>
      <c r="G53" s="376">
        <v>0</v>
      </c>
      <c r="H53" s="377">
        <v>0</v>
      </c>
      <c r="I53" s="376">
        <f>SUM(G53:H53)</f>
        <v>0</v>
      </c>
      <c r="J53" s="376">
        <v>0</v>
      </c>
      <c r="K53" s="377">
        <v>0</v>
      </c>
      <c r="L53" s="376">
        <f>SUM(J53:K53)</f>
        <v>0</v>
      </c>
      <c r="M53" s="376">
        <f>F53-I53</f>
        <v>0</v>
      </c>
      <c r="N53" s="146">
        <f>F53-L53</f>
        <v>0</v>
      </c>
      <c r="O53" s="385"/>
      <c r="P53" s="375">
        <v>0</v>
      </c>
      <c r="Q53" s="378">
        <v>0</v>
      </c>
      <c r="R53" s="9"/>
      <c r="S53" s="720" t="s">
        <v>181</v>
      </c>
      <c r="T53" s="694" t="s">
        <v>557</v>
      </c>
      <c r="U53" s="401">
        <v>0</v>
      </c>
      <c r="V53" s="15">
        <f t="shared" si="61"/>
        <v>0</v>
      </c>
      <c r="W53" s="15">
        <f t="shared" si="61"/>
        <v>0</v>
      </c>
      <c r="X53" s="16">
        <f t="shared" si="62"/>
        <v>0</v>
      </c>
      <c r="Y53" s="19">
        <v>0</v>
      </c>
      <c r="Z53" s="377">
        <v>0</v>
      </c>
      <c r="AA53" s="16">
        <f t="shared" si="63"/>
        <v>0</v>
      </c>
      <c r="AB53" s="19">
        <v>0</v>
      </c>
      <c r="AC53" s="377">
        <v>0</v>
      </c>
      <c r="AD53" s="18">
        <f t="shared" si="64"/>
        <v>0</v>
      </c>
      <c r="AE53" s="19">
        <v>0</v>
      </c>
      <c r="AF53" s="377">
        <v>0</v>
      </c>
      <c r="AG53" s="16">
        <f t="shared" si="65"/>
        <v>0</v>
      </c>
      <c r="AH53" s="19">
        <f t="shared" si="66"/>
        <v>0</v>
      </c>
      <c r="AI53" s="15">
        <f t="shared" si="67"/>
        <v>0</v>
      </c>
      <c r="AJ53" s="16">
        <f t="shared" si="68"/>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v>1130110</v>
      </c>
      <c r="B54" s="653" t="s">
        <v>184</v>
      </c>
      <c r="C54" s="43">
        <f t="shared" ref="C54:N54" si="70">SUM(C55:C56)</f>
        <v>0</v>
      </c>
      <c r="D54" s="44">
        <f t="shared" si="70"/>
        <v>0</v>
      </c>
      <c r="E54" s="44">
        <f t="shared" si="70"/>
        <v>0</v>
      </c>
      <c r="F54" s="44">
        <f t="shared" si="70"/>
        <v>0</v>
      </c>
      <c r="G54" s="44">
        <f t="shared" si="70"/>
        <v>0</v>
      </c>
      <c r="H54" s="44">
        <f t="shared" si="70"/>
        <v>0</v>
      </c>
      <c r="I54" s="44">
        <f t="shared" si="70"/>
        <v>0</v>
      </c>
      <c r="J54" s="44">
        <f t="shared" si="70"/>
        <v>0</v>
      </c>
      <c r="K54" s="44">
        <f t="shared" si="70"/>
        <v>0</v>
      </c>
      <c r="L54" s="44">
        <f t="shared" si="70"/>
        <v>0</v>
      </c>
      <c r="M54" s="44">
        <f t="shared" si="70"/>
        <v>0</v>
      </c>
      <c r="N54" s="45">
        <f t="shared" si="70"/>
        <v>0</v>
      </c>
      <c r="P54" s="43">
        <f>SUM(P55:P56)</f>
        <v>0</v>
      </c>
      <c r="Q54" s="45">
        <f>SUM(Q55:Q56)</f>
        <v>0</v>
      </c>
      <c r="R54" s="9"/>
      <c r="S54" s="720" t="s">
        <v>183</v>
      </c>
      <c r="T54" s="694" t="s">
        <v>422</v>
      </c>
      <c r="U54" s="401">
        <v>14791923</v>
      </c>
      <c r="V54" s="15">
        <f t="shared" si="61"/>
        <v>0</v>
      </c>
      <c r="W54" s="15">
        <f t="shared" si="61"/>
        <v>0</v>
      </c>
      <c r="X54" s="16">
        <f t="shared" si="62"/>
        <v>14791923</v>
      </c>
      <c r="Y54" s="19">
        <v>0</v>
      </c>
      <c r="Z54" s="377">
        <v>1019800</v>
      </c>
      <c r="AA54" s="16">
        <f t="shared" si="63"/>
        <v>1019800</v>
      </c>
      <c r="AB54" s="19">
        <v>0</v>
      </c>
      <c r="AC54" s="377">
        <v>1019800</v>
      </c>
      <c r="AD54" s="18">
        <f t="shared" si="64"/>
        <v>1019800</v>
      </c>
      <c r="AE54" s="19">
        <v>0</v>
      </c>
      <c r="AF54" s="377">
        <v>0</v>
      </c>
      <c r="AG54" s="16">
        <f t="shared" si="65"/>
        <v>0</v>
      </c>
      <c r="AH54" s="19">
        <f t="shared" si="66"/>
        <v>13772123</v>
      </c>
      <c r="AI54" s="15">
        <f t="shared" si="67"/>
        <v>13772123</v>
      </c>
      <c r="AJ54" s="16">
        <f t="shared" si="68"/>
        <v>14791923</v>
      </c>
      <c r="AK54" s="9"/>
      <c r="AL54" s="375">
        <v>0</v>
      </c>
      <c r="AM54" s="378">
        <v>0</v>
      </c>
      <c r="AN54" s="9"/>
      <c r="AO54" s="297"/>
      <c r="AP54" s="297"/>
      <c r="AQ54" s="297"/>
      <c r="AR54" s="297"/>
      <c r="AS54" s="297"/>
      <c r="AT54" s="297"/>
      <c r="AU54" s="297"/>
      <c r="AV54" s="297"/>
      <c r="AW54" s="297"/>
      <c r="AX54" s="297"/>
      <c r="AY54" s="297"/>
      <c r="AZ54" s="297"/>
      <c r="BB54" s="425"/>
      <c r="BC54" s="425"/>
      <c r="BD54" s="425"/>
      <c r="BE54" s="425"/>
    </row>
    <row r="55" spans="1:70" s="425" customFormat="1" ht="24.95" customHeight="1" x14ac:dyDescent="0.2">
      <c r="A55" s="618" t="s">
        <v>185</v>
      </c>
      <c r="B55" s="654" t="str">
        <f>+CONCATENATE("Vigencia ",INSTRUCCIONES!$F$3)</f>
        <v>Vigencia 2015</v>
      </c>
      <c r="C55" s="375">
        <v>0</v>
      </c>
      <c r="D55" s="376">
        <f>P55</f>
        <v>0</v>
      </c>
      <c r="E55" s="376">
        <f>Q55</f>
        <v>0</v>
      </c>
      <c r="F55" s="376">
        <f>SUM(C55:E55)</f>
        <v>0</v>
      </c>
      <c r="G55" s="376">
        <v>0</v>
      </c>
      <c r="H55" s="377">
        <v>0</v>
      </c>
      <c r="I55" s="376">
        <f>SUM(G55:H55)</f>
        <v>0</v>
      </c>
      <c r="J55" s="376">
        <v>0</v>
      </c>
      <c r="K55" s="377">
        <v>0</v>
      </c>
      <c r="L55" s="376">
        <f>SUM(J55:K55)</f>
        <v>0</v>
      </c>
      <c r="M55" s="376">
        <f>F55-I55</f>
        <v>0</v>
      </c>
      <c r="N55" s="146">
        <f>F55-L55</f>
        <v>0</v>
      </c>
      <c r="O55" s="385"/>
      <c r="P55" s="375">
        <v>0</v>
      </c>
      <c r="Q55" s="378">
        <v>0</v>
      </c>
      <c r="R55" s="9"/>
      <c r="S55" s="719">
        <v>1010399</v>
      </c>
      <c r="T55" s="693" t="s">
        <v>132</v>
      </c>
      <c r="U55" s="401">
        <v>0</v>
      </c>
      <c r="V55" s="15">
        <f t="shared" si="61"/>
        <v>0</v>
      </c>
      <c r="W55" s="15">
        <f t="shared" si="61"/>
        <v>29964174</v>
      </c>
      <c r="X55" s="16">
        <f t="shared" si="62"/>
        <v>29964174</v>
      </c>
      <c r="Y55" s="19">
        <v>0</v>
      </c>
      <c r="Z55" s="377">
        <v>29964174</v>
      </c>
      <c r="AA55" s="16">
        <f t="shared" si="63"/>
        <v>29964174</v>
      </c>
      <c r="AB55" s="19">
        <v>0</v>
      </c>
      <c r="AC55" s="377">
        <v>29964174</v>
      </c>
      <c r="AD55" s="18">
        <f t="shared" si="64"/>
        <v>29964174</v>
      </c>
      <c r="AE55" s="19">
        <v>0</v>
      </c>
      <c r="AF55" s="377">
        <v>0</v>
      </c>
      <c r="AG55" s="16">
        <f t="shared" si="65"/>
        <v>0</v>
      </c>
      <c r="AH55" s="19">
        <f t="shared" si="66"/>
        <v>0</v>
      </c>
      <c r="AI55" s="15">
        <f t="shared" si="67"/>
        <v>0</v>
      </c>
      <c r="AJ55" s="16">
        <f t="shared" si="68"/>
        <v>29964174</v>
      </c>
      <c r="AK55" s="9"/>
      <c r="AL55" s="375">
        <v>0</v>
      </c>
      <c r="AM55" s="378">
        <v>29964174</v>
      </c>
      <c r="AN55" s="9"/>
      <c r="AO55" s="297"/>
      <c r="AP55" s="460"/>
      <c r="AQ55" s="297"/>
      <c r="AR55" s="297"/>
      <c r="AS55" s="297"/>
      <c r="AT55" s="297"/>
      <c r="AU55" s="297"/>
      <c r="AV55" s="297"/>
      <c r="AW55" s="297"/>
      <c r="AX55" s="297"/>
      <c r="AY55" s="297"/>
      <c r="AZ55" s="297"/>
      <c r="BA55" s="385"/>
      <c r="BB55" s="385"/>
      <c r="BC55" s="385"/>
      <c r="BD55" s="385"/>
      <c r="BE55" s="385"/>
      <c r="BF55" s="385"/>
      <c r="BG55" s="385"/>
      <c r="BH55" s="385"/>
      <c r="BI55" s="385"/>
      <c r="BJ55" s="385"/>
      <c r="BK55" s="385"/>
      <c r="BL55" s="385"/>
      <c r="BM55" s="385"/>
      <c r="BN55" s="385"/>
      <c r="BO55" s="385"/>
      <c r="BP55" s="385"/>
      <c r="BQ55" s="385"/>
      <c r="BR55" s="385"/>
    </row>
    <row r="56" spans="1:70" s="425" customFormat="1" ht="24.95" customHeight="1" x14ac:dyDescent="0.2">
      <c r="A56" s="618" t="s">
        <v>186</v>
      </c>
      <c r="B56" s="654" t="s">
        <v>589</v>
      </c>
      <c r="C56" s="375">
        <v>0</v>
      </c>
      <c r="D56" s="376">
        <f>P56</f>
        <v>0</v>
      </c>
      <c r="E56" s="376">
        <f>Q56</f>
        <v>0</v>
      </c>
      <c r="F56" s="376">
        <f>SUM(C56:E56)</f>
        <v>0</v>
      </c>
      <c r="G56" s="376">
        <v>0</v>
      </c>
      <c r="H56" s="377">
        <v>0</v>
      </c>
      <c r="I56" s="376">
        <f>SUM(G56:H56)</f>
        <v>0</v>
      </c>
      <c r="J56" s="376">
        <v>0</v>
      </c>
      <c r="K56" s="377">
        <v>0</v>
      </c>
      <c r="L56" s="376">
        <f>SUM(J56:K56)</f>
        <v>0</v>
      </c>
      <c r="M56" s="376">
        <f>F56-I56</f>
        <v>0</v>
      </c>
      <c r="N56" s="146">
        <f>F56-L56</f>
        <v>0</v>
      </c>
      <c r="O56" s="385"/>
      <c r="P56" s="375">
        <v>0</v>
      </c>
      <c r="Q56" s="378">
        <v>0</v>
      </c>
      <c r="R56" s="9"/>
      <c r="S56" s="369"/>
      <c r="T56" s="689"/>
      <c r="U56" s="203"/>
      <c r="V56" s="164"/>
      <c r="W56" s="164"/>
      <c r="X56" s="169"/>
      <c r="Y56" s="370"/>
      <c r="Z56" s="164"/>
      <c r="AA56" s="169"/>
      <c r="AB56" s="370"/>
      <c r="AC56" s="164"/>
      <c r="AD56" s="164"/>
      <c r="AE56" s="370"/>
      <c r="AF56" s="164"/>
      <c r="AG56" s="169"/>
      <c r="AH56" s="370"/>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v>1130111</v>
      </c>
      <c r="B57" s="653" t="s">
        <v>188</v>
      </c>
      <c r="C57" s="43">
        <f t="shared" ref="C57:N57" si="71">SUM(C58:C59)</f>
        <v>0</v>
      </c>
      <c r="D57" s="44">
        <f t="shared" si="71"/>
        <v>0</v>
      </c>
      <c r="E57" s="44">
        <f t="shared" si="71"/>
        <v>0</v>
      </c>
      <c r="F57" s="44">
        <f t="shared" si="71"/>
        <v>0</v>
      </c>
      <c r="G57" s="44">
        <f t="shared" si="71"/>
        <v>0</v>
      </c>
      <c r="H57" s="44">
        <f t="shared" si="71"/>
        <v>0</v>
      </c>
      <c r="I57" s="44">
        <f t="shared" si="71"/>
        <v>0</v>
      </c>
      <c r="J57" s="44">
        <f t="shared" si="71"/>
        <v>0</v>
      </c>
      <c r="K57" s="44">
        <f t="shared" si="71"/>
        <v>0</v>
      </c>
      <c r="L57" s="44">
        <f t="shared" si="71"/>
        <v>0</v>
      </c>
      <c r="M57" s="44">
        <f t="shared" si="71"/>
        <v>0</v>
      </c>
      <c r="N57" s="45">
        <f t="shared" si="71"/>
        <v>0</v>
      </c>
      <c r="P57" s="43">
        <f>SUM(P58:P59)</f>
        <v>0</v>
      </c>
      <c r="Q57" s="45">
        <f>SUM(Q58:Q59)</f>
        <v>0</v>
      </c>
      <c r="R57" s="9"/>
      <c r="S57" s="718">
        <v>1010400</v>
      </c>
      <c r="T57" s="692" t="s">
        <v>187</v>
      </c>
      <c r="U57" s="135">
        <f t="shared" ref="U57:AJ57" si="72">U58+U61</f>
        <v>18489903</v>
      </c>
      <c r="V57" s="124">
        <f t="shared" si="72"/>
        <v>0</v>
      </c>
      <c r="W57" s="124">
        <f t="shared" si="72"/>
        <v>1280600</v>
      </c>
      <c r="X57" s="133">
        <f t="shared" si="72"/>
        <v>19770503</v>
      </c>
      <c r="Y57" s="131">
        <f t="shared" si="72"/>
        <v>0</v>
      </c>
      <c r="Z57" s="124">
        <f t="shared" si="72"/>
        <v>2538700</v>
      </c>
      <c r="AA57" s="133">
        <f t="shared" si="72"/>
        <v>2538700</v>
      </c>
      <c r="AB57" s="131">
        <f t="shared" si="72"/>
        <v>0</v>
      </c>
      <c r="AC57" s="124">
        <f t="shared" si="72"/>
        <v>2538700</v>
      </c>
      <c r="AD57" s="132">
        <f t="shared" si="72"/>
        <v>2538700</v>
      </c>
      <c r="AE57" s="131">
        <f t="shared" si="72"/>
        <v>0</v>
      </c>
      <c r="AF57" s="124">
        <f t="shared" si="72"/>
        <v>0</v>
      </c>
      <c r="AG57" s="133">
        <f t="shared" si="72"/>
        <v>0</v>
      </c>
      <c r="AH57" s="131">
        <f t="shared" si="72"/>
        <v>17231803</v>
      </c>
      <c r="AI57" s="124">
        <f t="shared" si="72"/>
        <v>17231803</v>
      </c>
      <c r="AJ57" s="133">
        <f t="shared" si="72"/>
        <v>19770503</v>
      </c>
      <c r="AK57" s="9"/>
      <c r="AL57" s="131">
        <f>AL58+AL61</f>
        <v>0</v>
      </c>
      <c r="AM57" s="133">
        <f>AM58+AM61</f>
        <v>1280600</v>
      </c>
      <c r="AN57" s="9"/>
      <c r="AO57" s="297"/>
      <c r="AP57" s="297"/>
      <c r="AQ57" s="297"/>
      <c r="AR57" s="297"/>
      <c r="AS57" s="297"/>
      <c r="AT57" s="297"/>
      <c r="AU57" s="297"/>
      <c r="AV57" s="297"/>
      <c r="AW57" s="297"/>
      <c r="AX57" s="297"/>
      <c r="AY57" s="297"/>
      <c r="AZ57" s="297"/>
      <c r="BB57" s="425"/>
      <c r="BC57" s="425"/>
      <c r="BD57" s="425"/>
      <c r="BE57" s="425"/>
    </row>
    <row r="58" spans="1:70" s="425" customFormat="1" ht="24.95" customHeight="1" x14ac:dyDescent="0.2">
      <c r="A58" s="618" t="s">
        <v>189</v>
      </c>
      <c r="B58" s="654" t="str">
        <f>+CONCATENATE("Vigencia ",INSTRUCCIONES!$F$3)</f>
        <v>Vigencia 2015</v>
      </c>
      <c r="C58" s="375">
        <v>0</v>
      </c>
      <c r="D58" s="376">
        <f>P58</f>
        <v>0</v>
      </c>
      <c r="E58" s="376">
        <f>Q58</f>
        <v>0</v>
      </c>
      <c r="F58" s="376">
        <f>SUM(C58:E58)</f>
        <v>0</v>
      </c>
      <c r="G58" s="376">
        <v>0</v>
      </c>
      <c r="H58" s="377">
        <v>0</v>
      </c>
      <c r="I58" s="376">
        <f>SUM(G58:H58)</f>
        <v>0</v>
      </c>
      <c r="J58" s="376">
        <v>0</v>
      </c>
      <c r="K58" s="377">
        <v>0</v>
      </c>
      <c r="L58" s="376">
        <f>SUM(J58:K58)</f>
        <v>0</v>
      </c>
      <c r="M58" s="376">
        <f>F58-I58</f>
        <v>0</v>
      </c>
      <c r="N58" s="146">
        <f>F58-L58</f>
        <v>0</v>
      </c>
      <c r="O58" s="385"/>
      <c r="P58" s="375">
        <v>0</v>
      </c>
      <c r="Q58" s="378">
        <v>0</v>
      </c>
      <c r="R58" s="9"/>
      <c r="S58" s="719">
        <v>1010402</v>
      </c>
      <c r="T58" s="693" t="s">
        <v>175</v>
      </c>
      <c r="U58" s="17">
        <f t="shared" ref="U58:AJ58" si="73">SUM(U59:U60)</f>
        <v>18489903</v>
      </c>
      <c r="V58" s="15">
        <f t="shared" si="73"/>
        <v>0</v>
      </c>
      <c r="W58" s="15">
        <f t="shared" si="73"/>
        <v>0</v>
      </c>
      <c r="X58" s="16">
        <f t="shared" si="73"/>
        <v>18489903</v>
      </c>
      <c r="Y58" s="19">
        <f t="shared" si="73"/>
        <v>0</v>
      </c>
      <c r="Z58" s="145">
        <f t="shared" si="73"/>
        <v>1258100</v>
      </c>
      <c r="AA58" s="16">
        <f t="shared" si="73"/>
        <v>1258100</v>
      </c>
      <c r="AB58" s="19">
        <f t="shared" si="73"/>
        <v>0</v>
      </c>
      <c r="AC58" s="145">
        <f t="shared" si="73"/>
        <v>1258100</v>
      </c>
      <c r="AD58" s="18">
        <f t="shared" si="73"/>
        <v>1258100</v>
      </c>
      <c r="AE58" s="19">
        <f t="shared" si="73"/>
        <v>0</v>
      </c>
      <c r="AF58" s="145">
        <f t="shared" si="73"/>
        <v>0</v>
      </c>
      <c r="AG58" s="16">
        <f t="shared" si="73"/>
        <v>0</v>
      </c>
      <c r="AH58" s="19">
        <f t="shared" si="73"/>
        <v>17231803</v>
      </c>
      <c r="AI58" s="15">
        <f t="shared" si="73"/>
        <v>17231803</v>
      </c>
      <c r="AJ58" s="16">
        <f t="shared" si="73"/>
        <v>18489903</v>
      </c>
      <c r="AK58" s="9"/>
      <c r="AL58" s="29">
        <f>SUM(AL59:AL60)</f>
        <v>0</v>
      </c>
      <c r="AM58" s="26">
        <f>SUM(AM59:AM60)</f>
        <v>0</v>
      </c>
      <c r="AN58" s="9"/>
      <c r="AO58" s="461"/>
      <c r="AP58" s="460"/>
      <c r="AQ58" s="297"/>
      <c r="AR58" s="297"/>
      <c r="AS58" s="297"/>
      <c r="AT58" s="297"/>
      <c r="AU58" s="297"/>
      <c r="AV58" s="297"/>
      <c r="AW58" s="297"/>
      <c r="AX58" s="297"/>
      <c r="AY58" s="297"/>
      <c r="AZ58" s="297"/>
      <c r="BA58" s="385"/>
      <c r="BB58" s="385"/>
      <c r="BC58" s="385"/>
      <c r="BD58" s="385"/>
      <c r="BE58" s="385"/>
      <c r="BF58" s="385"/>
      <c r="BG58" s="385"/>
      <c r="BH58" s="385"/>
      <c r="BI58" s="385"/>
      <c r="BJ58" s="385"/>
      <c r="BK58" s="385"/>
      <c r="BL58" s="385"/>
      <c r="BM58" s="385"/>
      <c r="BN58" s="385"/>
      <c r="BO58" s="385"/>
      <c r="BP58" s="385"/>
      <c r="BQ58" s="385"/>
      <c r="BR58" s="385"/>
    </row>
    <row r="59" spans="1:70" s="425" customFormat="1" ht="24.95" customHeight="1" x14ac:dyDescent="0.2">
      <c r="A59" s="618" t="s">
        <v>191</v>
      </c>
      <c r="B59" s="654" t="s">
        <v>589</v>
      </c>
      <c r="C59" s="375">
        <v>0</v>
      </c>
      <c r="D59" s="376">
        <f>P59</f>
        <v>0</v>
      </c>
      <c r="E59" s="376">
        <f>Q59</f>
        <v>0</v>
      </c>
      <c r="F59" s="376">
        <f>SUM(C59:E59)</f>
        <v>0</v>
      </c>
      <c r="G59" s="376">
        <v>0</v>
      </c>
      <c r="H59" s="377">
        <v>0</v>
      </c>
      <c r="I59" s="376">
        <f>SUM(G59:H59)</f>
        <v>0</v>
      </c>
      <c r="J59" s="376">
        <v>0</v>
      </c>
      <c r="K59" s="377">
        <v>0</v>
      </c>
      <c r="L59" s="376">
        <f>SUM(J59:K59)</f>
        <v>0</v>
      </c>
      <c r="M59" s="376">
        <f>F59-I59</f>
        <v>0</v>
      </c>
      <c r="N59" s="146">
        <f>F59-L59</f>
        <v>0</v>
      </c>
      <c r="O59" s="385"/>
      <c r="P59" s="375">
        <v>0</v>
      </c>
      <c r="Q59" s="378">
        <v>0</v>
      </c>
      <c r="R59" s="9"/>
      <c r="S59" s="720" t="s">
        <v>190</v>
      </c>
      <c r="T59" s="694" t="s">
        <v>423</v>
      </c>
      <c r="U59" s="401">
        <v>7395961</v>
      </c>
      <c r="V59" s="15">
        <f t="shared" ref="V59:W61" si="74">AL59</f>
        <v>0</v>
      </c>
      <c r="W59" s="15">
        <f t="shared" si="74"/>
        <v>0</v>
      </c>
      <c r="X59" s="16">
        <f>SUM(U59:W59)</f>
        <v>7395961</v>
      </c>
      <c r="Y59" s="19">
        <v>0</v>
      </c>
      <c r="Z59" s="377">
        <v>493500</v>
      </c>
      <c r="AA59" s="16">
        <f>SUM(Y59:Z59)</f>
        <v>493500</v>
      </c>
      <c r="AB59" s="19">
        <v>0</v>
      </c>
      <c r="AC59" s="377">
        <v>493500</v>
      </c>
      <c r="AD59" s="18">
        <f>SUM(AB59:AC59)</f>
        <v>493500</v>
      </c>
      <c r="AE59" s="19">
        <v>0</v>
      </c>
      <c r="AF59" s="377">
        <v>0</v>
      </c>
      <c r="AG59" s="16">
        <f>SUM(AE59:AF59)</f>
        <v>0</v>
      </c>
      <c r="AH59" s="19">
        <f>X59-AA59</f>
        <v>6902461</v>
      </c>
      <c r="AI59" s="15">
        <f>X59-AD59</f>
        <v>6902461</v>
      </c>
      <c r="AJ59" s="16">
        <f>X59-AG59</f>
        <v>7395961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v>1130112</v>
      </c>
      <c r="B60" s="653" t="s">
        <v>193</v>
      </c>
      <c r="C60" s="43">
        <f t="shared" ref="C60:N60" si="75">SUM(C61:C62)</f>
        <v>3473660</v>
      </c>
      <c r="D60" s="44">
        <f t="shared" si="75"/>
        <v>0</v>
      </c>
      <c r="E60" s="44">
        <f t="shared" si="75"/>
        <v>0</v>
      </c>
      <c r="F60" s="44">
        <f t="shared" si="75"/>
        <v>3473660</v>
      </c>
      <c r="G60" s="44">
        <f t="shared" si="75"/>
        <v>0</v>
      </c>
      <c r="H60" s="44">
        <f t="shared" si="75"/>
        <v>341708</v>
      </c>
      <c r="I60" s="44">
        <f t="shared" si="75"/>
        <v>341708</v>
      </c>
      <c r="J60" s="44">
        <f t="shared" si="75"/>
        <v>0</v>
      </c>
      <c r="K60" s="44">
        <f t="shared" si="75"/>
        <v>0</v>
      </c>
      <c r="L60" s="44">
        <f t="shared" si="75"/>
        <v>0</v>
      </c>
      <c r="M60" s="44">
        <f t="shared" si="75"/>
        <v>3131952</v>
      </c>
      <c r="N60" s="45">
        <f t="shared" si="75"/>
        <v>3473660</v>
      </c>
      <c r="P60" s="43">
        <f>SUM(P61:P62)</f>
        <v>0</v>
      </c>
      <c r="Q60" s="45">
        <f>SUM(Q61:Q62)</f>
        <v>0</v>
      </c>
      <c r="R60" s="9"/>
      <c r="S60" s="720" t="s">
        <v>192</v>
      </c>
      <c r="T60" s="694" t="s">
        <v>424</v>
      </c>
      <c r="U60" s="401">
        <v>11093942</v>
      </c>
      <c r="V60" s="15">
        <f t="shared" si="74"/>
        <v>0</v>
      </c>
      <c r="W60" s="15">
        <f t="shared" si="74"/>
        <v>0</v>
      </c>
      <c r="X60" s="16">
        <f>SUM(U60:W60)</f>
        <v>11093942</v>
      </c>
      <c r="Y60" s="19">
        <v>0</v>
      </c>
      <c r="Z60" s="377">
        <v>764600</v>
      </c>
      <c r="AA60" s="16">
        <f>SUM(Y60:Z60)</f>
        <v>764600</v>
      </c>
      <c r="AB60" s="19">
        <v>0</v>
      </c>
      <c r="AC60" s="377">
        <v>764600</v>
      </c>
      <c r="AD60" s="18">
        <f>SUM(AB60:AC60)</f>
        <v>764600</v>
      </c>
      <c r="AE60" s="19">
        <v>0</v>
      </c>
      <c r="AF60" s="377">
        <v>0</v>
      </c>
      <c r="AG60" s="16">
        <f>SUM(AE60:AF60)</f>
        <v>0</v>
      </c>
      <c r="AH60" s="19">
        <f>X60-AA60</f>
        <v>10329342</v>
      </c>
      <c r="AI60" s="15">
        <f>X60-AD60</f>
        <v>10329342</v>
      </c>
      <c r="AJ60" s="16">
        <f>X60-AG60</f>
        <v>11093942</v>
      </c>
      <c r="AK60" s="9"/>
      <c r="AL60" s="375">
        <v>0</v>
      </c>
      <c r="AM60" s="378">
        <v>0</v>
      </c>
      <c r="AN60" s="9"/>
      <c r="AO60" s="297"/>
      <c r="AP60" s="297"/>
      <c r="AQ60" s="297"/>
      <c r="AR60" s="297"/>
      <c r="AS60" s="297"/>
      <c r="AT60" s="297"/>
      <c r="AU60" s="297"/>
      <c r="AV60" s="297"/>
      <c r="AW60" s="297"/>
      <c r="AX60" s="297"/>
      <c r="AY60" s="297"/>
      <c r="AZ60" s="297"/>
      <c r="BB60" s="425"/>
      <c r="BC60" s="425"/>
      <c r="BD60" s="425"/>
      <c r="BE60" s="425"/>
    </row>
    <row r="61" spans="1:70" s="425" customFormat="1" ht="24.95" customHeight="1" x14ac:dyDescent="0.2">
      <c r="A61" s="618" t="s">
        <v>194</v>
      </c>
      <c r="B61" s="654" t="str">
        <f>+CONCATENATE("Vigencia ",INSTRUCCIONES!$F$3)</f>
        <v>Vigencia 2015</v>
      </c>
      <c r="C61" s="375">
        <v>3473660</v>
      </c>
      <c r="D61" s="376">
        <f>P61</f>
        <v>0</v>
      </c>
      <c r="E61" s="376">
        <f>Q61</f>
        <v>0</v>
      </c>
      <c r="F61" s="376">
        <f>SUM(C61:E61)</f>
        <v>3473660</v>
      </c>
      <c r="G61" s="376">
        <v>0</v>
      </c>
      <c r="H61" s="377">
        <v>341708</v>
      </c>
      <c r="I61" s="376">
        <f>SUM(G61:H61)</f>
        <v>341708</v>
      </c>
      <c r="J61" s="376">
        <v>0</v>
      </c>
      <c r="K61" s="377">
        <v>0</v>
      </c>
      <c r="L61" s="376">
        <f>SUM(J61:K61)</f>
        <v>0</v>
      </c>
      <c r="M61" s="376">
        <f>F61-I61</f>
        <v>3131952</v>
      </c>
      <c r="N61" s="146">
        <f>F61-L61</f>
        <v>3473660</v>
      </c>
      <c r="O61" s="385"/>
      <c r="P61" s="375">
        <v>0</v>
      </c>
      <c r="Q61" s="378">
        <v>0</v>
      </c>
      <c r="R61" s="9"/>
      <c r="S61" s="719">
        <v>1010499</v>
      </c>
      <c r="T61" s="693" t="s">
        <v>132</v>
      </c>
      <c r="U61" s="401">
        <v>0</v>
      </c>
      <c r="V61" s="15">
        <f t="shared" si="74"/>
        <v>0</v>
      </c>
      <c r="W61" s="15">
        <f t="shared" si="74"/>
        <v>1280600</v>
      </c>
      <c r="X61" s="16">
        <f>SUM(U61:W61)</f>
        <v>1280600</v>
      </c>
      <c r="Y61" s="19">
        <v>0</v>
      </c>
      <c r="Z61" s="377">
        <v>1280600</v>
      </c>
      <c r="AA61" s="16">
        <f>SUM(Y61:Z61)</f>
        <v>1280600</v>
      </c>
      <c r="AB61" s="19">
        <v>0</v>
      </c>
      <c r="AC61" s="377">
        <v>1280600</v>
      </c>
      <c r="AD61" s="18">
        <f>SUM(AB61:AC61)</f>
        <v>1280600</v>
      </c>
      <c r="AE61" s="19">
        <v>0</v>
      </c>
      <c r="AF61" s="377">
        <v>0</v>
      </c>
      <c r="AG61" s="16">
        <f>SUM(AE61:AF61)</f>
        <v>0</v>
      </c>
      <c r="AH61" s="19">
        <f>X61-AA61</f>
        <v>0</v>
      </c>
      <c r="AI61" s="15">
        <f>X61-AD61</f>
        <v>0</v>
      </c>
      <c r="AJ61" s="16">
        <f>X61-AG61</f>
        <v>1280600</v>
      </c>
      <c r="AK61" s="9"/>
      <c r="AL61" s="375">
        <v>0</v>
      </c>
      <c r="AM61" s="378">
        <v>1280600</v>
      </c>
      <c r="AN61" s="9"/>
      <c r="AO61" s="297"/>
      <c r="AP61" s="460"/>
      <c r="AQ61" s="297"/>
      <c r="AR61" s="297"/>
      <c r="AS61" s="297"/>
      <c r="AT61" s="297"/>
      <c r="AU61" s="460"/>
      <c r="AV61" s="460"/>
      <c r="AW61" s="297"/>
      <c r="AX61" s="297"/>
      <c r="AY61" s="297"/>
      <c r="AZ61" s="297"/>
      <c r="BA61" s="385"/>
      <c r="BB61" s="385"/>
      <c r="BC61" s="385"/>
      <c r="BD61" s="385"/>
      <c r="BE61" s="385"/>
      <c r="BF61" s="385"/>
      <c r="BG61" s="385"/>
      <c r="BH61" s="385"/>
      <c r="BI61" s="385"/>
      <c r="BJ61" s="385"/>
      <c r="BK61" s="385"/>
      <c r="BL61" s="385"/>
      <c r="BM61" s="385"/>
      <c r="BN61" s="385"/>
      <c r="BO61" s="385"/>
      <c r="BP61" s="385"/>
      <c r="BQ61" s="385"/>
      <c r="BR61" s="385"/>
    </row>
    <row r="62" spans="1:70" s="425" customFormat="1" ht="24.95" customHeight="1" x14ac:dyDescent="0.2">
      <c r="A62" s="618" t="s">
        <v>195</v>
      </c>
      <c r="B62" s="654" t="s">
        <v>589</v>
      </c>
      <c r="C62" s="375">
        <v>0</v>
      </c>
      <c r="D62" s="376">
        <f>P62</f>
        <v>0</v>
      </c>
      <c r="E62" s="376">
        <f>Q62</f>
        <v>0</v>
      </c>
      <c r="F62" s="376">
        <f>SUM(C62:E62)</f>
        <v>0</v>
      </c>
      <c r="G62" s="376">
        <v>0</v>
      </c>
      <c r="H62" s="377">
        <v>0</v>
      </c>
      <c r="I62" s="376">
        <f>SUM(G62:H62)</f>
        <v>0</v>
      </c>
      <c r="J62" s="376">
        <v>0</v>
      </c>
      <c r="K62" s="377">
        <v>0</v>
      </c>
      <c r="L62" s="376">
        <f>SUM(J62:K62)</f>
        <v>0</v>
      </c>
      <c r="M62" s="376">
        <f>F62-I62</f>
        <v>0</v>
      </c>
      <c r="N62" s="146">
        <f>F62-L62</f>
        <v>0</v>
      </c>
      <c r="O62" s="385"/>
      <c r="P62" s="375">
        <v>0</v>
      </c>
      <c r="Q62" s="378">
        <v>0</v>
      </c>
      <c r="R62" s="9"/>
      <c r="S62" s="369"/>
      <c r="T62" s="689"/>
      <c r="U62" s="164"/>
      <c r="V62" s="164"/>
      <c r="W62" s="164"/>
      <c r="X62" s="169"/>
      <c r="Y62" s="370"/>
      <c r="Z62" s="164"/>
      <c r="AA62" s="169"/>
      <c r="AB62" s="370"/>
      <c r="AC62" s="164"/>
      <c r="AD62" s="164"/>
      <c r="AE62" s="370"/>
      <c r="AF62" s="164"/>
      <c r="AG62" s="169"/>
      <c r="AH62" s="370"/>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v>1130113</v>
      </c>
      <c r="B63" s="653" t="s">
        <v>197</v>
      </c>
      <c r="C63" s="43">
        <f t="shared" ref="C63:N63" si="76">SUM(C64:C65)</f>
        <v>22951026</v>
      </c>
      <c r="D63" s="44">
        <f t="shared" si="76"/>
        <v>0</v>
      </c>
      <c r="E63" s="44">
        <f t="shared" si="76"/>
        <v>2940835</v>
      </c>
      <c r="F63" s="44">
        <f t="shared" si="76"/>
        <v>25891861</v>
      </c>
      <c r="G63" s="44">
        <f t="shared" si="76"/>
        <v>0</v>
      </c>
      <c r="H63" s="44">
        <f t="shared" si="76"/>
        <v>4903738</v>
      </c>
      <c r="I63" s="44">
        <f t="shared" si="76"/>
        <v>4903738</v>
      </c>
      <c r="J63" s="44">
        <f t="shared" si="76"/>
        <v>0</v>
      </c>
      <c r="K63" s="44">
        <f t="shared" si="76"/>
        <v>1132851</v>
      </c>
      <c r="L63" s="44">
        <f t="shared" si="76"/>
        <v>1132851</v>
      </c>
      <c r="M63" s="44">
        <f t="shared" si="76"/>
        <v>20988123</v>
      </c>
      <c r="N63" s="45">
        <f t="shared" si="76"/>
        <v>24759010</v>
      </c>
      <c r="P63" s="43">
        <f>SUM(P64:P65)</f>
        <v>0</v>
      </c>
      <c r="Q63" s="45">
        <f>SUM(Q64:Q65)</f>
        <v>2940835</v>
      </c>
      <c r="R63" s="9"/>
      <c r="S63" s="717">
        <v>1020010</v>
      </c>
      <c r="T63" s="691" t="s">
        <v>196</v>
      </c>
      <c r="U63" s="135">
        <f t="shared" ref="U63:AJ63" si="77">U65+U83+U90+U104</f>
        <v>1276921669</v>
      </c>
      <c r="V63" s="124">
        <f t="shared" si="77"/>
        <v>0</v>
      </c>
      <c r="W63" s="124">
        <f t="shared" si="77"/>
        <v>78294418</v>
      </c>
      <c r="X63" s="133">
        <f t="shared" si="77"/>
        <v>1355216087</v>
      </c>
      <c r="Y63" s="131">
        <f t="shared" si="77"/>
        <v>0</v>
      </c>
      <c r="Z63" s="124">
        <f t="shared" si="77"/>
        <v>171463127</v>
      </c>
      <c r="AA63" s="133">
        <f t="shared" si="77"/>
        <v>171463127</v>
      </c>
      <c r="AB63" s="131">
        <f t="shared" si="77"/>
        <v>0</v>
      </c>
      <c r="AC63" s="124">
        <f t="shared" si="77"/>
        <v>167007127</v>
      </c>
      <c r="AD63" s="132">
        <f t="shared" si="77"/>
        <v>167007127</v>
      </c>
      <c r="AE63" s="131">
        <f t="shared" si="77"/>
        <v>0</v>
      </c>
      <c r="AF63" s="124">
        <f t="shared" si="77"/>
        <v>81042957</v>
      </c>
      <c r="AG63" s="133">
        <f t="shared" si="77"/>
        <v>81042957</v>
      </c>
      <c r="AH63" s="131">
        <f t="shared" si="77"/>
        <v>1183752960</v>
      </c>
      <c r="AI63" s="124">
        <f t="shared" si="77"/>
        <v>1188208960</v>
      </c>
      <c r="AJ63" s="133">
        <f t="shared" si="77"/>
        <v>1274173130</v>
      </c>
      <c r="AK63" s="9"/>
      <c r="AL63" s="131">
        <f>AL65+AL83+AL90+AL104</f>
        <v>0</v>
      </c>
      <c r="AM63" s="133">
        <f>AM65+AM83+AM90+AM104</f>
        <v>78294418</v>
      </c>
      <c r="AN63" s="9"/>
      <c r="AO63" s="297"/>
      <c r="AP63" s="297"/>
      <c r="AQ63" s="297"/>
      <c r="AR63" s="297"/>
      <c r="AS63" s="297"/>
      <c r="AT63" s="297"/>
      <c r="AU63" s="297"/>
      <c r="AV63" s="297"/>
      <c r="AW63" s="297"/>
      <c r="AX63" s="297"/>
      <c r="AY63" s="297"/>
      <c r="AZ63" s="297"/>
      <c r="BB63" s="425"/>
      <c r="BC63" s="425"/>
      <c r="BD63" s="425"/>
      <c r="BE63" s="425"/>
    </row>
    <row r="64" spans="1:70" s="425" customFormat="1" ht="24.95" customHeight="1" x14ac:dyDescent="0.2">
      <c r="A64" s="618" t="s">
        <v>198</v>
      </c>
      <c r="B64" s="654" t="str">
        <f>+CONCATENATE("Vigencia ",INSTRUCCIONES!$F$3)</f>
        <v>Vigencia 2015</v>
      </c>
      <c r="C64" s="375">
        <v>22951026</v>
      </c>
      <c r="D64" s="376">
        <f>P64</f>
        <v>0</v>
      </c>
      <c r="E64" s="376">
        <f>Q64</f>
        <v>0</v>
      </c>
      <c r="F64" s="376">
        <f>SUM(C64:E64)</f>
        <v>22951026</v>
      </c>
      <c r="G64" s="376">
        <v>0</v>
      </c>
      <c r="H64" s="377">
        <v>3770887</v>
      </c>
      <c r="I64" s="376">
        <f>SUM(G64:H64)</f>
        <v>3770887</v>
      </c>
      <c r="J64" s="376">
        <v>0</v>
      </c>
      <c r="K64" s="377">
        <v>0</v>
      </c>
      <c r="L64" s="376">
        <f>SUM(J64:K64)</f>
        <v>0</v>
      </c>
      <c r="M64" s="376">
        <f>F64-I64</f>
        <v>19180139</v>
      </c>
      <c r="N64" s="146">
        <f>F64-L64</f>
        <v>22951026</v>
      </c>
      <c r="O64" s="385"/>
      <c r="P64" s="375">
        <v>0</v>
      </c>
      <c r="Q64" s="378">
        <v>0</v>
      </c>
      <c r="R64" s="9"/>
      <c r="S64" s="369"/>
      <c r="T64" s="689"/>
      <c r="U64" s="164"/>
      <c r="V64" s="164"/>
      <c r="W64" s="164"/>
      <c r="X64" s="169"/>
      <c r="Y64" s="370"/>
      <c r="Z64" s="164"/>
      <c r="AA64" s="169"/>
      <c r="AB64" s="370"/>
      <c r="AC64" s="164"/>
      <c r="AD64" s="164"/>
      <c r="AE64" s="370"/>
      <c r="AF64" s="164"/>
      <c r="AG64" s="169"/>
      <c r="AH64" s="370"/>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
        <v>199</v>
      </c>
      <c r="B65" s="654" t="s">
        <v>589</v>
      </c>
      <c r="C65" s="375">
        <v>0</v>
      </c>
      <c r="D65" s="376">
        <f>P65</f>
        <v>0</v>
      </c>
      <c r="E65" s="376">
        <f>Q65</f>
        <v>2940835</v>
      </c>
      <c r="F65" s="376">
        <f>SUM(C65:E65)</f>
        <v>2940835</v>
      </c>
      <c r="G65" s="376">
        <v>0</v>
      </c>
      <c r="H65" s="377">
        <v>1132851</v>
      </c>
      <c r="I65" s="376">
        <f>SUM(G65:H65)</f>
        <v>1132851</v>
      </c>
      <c r="J65" s="376">
        <v>0</v>
      </c>
      <c r="K65" s="377">
        <v>1132851</v>
      </c>
      <c r="L65" s="376">
        <f>SUM(J65:K65)</f>
        <v>1132851</v>
      </c>
      <c r="M65" s="376">
        <f>F65-I65</f>
        <v>1807984</v>
      </c>
      <c r="N65" s="146">
        <f>F65-L65</f>
        <v>1807984</v>
      </c>
      <c r="O65" s="385"/>
      <c r="P65" s="375">
        <v>0</v>
      </c>
      <c r="Q65" s="378">
        <v>2940835</v>
      </c>
      <c r="R65" s="9"/>
      <c r="S65" s="718">
        <v>1020100</v>
      </c>
      <c r="T65" s="692" t="s">
        <v>70</v>
      </c>
      <c r="U65" s="135">
        <f t="shared" ref="U65:AJ65" si="78">SUM(U66:U69)+U81</f>
        <v>815343813</v>
      </c>
      <c r="V65" s="124">
        <f t="shared" si="78"/>
        <v>0</v>
      </c>
      <c r="W65" s="124">
        <f t="shared" si="78"/>
        <v>13655677</v>
      </c>
      <c r="X65" s="133">
        <f t="shared" si="78"/>
        <v>828999490</v>
      </c>
      <c r="Y65" s="131">
        <f t="shared" si="78"/>
        <v>0</v>
      </c>
      <c r="Z65" s="124">
        <f t="shared" si="78"/>
        <v>77793795</v>
      </c>
      <c r="AA65" s="133">
        <f t="shared" si="78"/>
        <v>77793795</v>
      </c>
      <c r="AB65" s="131">
        <f t="shared" si="78"/>
        <v>0</v>
      </c>
      <c r="AC65" s="124">
        <f t="shared" si="78"/>
        <v>77793795</v>
      </c>
      <c r="AD65" s="132">
        <f t="shared" si="78"/>
        <v>77793795</v>
      </c>
      <c r="AE65" s="131">
        <f t="shared" si="78"/>
        <v>0</v>
      </c>
      <c r="AF65" s="124">
        <f t="shared" si="78"/>
        <v>64606566</v>
      </c>
      <c r="AG65" s="133">
        <f t="shared" si="78"/>
        <v>64606566</v>
      </c>
      <c r="AH65" s="131">
        <f t="shared" si="78"/>
        <v>751205695</v>
      </c>
      <c r="AI65" s="124">
        <f t="shared" si="78"/>
        <v>751205695</v>
      </c>
      <c r="AJ65" s="133">
        <f t="shared" si="78"/>
        <v>764392924</v>
      </c>
      <c r="AK65" s="9"/>
      <c r="AL65" s="131">
        <f>SUM(AL66:AL69)+AL81</f>
        <v>0</v>
      </c>
      <c r="AM65" s="133">
        <f>SUM(AM66:AM69)+AM81</f>
        <v>13655677</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v>1130114</v>
      </c>
      <c r="B66" s="653" t="s">
        <v>200</v>
      </c>
      <c r="C66" s="43">
        <f t="shared" ref="C66:N66" si="79">SUM(C67:C68)</f>
        <v>338898</v>
      </c>
      <c r="D66" s="44">
        <f t="shared" si="79"/>
        <v>0</v>
      </c>
      <c r="E66" s="44">
        <f t="shared" si="79"/>
        <v>0</v>
      </c>
      <c r="F66" s="44">
        <f t="shared" si="79"/>
        <v>338898</v>
      </c>
      <c r="G66" s="44">
        <f t="shared" si="79"/>
        <v>0</v>
      </c>
      <c r="H66" s="44">
        <f t="shared" si="79"/>
        <v>78500</v>
      </c>
      <c r="I66" s="44">
        <f t="shared" si="79"/>
        <v>78500</v>
      </c>
      <c r="J66" s="44">
        <f t="shared" si="79"/>
        <v>0</v>
      </c>
      <c r="K66" s="44">
        <f t="shared" si="79"/>
        <v>78500</v>
      </c>
      <c r="L66" s="44">
        <f t="shared" si="79"/>
        <v>78500</v>
      </c>
      <c r="M66" s="44">
        <f t="shared" si="79"/>
        <v>260398</v>
      </c>
      <c r="N66" s="45">
        <f t="shared" si="79"/>
        <v>260398</v>
      </c>
      <c r="P66" s="43">
        <f>SUM(P67:P68)</f>
        <v>0</v>
      </c>
      <c r="Q66" s="45">
        <f>SUM(Q67:Q68)</f>
        <v>0</v>
      </c>
      <c r="R66" s="9"/>
      <c r="S66" s="719">
        <v>1020101</v>
      </c>
      <c r="T66" s="693" t="s">
        <v>71</v>
      </c>
      <c r="U66" s="401">
        <v>641065344</v>
      </c>
      <c r="V66" s="15">
        <f t="shared" ref="V66:W68" si="80">AL66</f>
        <v>0</v>
      </c>
      <c r="W66" s="15">
        <f t="shared" si="80"/>
        <v>0</v>
      </c>
      <c r="X66" s="16">
        <f>SUM(U66:W66)</f>
        <v>641065344</v>
      </c>
      <c r="Y66" s="19">
        <v>0</v>
      </c>
      <c r="Z66" s="377">
        <v>51615563</v>
      </c>
      <c r="AA66" s="16">
        <f>SUM(Y66:Z66)</f>
        <v>51615563</v>
      </c>
      <c r="AB66" s="19">
        <v>0</v>
      </c>
      <c r="AC66" s="377">
        <v>51615563</v>
      </c>
      <c r="AD66" s="18">
        <f>SUM(AB66:AC66)</f>
        <v>51615563</v>
      </c>
      <c r="AE66" s="19">
        <v>0</v>
      </c>
      <c r="AF66" s="377">
        <v>46254235</v>
      </c>
      <c r="AG66" s="16">
        <f>SUM(AE66:AF66)</f>
        <v>46254235</v>
      </c>
      <c r="AH66" s="19">
        <f>X66-AA66</f>
        <v>589449781</v>
      </c>
      <c r="AI66" s="15">
        <f>X66-AD66</f>
        <v>589449781</v>
      </c>
      <c r="AJ66" s="16">
        <f>X66-AG66</f>
        <v>594811109</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
        <v>201</v>
      </c>
      <c r="B67" s="654" t="str">
        <f>+CONCATENATE("Vigencia ",INSTRUCCIONES!$F$3)</f>
        <v>Vigencia 2015</v>
      </c>
      <c r="C67" s="375">
        <v>338898</v>
      </c>
      <c r="D67" s="376">
        <f>P67</f>
        <v>0</v>
      </c>
      <c r="E67" s="376">
        <f>Q67</f>
        <v>0</v>
      </c>
      <c r="F67" s="376">
        <f>SUM(C67:E67)</f>
        <v>338898</v>
      </c>
      <c r="G67" s="376">
        <v>0</v>
      </c>
      <c r="H67" s="377">
        <v>0</v>
      </c>
      <c r="I67" s="376">
        <f>SUM(G67:H67)</f>
        <v>0</v>
      </c>
      <c r="J67" s="376">
        <v>0</v>
      </c>
      <c r="K67" s="377">
        <v>0</v>
      </c>
      <c r="L67" s="376">
        <f>SUM(J67:K67)</f>
        <v>0</v>
      </c>
      <c r="M67" s="376">
        <f>F67-I67</f>
        <v>338898</v>
      </c>
      <c r="N67" s="146">
        <f>F67-L67</f>
        <v>338898</v>
      </c>
      <c r="O67" s="385"/>
      <c r="P67" s="375">
        <v>0</v>
      </c>
      <c r="Q67" s="378">
        <v>0</v>
      </c>
      <c r="R67" s="9"/>
      <c r="S67" s="719">
        <v>1020102</v>
      </c>
      <c r="T67" s="693" t="s">
        <v>74</v>
      </c>
      <c r="U67" s="401">
        <v>57949728</v>
      </c>
      <c r="V67" s="15">
        <f t="shared" si="80"/>
        <v>0</v>
      </c>
      <c r="W67" s="15">
        <f t="shared" si="80"/>
        <v>0</v>
      </c>
      <c r="X67" s="16">
        <f>SUM(U67:W67)</f>
        <v>57949728</v>
      </c>
      <c r="Y67" s="19">
        <v>0</v>
      </c>
      <c r="Z67" s="377">
        <v>12450555</v>
      </c>
      <c r="AA67" s="16">
        <f>SUM(Y67:Z67)</f>
        <v>12450555</v>
      </c>
      <c r="AB67" s="19">
        <v>0</v>
      </c>
      <c r="AC67" s="377">
        <v>12450555</v>
      </c>
      <c r="AD67" s="18">
        <f>SUM(AB67:AC67)</f>
        <v>12450555</v>
      </c>
      <c r="AE67" s="19">
        <v>0</v>
      </c>
      <c r="AF67" s="377">
        <v>11157312</v>
      </c>
      <c r="AG67" s="16">
        <f>SUM(AE67:AF67)</f>
        <v>11157312</v>
      </c>
      <c r="AH67" s="19">
        <f>X67-AA67</f>
        <v>45499173</v>
      </c>
      <c r="AI67" s="15">
        <f>X67-AD67</f>
        <v>45499173</v>
      </c>
      <c r="AJ67" s="16">
        <f>X67-AG67</f>
        <v>46792416</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
        <v>202</v>
      </c>
      <c r="B68" s="654" t="s">
        <v>589</v>
      </c>
      <c r="C68" s="375">
        <v>0</v>
      </c>
      <c r="D68" s="376">
        <f>P68</f>
        <v>0</v>
      </c>
      <c r="E68" s="376">
        <f>Q68</f>
        <v>0</v>
      </c>
      <c r="F68" s="376">
        <f>SUM(C68:E68)</f>
        <v>0</v>
      </c>
      <c r="G68" s="376">
        <v>0</v>
      </c>
      <c r="H68" s="377">
        <v>78500</v>
      </c>
      <c r="I68" s="376">
        <f>SUM(G68:H68)</f>
        <v>78500</v>
      </c>
      <c r="J68" s="376">
        <v>0</v>
      </c>
      <c r="K68" s="377">
        <v>78500</v>
      </c>
      <c r="L68" s="376">
        <f>SUM(J68:K68)</f>
        <v>78500</v>
      </c>
      <c r="M68" s="376">
        <f>F68-I68</f>
        <v>-78500</v>
      </c>
      <c r="N68" s="146">
        <f>F68-L68</f>
        <v>-78500</v>
      </c>
      <c r="O68" s="385"/>
      <c r="P68" s="375">
        <v>0</v>
      </c>
      <c r="Q68" s="378">
        <v>0</v>
      </c>
      <c r="R68" s="9"/>
      <c r="S68" s="719">
        <v>1020103</v>
      </c>
      <c r="T68" s="693" t="s">
        <v>77</v>
      </c>
      <c r="U68" s="401">
        <v>0</v>
      </c>
      <c r="V68" s="15">
        <f t="shared" si="80"/>
        <v>0</v>
      </c>
      <c r="W68" s="15">
        <f t="shared" si="80"/>
        <v>0</v>
      </c>
      <c r="X68" s="16">
        <f>SUM(U68:W68)</f>
        <v>0</v>
      </c>
      <c r="Y68" s="19">
        <v>0</v>
      </c>
      <c r="Z68" s="377">
        <v>0</v>
      </c>
      <c r="AA68" s="16">
        <f>SUM(Y68:Z68)</f>
        <v>0</v>
      </c>
      <c r="AB68" s="19">
        <v>0</v>
      </c>
      <c r="AC68" s="377">
        <v>0</v>
      </c>
      <c r="AD68" s="18">
        <f>SUM(AB68:AC68)</f>
        <v>0</v>
      </c>
      <c r="AE68" s="19">
        <v>0</v>
      </c>
      <c r="AF68" s="377">
        <v>0</v>
      </c>
      <c r="AG68" s="16">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v>1130115</v>
      </c>
      <c r="B69" s="653" t="s">
        <v>203</v>
      </c>
      <c r="C69" s="43">
        <f t="shared" ref="C69:N69" si="81">SUM(C70:C71)</f>
        <v>53468516</v>
      </c>
      <c r="D69" s="44">
        <f t="shared" si="81"/>
        <v>0</v>
      </c>
      <c r="E69" s="44">
        <f t="shared" si="81"/>
        <v>27541841</v>
      </c>
      <c r="F69" s="44">
        <f t="shared" si="81"/>
        <v>81010357</v>
      </c>
      <c r="G69" s="44">
        <f t="shared" si="81"/>
        <v>0</v>
      </c>
      <c r="H69" s="44">
        <f t="shared" si="81"/>
        <v>4002155</v>
      </c>
      <c r="I69" s="44">
        <f t="shared" si="81"/>
        <v>4002155</v>
      </c>
      <c r="J69" s="44">
        <f t="shared" si="81"/>
        <v>0</v>
      </c>
      <c r="K69" s="44">
        <f t="shared" si="81"/>
        <v>0</v>
      </c>
      <c r="L69" s="44">
        <f t="shared" si="81"/>
        <v>0</v>
      </c>
      <c r="M69" s="44">
        <f t="shared" si="81"/>
        <v>77008202</v>
      </c>
      <c r="N69" s="45">
        <f t="shared" si="81"/>
        <v>81010357</v>
      </c>
      <c r="P69" s="43">
        <f>SUM(P70:P71)</f>
        <v>0</v>
      </c>
      <c r="Q69" s="45">
        <f>SUM(Q70:Q71)</f>
        <v>27541841</v>
      </c>
      <c r="R69" s="9"/>
      <c r="S69" s="719">
        <v>1020104</v>
      </c>
      <c r="T69" s="693" t="s">
        <v>82</v>
      </c>
      <c r="U69" s="17">
        <f t="shared" ref="U69:AJ69" si="82">SUM(U70:U80)</f>
        <v>116328741</v>
      </c>
      <c r="V69" s="15">
        <f t="shared" si="82"/>
        <v>0</v>
      </c>
      <c r="W69" s="15">
        <f t="shared" si="82"/>
        <v>0</v>
      </c>
      <c r="X69" s="16">
        <f t="shared" si="82"/>
        <v>116328741</v>
      </c>
      <c r="Y69" s="19">
        <f t="shared" si="82"/>
        <v>0</v>
      </c>
      <c r="Z69" s="145">
        <f t="shared" si="82"/>
        <v>72000</v>
      </c>
      <c r="AA69" s="16">
        <f t="shared" si="82"/>
        <v>72000</v>
      </c>
      <c r="AB69" s="19">
        <f t="shared" si="82"/>
        <v>0</v>
      </c>
      <c r="AC69" s="145">
        <f t="shared" si="82"/>
        <v>72000</v>
      </c>
      <c r="AD69" s="18">
        <f t="shared" si="82"/>
        <v>72000</v>
      </c>
      <c r="AE69" s="19">
        <f t="shared" si="82"/>
        <v>0</v>
      </c>
      <c r="AF69" s="145">
        <f t="shared" si="82"/>
        <v>64521</v>
      </c>
      <c r="AG69" s="16">
        <f t="shared" si="82"/>
        <v>64521</v>
      </c>
      <c r="AH69" s="19">
        <f t="shared" si="82"/>
        <v>116256741</v>
      </c>
      <c r="AI69" s="15">
        <f t="shared" si="82"/>
        <v>116256741</v>
      </c>
      <c r="AJ69" s="16">
        <f t="shared" si="82"/>
        <v>116264220</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
        <v>205</v>
      </c>
      <c r="B70" s="654" t="str">
        <f>+CONCATENATE("Vigencia ",INSTRUCCIONES!$F$3)</f>
        <v>Vigencia 2015</v>
      </c>
      <c r="C70" s="375">
        <v>53468516</v>
      </c>
      <c r="D70" s="376">
        <f>P70</f>
        <v>0</v>
      </c>
      <c r="E70" s="376">
        <f>Q70</f>
        <v>0</v>
      </c>
      <c r="F70" s="376">
        <f>SUM(C70:E70)</f>
        <v>53468516</v>
      </c>
      <c r="G70" s="376">
        <v>0</v>
      </c>
      <c r="H70" s="377">
        <v>4002155</v>
      </c>
      <c r="I70" s="376">
        <f>SUM(G70:H70)</f>
        <v>4002155</v>
      </c>
      <c r="J70" s="376">
        <v>0</v>
      </c>
      <c r="K70" s="377">
        <v>0</v>
      </c>
      <c r="L70" s="376">
        <f>SUM(J70:K70)</f>
        <v>0</v>
      </c>
      <c r="M70" s="376">
        <f>F70-I70</f>
        <v>49466361</v>
      </c>
      <c r="N70" s="146">
        <f>F70-L70</f>
        <v>53468516</v>
      </c>
      <c r="O70" s="385"/>
      <c r="P70" s="375">
        <v>0</v>
      </c>
      <c r="Q70" s="378">
        <v>0</v>
      </c>
      <c r="R70" s="9"/>
      <c r="S70" s="720" t="s">
        <v>204</v>
      </c>
      <c r="T70" s="694" t="s">
        <v>406</v>
      </c>
      <c r="U70" s="401">
        <v>57873955</v>
      </c>
      <c r="V70" s="15">
        <f t="shared" ref="V70:V81" si="83">AL70</f>
        <v>0</v>
      </c>
      <c r="W70" s="15">
        <f t="shared" ref="W70:W81" si="84">AM70</f>
        <v>0</v>
      </c>
      <c r="X70" s="16">
        <f t="shared" ref="X70:X81" si="85">SUM(U70:W70)</f>
        <v>57873955</v>
      </c>
      <c r="Y70" s="19">
        <v>0</v>
      </c>
      <c r="Z70" s="377">
        <v>0</v>
      </c>
      <c r="AA70" s="16">
        <f t="shared" ref="AA70:AA81" si="86">SUM(Y70:Z70)</f>
        <v>0</v>
      </c>
      <c r="AB70" s="19">
        <v>0</v>
      </c>
      <c r="AC70" s="377">
        <v>0</v>
      </c>
      <c r="AD70" s="18">
        <f t="shared" ref="AD70:AD81" si="87">SUM(AB70:AC70)</f>
        <v>0</v>
      </c>
      <c r="AE70" s="19">
        <v>0</v>
      </c>
      <c r="AF70" s="377">
        <v>0</v>
      </c>
      <c r="AG70" s="16">
        <f t="shared" ref="AG70:AG81" si="88">SUM(AE70:AF70)</f>
        <v>0</v>
      </c>
      <c r="AH70" s="19">
        <f t="shared" ref="AH70:AH81" si="89">X70-AA70</f>
        <v>57873955</v>
      </c>
      <c r="AI70" s="15">
        <f t="shared" ref="AI70:AI81" si="90">X70-AD70</f>
        <v>57873955</v>
      </c>
      <c r="AJ70" s="16">
        <f t="shared" ref="AJ70:AJ81" si="91">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
        <v>207</v>
      </c>
      <c r="B71" s="654" t="s">
        <v>589</v>
      </c>
      <c r="C71" s="375">
        <v>0</v>
      </c>
      <c r="D71" s="376">
        <f>P71</f>
        <v>0</v>
      </c>
      <c r="E71" s="376">
        <f>Q71</f>
        <v>27541841</v>
      </c>
      <c r="F71" s="376">
        <f>SUM(C71:E71)</f>
        <v>27541841</v>
      </c>
      <c r="G71" s="376">
        <v>0</v>
      </c>
      <c r="H71" s="377">
        <v>0</v>
      </c>
      <c r="I71" s="376">
        <f>SUM(G71:H71)</f>
        <v>0</v>
      </c>
      <c r="J71" s="376">
        <v>0</v>
      </c>
      <c r="K71" s="377">
        <v>0</v>
      </c>
      <c r="L71" s="376">
        <f>SUM(J71:K71)</f>
        <v>0</v>
      </c>
      <c r="M71" s="376">
        <f>F71-I71</f>
        <v>27541841</v>
      </c>
      <c r="N71" s="146">
        <f>F71-L71</f>
        <v>27541841</v>
      </c>
      <c r="O71" s="385"/>
      <c r="P71" s="375">
        <v>0</v>
      </c>
      <c r="Q71" s="378">
        <v>27541841</v>
      </c>
      <c r="R71" s="9"/>
      <c r="S71" s="720" t="s">
        <v>206</v>
      </c>
      <c r="T71" s="694" t="s">
        <v>407</v>
      </c>
      <c r="U71" s="401">
        <v>0</v>
      </c>
      <c r="V71" s="15">
        <f t="shared" si="83"/>
        <v>0</v>
      </c>
      <c r="W71" s="15">
        <f t="shared" si="84"/>
        <v>0</v>
      </c>
      <c r="X71" s="16">
        <f t="shared" si="85"/>
        <v>0</v>
      </c>
      <c r="Y71" s="19">
        <v>0</v>
      </c>
      <c r="Z71" s="377">
        <v>0</v>
      </c>
      <c r="AA71" s="16">
        <f t="shared" si="86"/>
        <v>0</v>
      </c>
      <c r="AB71" s="19">
        <v>0</v>
      </c>
      <c r="AC71" s="377">
        <v>0</v>
      </c>
      <c r="AD71" s="18">
        <f t="shared" si="87"/>
        <v>0</v>
      </c>
      <c r="AE71" s="19">
        <v>0</v>
      </c>
      <c r="AF71" s="377">
        <v>0</v>
      </c>
      <c r="AG71" s="16">
        <f t="shared" si="88"/>
        <v>0</v>
      </c>
      <c r="AH71" s="19">
        <f t="shared" si="89"/>
        <v>0</v>
      </c>
      <c r="AI71" s="15">
        <f t="shared" si="90"/>
        <v>0</v>
      </c>
      <c r="AJ71" s="16">
        <f t="shared" si="91"/>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v>1130116</v>
      </c>
      <c r="B72" s="653" t="s">
        <v>209</v>
      </c>
      <c r="C72" s="43">
        <f t="shared" ref="C72:N72" si="92">SUM(C73:C74)</f>
        <v>47982534</v>
      </c>
      <c r="D72" s="44">
        <f t="shared" si="92"/>
        <v>0</v>
      </c>
      <c r="E72" s="44">
        <f t="shared" si="92"/>
        <v>7739704</v>
      </c>
      <c r="F72" s="44">
        <f t="shared" si="92"/>
        <v>55722238</v>
      </c>
      <c r="G72" s="44">
        <f t="shared" si="92"/>
        <v>0</v>
      </c>
      <c r="H72" s="44">
        <f t="shared" si="92"/>
        <v>4067151</v>
      </c>
      <c r="I72" s="44">
        <f t="shared" si="92"/>
        <v>4067151</v>
      </c>
      <c r="J72" s="44">
        <f t="shared" si="92"/>
        <v>0</v>
      </c>
      <c r="K72" s="44">
        <f t="shared" si="92"/>
        <v>1002472</v>
      </c>
      <c r="L72" s="44">
        <f t="shared" si="92"/>
        <v>1002472</v>
      </c>
      <c r="M72" s="44">
        <f t="shared" si="92"/>
        <v>51655087</v>
      </c>
      <c r="N72" s="45">
        <f t="shared" si="92"/>
        <v>54719766</v>
      </c>
      <c r="P72" s="43">
        <f>SUM(P73:P74)</f>
        <v>0</v>
      </c>
      <c r="Q72" s="45">
        <f>SUM(Q73:Q74)</f>
        <v>7739704</v>
      </c>
      <c r="R72" s="9"/>
      <c r="S72" s="720" t="s">
        <v>208</v>
      </c>
      <c r="T72" s="694" t="s">
        <v>408</v>
      </c>
      <c r="U72" s="401">
        <v>26711056</v>
      </c>
      <c r="V72" s="15">
        <f t="shared" si="83"/>
        <v>0</v>
      </c>
      <c r="W72" s="15">
        <f t="shared" si="84"/>
        <v>0</v>
      </c>
      <c r="X72" s="16">
        <f t="shared" si="85"/>
        <v>26711056</v>
      </c>
      <c r="Y72" s="19">
        <v>0</v>
      </c>
      <c r="Z72" s="377">
        <v>0</v>
      </c>
      <c r="AA72" s="16">
        <f t="shared" si="86"/>
        <v>0</v>
      </c>
      <c r="AB72" s="19">
        <v>0</v>
      </c>
      <c r="AC72" s="377">
        <v>0</v>
      </c>
      <c r="AD72" s="18">
        <f t="shared" si="87"/>
        <v>0</v>
      </c>
      <c r="AE72" s="19">
        <v>0</v>
      </c>
      <c r="AF72" s="377">
        <v>0</v>
      </c>
      <c r="AG72" s="16">
        <f t="shared" si="88"/>
        <v>0</v>
      </c>
      <c r="AH72" s="19">
        <f t="shared" si="89"/>
        <v>26711056</v>
      </c>
      <c r="AI72" s="15">
        <f t="shared" si="90"/>
        <v>26711056</v>
      </c>
      <c r="AJ72" s="16">
        <f t="shared" si="91"/>
        <v>26711056</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
        <v>211</v>
      </c>
      <c r="B73" s="654" t="str">
        <f>+CONCATENATE("Vigencia ",INSTRUCCIONES!$F$3)</f>
        <v>Vigencia 2015</v>
      </c>
      <c r="C73" s="375">
        <v>47982534</v>
      </c>
      <c r="D73" s="376">
        <f>P73</f>
        <v>0</v>
      </c>
      <c r="E73" s="376">
        <f>Q73</f>
        <v>0</v>
      </c>
      <c r="F73" s="376">
        <f>SUM(C73:E73)</f>
        <v>47982534</v>
      </c>
      <c r="G73" s="376">
        <v>0</v>
      </c>
      <c r="H73" s="377">
        <v>3064679</v>
      </c>
      <c r="I73" s="376">
        <f>SUM(G73:H73)</f>
        <v>3064679</v>
      </c>
      <c r="J73" s="376">
        <v>0</v>
      </c>
      <c r="K73" s="377">
        <v>0</v>
      </c>
      <c r="L73" s="376">
        <f>SUM(J73:K73)</f>
        <v>0</v>
      </c>
      <c r="M73" s="376">
        <f>F73-I73</f>
        <v>44917855</v>
      </c>
      <c r="N73" s="146">
        <f>F73-L73</f>
        <v>47982534</v>
      </c>
      <c r="O73" s="385"/>
      <c r="P73" s="375">
        <v>0</v>
      </c>
      <c r="Q73" s="378">
        <v>0</v>
      </c>
      <c r="R73" s="9"/>
      <c r="S73" s="720" t="s">
        <v>210</v>
      </c>
      <c r="T73" s="694" t="s">
        <v>409</v>
      </c>
      <c r="U73" s="401">
        <v>0</v>
      </c>
      <c r="V73" s="15">
        <f t="shared" si="83"/>
        <v>0</v>
      </c>
      <c r="W73" s="15">
        <f t="shared" si="84"/>
        <v>0</v>
      </c>
      <c r="X73" s="16">
        <f t="shared" si="85"/>
        <v>0</v>
      </c>
      <c r="Y73" s="19">
        <v>0</v>
      </c>
      <c r="Z73" s="377">
        <v>0</v>
      </c>
      <c r="AA73" s="16">
        <f t="shared" si="86"/>
        <v>0</v>
      </c>
      <c r="AB73" s="19">
        <v>0</v>
      </c>
      <c r="AC73" s="377">
        <v>0</v>
      </c>
      <c r="AD73" s="18">
        <f t="shared" si="87"/>
        <v>0</v>
      </c>
      <c r="AE73" s="19">
        <v>0</v>
      </c>
      <c r="AF73" s="377">
        <v>0</v>
      </c>
      <c r="AG73" s="16">
        <f t="shared" si="88"/>
        <v>0</v>
      </c>
      <c r="AH73" s="19">
        <f t="shared" si="89"/>
        <v>0</v>
      </c>
      <c r="AI73" s="15">
        <f t="shared" si="90"/>
        <v>0</v>
      </c>
      <c r="AJ73" s="16">
        <f t="shared" si="91"/>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
        <v>213</v>
      </c>
      <c r="B74" s="654" t="s">
        <v>589</v>
      </c>
      <c r="C74" s="375">
        <v>0</v>
      </c>
      <c r="D74" s="376">
        <f>P74</f>
        <v>0</v>
      </c>
      <c r="E74" s="376">
        <f>Q74</f>
        <v>7739704</v>
      </c>
      <c r="F74" s="376">
        <f>SUM(C74:E74)</f>
        <v>7739704</v>
      </c>
      <c r="G74" s="376">
        <v>0</v>
      </c>
      <c r="H74" s="377">
        <v>1002472</v>
      </c>
      <c r="I74" s="376">
        <f>SUM(G74:H74)</f>
        <v>1002472</v>
      </c>
      <c r="J74" s="376">
        <v>0</v>
      </c>
      <c r="K74" s="377">
        <v>1002472</v>
      </c>
      <c r="L74" s="376">
        <f>SUM(J74:K74)</f>
        <v>1002472</v>
      </c>
      <c r="M74" s="376">
        <f>F74-I74</f>
        <v>6737232</v>
      </c>
      <c r="N74" s="146">
        <f>F74-L74</f>
        <v>6737232</v>
      </c>
      <c r="O74" s="385"/>
      <c r="P74" s="375">
        <v>0</v>
      </c>
      <c r="Q74" s="378">
        <v>7739704</v>
      </c>
      <c r="R74" s="9"/>
      <c r="S74" s="720" t="s">
        <v>212</v>
      </c>
      <c r="T74" s="694" t="s">
        <v>410</v>
      </c>
      <c r="U74" s="401">
        <v>26711056</v>
      </c>
      <c r="V74" s="15">
        <f t="shared" si="83"/>
        <v>0</v>
      </c>
      <c r="W74" s="15">
        <f t="shared" si="84"/>
        <v>0</v>
      </c>
      <c r="X74" s="16">
        <f t="shared" si="85"/>
        <v>26711056</v>
      </c>
      <c r="Y74" s="19">
        <v>0</v>
      </c>
      <c r="Z74" s="377">
        <v>0</v>
      </c>
      <c r="AA74" s="16">
        <f t="shared" si="86"/>
        <v>0</v>
      </c>
      <c r="AB74" s="19">
        <v>0</v>
      </c>
      <c r="AC74" s="377">
        <v>0</v>
      </c>
      <c r="AD74" s="18">
        <f t="shared" si="87"/>
        <v>0</v>
      </c>
      <c r="AE74" s="19">
        <v>0</v>
      </c>
      <c r="AF74" s="377">
        <v>0</v>
      </c>
      <c r="AG74" s="16">
        <f t="shared" si="88"/>
        <v>0</v>
      </c>
      <c r="AH74" s="19">
        <f t="shared" si="89"/>
        <v>26711056</v>
      </c>
      <c r="AI74" s="15">
        <f t="shared" si="90"/>
        <v>26711056</v>
      </c>
      <c r="AJ74" s="16">
        <f t="shared" si="91"/>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v>1130117</v>
      </c>
      <c r="B75" s="653" t="s">
        <v>215</v>
      </c>
      <c r="C75" s="43">
        <f t="shared" ref="C75:N75" si="93">SUM(C76:C77)</f>
        <v>0</v>
      </c>
      <c r="D75" s="44">
        <f t="shared" si="93"/>
        <v>0</v>
      </c>
      <c r="E75" s="44">
        <f t="shared" si="93"/>
        <v>0</v>
      </c>
      <c r="F75" s="44">
        <f t="shared" si="93"/>
        <v>0</v>
      </c>
      <c r="G75" s="44">
        <f t="shared" si="93"/>
        <v>0</v>
      </c>
      <c r="H75" s="44">
        <f t="shared" si="93"/>
        <v>0</v>
      </c>
      <c r="I75" s="44">
        <f t="shared" si="93"/>
        <v>0</v>
      </c>
      <c r="J75" s="44">
        <f t="shared" si="93"/>
        <v>0</v>
      </c>
      <c r="K75" s="44">
        <f t="shared" si="93"/>
        <v>0</v>
      </c>
      <c r="L75" s="44">
        <f t="shared" si="93"/>
        <v>0</v>
      </c>
      <c r="M75" s="44">
        <f t="shared" si="93"/>
        <v>0</v>
      </c>
      <c r="N75" s="45">
        <f t="shared" si="93"/>
        <v>0</v>
      </c>
      <c r="P75" s="43">
        <f>SUM(P76:P77)</f>
        <v>0</v>
      </c>
      <c r="Q75" s="45">
        <f>SUM(Q76:Q77)</f>
        <v>0</v>
      </c>
      <c r="R75" s="9"/>
      <c r="S75" s="720" t="s">
        <v>214</v>
      </c>
      <c r="T75" s="694" t="s">
        <v>411</v>
      </c>
      <c r="U75" s="401">
        <v>0</v>
      </c>
      <c r="V75" s="15">
        <f t="shared" si="83"/>
        <v>0</v>
      </c>
      <c r="W75" s="15">
        <f t="shared" si="84"/>
        <v>0</v>
      </c>
      <c r="X75" s="16">
        <f t="shared" si="85"/>
        <v>0</v>
      </c>
      <c r="Y75" s="19">
        <v>0</v>
      </c>
      <c r="Z75" s="377">
        <v>0</v>
      </c>
      <c r="AA75" s="16">
        <f t="shared" si="86"/>
        <v>0</v>
      </c>
      <c r="AB75" s="19">
        <v>0</v>
      </c>
      <c r="AC75" s="377">
        <v>0</v>
      </c>
      <c r="AD75" s="18">
        <f t="shared" si="87"/>
        <v>0</v>
      </c>
      <c r="AE75" s="19">
        <v>0</v>
      </c>
      <c r="AF75" s="377">
        <v>0</v>
      </c>
      <c r="AG75" s="16">
        <f t="shared" si="88"/>
        <v>0</v>
      </c>
      <c r="AH75" s="19">
        <f t="shared" si="89"/>
        <v>0</v>
      </c>
      <c r="AI75" s="15">
        <f t="shared" si="90"/>
        <v>0</v>
      </c>
      <c r="AJ75" s="16">
        <f t="shared" si="91"/>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
        <v>217</v>
      </c>
      <c r="B76" s="654" t="str">
        <f>+CONCATENATE("Vigencia ",INSTRUCCIONES!$F$3)</f>
        <v>Vigencia 2015</v>
      </c>
      <c r="C76" s="375">
        <v>0</v>
      </c>
      <c r="D76" s="376">
        <f>P76</f>
        <v>0</v>
      </c>
      <c r="E76" s="376">
        <f>Q76</f>
        <v>0</v>
      </c>
      <c r="F76" s="376">
        <f t="shared" ref="F76:F83" si="94">SUM(C76:E76)</f>
        <v>0</v>
      </c>
      <c r="G76" s="376">
        <v>0</v>
      </c>
      <c r="H76" s="377">
        <v>0</v>
      </c>
      <c r="I76" s="376">
        <f t="shared" ref="I76:I83" si="95">SUM(G76:H76)</f>
        <v>0</v>
      </c>
      <c r="J76" s="376">
        <v>0</v>
      </c>
      <c r="K76" s="377">
        <v>0</v>
      </c>
      <c r="L76" s="376">
        <f t="shared" ref="L76:L83" si="96">SUM(J76:K76)</f>
        <v>0</v>
      </c>
      <c r="M76" s="376">
        <f t="shared" ref="M76:M83" si="97">F76-I76</f>
        <v>0</v>
      </c>
      <c r="N76" s="146">
        <f t="shared" ref="N76:N83" si="98">F76-L76</f>
        <v>0</v>
      </c>
      <c r="O76" s="385"/>
      <c r="P76" s="375">
        <v>0</v>
      </c>
      <c r="Q76" s="378">
        <v>0</v>
      </c>
      <c r="R76" s="9"/>
      <c r="S76" s="720" t="s">
        <v>216</v>
      </c>
      <c r="T76" s="694" t="s">
        <v>412</v>
      </c>
      <c r="U76" s="401">
        <v>1471200</v>
      </c>
      <c r="V76" s="15">
        <f t="shared" si="83"/>
        <v>0</v>
      </c>
      <c r="W76" s="15">
        <f t="shared" si="84"/>
        <v>0</v>
      </c>
      <c r="X76" s="16">
        <f t="shared" si="85"/>
        <v>1471200</v>
      </c>
      <c r="Y76" s="19">
        <v>0</v>
      </c>
      <c r="Z76" s="377">
        <v>72000</v>
      </c>
      <c r="AA76" s="16">
        <f t="shared" si="86"/>
        <v>72000</v>
      </c>
      <c r="AB76" s="19">
        <v>0</v>
      </c>
      <c r="AC76" s="377">
        <v>72000</v>
      </c>
      <c r="AD76" s="18">
        <f t="shared" si="87"/>
        <v>72000</v>
      </c>
      <c r="AE76" s="19">
        <v>0</v>
      </c>
      <c r="AF76" s="377">
        <v>64521</v>
      </c>
      <c r="AG76" s="16">
        <f t="shared" si="88"/>
        <v>64521</v>
      </c>
      <c r="AH76" s="19">
        <f t="shared" si="89"/>
        <v>1399200</v>
      </c>
      <c r="AI76" s="15">
        <f t="shared" si="90"/>
        <v>1399200</v>
      </c>
      <c r="AJ76" s="16">
        <f t="shared" si="91"/>
        <v>1406679</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
        <v>219</v>
      </c>
      <c r="B77" s="654" t="s">
        <v>589</v>
      </c>
      <c r="C77" s="375">
        <v>0</v>
      </c>
      <c r="D77" s="376">
        <f>P77</f>
        <v>0</v>
      </c>
      <c r="E77" s="376">
        <f>Q77</f>
        <v>0</v>
      </c>
      <c r="F77" s="376">
        <f t="shared" si="94"/>
        <v>0</v>
      </c>
      <c r="G77" s="376">
        <v>0</v>
      </c>
      <c r="H77" s="377">
        <v>0</v>
      </c>
      <c r="I77" s="376">
        <f t="shared" si="95"/>
        <v>0</v>
      </c>
      <c r="J77" s="376">
        <v>0</v>
      </c>
      <c r="K77" s="377">
        <v>0</v>
      </c>
      <c r="L77" s="376">
        <f t="shared" si="96"/>
        <v>0</v>
      </c>
      <c r="M77" s="376">
        <f t="shared" si="97"/>
        <v>0</v>
      </c>
      <c r="N77" s="146">
        <f t="shared" si="98"/>
        <v>0</v>
      </c>
      <c r="O77" s="385"/>
      <c r="P77" s="375">
        <v>0</v>
      </c>
      <c r="Q77" s="378">
        <v>0</v>
      </c>
      <c r="R77" s="9"/>
      <c r="S77" s="720" t="s">
        <v>218</v>
      </c>
      <c r="T77" s="694" t="s">
        <v>413</v>
      </c>
      <c r="U77" s="401">
        <v>0</v>
      </c>
      <c r="V77" s="15">
        <f t="shared" si="83"/>
        <v>0</v>
      </c>
      <c r="W77" s="15">
        <f t="shared" si="84"/>
        <v>0</v>
      </c>
      <c r="X77" s="16">
        <f t="shared" si="85"/>
        <v>0</v>
      </c>
      <c r="Y77" s="19">
        <v>0</v>
      </c>
      <c r="Z77" s="377">
        <v>0</v>
      </c>
      <c r="AA77" s="16">
        <f t="shared" si="86"/>
        <v>0</v>
      </c>
      <c r="AB77" s="19">
        <v>0</v>
      </c>
      <c r="AC77" s="377">
        <v>0</v>
      </c>
      <c r="AD77" s="18">
        <f t="shared" si="87"/>
        <v>0</v>
      </c>
      <c r="AE77" s="19">
        <v>0</v>
      </c>
      <c r="AF77" s="377">
        <v>0</v>
      </c>
      <c r="AG77" s="16">
        <f t="shared" si="88"/>
        <v>0</v>
      </c>
      <c r="AH77" s="19">
        <f t="shared" si="89"/>
        <v>0</v>
      </c>
      <c r="AI77" s="15">
        <f t="shared" si="90"/>
        <v>0</v>
      </c>
      <c r="AJ77" s="16">
        <f t="shared" si="91"/>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v>1130118</v>
      </c>
      <c r="B78" s="653" t="s">
        <v>221</v>
      </c>
      <c r="C78" s="43">
        <f>SUM(C79:C80)</f>
        <v>151788162</v>
      </c>
      <c r="D78" s="44">
        <f>SUM(D79:D80)</f>
        <v>0</v>
      </c>
      <c r="E78" s="44">
        <f>SUM(E79:E80)</f>
        <v>0</v>
      </c>
      <c r="F78" s="44">
        <f t="shared" si="94"/>
        <v>151788162</v>
      </c>
      <c r="G78" s="44">
        <f>SUM(G79:G80)</f>
        <v>0</v>
      </c>
      <c r="H78" s="44">
        <f>SUM(H79:H80)</f>
        <v>11749775</v>
      </c>
      <c r="I78" s="44">
        <f t="shared" si="95"/>
        <v>11749775</v>
      </c>
      <c r="J78" s="44">
        <f>SUM(J79:J80)</f>
        <v>0</v>
      </c>
      <c r="K78" s="44">
        <f>SUM(K79:K80)</f>
        <v>11749775</v>
      </c>
      <c r="L78" s="44">
        <f t="shared" si="96"/>
        <v>11749775</v>
      </c>
      <c r="M78" s="44">
        <f t="shared" si="97"/>
        <v>140038387</v>
      </c>
      <c r="N78" s="45">
        <f t="shared" si="98"/>
        <v>140038387</v>
      </c>
      <c r="O78" s="385"/>
      <c r="P78" s="43">
        <f>SUM(P79:P80)</f>
        <v>0</v>
      </c>
      <c r="Q78" s="45">
        <f>SUM(Q79:Q80)</f>
        <v>0</v>
      </c>
      <c r="R78" s="9"/>
      <c r="S78" s="720" t="s">
        <v>220</v>
      </c>
      <c r="T78" s="694" t="s">
        <v>425</v>
      </c>
      <c r="U78" s="401">
        <v>0</v>
      </c>
      <c r="V78" s="15">
        <f t="shared" si="83"/>
        <v>0</v>
      </c>
      <c r="W78" s="15">
        <f t="shared" si="84"/>
        <v>0</v>
      </c>
      <c r="X78" s="16">
        <f t="shared" si="85"/>
        <v>0</v>
      </c>
      <c r="Y78" s="19">
        <v>0</v>
      </c>
      <c r="Z78" s="377">
        <v>0</v>
      </c>
      <c r="AA78" s="16">
        <f t="shared" si="86"/>
        <v>0</v>
      </c>
      <c r="AB78" s="19">
        <v>0</v>
      </c>
      <c r="AC78" s="377">
        <v>0</v>
      </c>
      <c r="AD78" s="18">
        <f t="shared" si="87"/>
        <v>0</v>
      </c>
      <c r="AE78" s="19">
        <v>0</v>
      </c>
      <c r="AF78" s="377">
        <v>0</v>
      </c>
      <c r="AG78" s="16">
        <f t="shared" si="88"/>
        <v>0</v>
      </c>
      <c r="AH78" s="19">
        <f t="shared" si="89"/>
        <v>0</v>
      </c>
      <c r="AI78" s="15">
        <f t="shared" si="90"/>
        <v>0</v>
      </c>
      <c r="AJ78" s="16">
        <f t="shared" si="91"/>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
        <v>223</v>
      </c>
      <c r="B79" s="654" t="str">
        <f>+CONCATENATE("Vigencia ",INSTRUCCIONES!$F$3)</f>
        <v>Vigencia 2015</v>
      </c>
      <c r="C79" s="375">
        <v>151788162</v>
      </c>
      <c r="D79" s="376">
        <f t="shared" ref="D79:E83" si="99">P79</f>
        <v>0</v>
      </c>
      <c r="E79" s="376">
        <f t="shared" si="99"/>
        <v>0</v>
      </c>
      <c r="F79" s="376">
        <f t="shared" si="94"/>
        <v>151788162</v>
      </c>
      <c r="G79" s="376">
        <v>0</v>
      </c>
      <c r="H79" s="377">
        <v>11749775</v>
      </c>
      <c r="I79" s="376">
        <f t="shared" si="95"/>
        <v>11749775</v>
      </c>
      <c r="J79" s="376">
        <v>0</v>
      </c>
      <c r="K79" s="377">
        <v>11749775</v>
      </c>
      <c r="L79" s="376">
        <f t="shared" si="96"/>
        <v>11749775</v>
      </c>
      <c r="M79" s="376">
        <f t="shared" si="97"/>
        <v>140038387</v>
      </c>
      <c r="N79" s="146">
        <f t="shared" si="98"/>
        <v>140038387</v>
      </c>
      <c r="P79" s="375">
        <v>0</v>
      </c>
      <c r="Q79" s="378">
        <v>0</v>
      </c>
      <c r="R79" s="9"/>
      <c r="S79" s="720" t="s">
        <v>222</v>
      </c>
      <c r="T79" s="694" t="s">
        <v>125</v>
      </c>
      <c r="U79" s="401">
        <v>3561474</v>
      </c>
      <c r="V79" s="15">
        <f t="shared" si="83"/>
        <v>0</v>
      </c>
      <c r="W79" s="15">
        <f t="shared" si="84"/>
        <v>0</v>
      </c>
      <c r="X79" s="16">
        <f t="shared" si="85"/>
        <v>3561474</v>
      </c>
      <c r="Y79" s="19">
        <v>0</v>
      </c>
      <c r="Z79" s="377">
        <v>0</v>
      </c>
      <c r="AA79" s="16">
        <f t="shared" si="86"/>
        <v>0</v>
      </c>
      <c r="AB79" s="19">
        <v>0</v>
      </c>
      <c r="AC79" s="377">
        <v>0</v>
      </c>
      <c r="AD79" s="18">
        <f t="shared" si="87"/>
        <v>0</v>
      </c>
      <c r="AE79" s="19">
        <v>0</v>
      </c>
      <c r="AF79" s="377">
        <v>0</v>
      </c>
      <c r="AG79" s="16">
        <f t="shared" si="88"/>
        <v>0</v>
      </c>
      <c r="AH79" s="19">
        <f t="shared" si="89"/>
        <v>3561474</v>
      </c>
      <c r="AI79" s="15">
        <f t="shared" si="90"/>
        <v>3561474</v>
      </c>
      <c r="AJ79" s="16">
        <f t="shared" si="91"/>
        <v>3561474</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
        <v>225</v>
      </c>
      <c r="B80" s="654" t="s">
        <v>589</v>
      </c>
      <c r="C80" s="375">
        <v>0</v>
      </c>
      <c r="D80" s="376">
        <f t="shared" si="99"/>
        <v>0</v>
      </c>
      <c r="E80" s="376">
        <f t="shared" si="99"/>
        <v>0</v>
      </c>
      <c r="F80" s="376">
        <f t="shared" si="94"/>
        <v>0</v>
      </c>
      <c r="G80" s="376">
        <v>0</v>
      </c>
      <c r="H80" s="377">
        <v>0</v>
      </c>
      <c r="I80" s="376">
        <f t="shared" si="95"/>
        <v>0</v>
      </c>
      <c r="J80" s="376">
        <v>0</v>
      </c>
      <c r="K80" s="377">
        <v>0</v>
      </c>
      <c r="L80" s="376">
        <f t="shared" si="96"/>
        <v>0</v>
      </c>
      <c r="M80" s="376">
        <f t="shared" si="97"/>
        <v>0</v>
      </c>
      <c r="N80" s="146">
        <f t="shared" si="98"/>
        <v>0</v>
      </c>
      <c r="O80" s="385"/>
      <c r="P80" s="375">
        <v>0</v>
      </c>
      <c r="Q80" s="378">
        <v>0</v>
      </c>
      <c r="S80" s="720" t="s">
        <v>224</v>
      </c>
      <c r="T80" s="695"/>
      <c r="U80" s="401">
        <v>0</v>
      </c>
      <c r="V80" s="15">
        <f t="shared" si="83"/>
        <v>0</v>
      </c>
      <c r="W80" s="15">
        <f t="shared" si="84"/>
        <v>0</v>
      </c>
      <c r="X80" s="16">
        <f t="shared" si="85"/>
        <v>0</v>
      </c>
      <c r="Y80" s="19">
        <v>0</v>
      </c>
      <c r="Z80" s="377">
        <v>0</v>
      </c>
      <c r="AA80" s="16">
        <f t="shared" si="86"/>
        <v>0</v>
      </c>
      <c r="AB80" s="19">
        <v>0</v>
      </c>
      <c r="AC80" s="377">
        <v>0</v>
      </c>
      <c r="AD80" s="18">
        <f t="shared" si="87"/>
        <v>0</v>
      </c>
      <c r="AE80" s="19">
        <v>0</v>
      </c>
      <c r="AF80" s="377">
        <v>0</v>
      </c>
      <c r="AG80" s="16">
        <f t="shared" si="88"/>
        <v>0</v>
      </c>
      <c r="AH80" s="19">
        <f t="shared" si="89"/>
        <v>0</v>
      </c>
      <c r="AI80" s="15">
        <f t="shared" si="90"/>
        <v>0</v>
      </c>
      <c r="AJ80" s="16">
        <f t="shared" si="91"/>
        <v>0</v>
      </c>
      <c r="AL80" s="375">
        <v>0</v>
      </c>
      <c r="AM80" s="378">
        <v>0</v>
      </c>
      <c r="AO80" s="297"/>
      <c r="AP80" s="297"/>
      <c r="AQ80" s="297"/>
      <c r="AR80" s="297"/>
      <c r="AS80" s="297"/>
      <c r="AT80" s="297"/>
      <c r="AU80" s="297"/>
      <c r="AV80" s="297"/>
      <c r="AW80" s="297"/>
      <c r="AX80" s="297"/>
      <c r="AY80" s="297"/>
      <c r="AZ80" s="297"/>
      <c r="BA80" s="385"/>
      <c r="BB80" s="385"/>
      <c r="BC80" s="385"/>
      <c r="BD80" s="385"/>
      <c r="BE80" s="385"/>
      <c r="BL80" s="385"/>
      <c r="BM80" s="385"/>
      <c r="BN80" s="385"/>
      <c r="BO80" s="385"/>
      <c r="BP80" s="385"/>
      <c r="BQ80" s="385"/>
      <c r="BR80" s="385"/>
    </row>
    <row r="81" spans="1:70" s="385" customFormat="1" ht="24.95" customHeight="1" x14ac:dyDescent="0.2">
      <c r="A81" s="747">
        <v>1130119</v>
      </c>
      <c r="B81" s="657" t="s">
        <v>226</v>
      </c>
      <c r="C81" s="43">
        <f>SUM(C82:C83)</f>
        <v>0</v>
      </c>
      <c r="D81" s="44">
        <f t="shared" ref="D81:Q81" si="100">SUM(D82:D83)</f>
        <v>0</v>
      </c>
      <c r="E81" s="44">
        <f t="shared" si="100"/>
        <v>0</v>
      </c>
      <c r="F81" s="44">
        <f t="shared" si="100"/>
        <v>0</v>
      </c>
      <c r="G81" s="44">
        <f t="shared" si="100"/>
        <v>0</v>
      </c>
      <c r="H81" s="44">
        <f t="shared" si="100"/>
        <v>0</v>
      </c>
      <c r="I81" s="44">
        <f t="shared" si="100"/>
        <v>0</v>
      </c>
      <c r="J81" s="44">
        <f t="shared" si="100"/>
        <v>0</v>
      </c>
      <c r="K81" s="44">
        <f t="shared" si="100"/>
        <v>0</v>
      </c>
      <c r="L81" s="44">
        <f t="shared" si="100"/>
        <v>0</v>
      </c>
      <c r="M81" s="44">
        <f t="shared" si="100"/>
        <v>0</v>
      </c>
      <c r="N81" s="45">
        <f t="shared" si="100"/>
        <v>0</v>
      </c>
      <c r="P81" s="43">
        <f t="shared" si="100"/>
        <v>0</v>
      </c>
      <c r="Q81" s="45">
        <f t="shared" si="100"/>
        <v>0</v>
      </c>
      <c r="R81" s="9"/>
      <c r="S81" s="719">
        <v>1020199</v>
      </c>
      <c r="T81" s="693" t="s">
        <v>132</v>
      </c>
      <c r="U81" s="401">
        <v>0</v>
      </c>
      <c r="V81" s="15">
        <f t="shared" si="83"/>
        <v>0</v>
      </c>
      <c r="W81" s="15">
        <f t="shared" si="84"/>
        <v>13655677</v>
      </c>
      <c r="X81" s="16">
        <f t="shared" si="85"/>
        <v>13655677</v>
      </c>
      <c r="Y81" s="19">
        <v>0</v>
      </c>
      <c r="Z81" s="377">
        <v>13655677</v>
      </c>
      <c r="AA81" s="16">
        <f t="shared" si="86"/>
        <v>13655677</v>
      </c>
      <c r="AB81" s="19">
        <v>0</v>
      </c>
      <c r="AC81" s="377">
        <v>13655677</v>
      </c>
      <c r="AD81" s="18">
        <f t="shared" si="87"/>
        <v>13655677</v>
      </c>
      <c r="AE81" s="19">
        <v>0</v>
      </c>
      <c r="AF81" s="377">
        <v>7130498</v>
      </c>
      <c r="AG81" s="16">
        <f t="shared" si="88"/>
        <v>7130498</v>
      </c>
      <c r="AH81" s="19">
        <f t="shared" si="89"/>
        <v>0</v>
      </c>
      <c r="AI81" s="15">
        <f t="shared" si="90"/>
        <v>0</v>
      </c>
      <c r="AJ81" s="16">
        <f t="shared" si="91"/>
        <v>6525179</v>
      </c>
      <c r="AK81" s="9"/>
      <c r="AL81" s="375">
        <v>0</v>
      </c>
      <c r="AM81" s="378">
        <v>13655677</v>
      </c>
      <c r="AN81" s="9"/>
      <c r="AO81" s="297"/>
      <c r="AP81" s="297"/>
      <c r="AQ81" s="297"/>
      <c r="AR81" s="297"/>
      <c r="AS81" s="297"/>
      <c r="AT81" s="297"/>
      <c r="AU81" s="297"/>
      <c r="AV81" s="297"/>
      <c r="AW81" s="297"/>
      <c r="AX81" s="297"/>
      <c r="AY81" s="297"/>
      <c r="AZ81" s="297"/>
      <c r="BA81" s="9"/>
      <c r="BB81" s="9"/>
    </row>
    <row r="82" spans="1:70" s="385" customFormat="1" ht="24.95" customHeight="1" x14ac:dyDescent="0.2">
      <c r="A82" s="618" t="s">
        <v>402</v>
      </c>
      <c r="B82" s="654" t="str">
        <f>+CONCATENATE("Vigencia ",INSTRUCCIONES!$F$3)</f>
        <v>Vigencia 2015</v>
      </c>
      <c r="C82" s="375">
        <v>0</v>
      </c>
      <c r="D82" s="376">
        <f t="shared" si="99"/>
        <v>0</v>
      </c>
      <c r="E82" s="376">
        <f t="shared" si="99"/>
        <v>0</v>
      </c>
      <c r="F82" s="376">
        <f t="shared" si="94"/>
        <v>0</v>
      </c>
      <c r="G82" s="376">
        <v>0</v>
      </c>
      <c r="H82" s="377">
        <v>0</v>
      </c>
      <c r="I82" s="376">
        <f t="shared" si="95"/>
        <v>0</v>
      </c>
      <c r="J82" s="376">
        <v>0</v>
      </c>
      <c r="K82" s="377">
        <v>0</v>
      </c>
      <c r="L82" s="376">
        <f t="shared" si="96"/>
        <v>0</v>
      </c>
      <c r="M82" s="376">
        <f t="shared" si="97"/>
        <v>0</v>
      </c>
      <c r="N82" s="146">
        <f t="shared" si="98"/>
        <v>0</v>
      </c>
      <c r="P82" s="375">
        <v>0</v>
      </c>
      <c r="Q82" s="378">
        <v>0</v>
      </c>
      <c r="R82" s="9"/>
      <c r="S82" s="369"/>
      <c r="T82" s="689"/>
      <c r="U82" s="164"/>
      <c r="V82" s="164"/>
      <c r="W82" s="164"/>
      <c r="X82" s="169"/>
      <c r="Y82" s="370"/>
      <c r="Z82" s="164"/>
      <c r="AA82" s="169"/>
      <c r="AB82" s="370"/>
      <c r="AC82" s="164"/>
      <c r="AD82" s="164"/>
      <c r="AE82" s="370"/>
      <c r="AF82" s="164"/>
      <c r="AG82" s="169"/>
      <c r="AH82" s="370"/>
      <c r="AI82" s="164"/>
      <c r="AJ82" s="169"/>
      <c r="AK82" s="9"/>
      <c r="AL82" s="175"/>
      <c r="AM82" s="176"/>
      <c r="AN82" s="9"/>
      <c r="AO82" s="297"/>
      <c r="AP82" s="297"/>
      <c r="AQ82" s="297"/>
      <c r="AR82" s="297"/>
      <c r="AS82" s="297"/>
      <c r="AT82" s="297"/>
      <c r="AU82" s="297"/>
      <c r="AV82" s="297"/>
      <c r="AW82" s="297"/>
      <c r="AX82" s="297"/>
      <c r="AY82" s="297"/>
      <c r="AZ82" s="297"/>
      <c r="BC82" s="9"/>
      <c r="BD82" s="9"/>
      <c r="BE82" s="9"/>
      <c r="BN82" s="9"/>
      <c r="BO82" s="9"/>
      <c r="BP82" s="9"/>
      <c r="BQ82" s="9"/>
      <c r="BR82" s="9"/>
    </row>
    <row r="83" spans="1:70" s="385" customFormat="1" ht="24.95" customHeight="1" thickBot="1" x14ac:dyDescent="0.25">
      <c r="A83" s="618" t="s">
        <v>403</v>
      </c>
      <c r="B83" s="658" t="s">
        <v>589</v>
      </c>
      <c r="C83" s="387">
        <v>0</v>
      </c>
      <c r="D83" s="388">
        <f t="shared" si="99"/>
        <v>0</v>
      </c>
      <c r="E83" s="388">
        <f t="shared" si="99"/>
        <v>0</v>
      </c>
      <c r="F83" s="388">
        <f t="shared" si="94"/>
        <v>0</v>
      </c>
      <c r="G83" s="388">
        <v>0</v>
      </c>
      <c r="H83" s="391">
        <v>0</v>
      </c>
      <c r="I83" s="388">
        <f t="shared" si="95"/>
        <v>0</v>
      </c>
      <c r="J83" s="388">
        <v>0</v>
      </c>
      <c r="K83" s="391">
        <v>0</v>
      </c>
      <c r="L83" s="388">
        <f t="shared" si="96"/>
        <v>0</v>
      </c>
      <c r="M83" s="388">
        <f t="shared" si="97"/>
        <v>0</v>
      </c>
      <c r="N83" s="389">
        <f t="shared" si="98"/>
        <v>0</v>
      </c>
      <c r="P83" s="375">
        <v>0</v>
      </c>
      <c r="Q83" s="378">
        <v>0</v>
      </c>
      <c r="R83" s="9"/>
      <c r="S83" s="718">
        <v>1020200</v>
      </c>
      <c r="T83" s="692" t="s">
        <v>115</v>
      </c>
      <c r="U83" s="135">
        <f t="shared" ref="U83:AJ83" si="101">SUM(U84:U88)</f>
        <v>151257124</v>
      </c>
      <c r="V83" s="124">
        <f t="shared" si="101"/>
        <v>0</v>
      </c>
      <c r="W83" s="124">
        <f t="shared" si="101"/>
        <v>6884000</v>
      </c>
      <c r="X83" s="133">
        <f t="shared" si="101"/>
        <v>158141124</v>
      </c>
      <c r="Y83" s="131">
        <f t="shared" si="101"/>
        <v>0</v>
      </c>
      <c r="Z83" s="124">
        <f t="shared" si="101"/>
        <v>15860000</v>
      </c>
      <c r="AA83" s="133">
        <f t="shared" si="101"/>
        <v>15860000</v>
      </c>
      <c r="AB83" s="131">
        <f t="shared" si="101"/>
        <v>0</v>
      </c>
      <c r="AC83" s="124">
        <f t="shared" si="101"/>
        <v>11404000</v>
      </c>
      <c r="AD83" s="132">
        <f t="shared" si="101"/>
        <v>11404000</v>
      </c>
      <c r="AE83" s="131">
        <f t="shared" si="101"/>
        <v>0</v>
      </c>
      <c r="AF83" s="124">
        <f t="shared" si="101"/>
        <v>1844000</v>
      </c>
      <c r="AG83" s="133">
        <f t="shared" si="101"/>
        <v>1844000</v>
      </c>
      <c r="AH83" s="131">
        <f t="shared" si="101"/>
        <v>142281124</v>
      </c>
      <c r="AI83" s="124">
        <f t="shared" si="101"/>
        <v>146737124</v>
      </c>
      <c r="AJ83" s="133">
        <f t="shared" si="101"/>
        <v>156297124</v>
      </c>
      <c r="AK83" s="9"/>
      <c r="AL83" s="131">
        <f>SUM(AL84:AL88)</f>
        <v>0</v>
      </c>
      <c r="AM83" s="133">
        <f>SUM(AM84:AM88)</f>
        <v>6884000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c r="B84" s="659"/>
      <c r="C84" s="297"/>
      <c r="D84" s="297"/>
      <c r="E84" s="297"/>
      <c r="F84" s="297"/>
      <c r="G84" s="297"/>
      <c r="H84" s="297"/>
      <c r="I84" s="297"/>
      <c r="J84" s="297"/>
      <c r="K84" s="297"/>
      <c r="L84" s="297"/>
      <c r="M84" s="297"/>
      <c r="N84" s="466"/>
      <c r="O84" s="464"/>
      <c r="P84" s="470"/>
      <c r="Q84" s="394"/>
      <c r="R84" s="9"/>
      <c r="S84" s="719" t="s">
        <v>227</v>
      </c>
      <c r="T84" s="693" t="s">
        <v>461</v>
      </c>
      <c r="U84" s="401">
        <v>151257124</v>
      </c>
      <c r="V84" s="15">
        <f t="shared" ref="V84:W88" si="102">AL84</f>
        <v>0</v>
      </c>
      <c r="W84" s="15">
        <f t="shared" si="102"/>
        <v>0</v>
      </c>
      <c r="X84" s="16">
        <f>SUM(U84:W84)</f>
        <v>151257124</v>
      </c>
      <c r="Y84" s="19">
        <v>0</v>
      </c>
      <c r="Z84" s="377">
        <v>8976000</v>
      </c>
      <c r="AA84" s="16">
        <f>SUM(Y84:Z84)</f>
        <v>8976000</v>
      </c>
      <c r="AB84" s="19">
        <v>0</v>
      </c>
      <c r="AC84" s="377">
        <v>4520000</v>
      </c>
      <c r="AD84" s="18">
        <f>SUM(AB84:AC84)</f>
        <v>4520000</v>
      </c>
      <c r="AE84" s="19">
        <v>0</v>
      </c>
      <c r="AF84" s="377">
        <v>0</v>
      </c>
      <c r="AG84" s="16">
        <f>SUM(AE84:AF84)</f>
        <v>0</v>
      </c>
      <c r="AH84" s="19">
        <f>X84-AA84</f>
        <v>142281124</v>
      </c>
      <c r="AI84" s="15">
        <f>X84-AD84</f>
        <v>146737124</v>
      </c>
      <c r="AJ84" s="16">
        <f>X84-AG84</f>
        <v>151257124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v>11302</v>
      </c>
      <c r="B85" s="660" t="s">
        <v>601</v>
      </c>
      <c r="C85" s="625">
        <f t="shared" ref="C85:N85" si="103">SUM(C86:C92)</f>
        <v>74000000</v>
      </c>
      <c r="D85" s="623">
        <f t="shared" si="103"/>
        <v>0</v>
      </c>
      <c r="E85" s="623">
        <f t="shared" si="103"/>
        <v>0</v>
      </c>
      <c r="F85" s="623">
        <f t="shared" si="103"/>
        <v>74000000</v>
      </c>
      <c r="G85" s="623">
        <f t="shared" si="103"/>
        <v>0</v>
      </c>
      <c r="H85" s="623">
        <f t="shared" si="103"/>
        <v>0</v>
      </c>
      <c r="I85" s="623">
        <f t="shared" si="103"/>
        <v>0</v>
      </c>
      <c r="J85" s="623">
        <f t="shared" si="103"/>
        <v>0</v>
      </c>
      <c r="K85" s="623">
        <f t="shared" si="103"/>
        <v>0</v>
      </c>
      <c r="L85" s="623">
        <f t="shared" si="103"/>
        <v>0</v>
      </c>
      <c r="M85" s="623">
        <f t="shared" si="103"/>
        <v>74000000</v>
      </c>
      <c r="N85" s="624">
        <f t="shared" si="103"/>
        <v>74000000</v>
      </c>
      <c r="P85" s="43">
        <f>SUM(P86:P92)</f>
        <v>0</v>
      </c>
      <c r="Q85" s="45">
        <f>SUM(Q86:Q92)</f>
        <v>0</v>
      </c>
      <c r="R85" s="9"/>
      <c r="S85" s="719" t="s">
        <v>228</v>
      </c>
      <c r="T85" s="693" t="s">
        <v>147</v>
      </c>
      <c r="U85" s="401">
        <v>0</v>
      </c>
      <c r="V85" s="15">
        <f t="shared" si="102"/>
        <v>0</v>
      </c>
      <c r="W85" s="15">
        <f t="shared" si="102"/>
        <v>0</v>
      </c>
      <c r="X85" s="16">
        <f>SUM(U85:W85)</f>
        <v>0</v>
      </c>
      <c r="Y85" s="19">
        <v>0</v>
      </c>
      <c r="Z85" s="377">
        <v>0</v>
      </c>
      <c r="AA85" s="16">
        <f>SUM(Y85:Z85)</f>
        <v>0</v>
      </c>
      <c r="AB85" s="19">
        <v>0</v>
      </c>
      <c r="AC85" s="377">
        <v>0</v>
      </c>
      <c r="AD85" s="18">
        <f>SUM(AB85:AC85)</f>
        <v>0</v>
      </c>
      <c r="AE85" s="19">
        <v>0</v>
      </c>
      <c r="AF85" s="377">
        <v>0</v>
      </c>
      <c r="AG85" s="16">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v>1130201</v>
      </c>
      <c r="B86" s="779"/>
      <c r="C86" s="401">
        <v>0</v>
      </c>
      <c r="D86" s="376">
        <f t="shared" ref="D86:E92" si="104">P86</f>
        <v>0</v>
      </c>
      <c r="E86" s="376">
        <f t="shared" si="104"/>
        <v>0</v>
      </c>
      <c r="F86" s="376">
        <f t="shared" ref="F86:F92" si="105">SUM(C86:E86)</f>
        <v>0</v>
      </c>
      <c r="G86" s="376">
        <v>0</v>
      </c>
      <c r="H86" s="377">
        <v>0</v>
      </c>
      <c r="I86" s="376">
        <f t="shared" ref="I86:I92" si="106">SUM(G86:H86)</f>
        <v>0</v>
      </c>
      <c r="J86" s="376">
        <v>0</v>
      </c>
      <c r="K86" s="377">
        <v>0</v>
      </c>
      <c r="L86" s="376">
        <f t="shared" ref="L86:L92" si="107">SUM(J86:K86)</f>
        <v>0</v>
      </c>
      <c r="M86" s="376">
        <f t="shared" ref="M86:M92" si="108">F86-I86</f>
        <v>0</v>
      </c>
      <c r="N86" s="146">
        <f t="shared" ref="N86:N92" si="109">F86-L86</f>
        <v>0</v>
      </c>
      <c r="O86" s="385"/>
      <c r="P86" s="375">
        <v>0</v>
      </c>
      <c r="Q86" s="378">
        <v>0</v>
      </c>
      <c r="S86" s="719" t="s">
        <v>229</v>
      </c>
      <c r="T86" s="693" t="s">
        <v>157</v>
      </c>
      <c r="U86" s="401">
        <v>0</v>
      </c>
      <c r="V86" s="15">
        <f t="shared" si="102"/>
        <v>0</v>
      </c>
      <c r="W86" s="15">
        <f t="shared" si="102"/>
        <v>0</v>
      </c>
      <c r="X86" s="16">
        <f>SUM(U86:W86)</f>
        <v>0</v>
      </c>
      <c r="Y86" s="19">
        <v>0</v>
      </c>
      <c r="Z86" s="377">
        <v>0</v>
      </c>
      <c r="AA86" s="16">
        <f>SUM(Y86:Z86)</f>
        <v>0</v>
      </c>
      <c r="AB86" s="19">
        <v>0</v>
      </c>
      <c r="AC86" s="377">
        <v>0</v>
      </c>
      <c r="AD86" s="18">
        <f>SUM(AB86:AC86)</f>
        <v>0</v>
      </c>
      <c r="AE86" s="19">
        <v>0</v>
      </c>
      <c r="AF86" s="377">
        <v>0</v>
      </c>
      <c r="AG86" s="16">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B86" s="385"/>
      <c r="BC86" s="385"/>
      <c r="BD86" s="385"/>
      <c r="BE86" s="385"/>
      <c r="BL86" s="385"/>
      <c r="BM86" s="385"/>
      <c r="BN86" s="385"/>
      <c r="BO86" s="385"/>
      <c r="BP86" s="385"/>
      <c r="BQ86" s="385"/>
      <c r="BR86" s="385"/>
    </row>
    <row r="87" spans="1:70" s="385" customFormat="1" ht="24.95" customHeight="1" x14ac:dyDescent="0.2">
      <c r="A87" s="752">
        <v>1130202</v>
      </c>
      <c r="B87" s="779"/>
      <c r="C87" s="401">
        <v>0</v>
      </c>
      <c r="D87" s="376">
        <f t="shared" si="104"/>
        <v>0</v>
      </c>
      <c r="E87" s="376">
        <f t="shared" si="104"/>
        <v>0</v>
      </c>
      <c r="F87" s="376">
        <f t="shared" si="105"/>
        <v>0</v>
      </c>
      <c r="G87" s="376">
        <v>0</v>
      </c>
      <c r="H87" s="377">
        <v>0</v>
      </c>
      <c r="I87" s="376">
        <f t="shared" si="106"/>
        <v>0</v>
      </c>
      <c r="J87" s="376">
        <v>0</v>
      </c>
      <c r="K87" s="377">
        <v>0</v>
      </c>
      <c r="L87" s="376">
        <f t="shared" si="107"/>
        <v>0</v>
      </c>
      <c r="M87" s="376">
        <f t="shared" si="108"/>
        <v>0</v>
      </c>
      <c r="N87" s="146">
        <f t="shared" si="109"/>
        <v>0</v>
      </c>
      <c r="P87" s="375">
        <v>0</v>
      </c>
      <c r="Q87" s="378">
        <v>0</v>
      </c>
      <c r="R87" s="9"/>
      <c r="S87" s="721"/>
      <c r="T87" s="696"/>
      <c r="U87" s="401">
        <v>0</v>
      </c>
      <c r="V87" s="15">
        <f>AL87</f>
        <v>0</v>
      </c>
      <c r="W87" s="15">
        <f>AM87</f>
        <v>0</v>
      </c>
      <c r="X87" s="16">
        <f>SUM(U87:W87)</f>
        <v>0</v>
      </c>
      <c r="Y87" s="19">
        <v>0</v>
      </c>
      <c r="Z87" s="377">
        <v>0</v>
      </c>
      <c r="AA87" s="16">
        <f>SUM(Y87:Z87)</f>
        <v>0</v>
      </c>
      <c r="AB87" s="19">
        <v>0</v>
      </c>
      <c r="AC87" s="377">
        <v>0</v>
      </c>
      <c r="AD87" s="18">
        <f>SUM(AB87:AC87)</f>
        <v>0</v>
      </c>
      <c r="AE87" s="19">
        <v>0</v>
      </c>
      <c r="AF87" s="377">
        <v>0</v>
      </c>
      <c r="AG87" s="16">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B87" s="9"/>
    </row>
    <row r="88" spans="1:70" s="385" customFormat="1" ht="24.95" customHeight="1" x14ac:dyDescent="0.2">
      <c r="A88" s="752">
        <v>1130203</v>
      </c>
      <c r="B88" s="635" t="s">
        <v>582</v>
      </c>
      <c r="C88" s="401">
        <v>0</v>
      </c>
      <c r="D88" s="376">
        <f t="shared" si="104"/>
        <v>0</v>
      </c>
      <c r="E88" s="376">
        <f t="shared" si="104"/>
        <v>0</v>
      </c>
      <c r="F88" s="376">
        <f t="shared" si="105"/>
        <v>0</v>
      </c>
      <c r="G88" s="376">
        <v>0</v>
      </c>
      <c r="H88" s="377">
        <v>0</v>
      </c>
      <c r="I88" s="376">
        <f t="shared" si="106"/>
        <v>0</v>
      </c>
      <c r="J88" s="376">
        <v>0</v>
      </c>
      <c r="K88" s="377">
        <v>0</v>
      </c>
      <c r="L88" s="376">
        <f t="shared" si="107"/>
        <v>0</v>
      </c>
      <c r="M88" s="376">
        <f t="shared" si="108"/>
        <v>0</v>
      </c>
      <c r="N88" s="146">
        <f t="shared" si="109"/>
        <v>0</v>
      </c>
      <c r="P88" s="375">
        <v>0</v>
      </c>
      <c r="Q88" s="378">
        <v>0</v>
      </c>
      <c r="R88" s="9"/>
      <c r="S88" s="719">
        <v>1020299</v>
      </c>
      <c r="T88" s="693" t="s">
        <v>132</v>
      </c>
      <c r="U88" s="401">
        <v>0</v>
      </c>
      <c r="V88" s="15">
        <f t="shared" si="102"/>
        <v>0</v>
      </c>
      <c r="W88" s="15">
        <f t="shared" si="102"/>
        <v>6884000</v>
      </c>
      <c r="X88" s="16">
        <f>SUM(U88:W88)</f>
        <v>6884000</v>
      </c>
      <c r="Y88" s="19">
        <v>0</v>
      </c>
      <c r="Z88" s="377">
        <v>6884000</v>
      </c>
      <c r="AA88" s="16">
        <f>SUM(Y88:Z88)</f>
        <v>6884000</v>
      </c>
      <c r="AB88" s="19">
        <v>0</v>
      </c>
      <c r="AC88" s="377">
        <v>6884000</v>
      </c>
      <c r="AD88" s="18">
        <f>SUM(AB88:AC88)</f>
        <v>6884000</v>
      </c>
      <c r="AE88" s="19">
        <v>0</v>
      </c>
      <c r="AF88" s="377">
        <v>1844000</v>
      </c>
      <c r="AG88" s="16">
        <f>SUM(AE88:AF88)</f>
        <v>1844000</v>
      </c>
      <c r="AH88" s="19">
        <f>X88-AA88</f>
        <v>0</v>
      </c>
      <c r="AI88" s="15">
        <f>X88-AD88</f>
        <v>0</v>
      </c>
      <c r="AJ88" s="16">
        <f>X88-AG88</f>
        <v>5040000</v>
      </c>
      <c r="AK88" s="9"/>
      <c r="AL88" s="375">
        <v>0</v>
      </c>
      <c r="AM88" s="378">
        <v>6884000</v>
      </c>
      <c r="AN88" s="9"/>
      <c r="AO88" s="297"/>
      <c r="AP88" s="297"/>
      <c r="AQ88" s="297"/>
      <c r="AR88" s="297"/>
      <c r="AS88" s="297"/>
      <c r="AT88" s="297"/>
      <c r="AU88" s="297"/>
      <c r="AV88" s="297"/>
      <c r="AW88" s="297"/>
      <c r="AX88" s="297"/>
      <c r="AY88" s="297"/>
      <c r="AZ88" s="297"/>
      <c r="BC88" s="9"/>
      <c r="BD88" s="9"/>
      <c r="BE88" s="9"/>
      <c r="BN88" s="9"/>
      <c r="BO88" s="9"/>
      <c r="BP88" s="9"/>
      <c r="BQ88" s="9"/>
      <c r="BR88" s="9"/>
    </row>
    <row r="89" spans="1:70" s="385" customFormat="1" ht="24.95" customHeight="1" x14ac:dyDescent="0.2">
      <c r="A89" s="752">
        <v>1130204</v>
      </c>
      <c r="B89" s="635" t="s">
        <v>583</v>
      </c>
      <c r="C89" s="401">
        <v>50000000</v>
      </c>
      <c r="D89" s="376">
        <f t="shared" si="104"/>
        <v>0</v>
      </c>
      <c r="E89" s="376">
        <f t="shared" si="104"/>
        <v>0</v>
      </c>
      <c r="F89" s="376">
        <f t="shared" si="105"/>
        <v>50000000</v>
      </c>
      <c r="G89" s="376">
        <v>0</v>
      </c>
      <c r="H89" s="377">
        <v>0</v>
      </c>
      <c r="I89" s="376">
        <f t="shared" si="106"/>
        <v>0</v>
      </c>
      <c r="J89" s="376">
        <v>0</v>
      </c>
      <c r="K89" s="377">
        <v>0</v>
      </c>
      <c r="L89" s="376">
        <f t="shared" si="107"/>
        <v>0</v>
      </c>
      <c r="M89" s="376">
        <f t="shared" si="108"/>
        <v>50000000</v>
      </c>
      <c r="N89" s="146">
        <f t="shared" si="109"/>
        <v>50000000</v>
      </c>
      <c r="P89" s="375">
        <v>0</v>
      </c>
      <c r="Q89" s="378">
        <v>0</v>
      </c>
      <c r="R89" s="9"/>
      <c r="S89" s="369"/>
      <c r="T89" s="689"/>
      <c r="U89" s="164"/>
      <c r="V89" s="164"/>
      <c r="W89" s="164"/>
      <c r="X89" s="169"/>
      <c r="Y89" s="370"/>
      <c r="Z89" s="164"/>
      <c r="AA89" s="169"/>
      <c r="AB89" s="370"/>
      <c r="AC89" s="164"/>
      <c r="AD89" s="164"/>
      <c r="AE89" s="370"/>
      <c r="AF89" s="164"/>
      <c r="AG89" s="169"/>
      <c r="AH89" s="370"/>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v>1130205</v>
      </c>
      <c r="B90" s="635" t="s">
        <v>584</v>
      </c>
      <c r="C90" s="401">
        <v>24000000</v>
      </c>
      <c r="D90" s="376">
        <f t="shared" si="104"/>
        <v>0</v>
      </c>
      <c r="E90" s="376">
        <f t="shared" si="104"/>
        <v>0</v>
      </c>
      <c r="F90" s="376">
        <f t="shared" si="105"/>
        <v>24000000</v>
      </c>
      <c r="G90" s="376">
        <v>0</v>
      </c>
      <c r="H90" s="377">
        <v>0</v>
      </c>
      <c r="I90" s="376">
        <f t="shared" si="106"/>
        <v>0</v>
      </c>
      <c r="J90" s="376">
        <v>0</v>
      </c>
      <c r="K90" s="377">
        <v>0</v>
      </c>
      <c r="L90" s="376">
        <f t="shared" si="107"/>
        <v>0</v>
      </c>
      <c r="M90" s="376">
        <f t="shared" si="108"/>
        <v>24000000</v>
      </c>
      <c r="N90" s="146">
        <f t="shared" si="109"/>
        <v>24000000</v>
      </c>
      <c r="O90" s="385"/>
      <c r="P90" s="375">
        <v>0</v>
      </c>
      <c r="Q90" s="378">
        <v>0</v>
      </c>
      <c r="R90" s="30"/>
      <c r="S90" s="718">
        <v>1020300</v>
      </c>
      <c r="T90" s="692" t="s">
        <v>163</v>
      </c>
      <c r="U90" s="135">
        <f t="shared" ref="U90:AJ90" si="110">U91+U96+U102</f>
        <v>269700847</v>
      </c>
      <c r="V90" s="124">
        <f t="shared" si="110"/>
        <v>0</v>
      </c>
      <c r="W90" s="124">
        <f t="shared" si="110"/>
        <v>54740941</v>
      </c>
      <c r="X90" s="133">
        <f t="shared" si="110"/>
        <v>324441788</v>
      </c>
      <c r="Y90" s="131">
        <f t="shared" si="110"/>
        <v>0</v>
      </c>
      <c r="Z90" s="124">
        <f t="shared" si="110"/>
        <v>71761032</v>
      </c>
      <c r="AA90" s="133">
        <f t="shared" si="110"/>
        <v>71761032</v>
      </c>
      <c r="AB90" s="131">
        <f t="shared" si="110"/>
        <v>0</v>
      </c>
      <c r="AC90" s="124">
        <f t="shared" si="110"/>
        <v>71761032</v>
      </c>
      <c r="AD90" s="132">
        <f t="shared" si="110"/>
        <v>71761032</v>
      </c>
      <c r="AE90" s="131">
        <f t="shared" si="110"/>
        <v>0</v>
      </c>
      <c r="AF90" s="124">
        <f t="shared" si="110"/>
        <v>14592391</v>
      </c>
      <c r="AG90" s="133">
        <f t="shared" si="110"/>
        <v>14592391</v>
      </c>
      <c r="AH90" s="131">
        <f t="shared" si="110"/>
        <v>252680756</v>
      </c>
      <c r="AI90" s="124">
        <f t="shared" si="110"/>
        <v>252680756</v>
      </c>
      <c r="AJ90" s="133">
        <f t="shared" si="110"/>
        <v>309849397</v>
      </c>
      <c r="AK90" s="9"/>
      <c r="AL90" s="131">
        <f>AL91+AL96+AL102</f>
        <v>0</v>
      </c>
      <c r="AM90" s="133">
        <f>AM91+AM96+AM102</f>
        <v>54740941</v>
      </c>
      <c r="AN90" s="30"/>
      <c r="AO90" s="463"/>
      <c r="AP90" s="463"/>
      <c r="AQ90" s="463"/>
      <c r="AR90" s="463"/>
      <c r="AS90" s="463"/>
      <c r="AT90" s="463"/>
      <c r="AU90" s="463"/>
      <c r="AV90" s="463"/>
      <c r="AW90" s="463"/>
      <c r="AX90" s="463"/>
      <c r="AY90" s="463"/>
      <c r="AZ90" s="463"/>
      <c r="BB90" s="385"/>
      <c r="BC90" s="385"/>
      <c r="BD90" s="385"/>
      <c r="BE90" s="385"/>
      <c r="BM90" s="385"/>
      <c r="BN90" s="385"/>
      <c r="BO90" s="385"/>
      <c r="BP90" s="385"/>
      <c r="BQ90" s="385"/>
      <c r="BR90" s="385"/>
    </row>
    <row r="91" spans="1:70" s="464" customFormat="1" ht="24.95" customHeight="1" x14ac:dyDescent="0.2">
      <c r="A91" s="752">
        <v>1130206</v>
      </c>
      <c r="B91" s="635" t="s">
        <v>585</v>
      </c>
      <c r="C91" s="401">
        <v>0</v>
      </c>
      <c r="D91" s="376">
        <f t="shared" si="104"/>
        <v>0</v>
      </c>
      <c r="E91" s="376">
        <f t="shared" si="104"/>
        <v>0</v>
      </c>
      <c r="F91" s="376">
        <f t="shared" si="105"/>
        <v>0</v>
      </c>
      <c r="G91" s="376">
        <v>0</v>
      </c>
      <c r="H91" s="377">
        <v>0</v>
      </c>
      <c r="I91" s="376">
        <f t="shared" si="106"/>
        <v>0</v>
      </c>
      <c r="J91" s="376">
        <v>0</v>
      </c>
      <c r="K91" s="377">
        <v>0</v>
      </c>
      <c r="L91" s="376">
        <f t="shared" si="107"/>
        <v>0</v>
      </c>
      <c r="M91" s="376">
        <f t="shared" si="108"/>
        <v>0</v>
      </c>
      <c r="N91" s="146">
        <f t="shared" si="109"/>
        <v>0</v>
      </c>
      <c r="O91" s="385"/>
      <c r="P91" s="375">
        <v>0</v>
      </c>
      <c r="Q91" s="378">
        <v>0</v>
      </c>
      <c r="R91" s="30"/>
      <c r="S91" s="719">
        <v>1020301</v>
      </c>
      <c r="T91" s="693" t="s">
        <v>165</v>
      </c>
      <c r="U91" s="27">
        <f t="shared" ref="U91:AJ91" si="111">SUM(U92:U95)</f>
        <v>230094736</v>
      </c>
      <c r="V91" s="25">
        <f t="shared" si="111"/>
        <v>0</v>
      </c>
      <c r="W91" s="25">
        <f t="shared" si="111"/>
        <v>0</v>
      </c>
      <c r="X91" s="26">
        <f t="shared" si="111"/>
        <v>230094736</v>
      </c>
      <c r="Y91" s="29">
        <f t="shared" si="111"/>
        <v>0</v>
      </c>
      <c r="Z91" s="25">
        <f t="shared" si="111"/>
        <v>14592391</v>
      </c>
      <c r="AA91" s="26">
        <f t="shared" si="111"/>
        <v>14592391</v>
      </c>
      <c r="AB91" s="29">
        <f t="shared" si="111"/>
        <v>0</v>
      </c>
      <c r="AC91" s="25">
        <f t="shared" si="111"/>
        <v>14592391</v>
      </c>
      <c r="AD91" s="28">
        <f t="shared" si="111"/>
        <v>14592391</v>
      </c>
      <c r="AE91" s="29">
        <f t="shared" si="111"/>
        <v>0</v>
      </c>
      <c r="AF91" s="25">
        <f t="shared" si="111"/>
        <v>14592391</v>
      </c>
      <c r="AG91" s="26">
        <f t="shared" si="111"/>
        <v>14592391</v>
      </c>
      <c r="AH91" s="19">
        <f t="shared" si="111"/>
        <v>215502345</v>
      </c>
      <c r="AI91" s="15">
        <f t="shared" si="111"/>
        <v>215502345</v>
      </c>
      <c r="AJ91" s="16">
        <f t="shared" si="111"/>
        <v>215502345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v>1130207</v>
      </c>
      <c r="B92" s="636" t="s">
        <v>589</v>
      </c>
      <c r="C92" s="491">
        <v>0</v>
      </c>
      <c r="D92" s="388">
        <f t="shared" si="104"/>
        <v>0</v>
      </c>
      <c r="E92" s="388">
        <f t="shared" si="104"/>
        <v>0</v>
      </c>
      <c r="F92" s="388">
        <f t="shared" si="105"/>
        <v>0</v>
      </c>
      <c r="G92" s="388">
        <v>0</v>
      </c>
      <c r="H92" s="391">
        <v>0</v>
      </c>
      <c r="I92" s="388">
        <f t="shared" si="106"/>
        <v>0</v>
      </c>
      <c r="J92" s="388">
        <v>0</v>
      </c>
      <c r="K92" s="391">
        <v>0</v>
      </c>
      <c r="L92" s="388">
        <f t="shared" si="107"/>
        <v>0</v>
      </c>
      <c r="M92" s="388">
        <f t="shared" si="108"/>
        <v>0</v>
      </c>
      <c r="N92" s="389">
        <f t="shared" si="109"/>
        <v>0</v>
      </c>
      <c r="O92" s="385"/>
      <c r="P92" s="375">
        <v>0</v>
      </c>
      <c r="Q92" s="378">
        <v>0</v>
      </c>
      <c r="R92" s="30"/>
      <c r="S92" s="720" t="s">
        <v>230</v>
      </c>
      <c r="T92" s="694" t="s">
        <v>416</v>
      </c>
      <c r="U92" s="401">
        <v>59416260</v>
      </c>
      <c r="V92" s="15">
        <f t="shared" ref="V92:W95" si="112">AL92</f>
        <v>0</v>
      </c>
      <c r="W92" s="15">
        <f t="shared" si="112"/>
        <v>0</v>
      </c>
      <c r="X92" s="16">
        <f>SUM(U92:W92)</f>
        <v>59416260</v>
      </c>
      <c r="Y92" s="19">
        <v>0</v>
      </c>
      <c r="Z92" s="377">
        <v>5445618</v>
      </c>
      <c r="AA92" s="16">
        <f>SUM(Y92:Z92)</f>
        <v>5445618</v>
      </c>
      <c r="AB92" s="19">
        <v>0</v>
      </c>
      <c r="AC92" s="377">
        <v>5445618</v>
      </c>
      <c r="AD92" s="18">
        <f>SUM(AB92:AC92)</f>
        <v>5445618</v>
      </c>
      <c r="AE92" s="19">
        <v>0</v>
      </c>
      <c r="AF92" s="377">
        <v>5445618</v>
      </c>
      <c r="AG92" s="16">
        <f>SUM(AE92:AF92)</f>
        <v>5445618</v>
      </c>
      <c r="AH92" s="19">
        <f>X92-AA92</f>
        <v>53970642</v>
      </c>
      <c r="AI92" s="15">
        <f>X92-AD92</f>
        <v>53970642</v>
      </c>
      <c r="AJ92" s="16">
        <f>X92-AG92</f>
        <v>53970642</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c r="B93" s="659"/>
      <c r="C93" s="297"/>
      <c r="D93" s="297"/>
      <c r="E93" s="297"/>
      <c r="F93" s="297"/>
      <c r="G93" s="297"/>
      <c r="H93" s="297"/>
      <c r="I93" s="297"/>
      <c r="J93" s="297"/>
      <c r="K93" s="297"/>
      <c r="L93" s="297"/>
      <c r="M93" s="297"/>
      <c r="N93" s="466"/>
      <c r="P93" s="470"/>
      <c r="Q93" s="394"/>
      <c r="R93" s="30"/>
      <c r="S93" s="720" t="s">
        <v>231</v>
      </c>
      <c r="T93" s="694" t="s">
        <v>417</v>
      </c>
      <c r="U93" s="401">
        <v>81857136</v>
      </c>
      <c r="V93" s="15">
        <f t="shared" si="112"/>
        <v>0</v>
      </c>
      <c r="W93" s="15">
        <f t="shared" si="112"/>
        <v>0</v>
      </c>
      <c r="X93" s="16">
        <f>SUM(U93:W93)</f>
        <v>81857136</v>
      </c>
      <c r="Y93" s="19">
        <v>0</v>
      </c>
      <c r="Z93" s="377">
        <v>7687932</v>
      </c>
      <c r="AA93" s="16">
        <f>SUM(Y93:Z93)</f>
        <v>7687932</v>
      </c>
      <c r="AB93" s="19">
        <v>0</v>
      </c>
      <c r="AC93" s="377">
        <v>7687932</v>
      </c>
      <c r="AD93" s="18">
        <f>SUM(AB93:AC93)</f>
        <v>7687932</v>
      </c>
      <c r="AE93" s="19">
        <v>0</v>
      </c>
      <c r="AF93" s="377">
        <v>7687932</v>
      </c>
      <c r="AG93" s="16">
        <f>SUM(AE93:AF93)</f>
        <v>7687932</v>
      </c>
      <c r="AH93" s="19">
        <f>X93-AA93</f>
        <v>74169204</v>
      </c>
      <c r="AI93" s="15">
        <f>X93-AD93</f>
        <v>74169204</v>
      </c>
      <c r="AJ93" s="16">
        <f>X93-AG93</f>
        <v>74169204</v>
      </c>
      <c r="AK93" s="9"/>
      <c r="AL93" s="375">
        <v>0</v>
      </c>
      <c r="AM93" s="378">
        <v>0</v>
      </c>
      <c r="AN93" s="30"/>
      <c r="AO93" s="463"/>
      <c r="AP93" s="463"/>
      <c r="AQ93" s="463"/>
      <c r="AR93" s="463"/>
      <c r="AS93" s="463"/>
      <c r="AT93" s="463"/>
      <c r="AU93" s="463"/>
      <c r="AV93" s="463"/>
      <c r="AW93" s="463"/>
      <c r="AX93" s="463"/>
      <c r="AY93" s="463"/>
      <c r="AZ93" s="463"/>
      <c r="BL93" s="30"/>
    </row>
    <row r="94" spans="1:70" s="464" customFormat="1" ht="39.75" customHeight="1" x14ac:dyDescent="0.2">
      <c r="A94" s="753">
        <v>11303</v>
      </c>
      <c r="B94" s="626" t="s">
        <v>602</v>
      </c>
      <c r="C94" s="625">
        <f>SUM(C95:C102)</f>
        <v>0</v>
      </c>
      <c r="D94" s="623">
        <f t="shared" ref="D94:N94" si="113">SUM(D95:D102)</f>
        <v>0</v>
      </c>
      <c r="E94" s="623">
        <f t="shared" si="113"/>
        <v>0</v>
      </c>
      <c r="F94" s="623">
        <f t="shared" si="113"/>
        <v>0</v>
      </c>
      <c r="G94" s="623">
        <f t="shared" si="113"/>
        <v>0</v>
      </c>
      <c r="H94" s="623">
        <f t="shared" si="113"/>
        <v>0</v>
      </c>
      <c r="I94" s="623">
        <f t="shared" si="113"/>
        <v>0</v>
      </c>
      <c r="J94" s="623">
        <f t="shared" si="113"/>
        <v>0</v>
      </c>
      <c r="K94" s="623">
        <f t="shared" si="113"/>
        <v>0</v>
      </c>
      <c r="L94" s="623">
        <f t="shared" si="113"/>
        <v>0</v>
      </c>
      <c r="M94" s="623">
        <f t="shared" si="113"/>
        <v>0</v>
      </c>
      <c r="N94" s="624">
        <f t="shared" si="113"/>
        <v>0</v>
      </c>
      <c r="O94" s="385"/>
      <c r="P94" s="43">
        <f>SUM(P95:P102)</f>
        <v>0</v>
      </c>
      <c r="Q94" s="45">
        <f>SUM(Q95:Q102)</f>
        <v>0</v>
      </c>
      <c r="R94" s="30"/>
      <c r="S94" s="720" t="s">
        <v>232</v>
      </c>
      <c r="T94" s="694" t="s">
        <v>418</v>
      </c>
      <c r="U94" s="401">
        <v>71793333</v>
      </c>
      <c r="V94" s="15">
        <f t="shared" si="112"/>
        <v>0</v>
      </c>
      <c r="W94" s="15">
        <f t="shared" si="112"/>
        <v>0</v>
      </c>
      <c r="X94" s="16">
        <f>SUM(U94:W94)</f>
        <v>71793333</v>
      </c>
      <c r="Y94" s="19">
        <v>0</v>
      </c>
      <c r="Z94" s="377">
        <v>0</v>
      </c>
      <c r="AA94" s="16">
        <f>SUM(Y94:Z94)</f>
        <v>0</v>
      </c>
      <c r="AB94" s="19">
        <v>0</v>
      </c>
      <c r="AC94" s="377">
        <v>0</v>
      </c>
      <c r="AD94" s="18">
        <f>SUM(AB94:AC94)</f>
        <v>0</v>
      </c>
      <c r="AE94" s="19">
        <v>0</v>
      </c>
      <c r="AF94" s="377">
        <v>0</v>
      </c>
      <c r="AG94" s="16">
        <f>SUM(AE94:AF94)</f>
        <v>0</v>
      </c>
      <c r="AH94" s="19">
        <f>X94-AA94</f>
        <v>71793333</v>
      </c>
      <c r="AI94" s="15">
        <f>X94-AD94</f>
        <v>71793333</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
        <v>238</v>
      </c>
      <c r="B95" s="627" t="s">
        <v>599</v>
      </c>
      <c r="C95" s="401">
        <v>0</v>
      </c>
      <c r="D95" s="376">
        <f t="shared" ref="D95:D102" si="114">P95</f>
        <v>0</v>
      </c>
      <c r="E95" s="376">
        <f t="shared" ref="E95:E102" si="115">Q95</f>
        <v>0</v>
      </c>
      <c r="F95" s="376">
        <f t="shared" ref="F95:F102" si="116">SUM(C95:E95)</f>
        <v>0</v>
      </c>
      <c r="G95" s="376">
        <v>0</v>
      </c>
      <c r="H95" s="377">
        <v>0</v>
      </c>
      <c r="I95" s="376">
        <f t="shared" ref="I95:I102" si="117">SUM(G95:H95)</f>
        <v>0</v>
      </c>
      <c r="J95" s="376">
        <v>0</v>
      </c>
      <c r="K95" s="377">
        <v>0</v>
      </c>
      <c r="L95" s="376">
        <f t="shared" ref="L95:L102" si="118">SUM(J95:K95)</f>
        <v>0</v>
      </c>
      <c r="M95" s="376">
        <f t="shared" ref="M95:M102" si="119">F95-I95</f>
        <v>0</v>
      </c>
      <c r="N95" s="146">
        <f t="shared" ref="N95:N102" si="120">F95-L95</f>
        <v>0</v>
      </c>
      <c r="O95" s="385"/>
      <c r="P95" s="375">
        <v>0</v>
      </c>
      <c r="Q95" s="378">
        <v>0</v>
      </c>
      <c r="R95" s="30"/>
      <c r="S95" s="720" t="s">
        <v>233</v>
      </c>
      <c r="T95" s="694" t="s">
        <v>558</v>
      </c>
      <c r="U95" s="401">
        <v>17028007</v>
      </c>
      <c r="V95" s="15">
        <f t="shared" si="112"/>
        <v>0</v>
      </c>
      <c r="W95" s="15">
        <f t="shared" si="112"/>
        <v>0</v>
      </c>
      <c r="X95" s="16">
        <f>SUM(U95:W95)</f>
        <v>17028007</v>
      </c>
      <c r="Y95" s="19">
        <v>0</v>
      </c>
      <c r="Z95" s="377">
        <v>1458841</v>
      </c>
      <c r="AA95" s="16">
        <f>SUM(Y95:Z95)</f>
        <v>1458841</v>
      </c>
      <c r="AB95" s="19">
        <v>0</v>
      </c>
      <c r="AC95" s="377">
        <v>1458841</v>
      </c>
      <c r="AD95" s="18">
        <f>SUM(AB95:AC95)</f>
        <v>1458841</v>
      </c>
      <c r="AE95" s="19">
        <v>0</v>
      </c>
      <c r="AF95" s="377">
        <v>1458841</v>
      </c>
      <c r="AG95" s="16">
        <f>SUM(AE95:AF95)</f>
        <v>1458841</v>
      </c>
      <c r="AH95" s="19">
        <f>X95-AA95</f>
        <v>15569166</v>
      </c>
      <c r="AI95" s="15">
        <f>X95-AD95</f>
        <v>15569166</v>
      </c>
      <c r="AJ95" s="16">
        <f>X95-AG95</f>
        <v>15569166</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
        <v>240</v>
      </c>
      <c r="B96" s="627" t="s">
        <v>475</v>
      </c>
      <c r="C96" s="401">
        <v>0</v>
      </c>
      <c r="D96" s="376">
        <f t="shared" si="114"/>
        <v>0</v>
      </c>
      <c r="E96" s="376">
        <f t="shared" si="115"/>
        <v>0</v>
      </c>
      <c r="F96" s="376">
        <f t="shared" si="116"/>
        <v>0</v>
      </c>
      <c r="G96" s="376">
        <v>0</v>
      </c>
      <c r="H96" s="377">
        <v>0</v>
      </c>
      <c r="I96" s="376">
        <f t="shared" si="117"/>
        <v>0</v>
      </c>
      <c r="J96" s="376">
        <v>0</v>
      </c>
      <c r="K96" s="377">
        <v>0</v>
      </c>
      <c r="L96" s="376">
        <f t="shared" si="118"/>
        <v>0</v>
      </c>
      <c r="M96" s="376">
        <f t="shared" si="119"/>
        <v>0</v>
      </c>
      <c r="N96" s="146">
        <f t="shared" si="120"/>
        <v>0</v>
      </c>
      <c r="O96" s="385"/>
      <c r="P96" s="375">
        <v>0</v>
      </c>
      <c r="Q96" s="378">
        <v>0</v>
      </c>
      <c r="S96" s="719">
        <v>1020302</v>
      </c>
      <c r="T96" s="693" t="s">
        <v>175</v>
      </c>
      <c r="U96" s="17">
        <f t="shared" ref="U96:AJ96" si="121">SUM(U97:U101)</f>
        <v>39606111</v>
      </c>
      <c r="V96" s="15">
        <f t="shared" si="121"/>
        <v>0</v>
      </c>
      <c r="W96" s="15">
        <f t="shared" si="121"/>
        <v>0</v>
      </c>
      <c r="X96" s="16">
        <f t="shared" si="121"/>
        <v>39606111</v>
      </c>
      <c r="Y96" s="19">
        <f t="shared" si="121"/>
        <v>0</v>
      </c>
      <c r="Z96" s="145">
        <f t="shared" si="121"/>
        <v>2427700</v>
      </c>
      <c r="AA96" s="16">
        <f t="shared" si="121"/>
        <v>2427700</v>
      </c>
      <c r="AB96" s="19">
        <f t="shared" si="121"/>
        <v>0</v>
      </c>
      <c r="AC96" s="145">
        <f t="shared" si="121"/>
        <v>2427700</v>
      </c>
      <c r="AD96" s="18">
        <f t="shared" si="121"/>
        <v>2427700</v>
      </c>
      <c r="AE96" s="19">
        <f t="shared" si="121"/>
        <v>0</v>
      </c>
      <c r="AF96" s="145">
        <f t="shared" si="121"/>
        <v>0</v>
      </c>
      <c r="AG96" s="16">
        <f t="shared" si="121"/>
        <v>0</v>
      </c>
      <c r="AH96" s="19">
        <f t="shared" si="121"/>
        <v>37178411</v>
      </c>
      <c r="AI96" s="15">
        <f t="shared" si="121"/>
        <v>37178411</v>
      </c>
      <c r="AJ96" s="16">
        <f t="shared" si="121"/>
        <v>39606111</v>
      </c>
      <c r="AL96" s="32">
        <f>SUM(AL97:AL101)</f>
        <v>0</v>
      </c>
      <c r="AM96" s="33">
        <f>SUM(AM97:AM101)</f>
        <v>0</v>
      </c>
      <c r="AO96" s="463"/>
      <c r="AP96" s="463"/>
      <c r="AQ96" s="463"/>
      <c r="AR96" s="463"/>
      <c r="AS96" s="463"/>
      <c r="AT96" s="463"/>
      <c r="AU96" s="463"/>
      <c r="AV96" s="463"/>
      <c r="AW96" s="463"/>
      <c r="AX96" s="463"/>
      <c r="AY96" s="463"/>
      <c r="AZ96" s="463"/>
      <c r="BA96" s="464"/>
      <c r="BB96" s="464"/>
      <c r="BC96" s="464"/>
      <c r="BD96" s="464"/>
      <c r="BE96" s="464"/>
      <c r="BL96" s="464"/>
      <c r="BM96" s="464"/>
      <c r="BN96" s="464"/>
      <c r="BO96" s="464"/>
      <c r="BP96" s="464"/>
      <c r="BQ96" s="464"/>
      <c r="BR96" s="464"/>
    </row>
    <row r="97" spans="1:70" s="464" customFormat="1" ht="24.95" customHeight="1" x14ac:dyDescent="0.2">
      <c r="A97" s="754" t="s">
        <v>241</v>
      </c>
      <c r="B97" s="627" t="s">
        <v>12</v>
      </c>
      <c r="C97" s="401">
        <v>0</v>
      </c>
      <c r="D97" s="376">
        <f t="shared" si="114"/>
        <v>0</v>
      </c>
      <c r="E97" s="376">
        <f t="shared" si="115"/>
        <v>0</v>
      </c>
      <c r="F97" s="376">
        <f t="shared" si="116"/>
        <v>0</v>
      </c>
      <c r="G97" s="376">
        <v>0</v>
      </c>
      <c r="H97" s="377">
        <v>0</v>
      </c>
      <c r="I97" s="376">
        <f t="shared" si="117"/>
        <v>0</v>
      </c>
      <c r="J97" s="376">
        <v>0</v>
      </c>
      <c r="K97" s="377">
        <v>0</v>
      </c>
      <c r="L97" s="376">
        <f t="shared" si="118"/>
        <v>0</v>
      </c>
      <c r="M97" s="376">
        <f t="shared" si="119"/>
        <v>0</v>
      </c>
      <c r="N97" s="146">
        <f t="shared" si="120"/>
        <v>0</v>
      </c>
      <c r="O97" s="385"/>
      <c r="P97" s="375">
        <v>0</v>
      </c>
      <c r="Q97" s="378">
        <v>0</v>
      </c>
      <c r="R97" s="30"/>
      <c r="S97" s="720" t="s">
        <v>234</v>
      </c>
      <c r="T97" s="694" t="s">
        <v>419</v>
      </c>
      <c r="U97" s="401">
        <v>1005165</v>
      </c>
      <c r="V97" s="15">
        <f t="shared" ref="V97:W102" si="122">AL97</f>
        <v>0</v>
      </c>
      <c r="W97" s="15">
        <f t="shared" si="122"/>
        <v>0</v>
      </c>
      <c r="X97" s="16">
        <f t="shared" ref="X97:X102" si="123">SUM(U97:W97)</f>
        <v>1005165</v>
      </c>
      <c r="Y97" s="19">
        <v>0</v>
      </c>
      <c r="Z97" s="377">
        <v>0</v>
      </c>
      <c r="AA97" s="16">
        <f t="shared" ref="AA97:AA102" si="124">SUM(Y97:Z97)</f>
        <v>0</v>
      </c>
      <c r="AB97" s="19">
        <v>0</v>
      </c>
      <c r="AC97" s="377">
        <v>0</v>
      </c>
      <c r="AD97" s="18">
        <f t="shared" ref="AD97:AD102" si="125">SUM(AB97:AC97)</f>
        <v>0</v>
      </c>
      <c r="AE97" s="19">
        <v>0</v>
      </c>
      <c r="AF97" s="377">
        <v>0</v>
      </c>
      <c r="AG97" s="16">
        <f t="shared" ref="AG97:AG102" si="126">SUM(AE97:AF97)</f>
        <v>0</v>
      </c>
      <c r="AH97" s="19">
        <f t="shared" ref="AH97:AH102" si="127">X97-AA97</f>
        <v>1005165</v>
      </c>
      <c r="AI97" s="15">
        <f t="shared" ref="AI97:AI102" si="128">X97-AD97</f>
        <v>1005165</v>
      </c>
      <c r="AJ97" s="16">
        <f t="shared" ref="AJ97:AJ102" si="129">X97-AG97</f>
        <v>1005165</v>
      </c>
      <c r="AK97" s="30"/>
      <c r="AL97" s="375">
        <v>0</v>
      </c>
      <c r="AM97" s="378">
        <v>0</v>
      </c>
      <c r="AN97" s="30"/>
      <c r="AO97" s="463"/>
      <c r="AP97" s="463"/>
      <c r="AQ97" s="463"/>
      <c r="AR97" s="463"/>
      <c r="AS97" s="463"/>
      <c r="AT97" s="463"/>
      <c r="AU97" s="463"/>
      <c r="AV97" s="463"/>
      <c r="AW97" s="463"/>
      <c r="AX97" s="463"/>
      <c r="AY97" s="463"/>
      <c r="AZ97" s="463"/>
      <c r="BB97" s="30"/>
    </row>
    <row r="98" spans="1:70" s="464" customFormat="1" ht="24.95" customHeight="1" x14ac:dyDescent="0.2">
      <c r="A98" s="754" t="s">
        <v>242</v>
      </c>
      <c r="B98" s="627" t="s">
        <v>476</v>
      </c>
      <c r="C98" s="401">
        <v>0</v>
      </c>
      <c r="D98" s="376">
        <f t="shared" si="114"/>
        <v>0</v>
      </c>
      <c r="E98" s="376">
        <f t="shared" si="115"/>
        <v>0</v>
      </c>
      <c r="F98" s="376">
        <f t="shared" si="116"/>
        <v>0</v>
      </c>
      <c r="G98" s="376">
        <v>0</v>
      </c>
      <c r="H98" s="377">
        <v>0</v>
      </c>
      <c r="I98" s="376">
        <f t="shared" si="117"/>
        <v>0</v>
      </c>
      <c r="J98" s="376">
        <v>0</v>
      </c>
      <c r="K98" s="377">
        <v>0</v>
      </c>
      <c r="L98" s="376">
        <f t="shared" si="118"/>
        <v>0</v>
      </c>
      <c r="M98" s="376">
        <f t="shared" si="119"/>
        <v>0</v>
      </c>
      <c r="N98" s="146">
        <f t="shared" si="120"/>
        <v>0</v>
      </c>
      <c r="O98" s="385"/>
      <c r="P98" s="375">
        <v>0</v>
      </c>
      <c r="Q98" s="378">
        <v>0</v>
      </c>
      <c r="R98" s="30"/>
      <c r="S98" s="720" t="s">
        <v>235</v>
      </c>
      <c r="T98" s="694" t="s">
        <v>420</v>
      </c>
      <c r="U98" s="401">
        <v>3635130</v>
      </c>
      <c r="V98" s="15">
        <f t="shared" si="122"/>
        <v>0</v>
      </c>
      <c r="W98" s="15">
        <f t="shared" si="122"/>
        <v>0</v>
      </c>
      <c r="X98" s="16">
        <f t="shared" si="123"/>
        <v>3635130</v>
      </c>
      <c r="Y98" s="19">
        <v>0</v>
      </c>
      <c r="Z98" s="377">
        <v>0</v>
      </c>
      <c r="AA98" s="16">
        <f t="shared" si="124"/>
        <v>0</v>
      </c>
      <c r="AB98" s="19">
        <v>0</v>
      </c>
      <c r="AC98" s="377">
        <v>0</v>
      </c>
      <c r="AD98" s="18">
        <f t="shared" si="125"/>
        <v>0</v>
      </c>
      <c r="AE98" s="19">
        <v>0</v>
      </c>
      <c r="AF98" s="377">
        <v>0</v>
      </c>
      <c r="AG98" s="16">
        <f t="shared" si="126"/>
        <v>0</v>
      </c>
      <c r="AH98" s="19">
        <f t="shared" si="127"/>
        <v>3635130</v>
      </c>
      <c r="AI98" s="15">
        <f t="shared" si="128"/>
        <v>3635130</v>
      </c>
      <c r="AJ98" s="16">
        <f t="shared" si="129"/>
        <v>3635130</v>
      </c>
      <c r="AK98" s="30"/>
      <c r="AL98" s="375">
        <v>0</v>
      </c>
      <c r="AM98" s="378">
        <v>0</v>
      </c>
      <c r="AN98" s="30"/>
      <c r="AO98" s="463"/>
      <c r="AP98" s="463"/>
      <c r="AQ98" s="463"/>
      <c r="AR98" s="463"/>
      <c r="AS98" s="463"/>
      <c r="AT98" s="463"/>
      <c r="AU98" s="463"/>
      <c r="AV98" s="463"/>
      <c r="AW98" s="463"/>
      <c r="AX98" s="463"/>
      <c r="AY98" s="463"/>
      <c r="AZ98" s="463"/>
      <c r="BC98" s="30"/>
      <c r="BD98" s="30"/>
      <c r="BE98" s="30"/>
      <c r="BN98" s="30"/>
      <c r="BO98" s="30"/>
      <c r="BP98" s="30"/>
      <c r="BQ98" s="30"/>
      <c r="BR98" s="30"/>
    </row>
    <row r="99" spans="1:70" s="464" customFormat="1" ht="24.95" customHeight="1" x14ac:dyDescent="0.2">
      <c r="A99" s="754" t="s">
        <v>243</v>
      </c>
      <c r="B99" s="627" t="s">
        <v>600</v>
      </c>
      <c r="C99" s="681">
        <v>0</v>
      </c>
      <c r="D99" s="376">
        <f t="shared" si="114"/>
        <v>0</v>
      </c>
      <c r="E99" s="376">
        <f t="shared" si="115"/>
        <v>0</v>
      </c>
      <c r="F99" s="376">
        <f t="shared" si="116"/>
        <v>0</v>
      </c>
      <c r="G99" s="376">
        <v>0</v>
      </c>
      <c r="H99" s="682">
        <v>0</v>
      </c>
      <c r="I99" s="376">
        <f t="shared" si="117"/>
        <v>0</v>
      </c>
      <c r="J99" s="376">
        <v>0</v>
      </c>
      <c r="K99" s="682">
        <v>0</v>
      </c>
      <c r="L99" s="376">
        <f t="shared" si="118"/>
        <v>0</v>
      </c>
      <c r="M99" s="376">
        <f t="shared" si="119"/>
        <v>0</v>
      </c>
      <c r="N99" s="146">
        <f t="shared" si="120"/>
        <v>0</v>
      </c>
      <c r="O99" s="385"/>
      <c r="P99" s="683">
        <v>0</v>
      </c>
      <c r="Q99" s="684">
        <v>0</v>
      </c>
      <c r="R99" s="30"/>
      <c r="S99" s="720" t="s">
        <v>236</v>
      </c>
      <c r="T99" s="694" t="s">
        <v>421</v>
      </c>
      <c r="U99" s="401">
        <v>2469908</v>
      </c>
      <c r="V99" s="15">
        <f t="shared" si="122"/>
        <v>0</v>
      </c>
      <c r="W99" s="15">
        <f t="shared" si="122"/>
        <v>0</v>
      </c>
      <c r="X99" s="16">
        <f t="shared" si="123"/>
        <v>2469908</v>
      </c>
      <c r="Y99" s="19">
        <v>0</v>
      </c>
      <c r="Z99" s="377">
        <v>0</v>
      </c>
      <c r="AA99" s="16">
        <f t="shared" si="124"/>
        <v>0</v>
      </c>
      <c r="AB99" s="19">
        <v>0</v>
      </c>
      <c r="AC99" s="377">
        <v>0</v>
      </c>
      <c r="AD99" s="18">
        <f t="shared" si="125"/>
        <v>0</v>
      </c>
      <c r="AE99" s="19">
        <v>0</v>
      </c>
      <c r="AF99" s="377">
        <v>0</v>
      </c>
      <c r="AG99" s="16">
        <f t="shared" si="126"/>
        <v>0</v>
      </c>
      <c r="AH99" s="19">
        <f t="shared" si="127"/>
        <v>2469908</v>
      </c>
      <c r="AI99" s="15">
        <f t="shared" si="128"/>
        <v>2469908</v>
      </c>
      <c r="AJ99" s="16">
        <f t="shared" si="12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
        <v>477</v>
      </c>
      <c r="B100" s="627" t="s">
        <v>586</v>
      </c>
      <c r="C100" s="401">
        <v>0</v>
      </c>
      <c r="D100" s="376">
        <f t="shared" si="114"/>
        <v>0</v>
      </c>
      <c r="E100" s="376">
        <f t="shared" si="115"/>
        <v>0</v>
      </c>
      <c r="F100" s="376">
        <f t="shared" si="116"/>
        <v>0</v>
      </c>
      <c r="G100" s="376">
        <v>0</v>
      </c>
      <c r="H100" s="377">
        <v>0</v>
      </c>
      <c r="I100" s="376">
        <f t="shared" si="117"/>
        <v>0</v>
      </c>
      <c r="J100" s="376">
        <v>0</v>
      </c>
      <c r="K100" s="377">
        <v>0</v>
      </c>
      <c r="L100" s="376">
        <f t="shared" si="118"/>
        <v>0</v>
      </c>
      <c r="M100" s="376">
        <f t="shared" si="119"/>
        <v>0</v>
      </c>
      <c r="N100" s="146">
        <f t="shared" si="120"/>
        <v>0</v>
      </c>
      <c r="P100" s="375">
        <v>0</v>
      </c>
      <c r="Q100" s="378">
        <v>0</v>
      </c>
      <c r="R100" s="9"/>
      <c r="S100" s="720" t="s">
        <v>237</v>
      </c>
      <c r="T100" s="694" t="s">
        <v>557</v>
      </c>
      <c r="U100" s="401">
        <v>0</v>
      </c>
      <c r="V100" s="15">
        <f t="shared" si="122"/>
        <v>0</v>
      </c>
      <c r="W100" s="15">
        <f t="shared" si="122"/>
        <v>0</v>
      </c>
      <c r="X100" s="16">
        <f t="shared" si="123"/>
        <v>0</v>
      </c>
      <c r="Y100" s="19">
        <v>0</v>
      </c>
      <c r="Z100" s="377">
        <v>0</v>
      </c>
      <c r="AA100" s="16">
        <f t="shared" si="124"/>
        <v>0</v>
      </c>
      <c r="AB100" s="19">
        <v>0</v>
      </c>
      <c r="AC100" s="377">
        <v>0</v>
      </c>
      <c r="AD100" s="18">
        <f t="shared" si="125"/>
        <v>0</v>
      </c>
      <c r="AE100" s="19">
        <v>0</v>
      </c>
      <c r="AF100" s="377">
        <v>0</v>
      </c>
      <c r="AG100" s="16">
        <f t="shared" si="126"/>
        <v>0</v>
      </c>
      <c r="AH100" s="19">
        <f t="shared" si="127"/>
        <v>0</v>
      </c>
      <c r="AI100" s="15">
        <f t="shared" si="128"/>
        <v>0</v>
      </c>
      <c r="AJ100" s="16">
        <f t="shared" si="129"/>
        <v>0</v>
      </c>
      <c r="AK100" s="30"/>
      <c r="AL100" s="375">
        <v>0</v>
      </c>
      <c r="AM100" s="378">
        <v>0</v>
      </c>
      <c r="AN100" s="9"/>
      <c r="AO100" s="297"/>
      <c r="AP100" s="297"/>
      <c r="AQ100" s="297"/>
      <c r="AR100" s="297"/>
      <c r="AS100" s="297"/>
      <c r="AT100" s="297"/>
      <c r="AU100" s="297"/>
      <c r="AV100" s="297"/>
      <c r="AW100" s="297"/>
      <c r="AX100" s="297"/>
      <c r="AY100" s="297"/>
      <c r="AZ100" s="297"/>
      <c r="BB100" s="464"/>
      <c r="BC100" s="464"/>
      <c r="BD100" s="464"/>
      <c r="BE100" s="464"/>
      <c r="BM100" s="464"/>
      <c r="BN100" s="464"/>
      <c r="BO100" s="464"/>
      <c r="BP100" s="464"/>
      <c r="BQ100" s="464"/>
      <c r="BR100" s="464"/>
    </row>
    <row r="101" spans="1:70" s="385" customFormat="1" ht="24.95" customHeight="1" x14ac:dyDescent="0.2">
      <c r="A101" s="754" t="s">
        <v>587</v>
      </c>
      <c r="B101" s="778" t="s">
        <v>616</v>
      </c>
      <c r="C101" s="401">
        <v>0</v>
      </c>
      <c r="D101" s="376">
        <f t="shared" si="114"/>
        <v>0</v>
      </c>
      <c r="E101" s="376">
        <f t="shared" si="115"/>
        <v>0</v>
      </c>
      <c r="F101" s="376">
        <f t="shared" si="116"/>
        <v>0</v>
      </c>
      <c r="G101" s="376">
        <v>0</v>
      </c>
      <c r="H101" s="377">
        <v>0</v>
      </c>
      <c r="I101" s="376">
        <f t="shared" si="117"/>
        <v>0</v>
      </c>
      <c r="J101" s="376">
        <v>0</v>
      </c>
      <c r="K101" s="377">
        <v>0</v>
      </c>
      <c r="L101" s="376">
        <f t="shared" si="118"/>
        <v>0</v>
      </c>
      <c r="M101" s="376">
        <f t="shared" si="119"/>
        <v>0</v>
      </c>
      <c r="N101" s="146">
        <f t="shared" si="120"/>
        <v>0</v>
      </c>
      <c r="P101" s="375">
        <v>0</v>
      </c>
      <c r="Q101" s="378">
        <v>0</v>
      </c>
      <c r="R101" s="9"/>
      <c r="S101" s="720" t="s">
        <v>239</v>
      </c>
      <c r="T101" s="694" t="s">
        <v>422</v>
      </c>
      <c r="U101" s="401">
        <v>32495908</v>
      </c>
      <c r="V101" s="15">
        <f t="shared" si="122"/>
        <v>0</v>
      </c>
      <c r="W101" s="15">
        <f t="shared" si="122"/>
        <v>0</v>
      </c>
      <c r="X101" s="16">
        <f t="shared" si="123"/>
        <v>32495908</v>
      </c>
      <c r="Y101" s="19">
        <v>0</v>
      </c>
      <c r="Z101" s="377">
        <v>2427700</v>
      </c>
      <c r="AA101" s="16">
        <f t="shared" si="124"/>
        <v>2427700</v>
      </c>
      <c r="AB101" s="19">
        <v>0</v>
      </c>
      <c r="AC101" s="377">
        <v>2427700</v>
      </c>
      <c r="AD101" s="18">
        <f t="shared" si="125"/>
        <v>2427700</v>
      </c>
      <c r="AE101" s="19">
        <v>0</v>
      </c>
      <c r="AF101" s="377">
        <v>0</v>
      </c>
      <c r="AG101" s="16">
        <f t="shared" si="126"/>
        <v>0</v>
      </c>
      <c r="AH101" s="19">
        <f t="shared" si="127"/>
        <v>30068208</v>
      </c>
      <c r="AI101" s="15">
        <f t="shared" si="128"/>
        <v>30068208</v>
      </c>
      <c r="AJ101" s="16">
        <f t="shared" si="129"/>
        <v>32495908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
        <v>588</v>
      </c>
      <c r="B102" s="636" t="s">
        <v>589</v>
      </c>
      <c r="C102" s="491">
        <v>0</v>
      </c>
      <c r="D102" s="388">
        <f t="shared" si="114"/>
        <v>0</v>
      </c>
      <c r="E102" s="388">
        <f t="shared" si="115"/>
        <v>0</v>
      </c>
      <c r="F102" s="388">
        <f t="shared" si="116"/>
        <v>0</v>
      </c>
      <c r="G102" s="388">
        <v>0</v>
      </c>
      <c r="H102" s="391">
        <v>0</v>
      </c>
      <c r="I102" s="388">
        <f t="shared" si="117"/>
        <v>0</v>
      </c>
      <c r="J102" s="388">
        <v>0</v>
      </c>
      <c r="K102" s="391">
        <v>0</v>
      </c>
      <c r="L102" s="388">
        <f t="shared" si="118"/>
        <v>0</v>
      </c>
      <c r="M102" s="388">
        <f t="shared" si="119"/>
        <v>0</v>
      </c>
      <c r="N102" s="389">
        <f t="shared" si="120"/>
        <v>0</v>
      </c>
      <c r="P102" s="375">
        <v>0</v>
      </c>
      <c r="Q102" s="378">
        <v>0</v>
      </c>
      <c r="R102" s="9"/>
      <c r="S102" s="719">
        <v>1020399</v>
      </c>
      <c r="T102" s="693" t="s">
        <v>132</v>
      </c>
      <c r="U102" s="401">
        <v>0</v>
      </c>
      <c r="V102" s="15">
        <f t="shared" si="122"/>
        <v>0</v>
      </c>
      <c r="W102" s="15">
        <f t="shared" si="122"/>
        <v>54740941</v>
      </c>
      <c r="X102" s="16">
        <f t="shared" si="123"/>
        <v>54740941</v>
      </c>
      <c r="Y102" s="19">
        <v>0</v>
      </c>
      <c r="Z102" s="377">
        <v>54740941</v>
      </c>
      <c r="AA102" s="16">
        <f t="shared" si="124"/>
        <v>54740941</v>
      </c>
      <c r="AB102" s="19">
        <v>0</v>
      </c>
      <c r="AC102" s="377">
        <v>54740941</v>
      </c>
      <c r="AD102" s="18">
        <f t="shared" si="125"/>
        <v>54740941</v>
      </c>
      <c r="AE102" s="19">
        <v>0</v>
      </c>
      <c r="AF102" s="377">
        <v>0</v>
      </c>
      <c r="AG102" s="16">
        <f t="shared" si="126"/>
        <v>0</v>
      </c>
      <c r="AH102" s="19">
        <f t="shared" si="127"/>
        <v>0</v>
      </c>
      <c r="AI102" s="15">
        <f t="shared" si="128"/>
        <v>0</v>
      </c>
      <c r="AJ102" s="16">
        <f t="shared" si="129"/>
        <v>54740941</v>
      </c>
      <c r="AK102" s="9"/>
      <c r="AL102" s="375">
        <v>0</v>
      </c>
      <c r="AM102" s="378">
        <v>54740941</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c r="B103" s="661"/>
      <c r="C103" s="483"/>
      <c r="D103" s="483"/>
      <c r="E103" s="483"/>
      <c r="F103" s="483"/>
      <c r="G103" s="483"/>
      <c r="H103" s="483"/>
      <c r="I103" s="483"/>
      <c r="J103" s="483"/>
      <c r="K103" s="483"/>
      <c r="L103" s="483"/>
      <c r="M103" s="483"/>
      <c r="N103" s="484"/>
      <c r="P103" s="485"/>
      <c r="Q103" s="484"/>
      <c r="R103" s="9"/>
      <c r="S103" s="369"/>
      <c r="T103" s="689"/>
      <c r="U103" s="164"/>
      <c r="V103" s="164"/>
      <c r="W103" s="164"/>
      <c r="X103" s="169"/>
      <c r="Y103" s="370"/>
      <c r="Z103" s="164"/>
      <c r="AA103" s="169"/>
      <c r="AB103" s="370"/>
      <c r="AC103" s="164"/>
      <c r="AD103" s="164"/>
      <c r="AE103" s="370"/>
      <c r="AF103" s="164"/>
      <c r="AG103" s="169"/>
      <c r="AH103" s="370"/>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v>11304</v>
      </c>
      <c r="B104" s="626" t="s">
        <v>95</v>
      </c>
      <c r="C104" s="625">
        <f>SUM(C105:C111)</f>
        <v>107181679</v>
      </c>
      <c r="D104" s="623">
        <f t="shared" ref="D104:N104" si="130">SUM(D105:D111)</f>
        <v>0</v>
      </c>
      <c r="E104" s="623">
        <f t="shared" si="130"/>
        <v>0</v>
      </c>
      <c r="F104" s="623">
        <f t="shared" si="130"/>
        <v>107181679</v>
      </c>
      <c r="G104" s="623">
        <f t="shared" si="130"/>
        <v>0</v>
      </c>
      <c r="H104" s="623">
        <f t="shared" si="130"/>
        <v>10559124</v>
      </c>
      <c r="I104" s="623">
        <f t="shared" si="130"/>
        <v>10559124</v>
      </c>
      <c r="J104" s="623">
        <f t="shared" si="130"/>
        <v>0</v>
      </c>
      <c r="K104" s="623">
        <f t="shared" si="130"/>
        <v>10559124</v>
      </c>
      <c r="L104" s="623">
        <f t="shared" si="130"/>
        <v>10559124</v>
      </c>
      <c r="M104" s="623">
        <f t="shared" si="130"/>
        <v>96622555</v>
      </c>
      <c r="N104" s="624">
        <f t="shared" si="130"/>
        <v>96622555</v>
      </c>
      <c r="P104" s="43">
        <f>SUM(P105:P111)</f>
        <v>0</v>
      </c>
      <c r="Q104" s="45">
        <f>SUM(Q105:Q111)</f>
        <v>0</v>
      </c>
      <c r="R104" s="9"/>
      <c r="S104" s="718">
        <v>1020400</v>
      </c>
      <c r="T104" s="692" t="s">
        <v>187</v>
      </c>
      <c r="U104" s="135">
        <f t="shared" ref="U104:AJ104" si="131">U105+U108</f>
        <v>40619885</v>
      </c>
      <c r="V104" s="124">
        <f t="shared" si="131"/>
        <v>0</v>
      </c>
      <c r="W104" s="124">
        <f t="shared" si="131"/>
        <v>3013800</v>
      </c>
      <c r="X104" s="133">
        <f t="shared" si="131"/>
        <v>43633685</v>
      </c>
      <c r="Y104" s="131">
        <f t="shared" si="131"/>
        <v>0</v>
      </c>
      <c r="Z104" s="124">
        <f t="shared" si="131"/>
        <v>6048300</v>
      </c>
      <c r="AA104" s="133">
        <f t="shared" si="131"/>
        <v>6048300</v>
      </c>
      <c r="AB104" s="131">
        <f t="shared" si="131"/>
        <v>0</v>
      </c>
      <c r="AC104" s="124">
        <f t="shared" si="131"/>
        <v>6048300</v>
      </c>
      <c r="AD104" s="132">
        <f t="shared" si="131"/>
        <v>6048300</v>
      </c>
      <c r="AE104" s="131">
        <f t="shared" si="131"/>
        <v>0</v>
      </c>
      <c r="AF104" s="124">
        <f t="shared" si="131"/>
        <v>0</v>
      </c>
      <c r="AG104" s="133">
        <f t="shared" si="131"/>
        <v>0</v>
      </c>
      <c r="AH104" s="131">
        <f t="shared" si="131"/>
        <v>37585385</v>
      </c>
      <c r="AI104" s="124">
        <f t="shared" si="131"/>
        <v>37585385</v>
      </c>
      <c r="AJ104" s="133">
        <f t="shared" si="131"/>
        <v>43633685</v>
      </c>
      <c r="AK104" s="9"/>
      <c r="AL104" s="131">
        <f>AL105+AL108</f>
        <v>0</v>
      </c>
      <c r="AM104" s="133">
        <f>AM105+AM108</f>
        <v>3013800</v>
      </c>
      <c r="AN104" s="9"/>
      <c r="AO104" s="297"/>
      <c r="AP104" s="297"/>
      <c r="AQ104" s="297"/>
      <c r="AR104" s="297"/>
      <c r="AS104" s="297"/>
      <c r="AT104" s="297"/>
      <c r="AU104" s="297"/>
      <c r="AV104" s="297"/>
      <c r="AW104" s="297"/>
      <c r="AX104" s="297"/>
      <c r="AY104" s="297"/>
      <c r="AZ104" s="297"/>
    </row>
    <row r="105" spans="1:70" s="385" customFormat="1" ht="24.95" customHeight="1" x14ac:dyDescent="0.2">
      <c r="A105" s="754" t="s">
        <v>590</v>
      </c>
      <c r="B105" s="627" t="s">
        <v>591</v>
      </c>
      <c r="C105" s="401">
        <v>916364</v>
      </c>
      <c r="D105" s="376">
        <f t="shared" ref="D105:D111" si="132">P105</f>
        <v>0</v>
      </c>
      <c r="E105" s="376">
        <f t="shared" ref="E105:E111" si="133">Q105</f>
        <v>0</v>
      </c>
      <c r="F105" s="376">
        <f t="shared" ref="F105:F111" si="134">SUM(C105:E105)</f>
        <v>916364</v>
      </c>
      <c r="G105" s="376">
        <v>0</v>
      </c>
      <c r="H105" s="377">
        <v>0</v>
      </c>
      <c r="I105" s="376">
        <f t="shared" ref="I105:I111" si="135">SUM(G105:H105)</f>
        <v>0</v>
      </c>
      <c r="J105" s="376">
        <v>0</v>
      </c>
      <c r="K105" s="377">
        <v>0</v>
      </c>
      <c r="L105" s="376">
        <f t="shared" ref="L105:L111" si="136">SUM(J105:K105)</f>
        <v>0</v>
      </c>
      <c r="M105" s="376">
        <f t="shared" ref="M105:M111" si="137">F105-I105</f>
        <v>916364</v>
      </c>
      <c r="N105" s="146">
        <f t="shared" ref="N105:N111" si="138">F105-L105</f>
        <v>916364</v>
      </c>
      <c r="P105" s="375">
        <v>0</v>
      </c>
      <c r="Q105" s="378">
        <v>0</v>
      </c>
      <c r="R105" s="9"/>
      <c r="S105" s="719">
        <v>1020402</v>
      </c>
      <c r="T105" s="693" t="s">
        <v>175</v>
      </c>
      <c r="U105" s="17">
        <f t="shared" ref="U105:AJ105" si="139">SUM(U106:U107)</f>
        <v>40619885</v>
      </c>
      <c r="V105" s="15">
        <f t="shared" si="139"/>
        <v>0</v>
      </c>
      <c r="W105" s="15">
        <f t="shared" si="139"/>
        <v>0</v>
      </c>
      <c r="X105" s="16">
        <f t="shared" si="139"/>
        <v>40619885</v>
      </c>
      <c r="Y105" s="19">
        <f t="shared" si="139"/>
        <v>0</v>
      </c>
      <c r="Z105" s="145">
        <f t="shared" si="139"/>
        <v>3034500</v>
      </c>
      <c r="AA105" s="16">
        <f t="shared" si="139"/>
        <v>3034500</v>
      </c>
      <c r="AB105" s="19">
        <f t="shared" si="139"/>
        <v>0</v>
      </c>
      <c r="AC105" s="145">
        <f t="shared" si="139"/>
        <v>3034500</v>
      </c>
      <c r="AD105" s="18">
        <f t="shared" si="139"/>
        <v>3034500</v>
      </c>
      <c r="AE105" s="19">
        <f t="shared" si="139"/>
        <v>0</v>
      </c>
      <c r="AF105" s="145">
        <f t="shared" si="139"/>
        <v>0</v>
      </c>
      <c r="AG105" s="16">
        <f t="shared" si="139"/>
        <v>0</v>
      </c>
      <c r="AH105" s="19">
        <f t="shared" si="139"/>
        <v>37585385</v>
      </c>
      <c r="AI105" s="15">
        <f t="shared" si="139"/>
        <v>37585385</v>
      </c>
      <c r="AJ105" s="16">
        <f t="shared" si="139"/>
        <v>40619885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
        <v>592</v>
      </c>
      <c r="B106" s="628" t="s">
        <v>593</v>
      </c>
      <c r="C106" s="401">
        <v>105119431</v>
      </c>
      <c r="D106" s="376">
        <f t="shared" si="132"/>
        <v>0</v>
      </c>
      <c r="E106" s="376">
        <f t="shared" si="133"/>
        <v>0</v>
      </c>
      <c r="F106" s="376">
        <f t="shared" si="134"/>
        <v>105119431</v>
      </c>
      <c r="G106" s="376">
        <v>0</v>
      </c>
      <c r="H106" s="377">
        <v>8510450</v>
      </c>
      <c r="I106" s="376">
        <f t="shared" si="135"/>
        <v>8510450</v>
      </c>
      <c r="J106" s="376">
        <v>0</v>
      </c>
      <c r="K106" s="377">
        <v>8510450</v>
      </c>
      <c r="L106" s="376">
        <f t="shared" si="136"/>
        <v>8510450</v>
      </c>
      <c r="M106" s="376">
        <f t="shared" si="137"/>
        <v>96608981</v>
      </c>
      <c r="N106" s="146">
        <f t="shared" si="138"/>
        <v>96608981</v>
      </c>
      <c r="P106" s="375">
        <v>0</v>
      </c>
      <c r="Q106" s="378">
        <v>0</v>
      </c>
      <c r="R106" s="9"/>
      <c r="S106" s="720" t="s">
        <v>244</v>
      </c>
      <c r="T106" s="694" t="s">
        <v>423</v>
      </c>
      <c r="U106" s="401">
        <v>16247954</v>
      </c>
      <c r="V106" s="15">
        <f t="shared" ref="V106:W108" si="140">AL106</f>
        <v>0</v>
      </c>
      <c r="W106" s="15">
        <f t="shared" si="140"/>
        <v>0</v>
      </c>
      <c r="X106" s="16">
        <f>SUM(U106:W106)</f>
        <v>16247954</v>
      </c>
      <c r="Y106" s="19">
        <v>0</v>
      </c>
      <c r="Z106" s="377">
        <v>1214100</v>
      </c>
      <c r="AA106" s="16">
        <f>SUM(Y106:Z106)</f>
        <v>1214100</v>
      </c>
      <c r="AB106" s="19">
        <v>0</v>
      </c>
      <c r="AC106" s="377">
        <v>1214100</v>
      </c>
      <c r="AD106" s="18">
        <f>SUM(AB106:AC106)</f>
        <v>1214100</v>
      </c>
      <c r="AE106" s="19">
        <v>0</v>
      </c>
      <c r="AF106" s="377">
        <v>0</v>
      </c>
      <c r="AG106" s="16">
        <f>SUM(AE106:AF106)</f>
        <v>0</v>
      </c>
      <c r="AH106" s="19">
        <f>X106-AA106</f>
        <v>15033854</v>
      </c>
      <c r="AI106" s="15">
        <f>X106-AD106</f>
        <v>15033854</v>
      </c>
      <c r="AJ106" s="16">
        <f>X106-AG106</f>
        <v>16247954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
        <v>594</v>
      </c>
      <c r="B107" s="627" t="s">
        <v>278</v>
      </c>
      <c r="C107" s="401">
        <v>0</v>
      </c>
      <c r="D107" s="376">
        <f t="shared" si="132"/>
        <v>0</v>
      </c>
      <c r="E107" s="376">
        <f t="shared" si="133"/>
        <v>0</v>
      </c>
      <c r="F107" s="376">
        <f t="shared" si="134"/>
        <v>0</v>
      </c>
      <c r="G107" s="376">
        <v>0</v>
      </c>
      <c r="H107" s="377">
        <v>0</v>
      </c>
      <c r="I107" s="376">
        <f t="shared" si="135"/>
        <v>0</v>
      </c>
      <c r="J107" s="376">
        <v>0</v>
      </c>
      <c r="K107" s="377">
        <v>0</v>
      </c>
      <c r="L107" s="376">
        <f t="shared" si="136"/>
        <v>0</v>
      </c>
      <c r="M107" s="376">
        <f t="shared" si="137"/>
        <v>0</v>
      </c>
      <c r="N107" s="146">
        <f t="shared" si="138"/>
        <v>0</v>
      </c>
      <c r="P107" s="375">
        <v>0</v>
      </c>
      <c r="Q107" s="378">
        <v>0</v>
      </c>
      <c r="R107" s="9"/>
      <c r="S107" s="720" t="s">
        <v>245</v>
      </c>
      <c r="T107" s="694" t="s">
        <v>424</v>
      </c>
      <c r="U107" s="401">
        <v>24371931</v>
      </c>
      <c r="V107" s="15">
        <f t="shared" si="140"/>
        <v>0</v>
      </c>
      <c r="W107" s="15">
        <f t="shared" si="140"/>
        <v>0</v>
      </c>
      <c r="X107" s="16">
        <f>SUM(U107:W107)</f>
        <v>24371931</v>
      </c>
      <c r="Y107" s="19">
        <v>0</v>
      </c>
      <c r="Z107" s="377">
        <v>1820400</v>
      </c>
      <c r="AA107" s="16">
        <f>SUM(Y107:Z107)</f>
        <v>1820400</v>
      </c>
      <c r="AB107" s="19">
        <v>0</v>
      </c>
      <c r="AC107" s="377">
        <v>1820400</v>
      </c>
      <c r="AD107" s="18">
        <f>SUM(AB107:AC107)</f>
        <v>1820400</v>
      </c>
      <c r="AE107" s="19">
        <v>0</v>
      </c>
      <c r="AF107" s="377">
        <v>0</v>
      </c>
      <c r="AG107" s="16">
        <f>SUM(AE107:AF107)</f>
        <v>0</v>
      </c>
      <c r="AH107" s="19">
        <f>X107-AA107</f>
        <v>22551531</v>
      </c>
      <c r="AI107" s="15">
        <f>X107-AD107</f>
        <v>22551531</v>
      </c>
      <c r="AJ107" s="16">
        <f>X107-AG107</f>
        <v>24371931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
        <v>595</v>
      </c>
      <c r="B108" s="627" t="s">
        <v>359</v>
      </c>
      <c r="C108" s="401"/>
      <c r="D108" s="376">
        <f t="shared" si="132"/>
        <v>0</v>
      </c>
      <c r="E108" s="376">
        <f t="shared" si="133"/>
        <v>0</v>
      </c>
      <c r="F108" s="376">
        <f t="shared" si="134"/>
        <v>0</v>
      </c>
      <c r="G108" s="376">
        <v>0</v>
      </c>
      <c r="H108" s="377">
        <v>0</v>
      </c>
      <c r="I108" s="376">
        <f t="shared" si="135"/>
        <v>0</v>
      </c>
      <c r="J108" s="376">
        <v>0</v>
      </c>
      <c r="K108" s="377">
        <v>0</v>
      </c>
      <c r="L108" s="376">
        <f t="shared" si="136"/>
        <v>0</v>
      </c>
      <c r="M108" s="376">
        <f t="shared" si="137"/>
        <v>0</v>
      </c>
      <c r="N108" s="146">
        <f t="shared" si="138"/>
        <v>0</v>
      </c>
      <c r="P108" s="375">
        <v>0</v>
      </c>
      <c r="Q108" s="378">
        <v>0</v>
      </c>
      <c r="R108" s="9"/>
      <c r="S108" s="719">
        <v>1020499</v>
      </c>
      <c r="T108" s="693" t="s">
        <v>132</v>
      </c>
      <c r="U108" s="401">
        <v>0</v>
      </c>
      <c r="V108" s="15">
        <f t="shared" si="140"/>
        <v>0</v>
      </c>
      <c r="W108" s="15">
        <f t="shared" si="140"/>
        <v>3013800</v>
      </c>
      <c r="X108" s="16">
        <f>SUM(U108:W108)</f>
        <v>3013800</v>
      </c>
      <c r="Y108" s="19">
        <v>0</v>
      </c>
      <c r="Z108" s="377">
        <v>3013800</v>
      </c>
      <c r="AA108" s="16">
        <f>SUM(Y108:Z108)</f>
        <v>3013800</v>
      </c>
      <c r="AB108" s="19">
        <v>0</v>
      </c>
      <c r="AC108" s="377">
        <v>3013800</v>
      </c>
      <c r="AD108" s="18">
        <f>SUM(AB108:AC108)</f>
        <v>3013800</v>
      </c>
      <c r="AE108" s="19">
        <v>0</v>
      </c>
      <c r="AF108" s="377">
        <v>0</v>
      </c>
      <c r="AG108" s="16">
        <f>SUM(AE108:AF108)</f>
        <v>0</v>
      </c>
      <c r="AH108" s="19">
        <f>X108-AA108</f>
        <v>0</v>
      </c>
      <c r="AI108" s="15">
        <f>X108-AD108</f>
        <v>0</v>
      </c>
      <c r="AJ108" s="16">
        <f>X108-AG108</f>
        <v>3013800</v>
      </c>
      <c r="AK108" s="9"/>
      <c r="AL108" s="375">
        <v>0</v>
      </c>
      <c r="AM108" s="378">
        <v>3013800</v>
      </c>
      <c r="AN108" s="9"/>
      <c r="AO108" s="297"/>
      <c r="AP108" s="297"/>
      <c r="AQ108" s="297"/>
      <c r="AR108" s="297"/>
      <c r="AS108" s="297"/>
      <c r="AT108" s="297"/>
      <c r="AU108" s="297"/>
      <c r="AV108" s="297"/>
      <c r="AW108" s="297"/>
      <c r="AX108" s="297"/>
      <c r="AY108" s="297"/>
      <c r="AZ108" s="297"/>
    </row>
    <row r="109" spans="1:70" s="385" customFormat="1" ht="24.95" customHeight="1" x14ac:dyDescent="0.2">
      <c r="A109" s="754" t="s">
        <v>596</v>
      </c>
      <c r="B109" s="627" t="s">
        <v>396</v>
      </c>
      <c r="C109" s="401">
        <v>1145884</v>
      </c>
      <c r="D109" s="376">
        <f t="shared" si="132"/>
        <v>0</v>
      </c>
      <c r="E109" s="376">
        <f t="shared" si="133"/>
        <v>0</v>
      </c>
      <c r="F109" s="376">
        <f t="shared" si="134"/>
        <v>1145884</v>
      </c>
      <c r="G109" s="376">
        <v>0</v>
      </c>
      <c r="H109" s="377">
        <v>1940339</v>
      </c>
      <c r="I109" s="376">
        <f t="shared" si="135"/>
        <v>1940339</v>
      </c>
      <c r="J109" s="376">
        <v>0</v>
      </c>
      <c r="K109" s="377">
        <v>1940339</v>
      </c>
      <c r="L109" s="376">
        <f t="shared" si="136"/>
        <v>1940339</v>
      </c>
      <c r="M109" s="376">
        <f t="shared" si="137"/>
        <v>-794455</v>
      </c>
      <c r="N109" s="146">
        <f t="shared" si="138"/>
        <v>-794455</v>
      </c>
      <c r="P109" s="375">
        <v>0</v>
      </c>
      <c r="Q109" s="378">
        <v>0</v>
      </c>
      <c r="R109" s="9"/>
      <c r="S109" s="369"/>
      <c r="T109" s="689"/>
      <c r="U109" s="164"/>
      <c r="V109" s="164"/>
      <c r="W109" s="164"/>
      <c r="X109" s="169"/>
      <c r="Y109" s="370"/>
      <c r="Z109" s="164"/>
      <c r="AA109" s="169"/>
      <c r="AB109" s="370"/>
      <c r="AC109" s="164"/>
      <c r="AD109" s="164"/>
      <c r="AE109" s="370"/>
      <c r="AF109" s="164"/>
      <c r="AG109" s="169"/>
      <c r="AH109" s="370"/>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
        <v>597</v>
      </c>
      <c r="B110" s="627" t="s">
        <v>82</v>
      </c>
      <c r="C110" s="401">
        <v>0</v>
      </c>
      <c r="D110" s="376">
        <f t="shared" si="132"/>
        <v>0</v>
      </c>
      <c r="E110" s="376">
        <f t="shared" si="133"/>
        <v>0</v>
      </c>
      <c r="F110" s="376">
        <f t="shared" si="134"/>
        <v>0</v>
      </c>
      <c r="G110" s="376">
        <v>0</v>
      </c>
      <c r="H110" s="377">
        <v>28335</v>
      </c>
      <c r="I110" s="376">
        <f t="shared" si="135"/>
        <v>28335</v>
      </c>
      <c r="J110" s="376">
        <v>0</v>
      </c>
      <c r="K110" s="377">
        <v>28335</v>
      </c>
      <c r="L110" s="376">
        <f t="shared" si="136"/>
        <v>28335</v>
      </c>
      <c r="M110" s="376">
        <f t="shared" si="137"/>
        <v>-28335</v>
      </c>
      <c r="N110" s="146">
        <f t="shared" si="138"/>
        <v>-28335</v>
      </c>
      <c r="P110" s="375">
        <v>0</v>
      </c>
      <c r="Q110" s="378">
        <v>0</v>
      </c>
      <c r="R110" s="9"/>
      <c r="S110" s="717">
        <v>2000000</v>
      </c>
      <c r="T110" s="697" t="s">
        <v>248</v>
      </c>
      <c r="U110" s="473">
        <f t="shared" ref="U110:AJ110" si="141">U112+U145</f>
        <v>505626661</v>
      </c>
      <c r="V110" s="474">
        <f t="shared" si="141"/>
        <v>0</v>
      </c>
      <c r="W110" s="474">
        <f t="shared" si="141"/>
        <v>174375567</v>
      </c>
      <c r="X110" s="383">
        <f t="shared" si="141"/>
        <v>680002228</v>
      </c>
      <c r="Y110" s="382">
        <f t="shared" si="141"/>
        <v>0</v>
      </c>
      <c r="Z110" s="474">
        <f t="shared" si="141"/>
        <v>139663058</v>
      </c>
      <c r="AA110" s="383">
        <f t="shared" si="141"/>
        <v>139663058</v>
      </c>
      <c r="AB110" s="382">
        <f t="shared" si="141"/>
        <v>0</v>
      </c>
      <c r="AC110" s="474">
        <f t="shared" si="141"/>
        <v>136695058</v>
      </c>
      <c r="AD110" s="475">
        <f t="shared" si="141"/>
        <v>136695058</v>
      </c>
      <c r="AE110" s="382">
        <f t="shared" si="141"/>
        <v>0</v>
      </c>
      <c r="AF110" s="474">
        <f t="shared" si="141"/>
        <v>19349925</v>
      </c>
      <c r="AG110" s="383">
        <f t="shared" si="141"/>
        <v>19349925</v>
      </c>
      <c r="AH110" s="382">
        <f t="shared" si="141"/>
        <v>540339170</v>
      </c>
      <c r="AI110" s="474">
        <f t="shared" si="141"/>
        <v>543307170</v>
      </c>
      <c r="AJ110" s="383">
        <f t="shared" si="141"/>
        <v>660652303</v>
      </c>
      <c r="AK110" s="10"/>
      <c r="AL110" s="131">
        <f>AL112+AL145</f>
        <v>0</v>
      </c>
      <c r="AM110" s="133">
        <f>AM112+AM145</f>
        <v>174375567</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
        <v>598</v>
      </c>
      <c r="B111" s="662" t="s">
        <v>589</v>
      </c>
      <c r="C111" s="491">
        <v>0</v>
      </c>
      <c r="D111" s="388">
        <f t="shared" si="132"/>
        <v>0</v>
      </c>
      <c r="E111" s="388">
        <f t="shared" si="133"/>
        <v>0</v>
      </c>
      <c r="F111" s="388">
        <f t="shared" si="134"/>
        <v>0</v>
      </c>
      <c r="G111" s="388">
        <v>0</v>
      </c>
      <c r="H111" s="391">
        <v>80000</v>
      </c>
      <c r="I111" s="388">
        <f t="shared" si="135"/>
        <v>80000</v>
      </c>
      <c r="J111" s="388">
        <v>0</v>
      </c>
      <c r="K111" s="391">
        <v>80000</v>
      </c>
      <c r="L111" s="388">
        <f t="shared" si="136"/>
        <v>80000</v>
      </c>
      <c r="M111" s="388">
        <f t="shared" si="137"/>
        <v>-80000</v>
      </c>
      <c r="N111" s="389">
        <f t="shared" si="138"/>
        <v>-80000</v>
      </c>
      <c r="P111" s="375">
        <v>0</v>
      </c>
      <c r="Q111" s="378">
        <v>0</v>
      </c>
      <c r="R111" s="9"/>
      <c r="S111" s="369"/>
      <c r="T111" s="689"/>
      <c r="U111" s="164"/>
      <c r="V111" s="164"/>
      <c r="W111" s="164"/>
      <c r="X111" s="169"/>
      <c r="Y111" s="370"/>
      <c r="Z111" s="164"/>
      <c r="AA111" s="169"/>
      <c r="AB111" s="370"/>
      <c r="AC111" s="164"/>
      <c r="AD111" s="164"/>
      <c r="AE111" s="370"/>
      <c r="AF111" s="164"/>
      <c r="AG111" s="169"/>
      <c r="AH111" s="370"/>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c r="B112" s="661"/>
      <c r="C112" s="483"/>
      <c r="D112" s="483"/>
      <c r="E112" s="483"/>
      <c r="F112" s="483"/>
      <c r="G112" s="483"/>
      <c r="H112" s="483"/>
      <c r="I112" s="483"/>
      <c r="J112" s="483"/>
      <c r="K112" s="483"/>
      <c r="L112" s="483"/>
      <c r="M112" s="483"/>
      <c r="N112" s="484"/>
      <c r="P112" s="485"/>
      <c r="Q112" s="484"/>
      <c r="R112" s="9"/>
      <c r="S112" s="717">
        <v>2010000</v>
      </c>
      <c r="T112" s="691" t="s">
        <v>66</v>
      </c>
      <c r="U112" s="135">
        <f t="shared" ref="U112:AJ112" si="142">U114+U123+U141</f>
        <v>181650786</v>
      </c>
      <c r="V112" s="124">
        <f t="shared" si="142"/>
        <v>0</v>
      </c>
      <c r="W112" s="124">
        <f t="shared" si="142"/>
        <v>70057052</v>
      </c>
      <c r="X112" s="133">
        <f t="shared" si="142"/>
        <v>251707838</v>
      </c>
      <c r="Y112" s="131">
        <f t="shared" si="142"/>
        <v>0</v>
      </c>
      <c r="Z112" s="124">
        <f t="shared" si="142"/>
        <v>48594805</v>
      </c>
      <c r="AA112" s="133">
        <f t="shared" si="142"/>
        <v>48594805</v>
      </c>
      <c r="AB112" s="131">
        <f t="shared" si="142"/>
        <v>0</v>
      </c>
      <c r="AC112" s="124">
        <f t="shared" si="142"/>
        <v>48594805</v>
      </c>
      <c r="AD112" s="132">
        <f t="shared" si="142"/>
        <v>48594805</v>
      </c>
      <c r="AE112" s="131">
        <f t="shared" si="142"/>
        <v>0</v>
      </c>
      <c r="AF112" s="124">
        <f t="shared" si="142"/>
        <v>8214661</v>
      </c>
      <c r="AG112" s="133">
        <f t="shared" si="142"/>
        <v>8214661</v>
      </c>
      <c r="AH112" s="131">
        <f t="shared" si="142"/>
        <v>203113033</v>
      </c>
      <c r="AI112" s="124">
        <f t="shared" si="142"/>
        <v>203113033</v>
      </c>
      <c r="AJ112" s="133">
        <f t="shared" si="142"/>
        <v>243493177</v>
      </c>
      <c r="AK112" s="9"/>
      <c r="AL112" s="131">
        <f>AL114+AL123+AL141</f>
        <v>0</v>
      </c>
      <c r="AM112" s="133">
        <f>AM114+AM123+AM141</f>
        <v>70057052</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v>2000</v>
      </c>
      <c r="B113" s="648" t="s">
        <v>100</v>
      </c>
      <c r="C113" s="631">
        <f>SUM(C115:C124)</f>
        <v>32659146</v>
      </c>
      <c r="D113" s="632">
        <f>SUM(D115:D124)</f>
        <v>0</v>
      </c>
      <c r="E113" s="632">
        <f t="shared" ref="E113:N113" si="143">SUM(E115:E124)</f>
        <v>0</v>
      </c>
      <c r="F113" s="632">
        <f t="shared" si="143"/>
        <v>32659146</v>
      </c>
      <c r="G113" s="632">
        <f t="shared" si="143"/>
        <v>0</v>
      </c>
      <c r="H113" s="632">
        <f t="shared" si="143"/>
        <v>413</v>
      </c>
      <c r="I113" s="632">
        <f t="shared" si="143"/>
        <v>413</v>
      </c>
      <c r="J113" s="632">
        <f t="shared" si="143"/>
        <v>0</v>
      </c>
      <c r="K113" s="632">
        <f t="shared" si="143"/>
        <v>413</v>
      </c>
      <c r="L113" s="632">
        <f t="shared" si="143"/>
        <v>413</v>
      </c>
      <c r="M113" s="632">
        <f t="shared" si="143"/>
        <v>32658733</v>
      </c>
      <c r="N113" s="633">
        <f t="shared" si="143"/>
        <v>32658733</v>
      </c>
      <c r="O113" s="464"/>
      <c r="P113" s="177">
        <f>SUM(P115:P124)</f>
        <v>0</v>
      </c>
      <c r="Q113" s="178">
        <f>SUM(Q115:Q124)</f>
        <v>0</v>
      </c>
      <c r="R113" s="9"/>
      <c r="S113" s="369"/>
      <c r="T113" s="689"/>
      <c r="U113" s="164"/>
      <c r="V113" s="164"/>
      <c r="W113" s="164"/>
      <c r="X113" s="169"/>
      <c r="Y113" s="370"/>
      <c r="Z113" s="164"/>
      <c r="AA113" s="169"/>
      <c r="AB113" s="370"/>
      <c r="AC113" s="164"/>
      <c r="AD113" s="164"/>
      <c r="AE113" s="370"/>
      <c r="AF113" s="164"/>
      <c r="AG113" s="169"/>
      <c r="AH113" s="370"/>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c r="B114" s="661"/>
      <c r="C114" s="483"/>
      <c r="D114" s="483"/>
      <c r="E114" s="483"/>
      <c r="F114" s="483"/>
      <c r="G114" s="483"/>
      <c r="H114" s="483"/>
      <c r="I114" s="483"/>
      <c r="J114" s="483"/>
      <c r="K114" s="483"/>
      <c r="L114" s="483"/>
      <c r="M114" s="483"/>
      <c r="N114" s="484"/>
      <c r="P114" s="485"/>
      <c r="Q114" s="484"/>
      <c r="R114" s="9"/>
      <c r="S114" s="718">
        <v>2010100</v>
      </c>
      <c r="T114" s="692" t="s">
        <v>249</v>
      </c>
      <c r="U114" s="135">
        <f t="shared" ref="U114:AJ114" si="144">SUM(U115:U121)</f>
        <v>29771433</v>
      </c>
      <c r="V114" s="124">
        <f t="shared" si="144"/>
        <v>0</v>
      </c>
      <c r="W114" s="124">
        <f t="shared" si="144"/>
        <v>42179864</v>
      </c>
      <c r="X114" s="133">
        <f t="shared" si="144"/>
        <v>71951297</v>
      </c>
      <c r="Y114" s="131">
        <f t="shared" si="144"/>
        <v>0</v>
      </c>
      <c r="Z114" s="124">
        <f t="shared" si="144"/>
        <v>13964591</v>
      </c>
      <c r="AA114" s="133">
        <f t="shared" si="144"/>
        <v>13964591</v>
      </c>
      <c r="AB114" s="131">
        <f t="shared" si="144"/>
        <v>0</v>
      </c>
      <c r="AC114" s="124">
        <f t="shared" si="144"/>
        <v>13964591</v>
      </c>
      <c r="AD114" s="132">
        <f t="shared" si="144"/>
        <v>13964591</v>
      </c>
      <c r="AE114" s="131">
        <f t="shared" si="144"/>
        <v>0</v>
      </c>
      <c r="AF114" s="124">
        <f t="shared" si="144"/>
        <v>2621096</v>
      </c>
      <c r="AG114" s="133">
        <f t="shared" si="144"/>
        <v>2621096</v>
      </c>
      <c r="AH114" s="131">
        <f t="shared" si="144"/>
        <v>57986706</v>
      </c>
      <c r="AI114" s="124">
        <f t="shared" si="144"/>
        <v>57986706</v>
      </c>
      <c r="AJ114" s="133">
        <f t="shared" si="144"/>
        <v>69330201</v>
      </c>
      <c r="AK114" s="9"/>
      <c r="AL114" s="131">
        <f>SUM(AL115:AL121)</f>
        <v>0</v>
      </c>
      <c r="AM114" s="133">
        <f>SUM(AM115:AM121)</f>
        <v>42179864</v>
      </c>
      <c r="AN114" s="9"/>
      <c r="AO114" s="297"/>
      <c r="AP114" s="297"/>
      <c r="AQ114" s="297"/>
      <c r="AR114" s="297"/>
      <c r="AS114" s="297"/>
      <c r="AT114" s="297"/>
      <c r="AU114" s="297"/>
      <c r="AV114" s="297"/>
      <c r="AW114" s="297"/>
      <c r="AX114" s="297"/>
      <c r="AY114" s="297"/>
      <c r="AZ114" s="297"/>
    </row>
    <row r="115" spans="1:52" s="385" customFormat="1" ht="24.95" customHeight="1" x14ac:dyDescent="0.2">
      <c r="A115" s="756">
        <v>2100</v>
      </c>
      <c r="B115" s="634" t="s">
        <v>397</v>
      </c>
      <c r="C115" s="375">
        <v>0</v>
      </c>
      <c r="D115" s="467">
        <f t="shared" ref="D115:D122" si="145">P115</f>
        <v>0</v>
      </c>
      <c r="E115" s="467">
        <f t="shared" ref="E115:E122" si="146">Q115</f>
        <v>0</v>
      </c>
      <c r="F115" s="471">
        <f t="shared" ref="F115:F122" si="147">SUM(C115:E115)</f>
        <v>0</v>
      </c>
      <c r="G115" s="469">
        <v>0</v>
      </c>
      <c r="H115" s="377">
        <v>0</v>
      </c>
      <c r="I115" s="471">
        <f t="shared" ref="I115:I122" si="148">SUM(G115:H115)</f>
        <v>0</v>
      </c>
      <c r="J115" s="469">
        <v>0</v>
      </c>
      <c r="K115" s="377">
        <v>0</v>
      </c>
      <c r="L115" s="468">
        <f t="shared" ref="L115:L122" si="149">SUM(J115:K115)</f>
        <v>0</v>
      </c>
      <c r="M115" s="472">
        <f t="shared" ref="M115:M122" si="150">F115-I115</f>
        <v>0</v>
      </c>
      <c r="N115" s="468">
        <f t="shared" ref="N115:N122" si="151">F115-L115</f>
        <v>0</v>
      </c>
      <c r="O115" s="464"/>
      <c r="P115" s="375">
        <v>0</v>
      </c>
      <c r="Q115" s="378">
        <v>0</v>
      </c>
      <c r="R115" s="9"/>
      <c r="S115" s="719" t="s">
        <v>250</v>
      </c>
      <c r="T115" s="693" t="s">
        <v>251</v>
      </c>
      <c r="U115" s="401">
        <v>0</v>
      </c>
      <c r="V115" s="15">
        <f t="shared" ref="V115:W121" si="152">AL115</f>
        <v>0</v>
      </c>
      <c r="W115" s="15">
        <f t="shared" si="152"/>
        <v>30000000</v>
      </c>
      <c r="X115" s="16">
        <f t="shared" ref="X115:X121" si="153">SUM(U115:W115)</f>
        <v>30000000</v>
      </c>
      <c r="Y115" s="19">
        <v>0</v>
      </c>
      <c r="Z115" s="377">
        <v>0</v>
      </c>
      <c r="AA115" s="16">
        <f t="shared" ref="AA115:AA121" si="154">SUM(Y115:Z115)</f>
        <v>0</v>
      </c>
      <c r="AB115" s="19">
        <v>0</v>
      </c>
      <c r="AC115" s="377">
        <v>0</v>
      </c>
      <c r="AD115" s="18">
        <f t="shared" ref="AD115:AD121" si="155">SUM(AB115:AC115)</f>
        <v>0</v>
      </c>
      <c r="AE115" s="19">
        <v>0</v>
      </c>
      <c r="AF115" s="377">
        <v>0</v>
      </c>
      <c r="AG115" s="16">
        <f t="shared" ref="AG115:AG121" si="156">SUM(AE115:AF115)</f>
        <v>0</v>
      </c>
      <c r="AH115" s="19">
        <f t="shared" ref="AH115:AH121" si="157">X115-AA115</f>
        <v>30000000</v>
      </c>
      <c r="AI115" s="15">
        <f t="shared" ref="AI115:AI121" si="158">X115-AD115</f>
        <v>30000000</v>
      </c>
      <c r="AJ115" s="16">
        <f t="shared" ref="AJ115:AJ121" si="159">X115-AG115</f>
        <v>30000000</v>
      </c>
      <c r="AK115" s="9"/>
      <c r="AL115" s="375">
        <v>0</v>
      </c>
      <c r="AM115" s="378">
        <v>30000000</v>
      </c>
      <c r="AN115" s="9"/>
      <c r="AO115" s="297"/>
      <c r="AP115" s="297"/>
      <c r="AQ115" s="297"/>
      <c r="AR115" s="297"/>
      <c r="AS115" s="297"/>
      <c r="AT115" s="297"/>
      <c r="AU115" s="297"/>
      <c r="AV115" s="297"/>
      <c r="AW115" s="297"/>
      <c r="AX115" s="297"/>
      <c r="AY115" s="297"/>
      <c r="AZ115" s="297"/>
    </row>
    <row r="116" spans="1:52" s="385" customFormat="1" ht="24.95" customHeight="1" x14ac:dyDescent="0.2">
      <c r="A116" s="756" t="s">
        <v>246</v>
      </c>
      <c r="B116" s="635" t="s">
        <v>589</v>
      </c>
      <c r="C116" s="375">
        <v>0</v>
      </c>
      <c r="D116" s="467">
        <f t="shared" si="145"/>
        <v>0</v>
      </c>
      <c r="E116" s="467">
        <f t="shared" si="146"/>
        <v>0</v>
      </c>
      <c r="F116" s="471">
        <f t="shared" si="147"/>
        <v>0</v>
      </c>
      <c r="G116" s="469">
        <v>0</v>
      </c>
      <c r="H116" s="377">
        <v>0</v>
      </c>
      <c r="I116" s="471">
        <f t="shared" si="148"/>
        <v>0</v>
      </c>
      <c r="J116" s="469">
        <v>0</v>
      </c>
      <c r="K116" s="377">
        <v>0</v>
      </c>
      <c r="L116" s="468">
        <f t="shared" si="149"/>
        <v>0</v>
      </c>
      <c r="M116" s="472">
        <f t="shared" si="150"/>
        <v>0</v>
      </c>
      <c r="N116" s="468">
        <f t="shared" si="151"/>
        <v>0</v>
      </c>
      <c r="O116" s="464"/>
      <c r="P116" s="375">
        <v>0</v>
      </c>
      <c r="Q116" s="378">
        <v>0</v>
      </c>
      <c r="R116" s="9"/>
      <c r="S116" s="719" t="s">
        <v>253</v>
      </c>
      <c r="T116" s="693" t="s">
        <v>254</v>
      </c>
      <c r="U116" s="401">
        <v>29771433</v>
      </c>
      <c r="V116" s="15">
        <f t="shared" si="152"/>
        <v>0</v>
      </c>
      <c r="W116" s="15">
        <f t="shared" si="152"/>
        <v>0</v>
      </c>
      <c r="X116" s="16">
        <f t="shared" si="153"/>
        <v>29771433</v>
      </c>
      <c r="Y116" s="19">
        <v>0</v>
      </c>
      <c r="Z116" s="377">
        <v>1784727</v>
      </c>
      <c r="AA116" s="16">
        <f t="shared" si="154"/>
        <v>1784727</v>
      </c>
      <c r="AB116" s="19">
        <v>0</v>
      </c>
      <c r="AC116" s="377">
        <v>1784727</v>
      </c>
      <c r="AD116" s="18">
        <f t="shared" si="155"/>
        <v>1784727</v>
      </c>
      <c r="AE116" s="19">
        <v>0</v>
      </c>
      <c r="AF116" s="377">
        <v>0</v>
      </c>
      <c r="AG116" s="16">
        <f t="shared" si="156"/>
        <v>0</v>
      </c>
      <c r="AH116" s="19">
        <f t="shared" si="157"/>
        <v>27986706</v>
      </c>
      <c r="AI116" s="15">
        <f t="shared" si="158"/>
        <v>27986706</v>
      </c>
      <c r="AJ116" s="16">
        <f t="shared" si="159"/>
        <v>29771433</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v>2200</v>
      </c>
      <c r="B117" s="634" t="s">
        <v>398</v>
      </c>
      <c r="C117" s="375">
        <v>0</v>
      </c>
      <c r="D117" s="467">
        <f t="shared" si="145"/>
        <v>0</v>
      </c>
      <c r="E117" s="467">
        <f t="shared" si="146"/>
        <v>0</v>
      </c>
      <c r="F117" s="471">
        <f t="shared" si="147"/>
        <v>0</v>
      </c>
      <c r="G117" s="469">
        <v>0</v>
      </c>
      <c r="H117" s="377">
        <v>0</v>
      </c>
      <c r="I117" s="471">
        <f t="shared" si="148"/>
        <v>0</v>
      </c>
      <c r="J117" s="469">
        <v>0</v>
      </c>
      <c r="K117" s="377">
        <v>0</v>
      </c>
      <c r="L117" s="468">
        <f t="shared" si="149"/>
        <v>0</v>
      </c>
      <c r="M117" s="472">
        <f t="shared" si="150"/>
        <v>0</v>
      </c>
      <c r="N117" s="468">
        <f t="shared" si="151"/>
        <v>0</v>
      </c>
      <c r="O117" s="464"/>
      <c r="P117" s="375">
        <v>0</v>
      </c>
      <c r="Q117" s="378">
        <v>0</v>
      </c>
      <c r="R117" s="9"/>
      <c r="S117" s="719" t="s">
        <v>256</v>
      </c>
      <c r="T117" s="693" t="s">
        <v>257</v>
      </c>
      <c r="U117" s="401">
        <v>0</v>
      </c>
      <c r="V117" s="15">
        <f t="shared" si="152"/>
        <v>0</v>
      </c>
      <c r="W117" s="15">
        <f t="shared" si="152"/>
        <v>0</v>
      </c>
      <c r="X117" s="16">
        <f t="shared" si="153"/>
        <v>0</v>
      </c>
      <c r="Y117" s="19">
        <v>0</v>
      </c>
      <c r="Z117" s="377">
        <v>0</v>
      </c>
      <c r="AA117" s="16">
        <f t="shared" si="154"/>
        <v>0</v>
      </c>
      <c r="AB117" s="19">
        <v>0</v>
      </c>
      <c r="AC117" s="377">
        <v>0</v>
      </c>
      <c r="AD117" s="18">
        <f t="shared" si="155"/>
        <v>0</v>
      </c>
      <c r="AE117" s="19">
        <v>0</v>
      </c>
      <c r="AF117" s="377">
        <v>0</v>
      </c>
      <c r="AG117" s="16">
        <f t="shared" si="156"/>
        <v>0</v>
      </c>
      <c r="AH117" s="19">
        <f t="shared" si="157"/>
        <v>0</v>
      </c>
      <c r="AI117" s="15">
        <f t="shared" si="158"/>
        <v>0</v>
      </c>
      <c r="AJ117" s="16">
        <f t="shared" si="159"/>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
        <v>247</v>
      </c>
      <c r="B118" s="635" t="s">
        <v>589</v>
      </c>
      <c r="C118" s="375">
        <v>0</v>
      </c>
      <c r="D118" s="467">
        <f t="shared" si="145"/>
        <v>0</v>
      </c>
      <c r="E118" s="467">
        <f t="shared" si="146"/>
        <v>0</v>
      </c>
      <c r="F118" s="471">
        <f t="shared" si="147"/>
        <v>0</v>
      </c>
      <c r="G118" s="469">
        <v>0</v>
      </c>
      <c r="H118" s="377">
        <v>0</v>
      </c>
      <c r="I118" s="471">
        <f t="shared" si="148"/>
        <v>0</v>
      </c>
      <c r="J118" s="469">
        <v>0</v>
      </c>
      <c r="K118" s="377">
        <v>0</v>
      </c>
      <c r="L118" s="468">
        <f t="shared" si="149"/>
        <v>0</v>
      </c>
      <c r="M118" s="472">
        <f t="shared" si="150"/>
        <v>0</v>
      </c>
      <c r="N118" s="468">
        <f t="shared" si="151"/>
        <v>0</v>
      </c>
      <c r="O118" s="464"/>
      <c r="P118" s="375">
        <v>0</v>
      </c>
      <c r="Q118" s="378">
        <v>0</v>
      </c>
      <c r="R118" s="9"/>
      <c r="S118" s="719" t="s">
        <v>259</v>
      </c>
      <c r="T118" s="696"/>
      <c r="U118" s="401">
        <v>0</v>
      </c>
      <c r="V118" s="15">
        <f t="shared" si="152"/>
        <v>0</v>
      </c>
      <c r="W118" s="15">
        <f t="shared" si="152"/>
        <v>0</v>
      </c>
      <c r="X118" s="16">
        <f t="shared" si="153"/>
        <v>0</v>
      </c>
      <c r="Y118" s="19">
        <v>0</v>
      </c>
      <c r="Z118" s="377">
        <v>0</v>
      </c>
      <c r="AA118" s="16">
        <f t="shared" si="154"/>
        <v>0</v>
      </c>
      <c r="AB118" s="19">
        <v>0</v>
      </c>
      <c r="AC118" s="377">
        <v>0</v>
      </c>
      <c r="AD118" s="18">
        <f t="shared" si="155"/>
        <v>0</v>
      </c>
      <c r="AE118" s="19">
        <v>0</v>
      </c>
      <c r="AF118" s="377">
        <v>0</v>
      </c>
      <c r="AG118" s="16">
        <f t="shared" si="156"/>
        <v>0</v>
      </c>
      <c r="AH118" s="19">
        <f t="shared" si="157"/>
        <v>0</v>
      </c>
      <c r="AI118" s="15">
        <f t="shared" si="158"/>
        <v>0</v>
      </c>
      <c r="AJ118" s="16">
        <f t="shared" si="159"/>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v>2300</v>
      </c>
      <c r="B119" s="634" t="s">
        <v>399</v>
      </c>
      <c r="C119" s="375">
        <v>594347</v>
      </c>
      <c r="D119" s="467">
        <f t="shared" si="145"/>
        <v>0</v>
      </c>
      <c r="E119" s="467">
        <f t="shared" si="146"/>
        <v>0</v>
      </c>
      <c r="F119" s="471">
        <f t="shared" si="147"/>
        <v>594347</v>
      </c>
      <c r="G119" s="222">
        <v>0</v>
      </c>
      <c r="H119" s="377">
        <v>413</v>
      </c>
      <c r="I119" s="476">
        <f t="shared" si="148"/>
        <v>413</v>
      </c>
      <c r="J119" s="222">
        <v>0</v>
      </c>
      <c r="K119" s="377">
        <v>413</v>
      </c>
      <c r="L119" s="146">
        <f t="shared" si="149"/>
        <v>413</v>
      </c>
      <c r="M119" s="441">
        <f t="shared" si="150"/>
        <v>593934</v>
      </c>
      <c r="N119" s="146">
        <f t="shared" si="151"/>
        <v>593934</v>
      </c>
      <c r="O119" s="464"/>
      <c r="P119" s="375">
        <v>0</v>
      </c>
      <c r="Q119" s="378">
        <v>0</v>
      </c>
      <c r="R119" s="9"/>
      <c r="S119" s="719" t="s">
        <v>260</v>
      </c>
      <c r="T119" s="696"/>
      <c r="U119" s="401">
        <v>0</v>
      </c>
      <c r="V119" s="15">
        <f t="shared" si="152"/>
        <v>0</v>
      </c>
      <c r="W119" s="15">
        <f t="shared" si="152"/>
        <v>0</v>
      </c>
      <c r="X119" s="16">
        <f t="shared" si="153"/>
        <v>0</v>
      </c>
      <c r="Y119" s="19">
        <v>0</v>
      </c>
      <c r="Z119" s="377">
        <v>0</v>
      </c>
      <c r="AA119" s="16">
        <f t="shared" si="154"/>
        <v>0</v>
      </c>
      <c r="AB119" s="19">
        <v>0</v>
      </c>
      <c r="AC119" s="377">
        <v>0</v>
      </c>
      <c r="AD119" s="18">
        <f t="shared" si="155"/>
        <v>0</v>
      </c>
      <c r="AE119" s="19">
        <v>0</v>
      </c>
      <c r="AF119" s="377">
        <v>0</v>
      </c>
      <c r="AG119" s="16">
        <f t="shared" si="156"/>
        <v>0</v>
      </c>
      <c r="AH119" s="19">
        <f t="shared" si="157"/>
        <v>0</v>
      </c>
      <c r="AI119" s="15">
        <f t="shared" si="158"/>
        <v>0</v>
      </c>
      <c r="AJ119" s="16">
        <f t="shared" si="159"/>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v>2400</v>
      </c>
      <c r="B120" s="635" t="s">
        <v>400</v>
      </c>
      <c r="C120" s="375">
        <v>0</v>
      </c>
      <c r="D120" s="467">
        <f t="shared" si="145"/>
        <v>0</v>
      </c>
      <c r="E120" s="467">
        <f t="shared" si="146"/>
        <v>0</v>
      </c>
      <c r="F120" s="471">
        <f t="shared" si="147"/>
        <v>0</v>
      </c>
      <c r="G120" s="222">
        <v>0</v>
      </c>
      <c r="H120" s="377">
        <v>0</v>
      </c>
      <c r="I120" s="476">
        <f t="shared" si="148"/>
        <v>0</v>
      </c>
      <c r="J120" s="222">
        <v>0</v>
      </c>
      <c r="K120" s="377">
        <v>0</v>
      </c>
      <c r="L120" s="146">
        <f t="shared" si="149"/>
        <v>0</v>
      </c>
      <c r="M120" s="441">
        <f t="shared" si="150"/>
        <v>0</v>
      </c>
      <c r="N120" s="146">
        <f t="shared" si="151"/>
        <v>0</v>
      </c>
      <c r="P120" s="375">
        <v>0</v>
      </c>
      <c r="Q120" s="378">
        <v>0</v>
      </c>
      <c r="R120" s="9"/>
      <c r="S120" s="719" t="s">
        <v>261</v>
      </c>
      <c r="T120" s="696"/>
      <c r="U120" s="401">
        <v>0</v>
      </c>
      <c r="V120" s="15">
        <f t="shared" si="152"/>
        <v>0</v>
      </c>
      <c r="W120" s="15">
        <f t="shared" si="152"/>
        <v>0</v>
      </c>
      <c r="X120" s="16">
        <f t="shared" si="153"/>
        <v>0</v>
      </c>
      <c r="Y120" s="19">
        <v>0</v>
      </c>
      <c r="Z120" s="377">
        <v>0</v>
      </c>
      <c r="AA120" s="16">
        <f t="shared" si="154"/>
        <v>0</v>
      </c>
      <c r="AB120" s="19">
        <v>0</v>
      </c>
      <c r="AC120" s="377">
        <v>0</v>
      </c>
      <c r="AD120" s="18">
        <f t="shared" si="155"/>
        <v>0</v>
      </c>
      <c r="AE120" s="19">
        <v>0</v>
      </c>
      <c r="AF120" s="377">
        <v>0</v>
      </c>
      <c r="AG120" s="16">
        <f t="shared" si="156"/>
        <v>0</v>
      </c>
      <c r="AH120" s="19">
        <f t="shared" si="157"/>
        <v>0</v>
      </c>
      <c r="AI120" s="15">
        <f t="shared" si="158"/>
        <v>0</v>
      </c>
      <c r="AJ120" s="16">
        <f t="shared" si="159"/>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v>2500</v>
      </c>
      <c r="B121" s="635" t="s">
        <v>401</v>
      </c>
      <c r="C121" s="375">
        <v>0</v>
      </c>
      <c r="D121" s="467">
        <f t="shared" si="145"/>
        <v>0</v>
      </c>
      <c r="E121" s="467">
        <f t="shared" si="146"/>
        <v>0</v>
      </c>
      <c r="F121" s="471">
        <f t="shared" si="147"/>
        <v>0</v>
      </c>
      <c r="G121" s="222">
        <v>0</v>
      </c>
      <c r="H121" s="377">
        <v>0</v>
      </c>
      <c r="I121" s="476">
        <f t="shared" si="148"/>
        <v>0</v>
      </c>
      <c r="J121" s="222">
        <v>0</v>
      </c>
      <c r="K121" s="377">
        <v>0</v>
      </c>
      <c r="L121" s="146">
        <f t="shared" si="149"/>
        <v>0</v>
      </c>
      <c r="M121" s="441">
        <f t="shared" si="150"/>
        <v>0</v>
      </c>
      <c r="N121" s="146">
        <f t="shared" si="151"/>
        <v>0</v>
      </c>
      <c r="P121" s="375">
        <v>0</v>
      </c>
      <c r="Q121" s="378">
        <v>0</v>
      </c>
      <c r="R121" s="9"/>
      <c r="S121" s="719">
        <v>2010199</v>
      </c>
      <c r="T121" s="693" t="s">
        <v>132</v>
      </c>
      <c r="U121" s="401">
        <v>0</v>
      </c>
      <c r="V121" s="15">
        <f t="shared" si="152"/>
        <v>0</v>
      </c>
      <c r="W121" s="15">
        <f t="shared" si="152"/>
        <v>12179864</v>
      </c>
      <c r="X121" s="16">
        <f t="shared" si="153"/>
        <v>12179864</v>
      </c>
      <c r="Y121" s="19">
        <v>0</v>
      </c>
      <c r="Z121" s="377">
        <v>12179864</v>
      </c>
      <c r="AA121" s="16">
        <f t="shared" si="154"/>
        <v>12179864</v>
      </c>
      <c r="AB121" s="19">
        <v>0</v>
      </c>
      <c r="AC121" s="377">
        <v>12179864</v>
      </c>
      <c r="AD121" s="18">
        <f t="shared" si="155"/>
        <v>12179864</v>
      </c>
      <c r="AE121" s="19">
        <v>0</v>
      </c>
      <c r="AF121" s="377">
        <v>2621096</v>
      </c>
      <c r="AG121" s="16">
        <f t="shared" si="156"/>
        <v>2621096</v>
      </c>
      <c r="AH121" s="19">
        <f t="shared" si="157"/>
        <v>0</v>
      </c>
      <c r="AI121" s="15">
        <f t="shared" si="158"/>
        <v>0</v>
      </c>
      <c r="AJ121" s="16">
        <f t="shared" si="159"/>
        <v>9558768</v>
      </c>
      <c r="AK121" s="9"/>
      <c r="AL121" s="375">
        <v>0</v>
      </c>
      <c r="AM121" s="378">
        <v>12179864</v>
      </c>
      <c r="AN121" s="9"/>
      <c r="AO121" s="297"/>
      <c r="AP121" s="297"/>
      <c r="AQ121" s="297"/>
      <c r="AR121" s="297"/>
      <c r="AS121" s="297"/>
      <c r="AT121" s="297"/>
      <c r="AU121" s="297"/>
      <c r="AV121" s="297"/>
      <c r="AW121" s="297"/>
      <c r="AX121" s="297"/>
      <c r="AY121" s="297"/>
      <c r="AZ121" s="297"/>
    </row>
    <row r="122" spans="1:52" s="385" customFormat="1" ht="24.95" customHeight="1" x14ac:dyDescent="0.2">
      <c r="A122" s="758">
        <v>2600</v>
      </c>
      <c r="B122" s="635" t="str">
        <f>+CONCATENATE("RECUPERACIÓN DE CARTERA (AÑO ",INSTRUCCIONES!F3-2," Y ANTERIORES)")</f>
        <v>RECUPERACIÓN DE CARTERA (AÑO 2013 Y ANTERIORES)</v>
      </c>
      <c r="C122" s="375">
        <v>32064799</v>
      </c>
      <c r="D122" s="467">
        <f t="shared" si="145"/>
        <v>0</v>
      </c>
      <c r="E122" s="467">
        <f t="shared" si="146"/>
        <v>0</v>
      </c>
      <c r="F122" s="471">
        <f t="shared" si="147"/>
        <v>32064799</v>
      </c>
      <c r="G122" s="222">
        <v>0</v>
      </c>
      <c r="H122" s="377">
        <v>0</v>
      </c>
      <c r="I122" s="476">
        <f t="shared" si="148"/>
        <v>0</v>
      </c>
      <c r="J122" s="222">
        <v>0</v>
      </c>
      <c r="K122" s="377">
        <v>0</v>
      </c>
      <c r="L122" s="146">
        <f t="shared" si="149"/>
        <v>0</v>
      </c>
      <c r="M122" s="441">
        <f t="shared" si="150"/>
        <v>32064799</v>
      </c>
      <c r="N122" s="146">
        <f t="shared" si="151"/>
        <v>32064799</v>
      </c>
      <c r="P122" s="375">
        <v>0</v>
      </c>
      <c r="Q122" s="378">
        <v>0</v>
      </c>
      <c r="R122" s="9"/>
      <c r="S122" s="369"/>
      <c r="T122" s="689"/>
      <c r="U122" s="164"/>
      <c r="V122" s="164"/>
      <c r="W122" s="164"/>
      <c r="X122" s="169"/>
      <c r="Y122" s="370"/>
      <c r="Z122" s="164"/>
      <c r="AA122" s="169"/>
      <c r="AB122" s="370"/>
      <c r="AC122" s="164"/>
      <c r="AD122" s="164"/>
      <c r="AE122" s="370"/>
      <c r="AF122" s="164"/>
      <c r="AG122" s="169"/>
      <c r="AH122" s="370"/>
      <c r="AI122" s="164"/>
      <c r="AJ122" s="169"/>
      <c r="AK122" s="9"/>
      <c r="AL122" s="175"/>
      <c r="AM122" s="176"/>
      <c r="AN122" s="9"/>
      <c r="AO122" s="297"/>
      <c r="AP122" s="297"/>
      <c r="AQ122" s="297"/>
      <c r="AR122" s="297"/>
      <c r="AS122" s="297"/>
      <c r="AT122" s="297"/>
      <c r="AU122" s="297"/>
      <c r="AV122" s="297"/>
      <c r="AW122" s="297"/>
      <c r="AX122" s="297"/>
      <c r="AY122" s="297"/>
      <c r="AZ122" s="297"/>
    </row>
    <row r="123" spans="1:52" s="464" customFormat="1" ht="24.95" customHeight="1" x14ac:dyDescent="0.2">
      <c r="A123" s="759">
        <v>2700</v>
      </c>
      <c r="B123" s="635" t="s">
        <v>605</v>
      </c>
      <c r="C123" s="375">
        <v>0</v>
      </c>
      <c r="D123" s="467">
        <f>P123</f>
        <v>0</v>
      </c>
      <c r="E123" s="467">
        <f>Q123</f>
        <v>0</v>
      </c>
      <c r="F123" s="471">
        <f>SUM(C123:E123)</f>
        <v>0</v>
      </c>
      <c r="G123" s="222">
        <v>0</v>
      </c>
      <c r="H123" s="377">
        <v>0</v>
      </c>
      <c r="I123" s="476">
        <f>SUM(G123:H123)</f>
        <v>0</v>
      </c>
      <c r="J123" s="222">
        <v>0</v>
      </c>
      <c r="K123" s="377">
        <v>0</v>
      </c>
      <c r="L123" s="146">
        <f>SUM(J123:K123)</f>
        <v>0</v>
      </c>
      <c r="M123" s="441">
        <f>F123-I123</f>
        <v>0</v>
      </c>
      <c r="N123" s="146">
        <f>F123-L123</f>
        <v>0</v>
      </c>
      <c r="O123" s="385"/>
      <c r="P123" s="375">
        <v>0</v>
      </c>
      <c r="Q123" s="378">
        <v>0</v>
      </c>
      <c r="R123" s="30"/>
      <c r="S123" s="722">
        <v>2010200</v>
      </c>
      <c r="T123" s="698" t="s">
        <v>262</v>
      </c>
      <c r="U123" s="218">
        <f t="shared" ref="U123:AJ123" si="160">SUM(U124:U139)</f>
        <v>141098390</v>
      </c>
      <c r="V123" s="134">
        <f t="shared" si="160"/>
        <v>0</v>
      </c>
      <c r="W123" s="134">
        <f t="shared" si="160"/>
        <v>26389245</v>
      </c>
      <c r="X123" s="219">
        <f t="shared" si="160"/>
        <v>167487635</v>
      </c>
      <c r="Y123" s="220">
        <f t="shared" si="160"/>
        <v>0</v>
      </c>
      <c r="Z123" s="134">
        <f t="shared" si="160"/>
        <v>33142271</v>
      </c>
      <c r="AA123" s="219">
        <f t="shared" si="160"/>
        <v>33142271</v>
      </c>
      <c r="AB123" s="220">
        <f t="shared" si="160"/>
        <v>0</v>
      </c>
      <c r="AC123" s="134">
        <f t="shared" si="160"/>
        <v>33142271</v>
      </c>
      <c r="AD123" s="221">
        <f t="shared" si="160"/>
        <v>33142271</v>
      </c>
      <c r="AE123" s="220">
        <f t="shared" si="160"/>
        <v>0</v>
      </c>
      <c r="AF123" s="134">
        <f t="shared" si="160"/>
        <v>5593565</v>
      </c>
      <c r="AG123" s="219">
        <f t="shared" si="160"/>
        <v>5593565</v>
      </c>
      <c r="AH123" s="220">
        <f t="shared" si="160"/>
        <v>134345364</v>
      </c>
      <c r="AI123" s="134">
        <f t="shared" si="160"/>
        <v>134345364</v>
      </c>
      <c r="AJ123" s="219">
        <f t="shared" si="160"/>
        <v>161894070</v>
      </c>
      <c r="AK123" s="30"/>
      <c r="AL123" s="220">
        <f>SUM(AL124:AL139)</f>
        <v>0</v>
      </c>
      <c r="AM123" s="219">
        <f>SUM(AM124:AM139)</f>
        <v>26389245</v>
      </c>
      <c r="AN123" s="30"/>
      <c r="AO123" s="463"/>
      <c r="AP123" s="463"/>
      <c r="AQ123" s="463"/>
      <c r="AR123" s="463"/>
      <c r="AS123" s="463"/>
      <c r="AT123" s="463"/>
      <c r="AU123" s="463"/>
      <c r="AV123" s="463"/>
      <c r="AW123" s="463"/>
      <c r="AX123" s="463"/>
      <c r="AY123" s="463"/>
      <c r="AZ123" s="463"/>
    </row>
    <row r="124" spans="1:52" s="385" customFormat="1" ht="24.95" customHeight="1" thickBot="1" x14ac:dyDescent="0.25">
      <c r="A124" s="760">
        <v>2800</v>
      </c>
      <c r="B124" s="663"/>
      <c r="C124" s="387">
        <v>0</v>
      </c>
      <c r="D124" s="465">
        <f>P124</f>
        <v>0</v>
      </c>
      <c r="E124" s="465">
        <f>Q124</f>
        <v>0</v>
      </c>
      <c r="F124" s="477">
        <f>SUM(C124:E124)</f>
        <v>0</v>
      </c>
      <c r="G124" s="390">
        <v>0</v>
      </c>
      <c r="H124" s="391">
        <v>0</v>
      </c>
      <c r="I124" s="478">
        <f>SUM(G124:H124)</f>
        <v>0</v>
      </c>
      <c r="J124" s="390">
        <v>0</v>
      </c>
      <c r="K124" s="391">
        <v>0</v>
      </c>
      <c r="L124" s="389">
        <f>SUM(J124:K124)</f>
        <v>0</v>
      </c>
      <c r="M124" s="479">
        <f>F124-I124</f>
        <v>0</v>
      </c>
      <c r="N124" s="389">
        <f>F124-L124</f>
        <v>0</v>
      </c>
      <c r="P124" s="387">
        <v>0</v>
      </c>
      <c r="Q124" s="392">
        <v>0</v>
      </c>
      <c r="R124" s="9"/>
      <c r="S124" s="719" t="s">
        <v>263</v>
      </c>
      <c r="T124" s="693" t="s">
        <v>264</v>
      </c>
      <c r="U124" s="401">
        <v>17953987</v>
      </c>
      <c r="V124" s="15">
        <f t="shared" ref="V124:V139" si="161">AL124</f>
        <v>0</v>
      </c>
      <c r="W124" s="15">
        <f t="shared" ref="W124:W139" si="162">AM124</f>
        <v>0</v>
      </c>
      <c r="X124" s="16">
        <f t="shared" ref="X124:X139" si="163">SUM(U124:W124)</f>
        <v>17953987</v>
      </c>
      <c r="Y124" s="19">
        <v>0</v>
      </c>
      <c r="Z124" s="377">
        <v>0</v>
      </c>
      <c r="AA124" s="16">
        <f t="shared" ref="AA124:AA139" si="164">SUM(Y124:Z124)</f>
        <v>0</v>
      </c>
      <c r="AB124" s="19">
        <v>0</v>
      </c>
      <c r="AC124" s="377">
        <v>0</v>
      </c>
      <c r="AD124" s="18">
        <f t="shared" ref="AD124:AD139" si="165">SUM(AB124:AC124)</f>
        <v>0</v>
      </c>
      <c r="AE124" s="19">
        <v>0</v>
      </c>
      <c r="AF124" s="377">
        <v>0</v>
      </c>
      <c r="AG124" s="16">
        <f t="shared" ref="AG124:AG139" si="166">SUM(AE124:AF124)</f>
        <v>0</v>
      </c>
      <c r="AH124" s="19">
        <f t="shared" ref="AH124:AH139" si="167">X124-AA124</f>
        <v>17953987</v>
      </c>
      <c r="AI124" s="15">
        <f t="shared" ref="AI124:AI139" si="168">X124-AD124</f>
        <v>17953987</v>
      </c>
      <c r="AJ124" s="16">
        <f t="shared" ref="AJ124:AJ139" si="169">X124-AG124</f>
        <v>17953987</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
        <v>265</v>
      </c>
      <c r="T125" s="693" t="s">
        <v>266</v>
      </c>
      <c r="U125" s="401">
        <v>3151827</v>
      </c>
      <c r="V125" s="15">
        <f t="shared" si="161"/>
        <v>0</v>
      </c>
      <c r="W125" s="15">
        <f t="shared" si="162"/>
        <v>0</v>
      </c>
      <c r="X125" s="16">
        <f t="shared" si="163"/>
        <v>3151827</v>
      </c>
      <c r="Y125" s="19">
        <v>0</v>
      </c>
      <c r="Z125" s="377">
        <v>0</v>
      </c>
      <c r="AA125" s="16">
        <f t="shared" si="164"/>
        <v>0</v>
      </c>
      <c r="AB125" s="19">
        <v>0</v>
      </c>
      <c r="AC125" s="377">
        <v>0</v>
      </c>
      <c r="AD125" s="18">
        <f t="shared" si="165"/>
        <v>0</v>
      </c>
      <c r="AE125" s="19">
        <v>0</v>
      </c>
      <c r="AF125" s="377">
        <v>0</v>
      </c>
      <c r="AG125" s="16">
        <f t="shared" si="166"/>
        <v>0</v>
      </c>
      <c r="AH125" s="19">
        <f t="shared" si="167"/>
        <v>3151827</v>
      </c>
      <c r="AI125" s="15">
        <f t="shared" si="168"/>
        <v>3151827</v>
      </c>
      <c r="AJ125" s="16">
        <f t="shared" si="169"/>
        <v>3151827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34.5" customHeight="1" thickBot="1" x14ac:dyDescent="0.25">
      <c r="A126" s="780" t="s">
        <v>252</v>
      </c>
      <c r="B126" s="664"/>
      <c r="C126" s="480">
        <f t="shared" ref="C126:N126" si="170">C8-C128</f>
        <v>3103636215</v>
      </c>
      <c r="D126" s="480">
        <f t="shared" si="170"/>
        <v>0</v>
      </c>
      <c r="E126" s="480">
        <f t="shared" si="170"/>
        <v>90342061</v>
      </c>
      <c r="F126" s="480">
        <f t="shared" si="170"/>
        <v>3193978276</v>
      </c>
      <c r="G126" s="480">
        <f t="shared" si="170"/>
        <v>0</v>
      </c>
      <c r="H126" s="480">
        <f t="shared" si="170"/>
        <v>307939765</v>
      </c>
      <c r="I126" s="480">
        <f t="shared" si="170"/>
        <v>307939765</v>
      </c>
      <c r="J126" s="480">
        <f t="shared" si="170"/>
        <v>0</v>
      </c>
      <c r="K126" s="480">
        <f t="shared" si="170"/>
        <v>175777270</v>
      </c>
      <c r="L126" s="480">
        <f t="shared" si="170"/>
        <v>175777270</v>
      </c>
      <c r="M126" s="480">
        <f t="shared" si="170"/>
        <v>2918103310</v>
      </c>
      <c r="N126" s="621">
        <f t="shared" si="170"/>
        <v>3018201006</v>
      </c>
      <c r="P126" s="481">
        <f>P8-P128</f>
        <v>0</v>
      </c>
      <c r="Q126" s="482">
        <f>Q8-Q128</f>
        <v>90342061</v>
      </c>
      <c r="R126" s="9"/>
      <c r="S126" s="719" t="s">
        <v>267</v>
      </c>
      <c r="T126" s="693" t="s">
        <v>268</v>
      </c>
      <c r="U126" s="401">
        <v>55492147</v>
      </c>
      <c r="V126" s="15">
        <f t="shared" si="161"/>
        <v>0</v>
      </c>
      <c r="W126" s="15">
        <f t="shared" si="162"/>
        <v>0</v>
      </c>
      <c r="X126" s="16">
        <f t="shared" si="163"/>
        <v>55492147</v>
      </c>
      <c r="Y126" s="19">
        <v>0</v>
      </c>
      <c r="Z126" s="377">
        <v>2833709</v>
      </c>
      <c r="AA126" s="16">
        <f t="shared" si="164"/>
        <v>2833709</v>
      </c>
      <c r="AB126" s="19">
        <v>0</v>
      </c>
      <c r="AC126" s="377">
        <v>2833709</v>
      </c>
      <c r="AD126" s="18">
        <f t="shared" si="165"/>
        <v>2833709</v>
      </c>
      <c r="AE126" s="19">
        <v>0</v>
      </c>
      <c r="AF126" s="377">
        <v>0</v>
      </c>
      <c r="AG126" s="16">
        <f t="shared" si="166"/>
        <v>0</v>
      </c>
      <c r="AH126" s="19">
        <f t="shared" si="167"/>
        <v>52658438</v>
      </c>
      <c r="AI126" s="15">
        <f t="shared" si="168"/>
        <v>52658438</v>
      </c>
      <c r="AJ126" s="16">
        <f t="shared" si="169"/>
        <v>55492147</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55"/>
      <c r="B127" s="661"/>
      <c r="C127" s="483"/>
      <c r="D127" s="483"/>
      <c r="E127" s="483"/>
      <c r="F127" s="483"/>
      <c r="G127" s="483"/>
      <c r="H127" s="483"/>
      <c r="I127" s="483"/>
      <c r="J127" s="483"/>
      <c r="K127" s="483"/>
      <c r="L127" s="483"/>
      <c r="M127" s="483"/>
      <c r="N127" s="484"/>
      <c r="P127" s="485"/>
      <c r="Q127" s="484"/>
      <c r="R127" s="9"/>
      <c r="S127" s="719" t="s">
        <v>269</v>
      </c>
      <c r="T127" s="693" t="s">
        <v>270</v>
      </c>
      <c r="U127" s="401">
        <v>14481572</v>
      </c>
      <c r="V127" s="15">
        <f t="shared" si="161"/>
        <v>0</v>
      </c>
      <c r="W127" s="15">
        <f t="shared" si="162"/>
        <v>0</v>
      </c>
      <c r="X127" s="16">
        <f t="shared" si="163"/>
        <v>14481572</v>
      </c>
      <c r="Y127" s="19">
        <v>0</v>
      </c>
      <c r="Z127" s="377">
        <v>275000</v>
      </c>
      <c r="AA127" s="16">
        <f t="shared" si="164"/>
        <v>275000</v>
      </c>
      <c r="AB127" s="19">
        <v>0</v>
      </c>
      <c r="AC127" s="377">
        <v>275000</v>
      </c>
      <c r="AD127" s="18">
        <f t="shared" si="165"/>
        <v>275000</v>
      </c>
      <c r="AE127" s="19">
        <v>0</v>
      </c>
      <c r="AF127" s="377">
        <v>0</v>
      </c>
      <c r="AG127" s="16">
        <f t="shared" si="166"/>
        <v>0</v>
      </c>
      <c r="AH127" s="19">
        <f t="shared" si="167"/>
        <v>14206572</v>
      </c>
      <c r="AI127" s="15">
        <f t="shared" si="168"/>
        <v>14206572</v>
      </c>
      <c r="AJ127" s="16">
        <f t="shared" si="169"/>
        <v>14481572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0</v>
      </c>
      <c r="H128" s="486">
        <f>SUMIF($B8:$B$122,$B$24,H8:H122)+H122</f>
        <v>98263834</v>
      </c>
      <c r="I128" s="486">
        <f>SUMIF($B8:$B$122,$B$24,I8:I122)+I122</f>
        <v>98263834</v>
      </c>
      <c r="J128" s="486">
        <f>SUMIF($B8:$B$122,$B$24,J8:J122)+J1212</f>
        <v>0</v>
      </c>
      <c r="K128" s="486">
        <f>SUMIF($B8:$B$122,$B$24,K8:K122)+K122</f>
        <v>98263834</v>
      </c>
      <c r="L128" s="486">
        <f>SUMIF($B8:$B$122,$B$24,L8:L122)+L122</f>
        <v>98263834</v>
      </c>
      <c r="M128" s="486">
        <f>SUMIF($B8:$B$122,$B$24,M8:M122)+M12</f>
        <v>447122594</v>
      </c>
      <c r="N128" s="622">
        <f>SUMIF($B8:$B$122,$B$24,N8:N122)+N122</f>
        <v>479187393</v>
      </c>
      <c r="O128" s="464"/>
      <c r="P128" s="486">
        <f>SUMIF($B8:$B$122,$B$24,P8:P122)+P122</f>
        <v>0</v>
      </c>
      <c r="Q128" s="487">
        <f>SUMIF($B8:$B$122,$B$24,Q8:Q122)+Q122</f>
        <v>545386428</v>
      </c>
      <c r="R128" s="9"/>
      <c r="S128" s="719" t="s">
        <v>271</v>
      </c>
      <c r="T128" s="693" t="s">
        <v>272</v>
      </c>
      <c r="U128" s="401">
        <v>12695514</v>
      </c>
      <c r="V128" s="15">
        <f t="shared" si="161"/>
        <v>0</v>
      </c>
      <c r="W128" s="15">
        <f t="shared" si="162"/>
        <v>0</v>
      </c>
      <c r="X128" s="16">
        <f t="shared" si="163"/>
        <v>12695514</v>
      </c>
      <c r="Y128" s="19">
        <v>0</v>
      </c>
      <c r="Z128" s="377">
        <v>1045407</v>
      </c>
      <c r="AA128" s="16">
        <f t="shared" si="164"/>
        <v>1045407</v>
      </c>
      <c r="AB128" s="19">
        <v>0</v>
      </c>
      <c r="AC128" s="377">
        <v>1045407</v>
      </c>
      <c r="AD128" s="18">
        <f t="shared" si="165"/>
        <v>1045407</v>
      </c>
      <c r="AE128" s="19">
        <v>0</v>
      </c>
      <c r="AF128" s="377">
        <v>1045407</v>
      </c>
      <c r="AG128" s="16">
        <f t="shared" si="166"/>
        <v>1045407</v>
      </c>
      <c r="AH128" s="19">
        <f t="shared" si="167"/>
        <v>11650107</v>
      </c>
      <c r="AI128" s="15">
        <f t="shared" si="168"/>
        <v>11650107</v>
      </c>
      <c r="AJ128" s="16">
        <f t="shared" si="169"/>
        <v>11650107</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55"/>
      <c r="B129" s="661"/>
      <c r="C129" s="483"/>
      <c r="D129" s="483"/>
      <c r="E129" s="483"/>
      <c r="F129" s="483"/>
      <c r="G129" s="483"/>
      <c r="H129" s="483"/>
      <c r="I129" s="483"/>
      <c r="J129" s="483"/>
      <c r="K129" s="483"/>
      <c r="L129" s="483"/>
      <c r="M129" s="483"/>
      <c r="N129" s="484"/>
      <c r="P129" s="485"/>
      <c r="Q129" s="484"/>
      <c r="R129" s="9"/>
      <c r="S129" s="719" t="s">
        <v>273</v>
      </c>
      <c r="T129" s="693" t="s">
        <v>274</v>
      </c>
      <c r="U129" s="401">
        <v>0</v>
      </c>
      <c r="V129" s="15">
        <f t="shared" si="161"/>
        <v>0</v>
      </c>
      <c r="W129" s="15">
        <f t="shared" si="162"/>
        <v>0</v>
      </c>
      <c r="X129" s="16">
        <f t="shared" si="163"/>
        <v>0</v>
      </c>
      <c r="Y129" s="19">
        <v>0</v>
      </c>
      <c r="Z129" s="377">
        <v>0</v>
      </c>
      <c r="AA129" s="16">
        <f t="shared" si="164"/>
        <v>0</v>
      </c>
      <c r="AB129" s="19">
        <v>0</v>
      </c>
      <c r="AC129" s="377">
        <v>0</v>
      </c>
      <c r="AD129" s="18">
        <f t="shared" si="165"/>
        <v>0</v>
      </c>
      <c r="AE129" s="19">
        <v>0</v>
      </c>
      <c r="AF129" s="377">
        <v>0</v>
      </c>
      <c r="AG129" s="16">
        <f t="shared" si="166"/>
        <v>0</v>
      </c>
      <c r="AH129" s="19">
        <f t="shared" si="167"/>
        <v>0</v>
      </c>
      <c r="AI129" s="15">
        <f t="shared" si="168"/>
        <v>0</v>
      </c>
      <c r="AJ129" s="16">
        <f t="shared" si="169"/>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71">C128+C126</f>
        <v>3135701014</v>
      </c>
      <c r="D130" s="489">
        <f t="shared" si="171"/>
        <v>0</v>
      </c>
      <c r="E130" s="489">
        <f t="shared" si="171"/>
        <v>635728489</v>
      </c>
      <c r="F130" s="490">
        <f t="shared" si="171"/>
        <v>3771429503</v>
      </c>
      <c r="G130" s="488">
        <f t="shared" si="171"/>
        <v>0</v>
      </c>
      <c r="H130" s="489">
        <f t="shared" si="171"/>
        <v>406203599</v>
      </c>
      <c r="I130" s="490">
        <f t="shared" si="171"/>
        <v>406203599</v>
      </c>
      <c r="J130" s="488">
        <f t="shared" si="171"/>
        <v>0</v>
      </c>
      <c r="K130" s="489">
        <f t="shared" si="171"/>
        <v>274041104</v>
      </c>
      <c r="L130" s="490">
        <f t="shared" si="171"/>
        <v>274041104</v>
      </c>
      <c r="M130" s="488">
        <f t="shared" si="171"/>
        <v>3365225904</v>
      </c>
      <c r="N130" s="490">
        <f t="shared" si="171"/>
        <v>3497388399</v>
      </c>
      <c r="P130" s="481">
        <f>P128+P126</f>
        <v>0</v>
      </c>
      <c r="Q130" s="482">
        <f>Q128+Q126</f>
        <v>635728489</v>
      </c>
      <c r="R130" s="9"/>
      <c r="S130" s="719" t="s">
        <v>275</v>
      </c>
      <c r="T130" s="693" t="s">
        <v>276</v>
      </c>
      <c r="U130" s="401">
        <v>0</v>
      </c>
      <c r="V130" s="15">
        <f t="shared" si="161"/>
        <v>0</v>
      </c>
      <c r="W130" s="15">
        <f t="shared" si="162"/>
        <v>0</v>
      </c>
      <c r="X130" s="16">
        <f t="shared" si="163"/>
        <v>0</v>
      </c>
      <c r="Y130" s="19">
        <v>0</v>
      </c>
      <c r="Z130" s="377">
        <v>0</v>
      </c>
      <c r="AA130" s="16">
        <f t="shared" si="164"/>
        <v>0</v>
      </c>
      <c r="AB130" s="19">
        <v>0</v>
      </c>
      <c r="AC130" s="377">
        <v>0</v>
      </c>
      <c r="AD130" s="18">
        <f t="shared" si="165"/>
        <v>0</v>
      </c>
      <c r="AE130" s="19">
        <v>0</v>
      </c>
      <c r="AF130" s="377">
        <v>0</v>
      </c>
      <c r="AG130" s="16">
        <f t="shared" si="166"/>
        <v>0</v>
      </c>
      <c r="AH130" s="19">
        <f t="shared" si="167"/>
        <v>0</v>
      </c>
      <c r="AI130" s="15">
        <f t="shared" si="168"/>
        <v>0</v>
      </c>
      <c r="AJ130" s="16">
        <f t="shared" si="169"/>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1"/>
      <c r="B131" s="667"/>
      <c r="C131" s="617"/>
      <c r="D131" s="617"/>
      <c r="E131" s="617"/>
      <c r="F131" s="617"/>
      <c r="G131" s="617"/>
      <c r="H131" s="617"/>
      <c r="I131" s="617"/>
      <c r="J131" s="617"/>
      <c r="K131" s="617"/>
      <c r="L131" s="617"/>
      <c r="M131" s="617"/>
      <c r="N131" s="617"/>
      <c r="O131" s="297"/>
      <c r="P131" s="617"/>
      <c r="Q131" s="617"/>
      <c r="R131" s="9"/>
      <c r="S131" s="719" t="s">
        <v>277</v>
      </c>
      <c r="T131" s="693" t="s">
        <v>278</v>
      </c>
      <c r="U131" s="401">
        <v>28364135</v>
      </c>
      <c r="V131" s="15">
        <f t="shared" si="161"/>
        <v>0</v>
      </c>
      <c r="W131" s="15">
        <f t="shared" si="162"/>
        <v>81553</v>
      </c>
      <c r="X131" s="16">
        <f t="shared" si="163"/>
        <v>28445688</v>
      </c>
      <c r="Y131" s="19">
        <v>0</v>
      </c>
      <c r="Z131" s="377">
        <v>2127650</v>
      </c>
      <c r="AA131" s="16">
        <f t="shared" si="164"/>
        <v>2127650</v>
      </c>
      <c r="AB131" s="19">
        <v>0</v>
      </c>
      <c r="AC131" s="377">
        <v>2127650</v>
      </c>
      <c r="AD131" s="18">
        <f t="shared" si="165"/>
        <v>2127650</v>
      </c>
      <c r="AE131" s="19">
        <v>0</v>
      </c>
      <c r="AF131" s="377">
        <v>0</v>
      </c>
      <c r="AG131" s="16">
        <f t="shared" si="166"/>
        <v>0</v>
      </c>
      <c r="AH131" s="19">
        <f t="shared" si="167"/>
        <v>26318038</v>
      </c>
      <c r="AI131" s="15">
        <f t="shared" si="168"/>
        <v>26318038</v>
      </c>
      <c r="AJ131" s="16">
        <f t="shared" si="169"/>
        <v>28445688</v>
      </c>
      <c r="AK131" s="9"/>
      <c r="AL131" s="375">
        <v>0</v>
      </c>
      <c r="AM131" s="378">
        <v>81553</v>
      </c>
      <c r="AN131" s="9"/>
      <c r="AO131" s="297"/>
      <c r="AP131" s="297"/>
      <c r="AQ131" s="297"/>
      <c r="AR131" s="297"/>
      <c r="AS131" s="297"/>
      <c r="AT131" s="297"/>
      <c r="AU131" s="297"/>
      <c r="AV131" s="297"/>
      <c r="AW131" s="297"/>
      <c r="AX131" s="297"/>
      <c r="AY131" s="297"/>
      <c r="AZ131" s="297"/>
    </row>
    <row r="132" spans="1:52" s="385" customFormat="1" ht="24.95" customHeight="1" x14ac:dyDescent="0.2">
      <c r="A132" s="762"/>
      <c r="B132" s="668"/>
      <c r="N132" s="9"/>
      <c r="R132" s="9"/>
      <c r="S132" s="719" t="s">
        <v>279</v>
      </c>
      <c r="T132" s="693" t="s">
        <v>280</v>
      </c>
      <c r="U132" s="401">
        <v>3982443</v>
      </c>
      <c r="V132" s="15">
        <f t="shared" si="161"/>
        <v>0</v>
      </c>
      <c r="W132" s="15">
        <f t="shared" si="162"/>
        <v>0</v>
      </c>
      <c r="X132" s="16">
        <f t="shared" si="163"/>
        <v>3982443</v>
      </c>
      <c r="Y132" s="19">
        <v>0</v>
      </c>
      <c r="Z132" s="377">
        <v>0</v>
      </c>
      <c r="AA132" s="16">
        <f t="shared" si="164"/>
        <v>0</v>
      </c>
      <c r="AB132" s="19">
        <v>0</v>
      </c>
      <c r="AC132" s="377">
        <v>0</v>
      </c>
      <c r="AD132" s="18">
        <f t="shared" si="165"/>
        <v>0</v>
      </c>
      <c r="AE132" s="19">
        <v>0</v>
      </c>
      <c r="AF132" s="377">
        <v>0</v>
      </c>
      <c r="AG132" s="16">
        <f t="shared" si="166"/>
        <v>0</v>
      </c>
      <c r="AH132" s="19">
        <f t="shared" si="167"/>
        <v>3982443</v>
      </c>
      <c r="AI132" s="15">
        <f t="shared" si="168"/>
        <v>3982443</v>
      </c>
      <c r="AJ132" s="16">
        <f t="shared" si="169"/>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2"/>
      <c r="B133" s="668"/>
      <c r="N133" s="9"/>
      <c r="R133" s="9"/>
      <c r="S133" s="719" t="s">
        <v>281</v>
      </c>
      <c r="T133" s="693" t="s">
        <v>486</v>
      </c>
      <c r="U133" s="401">
        <v>0</v>
      </c>
      <c r="V133" s="15">
        <f t="shared" si="161"/>
        <v>0</v>
      </c>
      <c r="W133" s="15">
        <f t="shared" si="162"/>
        <v>0</v>
      </c>
      <c r="X133" s="16">
        <f t="shared" si="163"/>
        <v>0</v>
      </c>
      <c r="Y133" s="19">
        <v>0</v>
      </c>
      <c r="Z133" s="377">
        <v>0</v>
      </c>
      <c r="AA133" s="16">
        <f t="shared" si="164"/>
        <v>0</v>
      </c>
      <c r="AB133" s="19">
        <v>0</v>
      </c>
      <c r="AC133" s="377">
        <v>0</v>
      </c>
      <c r="AD133" s="18">
        <f t="shared" si="165"/>
        <v>0</v>
      </c>
      <c r="AE133" s="19">
        <v>0</v>
      </c>
      <c r="AF133" s="377">
        <v>0</v>
      </c>
      <c r="AG133" s="16">
        <f t="shared" si="166"/>
        <v>0</v>
      </c>
      <c r="AH133" s="19">
        <f t="shared" si="167"/>
        <v>0</v>
      </c>
      <c r="AI133" s="15">
        <f t="shared" si="168"/>
        <v>0</v>
      </c>
      <c r="AJ133" s="16">
        <f t="shared" si="169"/>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2"/>
      <c r="B134" s="668"/>
      <c r="N134" s="9"/>
      <c r="R134" s="9"/>
      <c r="S134" s="719" t="s">
        <v>282</v>
      </c>
      <c r="T134" s="693" t="s">
        <v>283</v>
      </c>
      <c r="U134" s="401">
        <v>4976765</v>
      </c>
      <c r="V134" s="15">
        <f t="shared" si="161"/>
        <v>0</v>
      </c>
      <c r="W134" s="15">
        <f t="shared" si="162"/>
        <v>0</v>
      </c>
      <c r="X134" s="16">
        <f t="shared" si="163"/>
        <v>4976765</v>
      </c>
      <c r="Y134" s="19">
        <v>0</v>
      </c>
      <c r="Z134" s="377">
        <v>552813</v>
      </c>
      <c r="AA134" s="16">
        <f t="shared" si="164"/>
        <v>552813</v>
      </c>
      <c r="AB134" s="19">
        <v>0</v>
      </c>
      <c r="AC134" s="377">
        <v>552813</v>
      </c>
      <c r="AD134" s="18">
        <f t="shared" si="165"/>
        <v>552813</v>
      </c>
      <c r="AE134" s="19">
        <v>0</v>
      </c>
      <c r="AF134" s="377">
        <v>552813</v>
      </c>
      <c r="AG134" s="16">
        <f t="shared" si="166"/>
        <v>552813</v>
      </c>
      <c r="AH134" s="19">
        <f t="shared" si="167"/>
        <v>4423952</v>
      </c>
      <c r="AI134" s="15">
        <f t="shared" si="168"/>
        <v>4423952</v>
      </c>
      <c r="AJ134" s="16">
        <f t="shared" si="169"/>
        <v>4423952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2"/>
      <c r="B135" s="668"/>
      <c r="N135" s="9"/>
      <c r="R135" s="9"/>
      <c r="S135" s="719" t="s">
        <v>284</v>
      </c>
      <c r="T135" s="696"/>
      <c r="U135" s="401">
        <v>0</v>
      </c>
      <c r="V135" s="15">
        <f t="shared" si="161"/>
        <v>0</v>
      </c>
      <c r="W135" s="15">
        <f t="shared" si="162"/>
        <v>0</v>
      </c>
      <c r="X135" s="16">
        <f t="shared" si="163"/>
        <v>0</v>
      </c>
      <c r="Y135" s="19">
        <v>0</v>
      </c>
      <c r="Z135" s="377">
        <v>0</v>
      </c>
      <c r="AA135" s="16">
        <f t="shared" si="164"/>
        <v>0</v>
      </c>
      <c r="AB135" s="19">
        <v>0</v>
      </c>
      <c r="AC135" s="377">
        <v>0</v>
      </c>
      <c r="AD135" s="18">
        <f t="shared" si="165"/>
        <v>0</v>
      </c>
      <c r="AE135" s="19">
        <v>0</v>
      </c>
      <c r="AF135" s="377">
        <v>0</v>
      </c>
      <c r="AG135" s="16">
        <f t="shared" si="166"/>
        <v>0</v>
      </c>
      <c r="AH135" s="19">
        <f t="shared" si="167"/>
        <v>0</v>
      </c>
      <c r="AI135" s="15">
        <f t="shared" si="168"/>
        <v>0</v>
      </c>
      <c r="AJ135" s="16">
        <f t="shared" si="169"/>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2"/>
      <c r="B136" s="668"/>
      <c r="N136" s="9"/>
      <c r="R136" s="9"/>
      <c r="S136" s="719" t="s">
        <v>285</v>
      </c>
      <c r="T136" s="696"/>
      <c r="U136" s="401">
        <v>0</v>
      </c>
      <c r="V136" s="15">
        <f t="shared" si="161"/>
        <v>0</v>
      </c>
      <c r="W136" s="15">
        <f t="shared" si="162"/>
        <v>0</v>
      </c>
      <c r="X136" s="16">
        <f t="shared" si="163"/>
        <v>0</v>
      </c>
      <c r="Y136" s="19">
        <v>0</v>
      </c>
      <c r="Z136" s="377">
        <v>0</v>
      </c>
      <c r="AA136" s="16">
        <f t="shared" si="164"/>
        <v>0</v>
      </c>
      <c r="AB136" s="19">
        <v>0</v>
      </c>
      <c r="AC136" s="377">
        <v>0</v>
      </c>
      <c r="AD136" s="18">
        <f t="shared" si="165"/>
        <v>0</v>
      </c>
      <c r="AE136" s="19">
        <v>0</v>
      </c>
      <c r="AF136" s="377">
        <v>0</v>
      </c>
      <c r="AG136" s="16">
        <f t="shared" si="166"/>
        <v>0</v>
      </c>
      <c r="AH136" s="19">
        <f t="shared" si="167"/>
        <v>0</v>
      </c>
      <c r="AI136" s="15">
        <f t="shared" si="168"/>
        <v>0</v>
      </c>
      <c r="AJ136" s="16">
        <f t="shared" si="169"/>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2"/>
      <c r="B137" s="668"/>
      <c r="N137" s="9"/>
      <c r="R137" s="9"/>
      <c r="S137" s="719" t="s">
        <v>286</v>
      </c>
      <c r="T137" s="696"/>
      <c r="U137" s="401">
        <v>0</v>
      </c>
      <c r="V137" s="15">
        <f t="shared" si="161"/>
        <v>0</v>
      </c>
      <c r="W137" s="15">
        <f t="shared" si="162"/>
        <v>0</v>
      </c>
      <c r="X137" s="16">
        <f t="shared" si="163"/>
        <v>0</v>
      </c>
      <c r="Y137" s="19">
        <v>0</v>
      </c>
      <c r="Z137" s="377">
        <v>0</v>
      </c>
      <c r="AA137" s="16">
        <f t="shared" si="164"/>
        <v>0</v>
      </c>
      <c r="AB137" s="19">
        <v>0</v>
      </c>
      <c r="AC137" s="377">
        <v>0</v>
      </c>
      <c r="AD137" s="18">
        <f t="shared" si="165"/>
        <v>0</v>
      </c>
      <c r="AE137" s="19">
        <v>0</v>
      </c>
      <c r="AF137" s="377">
        <v>0</v>
      </c>
      <c r="AG137" s="16">
        <f t="shared" si="166"/>
        <v>0</v>
      </c>
      <c r="AH137" s="19">
        <f t="shared" si="167"/>
        <v>0</v>
      </c>
      <c r="AI137" s="15">
        <f t="shared" si="168"/>
        <v>0</v>
      </c>
      <c r="AJ137" s="16">
        <f t="shared" si="169"/>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2"/>
      <c r="B138" s="668"/>
      <c r="N138" s="9"/>
      <c r="R138" s="9"/>
      <c r="S138" s="719" t="s">
        <v>287</v>
      </c>
      <c r="T138" s="696"/>
      <c r="U138" s="401">
        <v>0</v>
      </c>
      <c r="V138" s="15">
        <f t="shared" si="161"/>
        <v>0</v>
      </c>
      <c r="W138" s="15">
        <f t="shared" si="162"/>
        <v>0</v>
      </c>
      <c r="X138" s="16">
        <f t="shared" si="163"/>
        <v>0</v>
      </c>
      <c r="Y138" s="19">
        <v>0</v>
      </c>
      <c r="Z138" s="377">
        <v>0</v>
      </c>
      <c r="AA138" s="16">
        <f t="shared" si="164"/>
        <v>0</v>
      </c>
      <c r="AB138" s="19">
        <v>0</v>
      </c>
      <c r="AC138" s="377">
        <v>0</v>
      </c>
      <c r="AD138" s="18">
        <f t="shared" si="165"/>
        <v>0</v>
      </c>
      <c r="AE138" s="19">
        <v>0</v>
      </c>
      <c r="AF138" s="377">
        <v>0</v>
      </c>
      <c r="AG138" s="16">
        <f t="shared" si="166"/>
        <v>0</v>
      </c>
      <c r="AH138" s="19">
        <f t="shared" si="167"/>
        <v>0</v>
      </c>
      <c r="AI138" s="15">
        <f t="shared" si="168"/>
        <v>0</v>
      </c>
      <c r="AJ138" s="16">
        <f t="shared" si="169"/>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2"/>
      <c r="B139" s="668"/>
      <c r="N139" s="9"/>
      <c r="R139" s="9"/>
      <c r="S139" s="719">
        <v>2010299</v>
      </c>
      <c r="T139" s="693" t="s">
        <v>132</v>
      </c>
      <c r="U139" s="401">
        <v>0</v>
      </c>
      <c r="V139" s="15">
        <f t="shared" si="161"/>
        <v>0</v>
      </c>
      <c r="W139" s="15">
        <f t="shared" si="162"/>
        <v>26307692</v>
      </c>
      <c r="X139" s="16">
        <f t="shared" si="163"/>
        <v>26307692</v>
      </c>
      <c r="Y139" s="19">
        <v>0</v>
      </c>
      <c r="Z139" s="377">
        <v>26307692</v>
      </c>
      <c r="AA139" s="16">
        <f t="shared" si="164"/>
        <v>26307692</v>
      </c>
      <c r="AB139" s="19">
        <v>0</v>
      </c>
      <c r="AC139" s="377">
        <v>26307692</v>
      </c>
      <c r="AD139" s="18">
        <f t="shared" si="165"/>
        <v>26307692</v>
      </c>
      <c r="AE139" s="19">
        <v>0</v>
      </c>
      <c r="AF139" s="377">
        <v>3995345</v>
      </c>
      <c r="AG139" s="16">
        <f t="shared" si="166"/>
        <v>3995345</v>
      </c>
      <c r="AH139" s="19">
        <f t="shared" si="167"/>
        <v>0</v>
      </c>
      <c r="AI139" s="15">
        <f t="shared" si="168"/>
        <v>0</v>
      </c>
      <c r="AJ139" s="16">
        <f t="shared" si="169"/>
        <v>22312347</v>
      </c>
      <c r="AK139" s="9"/>
      <c r="AL139" s="375">
        <v>0</v>
      </c>
      <c r="AM139" s="378">
        <v>26307692</v>
      </c>
      <c r="AN139" s="9"/>
      <c r="AO139" s="297"/>
      <c r="AP139" s="297"/>
      <c r="AQ139" s="297"/>
    </row>
    <row r="140" spans="1:52" s="385" customFormat="1" ht="24.95" customHeight="1" x14ac:dyDescent="0.2">
      <c r="A140" s="762"/>
      <c r="B140" s="668"/>
      <c r="N140" s="9"/>
      <c r="R140" s="9"/>
      <c r="S140" s="369"/>
      <c r="T140" s="689"/>
      <c r="U140" s="164"/>
      <c r="V140" s="164"/>
      <c r="W140" s="164"/>
      <c r="X140" s="169"/>
      <c r="Y140" s="370"/>
      <c r="Z140" s="164"/>
      <c r="AA140" s="169"/>
      <c r="AB140" s="370"/>
      <c r="AC140" s="164"/>
      <c r="AD140" s="164"/>
      <c r="AE140" s="370"/>
      <c r="AF140" s="164"/>
      <c r="AG140" s="169"/>
      <c r="AH140" s="370"/>
      <c r="AI140" s="164"/>
      <c r="AJ140" s="169"/>
      <c r="AK140" s="10"/>
      <c r="AL140" s="175"/>
      <c r="AM140" s="176"/>
      <c r="AN140" s="9"/>
    </row>
    <row r="141" spans="1:52" s="385" customFormat="1" ht="24.95" customHeight="1" x14ac:dyDescent="0.2">
      <c r="A141" s="762"/>
      <c r="B141" s="668"/>
      <c r="N141" s="9"/>
      <c r="R141" s="9"/>
      <c r="S141" s="718">
        <v>2010300</v>
      </c>
      <c r="T141" s="692" t="s">
        <v>288</v>
      </c>
      <c r="U141" s="135">
        <f t="shared" ref="U141:AJ141" si="172">U142+U143</f>
        <v>10780963</v>
      </c>
      <c r="V141" s="124">
        <f t="shared" si="172"/>
        <v>0</v>
      </c>
      <c r="W141" s="124">
        <f t="shared" si="172"/>
        <v>1487943</v>
      </c>
      <c r="X141" s="133">
        <f t="shared" si="172"/>
        <v>12268906</v>
      </c>
      <c r="Y141" s="131">
        <f t="shared" si="172"/>
        <v>0</v>
      </c>
      <c r="Z141" s="124">
        <f t="shared" si="172"/>
        <v>1487943</v>
      </c>
      <c r="AA141" s="133">
        <f t="shared" si="172"/>
        <v>1487943</v>
      </c>
      <c r="AB141" s="131">
        <f t="shared" si="172"/>
        <v>0</v>
      </c>
      <c r="AC141" s="124">
        <f t="shared" si="172"/>
        <v>1487943</v>
      </c>
      <c r="AD141" s="132">
        <f t="shared" si="172"/>
        <v>1487943</v>
      </c>
      <c r="AE141" s="131">
        <f t="shared" si="172"/>
        <v>0</v>
      </c>
      <c r="AF141" s="124">
        <f t="shared" si="172"/>
        <v>0</v>
      </c>
      <c r="AG141" s="133">
        <f t="shared" si="172"/>
        <v>0</v>
      </c>
      <c r="AH141" s="131">
        <f t="shared" si="172"/>
        <v>10780963</v>
      </c>
      <c r="AI141" s="124">
        <f t="shared" si="172"/>
        <v>10780963</v>
      </c>
      <c r="AJ141" s="133">
        <f t="shared" si="172"/>
        <v>12268906</v>
      </c>
      <c r="AK141" s="10"/>
      <c r="AL141" s="131">
        <f>AL142+AL143</f>
        <v>0</v>
      </c>
      <c r="AM141" s="133">
        <f>AM142+AM143</f>
        <v>1487943</v>
      </c>
      <c r="AN141" s="9"/>
    </row>
    <row r="142" spans="1:52" s="385" customFormat="1" ht="24.95" customHeight="1" x14ac:dyDescent="0.2">
      <c r="A142" s="762"/>
      <c r="B142" s="668"/>
      <c r="N142" s="9"/>
      <c r="R142" s="9"/>
      <c r="S142" s="719" t="s">
        <v>289</v>
      </c>
      <c r="T142" s="693" t="s">
        <v>290</v>
      </c>
      <c r="U142" s="401">
        <v>10780963</v>
      </c>
      <c r="V142" s="15">
        <f>AL142</f>
        <v>0</v>
      </c>
      <c r="W142" s="15">
        <f>AM142</f>
        <v>0</v>
      </c>
      <c r="X142" s="16">
        <f>SUM(U142:W142)</f>
        <v>10780963</v>
      </c>
      <c r="Y142" s="19">
        <v>0</v>
      </c>
      <c r="Z142" s="377">
        <v>0</v>
      </c>
      <c r="AA142" s="16">
        <f>SUM(Y142:Z142)</f>
        <v>0</v>
      </c>
      <c r="AB142" s="19">
        <v>0</v>
      </c>
      <c r="AC142" s="377">
        <v>0</v>
      </c>
      <c r="AD142" s="18">
        <f>SUM(AB142:AC142)</f>
        <v>0</v>
      </c>
      <c r="AE142" s="19">
        <v>0</v>
      </c>
      <c r="AF142" s="377">
        <v>0</v>
      </c>
      <c r="AG142" s="16">
        <f>SUM(AE142:AF142)</f>
        <v>0</v>
      </c>
      <c r="AH142" s="19">
        <f>X142-AA142</f>
        <v>10780963</v>
      </c>
      <c r="AI142" s="15">
        <f>X142-AD142</f>
        <v>10780963</v>
      </c>
      <c r="AJ142" s="16">
        <f>X142-AG142</f>
        <v>10780963</v>
      </c>
      <c r="AK142" s="9"/>
      <c r="AL142" s="375">
        <v>0</v>
      </c>
      <c r="AM142" s="378">
        <v>0</v>
      </c>
      <c r="AN142" s="9"/>
    </row>
    <row r="143" spans="1:52" s="385" customFormat="1" ht="24.95" customHeight="1" x14ac:dyDescent="0.2">
      <c r="A143" s="762"/>
      <c r="B143" s="668"/>
      <c r="N143" s="9"/>
      <c r="R143" s="9"/>
      <c r="S143" s="719">
        <v>2010399</v>
      </c>
      <c r="T143" s="693" t="s">
        <v>132</v>
      </c>
      <c r="U143" s="401">
        <v>0</v>
      </c>
      <c r="V143" s="15">
        <f>AL143</f>
        <v>0</v>
      </c>
      <c r="W143" s="15">
        <f>AM143</f>
        <v>1487943</v>
      </c>
      <c r="X143" s="16">
        <f>SUM(U143:W143)</f>
        <v>1487943</v>
      </c>
      <c r="Y143" s="19">
        <v>0</v>
      </c>
      <c r="Z143" s="377">
        <v>1487943</v>
      </c>
      <c r="AA143" s="16">
        <f>SUM(Y143:Z143)</f>
        <v>1487943</v>
      </c>
      <c r="AB143" s="19">
        <v>0</v>
      </c>
      <c r="AC143" s="377">
        <v>1487943</v>
      </c>
      <c r="AD143" s="18">
        <f>SUM(AB143:AC143)</f>
        <v>1487943</v>
      </c>
      <c r="AE143" s="19">
        <v>0</v>
      </c>
      <c r="AF143" s="377">
        <v>0</v>
      </c>
      <c r="AG143" s="16">
        <f>SUM(AE143:AF143)</f>
        <v>0</v>
      </c>
      <c r="AH143" s="19">
        <f>X143-AA143</f>
        <v>0</v>
      </c>
      <c r="AI143" s="15">
        <f>X143-AD143</f>
        <v>0</v>
      </c>
      <c r="AJ143" s="16">
        <f>X143-AG143</f>
        <v>1487943</v>
      </c>
      <c r="AK143" s="9"/>
      <c r="AL143" s="375">
        <v>0</v>
      </c>
      <c r="AM143" s="378">
        <v>1487943</v>
      </c>
      <c r="AN143" s="9"/>
    </row>
    <row r="144" spans="1:52" s="385" customFormat="1" ht="24.95" customHeight="1" x14ac:dyDescent="0.2">
      <c r="A144" s="762"/>
      <c r="B144" s="668"/>
      <c r="N144" s="9"/>
      <c r="R144" s="9"/>
      <c r="S144" s="369"/>
      <c r="T144" s="689"/>
      <c r="U144" s="164"/>
      <c r="V144" s="164"/>
      <c r="W144" s="164"/>
      <c r="X144" s="169"/>
      <c r="Y144" s="370"/>
      <c r="Z144" s="164"/>
      <c r="AA144" s="169"/>
      <c r="AB144" s="370"/>
      <c r="AC144" s="164"/>
      <c r="AD144" s="164"/>
      <c r="AE144" s="370"/>
      <c r="AF144" s="164"/>
      <c r="AG144" s="169"/>
      <c r="AH144" s="370"/>
      <c r="AI144" s="164"/>
      <c r="AJ144" s="169"/>
      <c r="AK144" s="9"/>
      <c r="AL144" s="175"/>
      <c r="AM144" s="176"/>
      <c r="AN144" s="9"/>
    </row>
    <row r="145" spans="1:40" s="385" customFormat="1" ht="24.95" customHeight="1" x14ac:dyDescent="0.2">
      <c r="A145" s="762"/>
      <c r="B145" s="668"/>
      <c r="N145" s="9"/>
      <c r="R145" s="9"/>
      <c r="S145" s="717">
        <v>2020010</v>
      </c>
      <c r="T145" s="691" t="s">
        <v>196</v>
      </c>
      <c r="U145" s="135">
        <f t="shared" ref="U145:AJ145" si="173">U147+U155</f>
        <v>323975875</v>
      </c>
      <c r="V145" s="124">
        <f t="shared" si="173"/>
        <v>0</v>
      </c>
      <c r="W145" s="124">
        <f t="shared" si="173"/>
        <v>104318515</v>
      </c>
      <c r="X145" s="133">
        <f t="shared" si="173"/>
        <v>428294390</v>
      </c>
      <c r="Y145" s="131">
        <f t="shared" si="173"/>
        <v>0</v>
      </c>
      <c r="Z145" s="124">
        <f t="shared" si="173"/>
        <v>91068253</v>
      </c>
      <c r="AA145" s="133">
        <f t="shared" si="173"/>
        <v>91068253</v>
      </c>
      <c r="AB145" s="131">
        <f t="shared" si="173"/>
        <v>0</v>
      </c>
      <c r="AC145" s="124">
        <f t="shared" si="173"/>
        <v>88100253</v>
      </c>
      <c r="AD145" s="132">
        <f t="shared" si="173"/>
        <v>88100253</v>
      </c>
      <c r="AE145" s="131">
        <f t="shared" si="173"/>
        <v>0</v>
      </c>
      <c r="AF145" s="124">
        <f t="shared" si="173"/>
        <v>11135264</v>
      </c>
      <c r="AG145" s="133">
        <f t="shared" si="173"/>
        <v>11135264</v>
      </c>
      <c r="AH145" s="131">
        <f t="shared" si="173"/>
        <v>337226137</v>
      </c>
      <c r="AI145" s="124">
        <f t="shared" si="173"/>
        <v>340194137</v>
      </c>
      <c r="AJ145" s="133">
        <f t="shared" si="173"/>
        <v>417159126</v>
      </c>
      <c r="AK145" s="10"/>
      <c r="AL145" s="131">
        <f>AL147+AL155</f>
        <v>0</v>
      </c>
      <c r="AM145" s="133">
        <f>AM147+AM155</f>
        <v>104318515</v>
      </c>
      <c r="AN145" s="9"/>
    </row>
    <row r="146" spans="1:40" s="385" customFormat="1" ht="24.95" customHeight="1" x14ac:dyDescent="0.2">
      <c r="A146" s="762"/>
      <c r="B146" s="668"/>
      <c r="N146" s="9"/>
      <c r="R146" s="9"/>
      <c r="S146" s="720"/>
      <c r="T146" s="694"/>
      <c r="U146" s="17"/>
      <c r="V146" s="15"/>
      <c r="W146" s="15"/>
      <c r="X146" s="16"/>
      <c r="Y146" s="19"/>
      <c r="Z146" s="15"/>
      <c r="AA146" s="16"/>
      <c r="AB146" s="19"/>
      <c r="AC146" s="15"/>
      <c r="AD146" s="18"/>
      <c r="AE146" s="19"/>
      <c r="AF146" s="15"/>
      <c r="AG146" s="16"/>
      <c r="AH146" s="19"/>
      <c r="AI146" s="15"/>
      <c r="AJ146" s="16"/>
      <c r="AK146" s="9"/>
      <c r="AL146" s="175"/>
      <c r="AM146" s="176"/>
      <c r="AN146" s="9"/>
    </row>
    <row r="147" spans="1:40" s="385" customFormat="1" ht="24.95" customHeight="1" x14ac:dyDescent="0.2">
      <c r="A147" s="762"/>
      <c r="B147" s="668"/>
      <c r="N147" s="9"/>
      <c r="R147" s="9"/>
      <c r="S147" s="718">
        <v>2020100</v>
      </c>
      <c r="T147" s="692" t="s">
        <v>249</v>
      </c>
      <c r="U147" s="135">
        <f t="shared" ref="U147:AJ147" si="174">SUM(U148:U149)+U153</f>
        <v>113248636</v>
      </c>
      <c r="V147" s="124">
        <f t="shared" si="174"/>
        <v>0</v>
      </c>
      <c r="W147" s="124">
        <f t="shared" si="174"/>
        <v>73780844</v>
      </c>
      <c r="X147" s="133">
        <f t="shared" si="174"/>
        <v>187029480</v>
      </c>
      <c r="Y147" s="131">
        <f t="shared" si="174"/>
        <v>0</v>
      </c>
      <c r="Z147" s="124">
        <f t="shared" si="174"/>
        <v>47221675</v>
      </c>
      <c r="AA147" s="133">
        <f t="shared" si="174"/>
        <v>47221675</v>
      </c>
      <c r="AB147" s="131">
        <f t="shared" si="174"/>
        <v>0</v>
      </c>
      <c r="AC147" s="124">
        <f t="shared" si="174"/>
        <v>47221675</v>
      </c>
      <c r="AD147" s="132">
        <f t="shared" si="174"/>
        <v>47221675</v>
      </c>
      <c r="AE147" s="131">
        <f t="shared" si="174"/>
        <v>0</v>
      </c>
      <c r="AF147" s="124">
        <f t="shared" si="174"/>
        <v>3076179</v>
      </c>
      <c r="AG147" s="133">
        <f t="shared" si="174"/>
        <v>3076179</v>
      </c>
      <c r="AH147" s="131">
        <f t="shared" si="174"/>
        <v>139807805</v>
      </c>
      <c r="AI147" s="124">
        <f t="shared" si="174"/>
        <v>139807805</v>
      </c>
      <c r="AJ147" s="133">
        <f t="shared" si="174"/>
        <v>183953301</v>
      </c>
      <c r="AK147" s="9"/>
      <c r="AL147" s="131">
        <f>SUM(AL148:AL149)+AL153</f>
        <v>0</v>
      </c>
      <c r="AM147" s="133">
        <f>SUM(AM148:AM149)+AM153</f>
        <v>73780844</v>
      </c>
      <c r="AN147" s="9"/>
    </row>
    <row r="148" spans="1:40" s="385" customFormat="1" ht="24.95" customHeight="1" x14ac:dyDescent="0.2">
      <c r="A148" s="762"/>
      <c r="B148" s="668"/>
      <c r="N148" s="9"/>
      <c r="R148" s="9"/>
      <c r="S148" s="719">
        <v>2020101</v>
      </c>
      <c r="T148" s="693" t="s">
        <v>291</v>
      </c>
      <c r="U148" s="401">
        <v>74533223</v>
      </c>
      <c r="V148" s="15">
        <f>AL148</f>
        <v>0</v>
      </c>
      <c r="W148" s="15">
        <f>AM148</f>
        <v>0</v>
      </c>
      <c r="X148" s="16">
        <f>SUM(U148:W148)</f>
        <v>74533223</v>
      </c>
      <c r="Y148" s="19">
        <v>0</v>
      </c>
      <c r="Z148" s="377">
        <v>10277315</v>
      </c>
      <c r="AA148" s="16">
        <f>SUM(Y148:Z148)</f>
        <v>10277315</v>
      </c>
      <c r="AB148" s="19">
        <v>0</v>
      </c>
      <c r="AC148" s="377">
        <v>10277315</v>
      </c>
      <c r="AD148" s="18">
        <f>SUM(AB148:AC148)</f>
        <v>10277315</v>
      </c>
      <c r="AE148" s="19">
        <v>0</v>
      </c>
      <c r="AF148" s="377">
        <v>1639779</v>
      </c>
      <c r="AG148" s="16">
        <f>SUM(AE148:AF148)</f>
        <v>1639779</v>
      </c>
      <c r="AH148" s="19">
        <f>X148-AA148</f>
        <v>64255908</v>
      </c>
      <c r="AI148" s="15">
        <f>X148-AD148</f>
        <v>64255908</v>
      </c>
      <c r="AJ148" s="16">
        <f>X148-AG148</f>
        <v>72893444</v>
      </c>
      <c r="AK148" s="9"/>
      <c r="AL148" s="375">
        <v>0</v>
      </c>
      <c r="AM148" s="378">
        <v>0</v>
      </c>
      <c r="AN148" s="9"/>
    </row>
    <row r="149" spans="1:40" s="385" customFormat="1" ht="24.95" customHeight="1" x14ac:dyDescent="0.2">
      <c r="A149" s="762"/>
      <c r="B149" s="668"/>
      <c r="N149" s="9"/>
      <c r="R149" s="9"/>
      <c r="S149" s="719">
        <v>2020102</v>
      </c>
      <c r="T149" s="693" t="s">
        <v>82</v>
      </c>
      <c r="U149" s="17">
        <f t="shared" ref="U149:AJ149" si="175">SUM(U150:U152)</f>
        <v>38715413</v>
      </c>
      <c r="V149" s="15">
        <f t="shared" si="175"/>
        <v>0</v>
      </c>
      <c r="W149" s="15">
        <f t="shared" si="175"/>
        <v>40000000</v>
      </c>
      <c r="X149" s="16">
        <f t="shared" si="175"/>
        <v>78715413</v>
      </c>
      <c r="Y149" s="19">
        <f t="shared" si="175"/>
        <v>0</v>
      </c>
      <c r="Z149" s="145">
        <f t="shared" si="175"/>
        <v>3163516</v>
      </c>
      <c r="AA149" s="16">
        <f t="shared" si="175"/>
        <v>3163516</v>
      </c>
      <c r="AB149" s="19">
        <f t="shared" si="175"/>
        <v>0</v>
      </c>
      <c r="AC149" s="145">
        <f t="shared" si="175"/>
        <v>3163516</v>
      </c>
      <c r="AD149" s="18">
        <f t="shared" si="175"/>
        <v>3163516</v>
      </c>
      <c r="AE149" s="19">
        <f t="shared" si="175"/>
        <v>0</v>
      </c>
      <c r="AF149" s="145">
        <f t="shared" si="175"/>
        <v>0</v>
      </c>
      <c r="AG149" s="16">
        <f t="shared" si="175"/>
        <v>0</v>
      </c>
      <c r="AH149" s="19">
        <f t="shared" si="175"/>
        <v>75551897</v>
      </c>
      <c r="AI149" s="15">
        <f t="shared" si="175"/>
        <v>75551897</v>
      </c>
      <c r="AJ149" s="16">
        <f t="shared" si="175"/>
        <v>78715413</v>
      </c>
      <c r="AK149" s="9"/>
      <c r="AL149" s="29">
        <f>SUM(AL150:AL152)</f>
        <v>0</v>
      </c>
      <c r="AM149" s="26">
        <f>SUM(AM150:AM152)</f>
        <v>40000000</v>
      </c>
      <c r="AN149" s="9"/>
    </row>
    <row r="150" spans="1:40" s="385" customFormat="1" ht="24.95" customHeight="1" x14ac:dyDescent="0.2">
      <c r="A150" s="762"/>
      <c r="B150" s="668"/>
      <c r="N150" s="9"/>
      <c r="R150" s="9"/>
      <c r="S150" s="720" t="s">
        <v>292</v>
      </c>
      <c r="T150" s="694" t="s">
        <v>426</v>
      </c>
      <c r="U150" s="401">
        <v>0</v>
      </c>
      <c r="V150" s="15">
        <f t="shared" ref="V150:W153" si="176">AL150</f>
        <v>0</v>
      </c>
      <c r="W150" s="15">
        <f t="shared" si="176"/>
        <v>40000000</v>
      </c>
      <c r="X150" s="16">
        <f>SUM(U150:W150)</f>
        <v>40000000</v>
      </c>
      <c r="Y150" s="19">
        <v>0</v>
      </c>
      <c r="Z150" s="377">
        <v>0</v>
      </c>
      <c r="AA150" s="16">
        <f>SUM(Y150:Z150)</f>
        <v>0</v>
      </c>
      <c r="AB150" s="19">
        <v>0</v>
      </c>
      <c r="AC150" s="377">
        <v>0</v>
      </c>
      <c r="AD150" s="18">
        <f>SUM(AB150:AC150)</f>
        <v>0</v>
      </c>
      <c r="AE150" s="19">
        <v>0</v>
      </c>
      <c r="AF150" s="377">
        <v>0</v>
      </c>
      <c r="AG150" s="16">
        <f>SUM(AE150:AF150)</f>
        <v>0</v>
      </c>
      <c r="AH150" s="19">
        <f>X150-AA150</f>
        <v>40000000</v>
      </c>
      <c r="AI150" s="15">
        <f>X150-AD150</f>
        <v>40000000</v>
      </c>
      <c r="AJ150" s="16">
        <f>X150-AG150</f>
        <v>40000000</v>
      </c>
      <c r="AK150" s="9"/>
      <c r="AL150" s="375">
        <v>0</v>
      </c>
      <c r="AM150" s="378">
        <v>40000000</v>
      </c>
      <c r="AN150" s="9"/>
    </row>
    <row r="151" spans="1:40" s="385" customFormat="1" ht="24.95" customHeight="1" x14ac:dyDescent="0.2">
      <c r="A151" s="762"/>
      <c r="B151" s="668"/>
      <c r="N151" s="9"/>
      <c r="R151" s="9"/>
      <c r="S151" s="720" t="s">
        <v>293</v>
      </c>
      <c r="T151" s="694" t="s">
        <v>254</v>
      </c>
      <c r="U151" s="401">
        <v>15288294</v>
      </c>
      <c r="V151" s="15">
        <f t="shared" si="176"/>
        <v>0</v>
      </c>
      <c r="W151" s="15">
        <f t="shared" si="176"/>
        <v>0</v>
      </c>
      <c r="X151" s="16">
        <f>SUM(U151:W151)</f>
        <v>15288294</v>
      </c>
      <c r="Y151" s="19">
        <v>0</v>
      </c>
      <c r="Z151" s="377">
        <v>757480</v>
      </c>
      <c r="AA151" s="16">
        <f>SUM(Y151:Z151)</f>
        <v>757480</v>
      </c>
      <c r="AB151" s="19">
        <v>0</v>
      </c>
      <c r="AC151" s="377">
        <v>757480</v>
      </c>
      <c r="AD151" s="18">
        <f>SUM(AB151:AC151)</f>
        <v>757480</v>
      </c>
      <c r="AE151" s="19">
        <v>0</v>
      </c>
      <c r="AF151" s="377">
        <v>0</v>
      </c>
      <c r="AG151" s="16">
        <f>SUM(AE151:AF151)</f>
        <v>0</v>
      </c>
      <c r="AH151" s="19">
        <f>X151-AA151</f>
        <v>14530814</v>
      </c>
      <c r="AI151" s="15">
        <f>X151-AD151</f>
        <v>14530814</v>
      </c>
      <c r="AJ151" s="16">
        <f>X151-AG151</f>
        <v>15288294</v>
      </c>
      <c r="AK151" s="9"/>
      <c r="AL151" s="375">
        <v>0</v>
      </c>
      <c r="AM151" s="378">
        <v>0</v>
      </c>
      <c r="AN151" s="9"/>
    </row>
    <row r="152" spans="1:40" s="385" customFormat="1" ht="24.95" customHeight="1" x14ac:dyDescent="0.2">
      <c r="A152" s="762"/>
      <c r="B152" s="668"/>
      <c r="N152" s="9"/>
      <c r="R152" s="9"/>
      <c r="S152" s="720" t="s">
        <v>294</v>
      </c>
      <c r="T152" s="695" t="s">
        <v>615</v>
      </c>
      <c r="U152" s="401">
        <v>23427119</v>
      </c>
      <c r="V152" s="15">
        <f t="shared" si="176"/>
        <v>0</v>
      </c>
      <c r="W152" s="15">
        <f t="shared" si="176"/>
        <v>0</v>
      </c>
      <c r="X152" s="16">
        <f>SUM(U152:W152)</f>
        <v>23427119</v>
      </c>
      <c r="Y152" s="19">
        <v>0</v>
      </c>
      <c r="Z152" s="377">
        <v>2406036</v>
      </c>
      <c r="AA152" s="16">
        <f>SUM(Y152:Z152)</f>
        <v>2406036</v>
      </c>
      <c r="AB152" s="19">
        <v>0</v>
      </c>
      <c r="AC152" s="377">
        <v>2406036</v>
      </c>
      <c r="AD152" s="18">
        <f>SUM(AB152:AC152)</f>
        <v>2406036</v>
      </c>
      <c r="AE152" s="19">
        <v>0</v>
      </c>
      <c r="AF152" s="377">
        <v>0</v>
      </c>
      <c r="AG152" s="16">
        <f>SUM(AE152:AF152)</f>
        <v>0</v>
      </c>
      <c r="AH152" s="19">
        <f>X152-AA152</f>
        <v>21021083</v>
      </c>
      <c r="AI152" s="15">
        <f>X152-AD152</f>
        <v>21021083</v>
      </c>
      <c r="AJ152" s="16">
        <f>X152-AG152</f>
        <v>23427119</v>
      </c>
      <c r="AK152" s="9"/>
      <c r="AL152" s="375">
        <v>0</v>
      </c>
      <c r="AM152" s="378">
        <v>0</v>
      </c>
      <c r="AN152" s="9"/>
    </row>
    <row r="153" spans="1:40" s="385" customFormat="1" ht="24.95" customHeight="1" x14ac:dyDescent="0.2">
      <c r="A153" s="762"/>
      <c r="B153" s="668"/>
      <c r="N153" s="9"/>
      <c r="R153" s="9"/>
      <c r="S153" s="719">
        <v>2020199</v>
      </c>
      <c r="T153" s="693" t="s">
        <v>132</v>
      </c>
      <c r="U153" s="401">
        <v>0</v>
      </c>
      <c r="V153" s="15">
        <f t="shared" si="176"/>
        <v>0</v>
      </c>
      <c r="W153" s="15">
        <f t="shared" si="176"/>
        <v>33780844</v>
      </c>
      <c r="X153" s="16">
        <f>SUM(U153:W153)</f>
        <v>33780844</v>
      </c>
      <c r="Y153" s="19">
        <v>0</v>
      </c>
      <c r="Z153" s="377">
        <v>33780844</v>
      </c>
      <c r="AA153" s="16">
        <f>SUM(Y153:Z153)</f>
        <v>33780844</v>
      </c>
      <c r="AB153" s="19">
        <v>0</v>
      </c>
      <c r="AC153" s="377">
        <v>33780844</v>
      </c>
      <c r="AD153" s="18">
        <f>SUM(AB153:AC153)</f>
        <v>33780844</v>
      </c>
      <c r="AE153" s="19">
        <v>0</v>
      </c>
      <c r="AF153" s="377">
        <v>1436400</v>
      </c>
      <c r="AG153" s="16">
        <f>SUM(AE153:AF153)</f>
        <v>1436400</v>
      </c>
      <c r="AH153" s="19">
        <f>X153-AA153</f>
        <v>0</v>
      </c>
      <c r="AI153" s="15">
        <f>X153-AD153</f>
        <v>0</v>
      </c>
      <c r="AJ153" s="16">
        <f>X153-AG153</f>
        <v>32344444</v>
      </c>
      <c r="AK153" s="9"/>
      <c r="AL153" s="375">
        <v>0</v>
      </c>
      <c r="AM153" s="378">
        <v>33780844</v>
      </c>
      <c r="AN153" s="9"/>
    </row>
    <row r="154" spans="1:40" s="385" customFormat="1" ht="24.95" customHeight="1" x14ac:dyDescent="0.2">
      <c r="A154" s="762"/>
      <c r="B154" s="668"/>
      <c r="N154" s="9"/>
      <c r="R154" s="9"/>
      <c r="S154" s="369"/>
      <c r="T154" s="689"/>
      <c r="U154" s="164"/>
      <c r="V154" s="164"/>
      <c r="W154" s="164"/>
      <c r="X154" s="169"/>
      <c r="Y154" s="370"/>
      <c r="Z154" s="164"/>
      <c r="AA154" s="169"/>
      <c r="AB154" s="370"/>
      <c r="AC154" s="164"/>
      <c r="AD154" s="164"/>
      <c r="AE154" s="370"/>
      <c r="AF154" s="164"/>
      <c r="AG154" s="169"/>
      <c r="AH154" s="370"/>
      <c r="AI154" s="164"/>
      <c r="AJ154" s="169"/>
      <c r="AK154" s="9"/>
      <c r="AL154" s="175"/>
      <c r="AM154" s="176"/>
      <c r="AN154" s="9"/>
    </row>
    <row r="155" spans="1:40" s="385" customFormat="1" ht="24.95" customHeight="1" x14ac:dyDescent="0.2">
      <c r="A155" s="762"/>
      <c r="B155" s="668"/>
      <c r="N155" s="9"/>
      <c r="R155" s="9"/>
      <c r="S155" s="718">
        <v>2020200</v>
      </c>
      <c r="T155" s="692" t="s">
        <v>262</v>
      </c>
      <c r="U155" s="135">
        <f t="shared" ref="U155:AJ155" si="177">SUM(U156:U157)+U168</f>
        <v>210727239</v>
      </c>
      <c r="V155" s="124">
        <f t="shared" si="177"/>
        <v>0</v>
      </c>
      <c r="W155" s="124">
        <f t="shared" si="177"/>
        <v>30537671</v>
      </c>
      <c r="X155" s="133">
        <f t="shared" si="177"/>
        <v>241264910</v>
      </c>
      <c r="Y155" s="131">
        <f t="shared" si="177"/>
        <v>0</v>
      </c>
      <c r="Z155" s="124">
        <f t="shared" si="177"/>
        <v>43846578</v>
      </c>
      <c r="AA155" s="133">
        <f t="shared" si="177"/>
        <v>43846578</v>
      </c>
      <c r="AB155" s="131">
        <f t="shared" si="177"/>
        <v>0</v>
      </c>
      <c r="AC155" s="124">
        <f t="shared" si="177"/>
        <v>40878578</v>
      </c>
      <c r="AD155" s="132">
        <f t="shared" si="177"/>
        <v>40878578</v>
      </c>
      <c r="AE155" s="131">
        <f t="shared" si="177"/>
        <v>0</v>
      </c>
      <c r="AF155" s="124">
        <f t="shared" si="177"/>
        <v>8059085</v>
      </c>
      <c r="AG155" s="133">
        <f t="shared" si="177"/>
        <v>8059085</v>
      </c>
      <c r="AH155" s="131">
        <f t="shared" si="177"/>
        <v>197418332</v>
      </c>
      <c r="AI155" s="124">
        <f t="shared" si="177"/>
        <v>200386332</v>
      </c>
      <c r="AJ155" s="133">
        <f t="shared" si="177"/>
        <v>233205825</v>
      </c>
      <c r="AK155" s="9"/>
      <c r="AL155" s="131">
        <f>SUM(AL156:AL157)+AL168</f>
        <v>0</v>
      </c>
      <c r="AM155" s="133">
        <f>SUM(AM156:AM157)+AM168</f>
        <v>30537671</v>
      </c>
      <c r="AN155" s="9"/>
    </row>
    <row r="156" spans="1:40" s="385" customFormat="1" ht="24.95" customHeight="1" x14ac:dyDescent="0.2">
      <c r="A156" s="762"/>
      <c r="B156" s="668"/>
      <c r="N156" s="9"/>
      <c r="P156" s="9"/>
      <c r="Q156" s="9"/>
      <c r="R156" s="9"/>
      <c r="S156" s="719">
        <v>2020201</v>
      </c>
      <c r="T156" s="693" t="s">
        <v>291</v>
      </c>
      <c r="U156" s="401">
        <v>82251828</v>
      </c>
      <c r="V156" s="15">
        <f>AL156</f>
        <v>0</v>
      </c>
      <c r="W156" s="15">
        <f>AM156</f>
        <v>0</v>
      </c>
      <c r="X156" s="16">
        <f>SUM(U156:W156)</f>
        <v>82251828</v>
      </c>
      <c r="Y156" s="19">
        <v>0</v>
      </c>
      <c r="Z156" s="377">
        <v>7092707</v>
      </c>
      <c r="AA156" s="16">
        <f>SUM(Y156:Z156)</f>
        <v>7092707</v>
      </c>
      <c r="AB156" s="19">
        <v>0</v>
      </c>
      <c r="AC156" s="377">
        <v>4124707</v>
      </c>
      <c r="AD156" s="18">
        <f>SUM(AB156:AC156)</f>
        <v>4124707</v>
      </c>
      <c r="AE156" s="19">
        <v>0</v>
      </c>
      <c r="AF156" s="377">
        <v>3912630</v>
      </c>
      <c r="AG156" s="16">
        <f>SUM(AE156:AF156)</f>
        <v>3912630</v>
      </c>
      <c r="AH156" s="19">
        <f>X156-AA156</f>
        <v>75159121</v>
      </c>
      <c r="AI156" s="15">
        <f>X156-AD156</f>
        <v>78127121</v>
      </c>
      <c r="AJ156" s="16">
        <f>X156-AG156</f>
        <v>78339198</v>
      </c>
      <c r="AK156" s="9"/>
      <c r="AL156" s="375">
        <v>0</v>
      </c>
      <c r="AM156" s="378">
        <v>0</v>
      </c>
      <c r="AN156" s="9"/>
    </row>
    <row r="157" spans="1:40" s="385" customFormat="1" ht="24.95" customHeight="1" x14ac:dyDescent="0.2">
      <c r="A157" s="762"/>
      <c r="B157" s="668"/>
      <c r="N157" s="9"/>
      <c r="P157" s="9"/>
      <c r="Q157" s="9"/>
      <c r="R157" s="9"/>
      <c r="S157" s="719">
        <v>2020202</v>
      </c>
      <c r="T157" s="693" t="s">
        <v>82</v>
      </c>
      <c r="U157" s="27">
        <f>SUM(U158:U167)</f>
        <v>128475411</v>
      </c>
      <c r="V157" s="27">
        <f t="shared" ref="V157:AJ157" si="178">SUM(V158:V167)</f>
        <v>0</v>
      </c>
      <c r="W157" s="27">
        <f t="shared" si="178"/>
        <v>2000000</v>
      </c>
      <c r="X157" s="16">
        <f t="shared" si="178"/>
        <v>130475411</v>
      </c>
      <c r="Y157" s="29">
        <f t="shared" si="178"/>
        <v>0</v>
      </c>
      <c r="Z157" s="27">
        <f t="shared" si="178"/>
        <v>8216200</v>
      </c>
      <c r="AA157" s="174">
        <f t="shared" si="178"/>
        <v>8216200</v>
      </c>
      <c r="AB157" s="193">
        <f t="shared" si="178"/>
        <v>0</v>
      </c>
      <c r="AC157" s="209">
        <f t="shared" si="178"/>
        <v>8216200</v>
      </c>
      <c r="AD157" s="18">
        <f t="shared" si="178"/>
        <v>8216200</v>
      </c>
      <c r="AE157" s="29">
        <f t="shared" si="178"/>
        <v>0</v>
      </c>
      <c r="AF157" s="27">
        <f t="shared" si="178"/>
        <v>0</v>
      </c>
      <c r="AG157" s="174">
        <f t="shared" si="178"/>
        <v>0</v>
      </c>
      <c r="AH157" s="29">
        <f t="shared" si="178"/>
        <v>122259211</v>
      </c>
      <c r="AI157" s="27">
        <f t="shared" si="178"/>
        <v>122259211</v>
      </c>
      <c r="AJ157" s="174">
        <f t="shared" si="178"/>
        <v>130475411</v>
      </c>
      <c r="AK157" s="10"/>
      <c r="AL157" s="29">
        <f>SUM(AL158:AL167)</f>
        <v>0</v>
      </c>
      <c r="AM157" s="26">
        <f>SUM(AM158:AM167)</f>
        <v>2000000</v>
      </c>
      <c r="AN157" s="9"/>
    </row>
    <row r="158" spans="1:40" s="385" customFormat="1" ht="24.95" customHeight="1" x14ac:dyDescent="0.2">
      <c r="A158" s="762"/>
      <c r="B158" s="668"/>
      <c r="N158" s="9"/>
      <c r="P158" s="9"/>
      <c r="Q158" s="9"/>
      <c r="R158" s="9"/>
      <c r="S158" s="720" t="s">
        <v>295</v>
      </c>
      <c r="T158" s="694" t="s">
        <v>264</v>
      </c>
      <c r="U158" s="401">
        <v>15745455</v>
      </c>
      <c r="V158" s="15">
        <f t="shared" ref="V158:V168" si="179">AL158</f>
        <v>0</v>
      </c>
      <c r="W158" s="15">
        <f t="shared" ref="W158:W168" si="180">AM158</f>
        <v>0</v>
      </c>
      <c r="X158" s="16">
        <f t="shared" ref="X158:X168" si="181">SUM(U158:W158)</f>
        <v>15745455</v>
      </c>
      <c r="Y158" s="19">
        <v>0</v>
      </c>
      <c r="Z158" s="377">
        <v>0</v>
      </c>
      <c r="AA158" s="16">
        <f t="shared" ref="AA158:AA168" si="182">SUM(Y158:Z158)</f>
        <v>0</v>
      </c>
      <c r="AB158" s="19">
        <v>0</v>
      </c>
      <c r="AC158" s="377">
        <v>0</v>
      </c>
      <c r="AD158" s="18">
        <f t="shared" ref="AD158:AD168" si="183">SUM(AB158:AC158)</f>
        <v>0</v>
      </c>
      <c r="AE158" s="19">
        <v>0</v>
      </c>
      <c r="AF158" s="377">
        <v>0</v>
      </c>
      <c r="AG158" s="16">
        <f t="shared" ref="AG158:AG168" si="184">SUM(AE158:AF158)</f>
        <v>0</v>
      </c>
      <c r="AH158" s="19">
        <f t="shared" ref="AH158:AH168" si="185">X158-AA158</f>
        <v>15745455</v>
      </c>
      <c r="AI158" s="15">
        <f t="shared" ref="AI158:AI168" si="186">X158-AD158</f>
        <v>15745455</v>
      </c>
      <c r="AJ158" s="16">
        <f t="shared" ref="AJ158:AJ168" si="187">X158-AG158</f>
        <v>15745455</v>
      </c>
      <c r="AK158" s="9"/>
      <c r="AL158" s="375">
        <v>0</v>
      </c>
      <c r="AM158" s="378">
        <v>0</v>
      </c>
      <c r="AN158" s="9"/>
    </row>
    <row r="159" spans="1:40" s="385" customFormat="1" ht="24.95" customHeight="1" x14ac:dyDescent="0.2">
      <c r="A159" s="762"/>
      <c r="B159" s="668"/>
      <c r="N159" s="9"/>
      <c r="P159" s="9"/>
      <c r="Q159" s="9"/>
      <c r="R159" s="9"/>
      <c r="S159" s="720" t="s">
        <v>296</v>
      </c>
      <c r="T159" s="694" t="s">
        <v>266</v>
      </c>
      <c r="U159" s="401">
        <v>0</v>
      </c>
      <c r="V159" s="15">
        <f t="shared" si="179"/>
        <v>0</v>
      </c>
      <c r="W159" s="15">
        <f t="shared" si="180"/>
        <v>0</v>
      </c>
      <c r="X159" s="16">
        <f t="shared" si="181"/>
        <v>0</v>
      </c>
      <c r="Y159" s="19">
        <v>0</v>
      </c>
      <c r="Z159" s="377">
        <v>0</v>
      </c>
      <c r="AA159" s="16">
        <f t="shared" si="182"/>
        <v>0</v>
      </c>
      <c r="AB159" s="19">
        <v>0</v>
      </c>
      <c r="AC159" s="377">
        <v>0</v>
      </c>
      <c r="AD159" s="18">
        <f t="shared" si="183"/>
        <v>0</v>
      </c>
      <c r="AE159" s="19">
        <v>0</v>
      </c>
      <c r="AF159" s="377">
        <v>0</v>
      </c>
      <c r="AG159" s="16">
        <f t="shared" si="184"/>
        <v>0</v>
      </c>
      <c r="AH159" s="19">
        <f t="shared" si="185"/>
        <v>0</v>
      </c>
      <c r="AI159" s="15">
        <f t="shared" si="186"/>
        <v>0</v>
      </c>
      <c r="AJ159" s="16">
        <f t="shared" si="187"/>
        <v>0</v>
      </c>
      <c r="AK159" s="9"/>
      <c r="AL159" s="375">
        <v>0</v>
      </c>
      <c r="AM159" s="378">
        <v>0</v>
      </c>
      <c r="AN159" s="9"/>
    </row>
    <row r="160" spans="1:40" s="385" customFormat="1" ht="24.95" customHeight="1" x14ac:dyDescent="0.2">
      <c r="A160" s="762"/>
      <c r="B160" s="668"/>
      <c r="N160" s="9"/>
      <c r="P160" s="9"/>
      <c r="Q160" s="9"/>
      <c r="R160" s="9"/>
      <c r="S160" s="720" t="s">
        <v>297</v>
      </c>
      <c r="T160" s="694" t="s">
        <v>469</v>
      </c>
      <c r="U160" s="401">
        <v>893693</v>
      </c>
      <c r="V160" s="15">
        <f t="shared" si="179"/>
        <v>0</v>
      </c>
      <c r="W160" s="15">
        <f t="shared" si="180"/>
        <v>2000000</v>
      </c>
      <c r="X160" s="16">
        <f t="shared" si="181"/>
        <v>2893693</v>
      </c>
      <c r="Y160" s="19">
        <v>0</v>
      </c>
      <c r="Z160" s="377">
        <v>96800</v>
      </c>
      <c r="AA160" s="16">
        <f t="shared" si="182"/>
        <v>96800</v>
      </c>
      <c r="AB160" s="19">
        <v>0</v>
      </c>
      <c r="AC160" s="377">
        <v>96800</v>
      </c>
      <c r="AD160" s="18">
        <f t="shared" si="183"/>
        <v>96800</v>
      </c>
      <c r="AE160" s="19">
        <v>0</v>
      </c>
      <c r="AF160" s="377">
        <v>0</v>
      </c>
      <c r="AG160" s="16">
        <f t="shared" si="184"/>
        <v>0</v>
      </c>
      <c r="AH160" s="19">
        <f t="shared" si="185"/>
        <v>2796893</v>
      </c>
      <c r="AI160" s="15">
        <f t="shared" si="186"/>
        <v>2796893</v>
      </c>
      <c r="AJ160" s="16">
        <f t="shared" si="187"/>
        <v>2893693</v>
      </c>
      <c r="AK160" s="9"/>
      <c r="AL160" s="375">
        <v>0</v>
      </c>
      <c r="AM160" s="378">
        <v>2000000</v>
      </c>
      <c r="AN160" s="9"/>
    </row>
    <row r="161" spans="1:40" s="385" customFormat="1" ht="24.95" customHeight="1" x14ac:dyDescent="0.2">
      <c r="A161" s="762"/>
      <c r="B161" s="668"/>
      <c r="N161" s="9"/>
      <c r="P161" s="9"/>
      <c r="Q161" s="9"/>
      <c r="R161" s="9"/>
      <c r="S161" s="720" t="s">
        <v>298</v>
      </c>
      <c r="T161" s="694" t="s">
        <v>270</v>
      </c>
      <c r="U161" s="401">
        <v>9528246</v>
      </c>
      <c r="V161" s="15">
        <f t="shared" si="179"/>
        <v>0</v>
      </c>
      <c r="W161" s="15">
        <f t="shared" si="180"/>
        <v>0</v>
      </c>
      <c r="X161" s="16">
        <f t="shared" si="181"/>
        <v>9528246</v>
      </c>
      <c r="Y161" s="19">
        <v>0</v>
      </c>
      <c r="Z161" s="377">
        <v>414812</v>
      </c>
      <c r="AA161" s="16">
        <f t="shared" si="182"/>
        <v>414812</v>
      </c>
      <c r="AB161" s="19">
        <v>0</v>
      </c>
      <c r="AC161" s="377">
        <v>414812</v>
      </c>
      <c r="AD161" s="18">
        <f t="shared" si="183"/>
        <v>414812</v>
      </c>
      <c r="AE161" s="19">
        <v>0</v>
      </c>
      <c r="AF161" s="377">
        <v>0</v>
      </c>
      <c r="AG161" s="16">
        <f t="shared" si="184"/>
        <v>0</v>
      </c>
      <c r="AH161" s="19">
        <f t="shared" si="185"/>
        <v>9113434</v>
      </c>
      <c r="AI161" s="15">
        <f t="shared" si="186"/>
        <v>9113434</v>
      </c>
      <c r="AJ161" s="16">
        <f t="shared" si="187"/>
        <v>9528246</v>
      </c>
      <c r="AK161" s="9"/>
      <c r="AL161" s="375">
        <v>0</v>
      </c>
      <c r="AM161" s="378">
        <v>0</v>
      </c>
      <c r="AN161" s="9"/>
    </row>
    <row r="162" spans="1:40" s="385" customFormat="1" ht="24.95" customHeight="1" x14ac:dyDescent="0.2">
      <c r="A162" s="762"/>
      <c r="B162" s="668"/>
      <c r="N162" s="9"/>
      <c r="P162" s="9"/>
      <c r="Q162" s="9"/>
      <c r="R162" s="9"/>
      <c r="S162" s="720" t="s">
        <v>299</v>
      </c>
      <c r="T162" s="694" t="s">
        <v>272</v>
      </c>
      <c r="U162" s="401">
        <v>3326745</v>
      </c>
      <c r="V162" s="15">
        <f t="shared" si="179"/>
        <v>0</v>
      </c>
      <c r="W162" s="15">
        <f t="shared" si="180"/>
        <v>0</v>
      </c>
      <c r="X162" s="16">
        <f t="shared" si="181"/>
        <v>3326745</v>
      </c>
      <c r="Y162" s="19">
        <v>0</v>
      </c>
      <c r="Z162" s="377">
        <v>0</v>
      </c>
      <c r="AA162" s="16">
        <f t="shared" si="182"/>
        <v>0</v>
      </c>
      <c r="AB162" s="19">
        <v>0</v>
      </c>
      <c r="AC162" s="377">
        <v>0</v>
      </c>
      <c r="AD162" s="18">
        <f t="shared" si="183"/>
        <v>0</v>
      </c>
      <c r="AE162" s="19">
        <v>0</v>
      </c>
      <c r="AF162" s="377">
        <v>0</v>
      </c>
      <c r="AG162" s="16">
        <f t="shared" si="184"/>
        <v>0</v>
      </c>
      <c r="AH162" s="19">
        <f t="shared" si="185"/>
        <v>3326745</v>
      </c>
      <c r="AI162" s="15">
        <f t="shared" si="186"/>
        <v>3326745</v>
      </c>
      <c r="AJ162" s="16">
        <f t="shared" si="187"/>
        <v>3326745</v>
      </c>
      <c r="AK162" s="9"/>
      <c r="AL162" s="375">
        <v>0</v>
      </c>
      <c r="AM162" s="378">
        <v>0</v>
      </c>
      <c r="AN162" s="9"/>
    </row>
    <row r="163" spans="1:40" s="385" customFormat="1" ht="24.95" customHeight="1" x14ac:dyDescent="0.2">
      <c r="A163" s="762"/>
      <c r="B163" s="668"/>
      <c r="N163" s="9"/>
      <c r="P163" s="9"/>
      <c r="Q163" s="9"/>
      <c r="R163" s="9"/>
      <c r="S163" s="720" t="s">
        <v>300</v>
      </c>
      <c r="T163" s="694" t="s">
        <v>301</v>
      </c>
      <c r="U163" s="401">
        <v>10511470</v>
      </c>
      <c r="V163" s="15">
        <f t="shared" si="179"/>
        <v>0</v>
      </c>
      <c r="W163" s="15">
        <f t="shared" si="180"/>
        <v>0</v>
      </c>
      <c r="X163" s="16">
        <f t="shared" si="181"/>
        <v>10511470</v>
      </c>
      <c r="Y163" s="19">
        <v>0</v>
      </c>
      <c r="Z163" s="377">
        <v>470488</v>
      </c>
      <c r="AA163" s="16">
        <f t="shared" si="182"/>
        <v>470488</v>
      </c>
      <c r="AB163" s="19">
        <v>0</v>
      </c>
      <c r="AC163" s="377">
        <v>470488</v>
      </c>
      <c r="AD163" s="18">
        <f t="shared" si="183"/>
        <v>470488</v>
      </c>
      <c r="AE163" s="19">
        <v>0</v>
      </c>
      <c r="AF163" s="377">
        <v>0</v>
      </c>
      <c r="AG163" s="16">
        <f t="shared" si="184"/>
        <v>0</v>
      </c>
      <c r="AH163" s="19">
        <f t="shared" si="185"/>
        <v>10040982</v>
      </c>
      <c r="AI163" s="15">
        <f t="shared" si="186"/>
        <v>10040982</v>
      </c>
      <c r="AJ163" s="16">
        <f t="shared" si="187"/>
        <v>10511470</v>
      </c>
      <c r="AK163" s="9"/>
      <c r="AL163" s="375">
        <v>0</v>
      </c>
      <c r="AM163" s="378">
        <v>0</v>
      </c>
      <c r="AN163" s="9"/>
    </row>
    <row r="164" spans="1:40" s="385" customFormat="1" ht="24.95" customHeight="1" x14ac:dyDescent="0.2">
      <c r="A164" s="762"/>
      <c r="B164" s="668"/>
      <c r="N164" s="9"/>
      <c r="P164" s="9"/>
      <c r="Q164" s="9"/>
      <c r="R164" s="9"/>
      <c r="S164" s="720" t="s">
        <v>302</v>
      </c>
      <c r="T164" s="694" t="s">
        <v>303</v>
      </c>
      <c r="U164" s="401">
        <v>21580478</v>
      </c>
      <c r="V164" s="15">
        <f t="shared" si="179"/>
        <v>0</v>
      </c>
      <c r="W164" s="15">
        <f t="shared" si="180"/>
        <v>0</v>
      </c>
      <c r="X164" s="16">
        <f t="shared" si="181"/>
        <v>21580478</v>
      </c>
      <c r="Y164" s="19">
        <v>0</v>
      </c>
      <c r="Z164" s="377">
        <v>1614400</v>
      </c>
      <c r="AA164" s="16">
        <f t="shared" si="182"/>
        <v>1614400</v>
      </c>
      <c r="AB164" s="19">
        <v>0</v>
      </c>
      <c r="AC164" s="377">
        <v>1614400</v>
      </c>
      <c r="AD164" s="18">
        <f t="shared" si="183"/>
        <v>1614400</v>
      </c>
      <c r="AE164" s="19">
        <v>0</v>
      </c>
      <c r="AF164" s="377">
        <v>0</v>
      </c>
      <c r="AG164" s="16">
        <f t="shared" si="184"/>
        <v>0</v>
      </c>
      <c r="AH164" s="19">
        <f t="shared" si="185"/>
        <v>19966078</v>
      </c>
      <c r="AI164" s="15">
        <f t="shared" si="186"/>
        <v>19966078</v>
      </c>
      <c r="AJ164" s="16">
        <f t="shared" si="187"/>
        <v>21580478</v>
      </c>
      <c r="AK164" s="9"/>
      <c r="AL164" s="375">
        <v>0</v>
      </c>
      <c r="AM164" s="378">
        <v>0</v>
      </c>
      <c r="AN164" s="9"/>
    </row>
    <row r="165" spans="1:40" s="385" customFormat="1" ht="24.95" customHeight="1" x14ac:dyDescent="0.2">
      <c r="A165" s="762"/>
      <c r="B165" s="668"/>
      <c r="N165" s="9"/>
      <c r="P165" s="9"/>
      <c r="Q165" s="9"/>
      <c r="R165" s="9"/>
      <c r="S165" s="720" t="s">
        <v>304</v>
      </c>
      <c r="T165" s="694" t="s">
        <v>305</v>
      </c>
      <c r="U165" s="401">
        <v>0</v>
      </c>
      <c r="V165" s="15">
        <f t="shared" si="179"/>
        <v>0</v>
      </c>
      <c r="W165" s="15">
        <f t="shared" si="180"/>
        <v>0</v>
      </c>
      <c r="X165" s="16">
        <f t="shared" si="181"/>
        <v>0</v>
      </c>
      <c r="Y165" s="19">
        <v>0</v>
      </c>
      <c r="Z165" s="377">
        <v>0</v>
      </c>
      <c r="AA165" s="16">
        <f t="shared" si="182"/>
        <v>0</v>
      </c>
      <c r="AB165" s="19">
        <v>0</v>
      </c>
      <c r="AC165" s="377">
        <v>0</v>
      </c>
      <c r="AD165" s="18">
        <f t="shared" si="183"/>
        <v>0</v>
      </c>
      <c r="AE165" s="19">
        <v>0</v>
      </c>
      <c r="AF165" s="377">
        <v>0</v>
      </c>
      <c r="AG165" s="16">
        <f t="shared" si="184"/>
        <v>0</v>
      </c>
      <c r="AH165" s="19">
        <f t="shared" si="185"/>
        <v>0</v>
      </c>
      <c r="AI165" s="15">
        <f t="shared" si="186"/>
        <v>0</v>
      </c>
      <c r="AJ165" s="16">
        <f t="shared" si="187"/>
        <v>0</v>
      </c>
      <c r="AK165" s="9"/>
      <c r="AL165" s="375">
        <v>0</v>
      </c>
      <c r="AM165" s="378">
        <v>0</v>
      </c>
      <c r="AN165" s="9"/>
    </row>
    <row r="166" spans="1:40" s="385" customFormat="1" ht="24.95" customHeight="1" x14ac:dyDescent="0.2">
      <c r="A166" s="762"/>
      <c r="B166" s="668"/>
      <c r="N166" s="9"/>
      <c r="P166" s="9"/>
      <c r="Q166" s="9"/>
      <c r="R166" s="9"/>
      <c r="S166" s="720" t="s">
        <v>306</v>
      </c>
      <c r="T166" s="694" t="s">
        <v>274</v>
      </c>
      <c r="U166" s="401">
        <v>66889324</v>
      </c>
      <c r="V166" s="15">
        <f t="shared" si="179"/>
        <v>0</v>
      </c>
      <c r="W166" s="15">
        <f t="shared" si="180"/>
        <v>0</v>
      </c>
      <c r="X166" s="16">
        <f t="shared" si="181"/>
        <v>66889324</v>
      </c>
      <c r="Y166" s="19">
        <v>0</v>
      </c>
      <c r="Z166" s="377">
        <v>5619700</v>
      </c>
      <c r="AA166" s="16">
        <f t="shared" si="182"/>
        <v>5619700</v>
      </c>
      <c r="AB166" s="19">
        <v>0</v>
      </c>
      <c r="AC166" s="377">
        <v>5619700</v>
      </c>
      <c r="AD166" s="18">
        <f t="shared" si="183"/>
        <v>5619700</v>
      </c>
      <c r="AE166" s="19">
        <v>0</v>
      </c>
      <c r="AF166" s="377">
        <v>0</v>
      </c>
      <c r="AG166" s="16">
        <f t="shared" si="184"/>
        <v>0</v>
      </c>
      <c r="AH166" s="19">
        <f t="shared" si="185"/>
        <v>61269624</v>
      </c>
      <c r="AI166" s="15">
        <f t="shared" si="186"/>
        <v>61269624</v>
      </c>
      <c r="AJ166" s="16">
        <f t="shared" si="187"/>
        <v>66889324</v>
      </c>
      <c r="AK166" s="9"/>
      <c r="AL166" s="375">
        <v>0</v>
      </c>
      <c r="AM166" s="378">
        <v>0</v>
      </c>
      <c r="AN166" s="9"/>
    </row>
    <row r="167" spans="1:40" s="385" customFormat="1" ht="24.95" customHeight="1" x14ac:dyDescent="0.2">
      <c r="A167" s="762"/>
      <c r="B167" s="668"/>
      <c r="N167" s="9"/>
      <c r="P167" s="9"/>
      <c r="Q167" s="9"/>
      <c r="R167" s="9"/>
      <c r="S167" s="720" t="s">
        <v>487</v>
      </c>
      <c r="T167" s="694" t="s">
        <v>488</v>
      </c>
      <c r="U167" s="401">
        <v>0</v>
      </c>
      <c r="V167" s="15">
        <f t="shared" si="179"/>
        <v>0</v>
      </c>
      <c r="W167" s="15">
        <f t="shared" si="180"/>
        <v>0</v>
      </c>
      <c r="X167" s="16">
        <f t="shared" si="181"/>
        <v>0</v>
      </c>
      <c r="Y167" s="19"/>
      <c r="Z167" s="377">
        <v>0</v>
      </c>
      <c r="AA167" s="16">
        <f t="shared" si="182"/>
        <v>0</v>
      </c>
      <c r="AB167" s="19">
        <v>0</v>
      </c>
      <c r="AC167" s="377">
        <v>0</v>
      </c>
      <c r="AD167" s="18">
        <f t="shared" si="183"/>
        <v>0</v>
      </c>
      <c r="AE167" s="19">
        <v>0</v>
      </c>
      <c r="AF167" s="377">
        <v>0</v>
      </c>
      <c r="AG167" s="16">
        <f t="shared" si="184"/>
        <v>0</v>
      </c>
      <c r="AH167" s="19">
        <f t="shared" si="185"/>
        <v>0</v>
      </c>
      <c r="AI167" s="15">
        <f t="shared" si="186"/>
        <v>0</v>
      </c>
      <c r="AJ167" s="16">
        <f t="shared" si="187"/>
        <v>0</v>
      </c>
      <c r="AK167" s="9"/>
      <c r="AL167" s="375">
        <v>0</v>
      </c>
      <c r="AM167" s="378">
        <v>0</v>
      </c>
      <c r="AN167" s="9"/>
    </row>
    <row r="168" spans="1:40" s="385" customFormat="1" ht="24.95" customHeight="1" x14ac:dyDescent="0.2">
      <c r="A168" s="762"/>
      <c r="B168" s="668"/>
      <c r="N168" s="9"/>
      <c r="P168" s="9"/>
      <c r="Q168" s="9"/>
      <c r="R168" s="9"/>
      <c r="S168" s="719">
        <v>2020299</v>
      </c>
      <c r="T168" s="693" t="s">
        <v>132</v>
      </c>
      <c r="U168" s="401">
        <v>0</v>
      </c>
      <c r="V168" s="15">
        <f t="shared" si="179"/>
        <v>0</v>
      </c>
      <c r="W168" s="15">
        <f t="shared" si="180"/>
        <v>28537671</v>
      </c>
      <c r="X168" s="16">
        <f t="shared" si="181"/>
        <v>28537671</v>
      </c>
      <c r="Y168" s="19">
        <v>0</v>
      </c>
      <c r="Z168" s="377">
        <v>28537671</v>
      </c>
      <c r="AA168" s="16">
        <f t="shared" si="182"/>
        <v>28537671</v>
      </c>
      <c r="AB168" s="19">
        <v>0</v>
      </c>
      <c r="AC168" s="377">
        <v>28537671</v>
      </c>
      <c r="AD168" s="18">
        <f t="shared" si="183"/>
        <v>28537671</v>
      </c>
      <c r="AE168" s="19">
        <v>0</v>
      </c>
      <c r="AF168" s="377">
        <v>4146455</v>
      </c>
      <c r="AG168" s="16">
        <f t="shared" si="184"/>
        <v>4146455</v>
      </c>
      <c r="AH168" s="19">
        <f t="shared" si="185"/>
        <v>0</v>
      </c>
      <c r="AI168" s="15">
        <f t="shared" si="186"/>
        <v>0</v>
      </c>
      <c r="AJ168" s="16">
        <f t="shared" si="187"/>
        <v>24391216</v>
      </c>
      <c r="AK168" s="9"/>
      <c r="AL168" s="375">
        <v>0</v>
      </c>
      <c r="AM168" s="378">
        <v>28537671</v>
      </c>
      <c r="AN168" s="9"/>
    </row>
    <row r="169" spans="1:40" s="385" customFormat="1" ht="24.95" customHeight="1" x14ac:dyDescent="0.2">
      <c r="A169" s="762"/>
      <c r="B169" s="668"/>
      <c r="N169" s="9"/>
      <c r="P169" s="9"/>
      <c r="Q169" s="9"/>
      <c r="R169" s="9"/>
      <c r="S169" s="369"/>
      <c r="T169" s="689"/>
      <c r="U169" s="164"/>
      <c r="V169" s="164"/>
      <c r="W169" s="164"/>
      <c r="X169" s="169"/>
      <c r="Y169" s="370"/>
      <c r="Z169" s="164"/>
      <c r="AA169" s="169"/>
      <c r="AB169" s="370"/>
      <c r="AC169" s="164"/>
      <c r="AD169" s="164"/>
      <c r="AE169" s="370"/>
      <c r="AF169" s="164">
        <v>0</v>
      </c>
      <c r="AG169" s="169"/>
      <c r="AH169" s="370"/>
      <c r="AI169" s="164"/>
      <c r="AJ169" s="169"/>
      <c r="AK169" s="9"/>
      <c r="AL169" s="175"/>
      <c r="AM169" s="176"/>
      <c r="AN169" s="9"/>
    </row>
    <row r="170" spans="1:40" s="385" customFormat="1" ht="24.95" customHeight="1" x14ac:dyDescent="0.2">
      <c r="A170" s="762"/>
      <c r="B170" s="668"/>
      <c r="N170" s="9"/>
      <c r="P170" s="9"/>
      <c r="Q170" s="9"/>
      <c r="R170" s="9"/>
      <c r="S170" s="717">
        <v>3000000</v>
      </c>
      <c r="T170" s="697" t="s">
        <v>307</v>
      </c>
      <c r="U170" s="473">
        <f t="shared" ref="U170:AJ170" si="188">U172+U176+U185</f>
        <v>60072284</v>
      </c>
      <c r="V170" s="474">
        <f t="shared" si="188"/>
        <v>0</v>
      </c>
      <c r="W170" s="474">
        <f t="shared" si="188"/>
        <v>8921810</v>
      </c>
      <c r="X170" s="383">
        <f t="shared" si="188"/>
        <v>68994094</v>
      </c>
      <c r="Y170" s="382">
        <f t="shared" si="188"/>
        <v>0</v>
      </c>
      <c r="Z170" s="474">
        <f t="shared" si="188"/>
        <v>13957209</v>
      </c>
      <c r="AA170" s="383">
        <f t="shared" si="188"/>
        <v>13957209</v>
      </c>
      <c r="AB170" s="382">
        <f t="shared" si="188"/>
        <v>0</v>
      </c>
      <c r="AC170" s="474">
        <f t="shared" si="188"/>
        <v>13957209</v>
      </c>
      <c r="AD170" s="475">
        <f t="shared" si="188"/>
        <v>13957209</v>
      </c>
      <c r="AE170" s="382">
        <f t="shared" si="188"/>
        <v>0</v>
      </c>
      <c r="AF170" s="474">
        <f t="shared" si="188"/>
        <v>10957640</v>
      </c>
      <c r="AG170" s="383">
        <f t="shared" si="188"/>
        <v>10957640</v>
      </c>
      <c r="AH170" s="382">
        <f t="shared" si="188"/>
        <v>55036885</v>
      </c>
      <c r="AI170" s="474">
        <f t="shared" si="188"/>
        <v>55036885</v>
      </c>
      <c r="AJ170" s="383">
        <f t="shared" si="188"/>
        <v>58036454</v>
      </c>
      <c r="AK170" s="9"/>
      <c r="AL170" s="131">
        <f>AL172+AL176+AL185</f>
        <v>0</v>
      </c>
      <c r="AM170" s="133">
        <f>AM172+AM176+AM185</f>
        <v>8921810</v>
      </c>
      <c r="AN170" s="9"/>
    </row>
    <row r="171" spans="1:40" s="385" customFormat="1" ht="24.95" customHeight="1" x14ac:dyDescent="0.2">
      <c r="A171" s="762"/>
      <c r="B171" s="668"/>
      <c r="N171" s="9"/>
      <c r="P171" s="9"/>
      <c r="Q171" s="9"/>
      <c r="R171" s="9"/>
      <c r="S171" s="369"/>
      <c r="T171" s="689"/>
      <c r="U171" s="164"/>
      <c r="V171" s="164"/>
      <c r="W171" s="164"/>
      <c r="X171" s="169"/>
      <c r="Y171" s="370"/>
      <c r="Z171" s="164"/>
      <c r="AA171" s="169"/>
      <c r="AB171" s="370"/>
      <c r="AC171" s="164"/>
      <c r="AD171" s="164"/>
      <c r="AE171" s="370"/>
      <c r="AF171" s="164"/>
      <c r="AG171" s="169"/>
      <c r="AH171" s="370"/>
      <c r="AI171" s="164"/>
      <c r="AJ171" s="169"/>
      <c r="AK171" s="9"/>
      <c r="AL171" s="175"/>
      <c r="AM171" s="176"/>
      <c r="AN171" s="9"/>
    </row>
    <row r="172" spans="1:40" s="385" customFormat="1" ht="24.95" customHeight="1" x14ac:dyDescent="0.2">
      <c r="A172" s="762"/>
      <c r="B172" s="668"/>
      <c r="N172" s="9"/>
      <c r="P172" s="9"/>
      <c r="Q172" s="9"/>
      <c r="R172" s="9"/>
      <c r="S172" s="718">
        <v>3100000</v>
      </c>
      <c r="T172" s="692" t="s">
        <v>308</v>
      </c>
      <c r="U172" s="135">
        <f t="shared" ref="U172:AJ172" si="189">SUM(U173:U174)</f>
        <v>5285000</v>
      </c>
      <c r="V172" s="124">
        <f t="shared" si="189"/>
        <v>0</v>
      </c>
      <c r="W172" s="124">
        <f t="shared" si="189"/>
        <v>243136</v>
      </c>
      <c r="X172" s="133">
        <f t="shared" si="189"/>
        <v>5528136</v>
      </c>
      <c r="Y172" s="131">
        <f t="shared" si="189"/>
        <v>0</v>
      </c>
      <c r="Z172" s="124">
        <f t="shared" si="189"/>
        <v>243136</v>
      </c>
      <c r="AA172" s="133">
        <f t="shared" si="189"/>
        <v>243136</v>
      </c>
      <c r="AB172" s="131">
        <f t="shared" si="189"/>
        <v>0</v>
      </c>
      <c r="AC172" s="124">
        <f t="shared" si="189"/>
        <v>243136</v>
      </c>
      <c r="AD172" s="132">
        <f t="shared" si="189"/>
        <v>243136</v>
      </c>
      <c r="AE172" s="131">
        <f t="shared" si="189"/>
        <v>0</v>
      </c>
      <c r="AF172" s="124">
        <f t="shared" si="189"/>
        <v>243136</v>
      </c>
      <c r="AG172" s="133">
        <f t="shared" si="189"/>
        <v>243136</v>
      </c>
      <c r="AH172" s="131">
        <f t="shared" si="189"/>
        <v>5285000</v>
      </c>
      <c r="AI172" s="124">
        <f t="shared" si="189"/>
        <v>5285000</v>
      </c>
      <c r="AJ172" s="133">
        <f t="shared" si="189"/>
        <v>5285000</v>
      </c>
      <c r="AK172" s="9"/>
      <c r="AL172" s="131">
        <f>SUM(AL173:AL174)</f>
        <v>0</v>
      </c>
      <c r="AM172" s="133">
        <f>SUM(AM173:AM174)</f>
        <v>243136</v>
      </c>
      <c r="AN172" s="9"/>
    </row>
    <row r="173" spans="1:40" s="385" customFormat="1" ht="24.95" customHeight="1" x14ac:dyDescent="0.2">
      <c r="A173" s="762"/>
      <c r="B173" s="668"/>
      <c r="N173" s="9"/>
      <c r="P173" s="9"/>
      <c r="Q173" s="9"/>
      <c r="R173" s="9"/>
      <c r="S173" s="719">
        <v>3100003</v>
      </c>
      <c r="T173" s="693" t="s">
        <v>309</v>
      </c>
      <c r="U173" s="401">
        <v>5285000</v>
      </c>
      <c r="V173" s="15">
        <f>AL173</f>
        <v>0</v>
      </c>
      <c r="W173" s="15">
        <f>AM173</f>
        <v>0</v>
      </c>
      <c r="X173" s="16">
        <f>SUM(U173:W173)</f>
        <v>5285000</v>
      </c>
      <c r="Y173" s="19">
        <v>0</v>
      </c>
      <c r="Z173" s="377">
        <v>0</v>
      </c>
      <c r="AA173" s="16">
        <f>SUM(Y173:Z173)</f>
        <v>0</v>
      </c>
      <c r="AB173" s="19">
        <v>0</v>
      </c>
      <c r="AC173" s="377">
        <v>0</v>
      </c>
      <c r="AD173" s="18">
        <f>SUM(AB173:AC173)</f>
        <v>0</v>
      </c>
      <c r="AE173" s="19">
        <v>0</v>
      </c>
      <c r="AF173" s="377">
        <v>0</v>
      </c>
      <c r="AG173" s="16">
        <f>SUM(AE173:AF173)</f>
        <v>0</v>
      </c>
      <c r="AH173" s="19">
        <f>X173-AA173</f>
        <v>5285000</v>
      </c>
      <c r="AI173" s="15">
        <f>X173-AD173</f>
        <v>5285000</v>
      </c>
      <c r="AJ173" s="16">
        <f>X173-AG173</f>
        <v>5285000</v>
      </c>
      <c r="AK173" s="9"/>
      <c r="AL173" s="375">
        <v>0</v>
      </c>
      <c r="AM173" s="378">
        <v>0</v>
      </c>
      <c r="AN173" s="9"/>
    </row>
    <row r="174" spans="1:40" s="385" customFormat="1" ht="24.95" customHeight="1" x14ac:dyDescent="0.2">
      <c r="A174" s="762"/>
      <c r="B174" s="668"/>
      <c r="N174" s="9"/>
      <c r="P174" s="9"/>
      <c r="Q174" s="9"/>
      <c r="R174" s="9"/>
      <c r="S174" s="719">
        <v>3199999</v>
      </c>
      <c r="T174" s="693" t="s">
        <v>132</v>
      </c>
      <c r="U174" s="401">
        <v>0</v>
      </c>
      <c r="V174" s="15">
        <f>AL174</f>
        <v>0</v>
      </c>
      <c r="W174" s="15">
        <f>AM174</f>
        <v>243136</v>
      </c>
      <c r="X174" s="16">
        <f>SUM(U174:W174)</f>
        <v>243136</v>
      </c>
      <c r="Y174" s="19">
        <v>0</v>
      </c>
      <c r="Z174" s="377">
        <v>243136</v>
      </c>
      <c r="AA174" s="16">
        <f>SUM(Y174:Z174)</f>
        <v>243136</v>
      </c>
      <c r="AB174" s="19">
        <v>0</v>
      </c>
      <c r="AC174" s="377">
        <v>243136</v>
      </c>
      <c r="AD174" s="18">
        <f>SUM(AB174:AC174)</f>
        <v>243136</v>
      </c>
      <c r="AE174" s="19">
        <v>0</v>
      </c>
      <c r="AF174" s="377">
        <v>243136</v>
      </c>
      <c r="AG174" s="16">
        <f>SUM(AE174:AF174)</f>
        <v>243136</v>
      </c>
      <c r="AH174" s="19">
        <f>X174-AA174</f>
        <v>0</v>
      </c>
      <c r="AI174" s="15">
        <f>X174-AD174</f>
        <v>0</v>
      </c>
      <c r="AJ174" s="16">
        <f>X174-AG174</f>
        <v>0</v>
      </c>
      <c r="AK174" s="9"/>
      <c r="AL174" s="375">
        <v>0</v>
      </c>
      <c r="AM174" s="378">
        <v>243136</v>
      </c>
      <c r="AN174" s="9"/>
    </row>
    <row r="175" spans="1:40" s="385" customFormat="1" ht="24.95" customHeight="1" x14ac:dyDescent="0.2">
      <c r="A175" s="762"/>
      <c r="B175" s="668"/>
      <c r="N175" s="9"/>
      <c r="P175" s="9"/>
      <c r="Q175" s="9"/>
      <c r="R175" s="9"/>
      <c r="S175" s="369"/>
      <c r="T175" s="689"/>
      <c r="U175" s="203"/>
      <c r="V175" s="164"/>
      <c r="W175" s="164"/>
      <c r="X175" s="169"/>
      <c r="Y175" s="370"/>
      <c r="Z175" s="203"/>
      <c r="AA175" s="169"/>
      <c r="AB175" s="370"/>
      <c r="AC175" s="203"/>
      <c r="AD175" s="164"/>
      <c r="AE175" s="370"/>
      <c r="AF175" s="203"/>
      <c r="AG175" s="169"/>
      <c r="AH175" s="370"/>
      <c r="AI175" s="164"/>
      <c r="AJ175" s="169"/>
      <c r="AK175" s="10"/>
      <c r="AL175" s="175"/>
      <c r="AM175" s="176"/>
      <c r="AN175" s="9"/>
    </row>
    <row r="176" spans="1:40" s="385" customFormat="1" ht="24.95" customHeight="1" x14ac:dyDescent="0.2">
      <c r="A176" s="762"/>
      <c r="B176" s="668"/>
      <c r="N176" s="9"/>
      <c r="P176" s="9"/>
      <c r="Q176" s="9"/>
      <c r="R176" s="9"/>
      <c r="S176" s="718">
        <v>320000</v>
      </c>
      <c r="T176" s="692" t="s">
        <v>310</v>
      </c>
      <c r="U176" s="135">
        <f t="shared" ref="U176:AJ176" si="190">SUM(U177:U183)</f>
        <v>51170820</v>
      </c>
      <c r="V176" s="124">
        <f t="shared" si="190"/>
        <v>0</v>
      </c>
      <c r="W176" s="124">
        <f t="shared" si="190"/>
        <v>8290292</v>
      </c>
      <c r="X176" s="133">
        <f t="shared" si="190"/>
        <v>59461112</v>
      </c>
      <c r="Y176" s="131">
        <f t="shared" si="190"/>
        <v>0</v>
      </c>
      <c r="Z176" s="124">
        <f t="shared" si="190"/>
        <v>10748291</v>
      </c>
      <c r="AA176" s="133">
        <f t="shared" si="190"/>
        <v>10748291</v>
      </c>
      <c r="AB176" s="131">
        <f t="shared" si="190"/>
        <v>0</v>
      </c>
      <c r="AC176" s="124">
        <f t="shared" si="190"/>
        <v>10748291</v>
      </c>
      <c r="AD176" s="132">
        <f t="shared" si="190"/>
        <v>10748291</v>
      </c>
      <c r="AE176" s="131">
        <f t="shared" si="190"/>
        <v>0</v>
      </c>
      <c r="AF176" s="124">
        <f t="shared" si="190"/>
        <v>10714504</v>
      </c>
      <c r="AG176" s="133">
        <f t="shared" si="190"/>
        <v>10714504</v>
      </c>
      <c r="AH176" s="131">
        <f t="shared" si="190"/>
        <v>48712821</v>
      </c>
      <c r="AI176" s="124">
        <f t="shared" si="190"/>
        <v>48712821</v>
      </c>
      <c r="AJ176" s="133">
        <f t="shared" si="190"/>
        <v>48746608</v>
      </c>
      <c r="AK176" s="9"/>
      <c r="AL176" s="131">
        <f>SUM(AL177:AL183)</f>
        <v>0</v>
      </c>
      <c r="AM176" s="133">
        <f>SUM(AM177:AM183)</f>
        <v>8290292</v>
      </c>
      <c r="AN176" s="9"/>
    </row>
    <row r="177" spans="1:40" s="385" customFormat="1" ht="24.95" customHeight="1" x14ac:dyDescent="0.2">
      <c r="A177" s="762"/>
      <c r="B177" s="668"/>
      <c r="N177" s="9"/>
      <c r="P177" s="9"/>
      <c r="Q177" s="9"/>
      <c r="R177" s="9"/>
      <c r="S177" s="719">
        <v>3200100</v>
      </c>
      <c r="T177" s="693" t="s">
        <v>311</v>
      </c>
      <c r="U177" s="401">
        <v>39279816</v>
      </c>
      <c r="V177" s="15">
        <f t="shared" ref="V177:W183" si="191">AL177</f>
        <v>0</v>
      </c>
      <c r="W177" s="15">
        <f t="shared" si="191"/>
        <v>0</v>
      </c>
      <c r="X177" s="16">
        <f t="shared" ref="X177:X183" si="192">SUM(U177:W177)</f>
        <v>39279816</v>
      </c>
      <c r="Y177" s="19">
        <v>0</v>
      </c>
      <c r="Z177" s="377">
        <v>2457999</v>
      </c>
      <c r="AA177" s="16">
        <f t="shared" ref="AA177:AA183" si="193">SUM(Y177:Z177)</f>
        <v>2457999</v>
      </c>
      <c r="AB177" s="19">
        <v>0</v>
      </c>
      <c r="AC177" s="377">
        <v>2457999</v>
      </c>
      <c r="AD177" s="18">
        <f t="shared" ref="AD177:AD183" si="194">SUM(AB177:AC177)</f>
        <v>2457999</v>
      </c>
      <c r="AE177" s="19">
        <v>0</v>
      </c>
      <c r="AF177" s="377">
        <v>2457999</v>
      </c>
      <c r="AG177" s="16">
        <f t="shared" ref="AG177:AG183" si="195">SUM(AE177:AF177)</f>
        <v>2457999</v>
      </c>
      <c r="AH177" s="19">
        <f t="shared" ref="AH177:AH183" si="196">X177-AA177</f>
        <v>36821817</v>
      </c>
      <c r="AI177" s="15">
        <f t="shared" ref="AI177:AI183" si="197">X177-AD177</f>
        <v>36821817</v>
      </c>
      <c r="AJ177" s="16">
        <f t="shared" ref="AJ177:AJ183" si="198">X177-AG177</f>
        <v>36821817</v>
      </c>
      <c r="AK177" s="9"/>
      <c r="AL177" s="375">
        <v>0</v>
      </c>
      <c r="AM177" s="378">
        <v>0</v>
      </c>
      <c r="AN177" s="9"/>
    </row>
    <row r="178" spans="1:40" s="385" customFormat="1" ht="24.95" customHeight="1" x14ac:dyDescent="0.2">
      <c r="A178" s="762"/>
      <c r="B178" s="668"/>
      <c r="N178" s="9"/>
      <c r="P178" s="9"/>
      <c r="Q178" s="9"/>
      <c r="R178" s="9"/>
      <c r="S178" s="719">
        <v>3200200</v>
      </c>
      <c r="T178" s="693" t="s">
        <v>312</v>
      </c>
      <c r="U178" s="401">
        <v>11891004</v>
      </c>
      <c r="V178" s="15">
        <f t="shared" si="191"/>
        <v>0</v>
      </c>
      <c r="W178" s="15">
        <f t="shared" si="191"/>
        <v>0</v>
      </c>
      <c r="X178" s="16">
        <f t="shared" si="192"/>
        <v>11891004</v>
      </c>
      <c r="Y178" s="19">
        <v>0</v>
      </c>
      <c r="Z178" s="377">
        <v>0</v>
      </c>
      <c r="AA178" s="16">
        <f t="shared" si="193"/>
        <v>0</v>
      </c>
      <c r="AB178" s="19">
        <v>0</v>
      </c>
      <c r="AC178" s="377">
        <v>0</v>
      </c>
      <c r="AD178" s="18">
        <f t="shared" si="194"/>
        <v>0</v>
      </c>
      <c r="AE178" s="19">
        <v>0</v>
      </c>
      <c r="AF178" s="377">
        <v>0</v>
      </c>
      <c r="AG178" s="16">
        <f t="shared" si="195"/>
        <v>0</v>
      </c>
      <c r="AH178" s="19">
        <f t="shared" si="196"/>
        <v>11891004</v>
      </c>
      <c r="AI178" s="15">
        <f t="shared" si="197"/>
        <v>11891004</v>
      </c>
      <c r="AJ178" s="16">
        <f t="shared" si="198"/>
        <v>11891004</v>
      </c>
      <c r="AK178" s="9"/>
      <c r="AL178" s="375">
        <v>0</v>
      </c>
      <c r="AM178" s="378">
        <v>0</v>
      </c>
      <c r="AN178" s="9"/>
    </row>
    <row r="179" spans="1:40" s="385" customFormat="1" ht="24.95" customHeight="1" x14ac:dyDescent="0.2">
      <c r="A179" s="762"/>
      <c r="B179" s="668"/>
      <c r="N179" s="9"/>
      <c r="P179" s="9"/>
      <c r="Q179" s="9"/>
      <c r="R179" s="9"/>
      <c r="S179" s="719">
        <v>3200300</v>
      </c>
      <c r="T179" s="693" t="s">
        <v>313</v>
      </c>
      <c r="U179" s="401">
        <v>0</v>
      </c>
      <c r="V179" s="15">
        <f t="shared" si="191"/>
        <v>0</v>
      </c>
      <c r="W179" s="15">
        <f t="shared" si="191"/>
        <v>0</v>
      </c>
      <c r="X179" s="16">
        <f t="shared" si="192"/>
        <v>0</v>
      </c>
      <c r="Y179" s="19">
        <v>0</v>
      </c>
      <c r="Z179" s="377">
        <v>0</v>
      </c>
      <c r="AA179" s="16">
        <f t="shared" si="193"/>
        <v>0</v>
      </c>
      <c r="AB179" s="19">
        <v>0</v>
      </c>
      <c r="AC179" s="377">
        <v>0</v>
      </c>
      <c r="AD179" s="18">
        <f t="shared" si="194"/>
        <v>0</v>
      </c>
      <c r="AE179" s="19">
        <v>0</v>
      </c>
      <c r="AF179" s="377">
        <v>0</v>
      </c>
      <c r="AG179" s="16">
        <f t="shared" si="195"/>
        <v>0</v>
      </c>
      <c r="AH179" s="19">
        <f t="shared" si="196"/>
        <v>0</v>
      </c>
      <c r="AI179" s="15">
        <f t="shared" si="197"/>
        <v>0</v>
      </c>
      <c r="AJ179" s="16">
        <f t="shared" si="198"/>
        <v>0</v>
      </c>
      <c r="AK179" s="9"/>
      <c r="AL179" s="375">
        <v>0</v>
      </c>
      <c r="AM179" s="378">
        <v>0</v>
      </c>
      <c r="AN179" s="9"/>
    </row>
    <row r="180" spans="1:40" s="385" customFormat="1" ht="24.95" customHeight="1" x14ac:dyDescent="0.2">
      <c r="A180" s="762"/>
      <c r="B180" s="668"/>
      <c r="N180" s="9"/>
      <c r="P180" s="9"/>
      <c r="Q180" s="9"/>
      <c r="R180" s="9"/>
      <c r="S180" s="719">
        <v>3200400</v>
      </c>
      <c r="T180" s="693" t="s">
        <v>314</v>
      </c>
      <c r="U180" s="401">
        <v>0</v>
      </c>
      <c r="V180" s="15">
        <f t="shared" si="191"/>
        <v>0</v>
      </c>
      <c r="W180" s="15">
        <f t="shared" si="191"/>
        <v>0</v>
      </c>
      <c r="X180" s="16">
        <f t="shared" si="192"/>
        <v>0</v>
      </c>
      <c r="Y180" s="19">
        <v>0</v>
      </c>
      <c r="Z180" s="377">
        <v>0</v>
      </c>
      <c r="AA180" s="16">
        <f t="shared" si="193"/>
        <v>0</v>
      </c>
      <c r="AB180" s="19">
        <v>0</v>
      </c>
      <c r="AC180" s="377">
        <v>0</v>
      </c>
      <c r="AD180" s="18">
        <f t="shared" si="194"/>
        <v>0</v>
      </c>
      <c r="AE180" s="19">
        <v>0</v>
      </c>
      <c r="AF180" s="377">
        <v>0</v>
      </c>
      <c r="AG180" s="16">
        <f t="shared" si="195"/>
        <v>0</v>
      </c>
      <c r="AH180" s="19">
        <f t="shared" si="196"/>
        <v>0</v>
      </c>
      <c r="AI180" s="15">
        <f t="shared" si="197"/>
        <v>0</v>
      </c>
      <c r="AJ180" s="16">
        <f t="shared" si="198"/>
        <v>0</v>
      </c>
      <c r="AK180" s="9"/>
      <c r="AL180" s="375">
        <v>0</v>
      </c>
      <c r="AM180" s="378">
        <v>0</v>
      </c>
      <c r="AN180" s="9"/>
    </row>
    <row r="181" spans="1:40" s="385" customFormat="1" ht="24.95" customHeight="1" x14ac:dyDescent="0.2">
      <c r="A181" s="762"/>
      <c r="B181" s="668"/>
      <c r="N181" s="9"/>
      <c r="P181" s="9"/>
      <c r="Q181" s="9"/>
      <c r="R181" s="9"/>
      <c r="S181" s="721"/>
      <c r="T181" s="696"/>
      <c r="U181" s="401">
        <v>0</v>
      </c>
      <c r="V181" s="15">
        <f>AL181</f>
        <v>0</v>
      </c>
      <c r="W181" s="15">
        <f>AM181</f>
        <v>0</v>
      </c>
      <c r="X181" s="16">
        <f t="shared" si="192"/>
        <v>0</v>
      </c>
      <c r="Y181" s="19">
        <v>0</v>
      </c>
      <c r="Z181" s="377">
        <v>0</v>
      </c>
      <c r="AA181" s="16">
        <f t="shared" si="193"/>
        <v>0</v>
      </c>
      <c r="AB181" s="19">
        <v>0</v>
      </c>
      <c r="AC181" s="377">
        <v>0</v>
      </c>
      <c r="AD181" s="18">
        <f t="shared" si="194"/>
        <v>0</v>
      </c>
      <c r="AE181" s="19">
        <v>0</v>
      </c>
      <c r="AF181" s="377">
        <v>0</v>
      </c>
      <c r="AG181" s="16">
        <f t="shared" si="195"/>
        <v>0</v>
      </c>
      <c r="AH181" s="19">
        <f t="shared" si="196"/>
        <v>0</v>
      </c>
      <c r="AI181" s="15">
        <f t="shared" si="197"/>
        <v>0</v>
      </c>
      <c r="AJ181" s="16">
        <f t="shared" si="198"/>
        <v>0</v>
      </c>
      <c r="AK181" s="9"/>
      <c r="AL181" s="375">
        <v>0</v>
      </c>
      <c r="AM181" s="378">
        <v>0</v>
      </c>
      <c r="AN181" s="9"/>
    </row>
    <row r="182" spans="1:40" s="385" customFormat="1" ht="24.95" customHeight="1" x14ac:dyDescent="0.2">
      <c r="A182" s="762"/>
      <c r="B182" s="668"/>
      <c r="N182" s="9"/>
      <c r="P182" s="9"/>
      <c r="Q182" s="9"/>
      <c r="R182" s="9"/>
      <c r="S182" s="721"/>
      <c r="T182" s="696"/>
      <c r="U182" s="401">
        <v>0</v>
      </c>
      <c r="V182" s="15">
        <f>AL182</f>
        <v>0</v>
      </c>
      <c r="W182" s="15">
        <f>AM182</f>
        <v>0</v>
      </c>
      <c r="X182" s="16">
        <f t="shared" si="192"/>
        <v>0</v>
      </c>
      <c r="Y182" s="19">
        <v>0</v>
      </c>
      <c r="Z182" s="377">
        <v>0</v>
      </c>
      <c r="AA182" s="16">
        <f t="shared" si="193"/>
        <v>0</v>
      </c>
      <c r="AB182" s="19">
        <v>0</v>
      </c>
      <c r="AC182" s="377">
        <v>0</v>
      </c>
      <c r="AD182" s="18">
        <f t="shared" si="194"/>
        <v>0</v>
      </c>
      <c r="AE182" s="19">
        <v>0</v>
      </c>
      <c r="AF182" s="377">
        <v>0</v>
      </c>
      <c r="AG182" s="16">
        <f t="shared" si="195"/>
        <v>0</v>
      </c>
      <c r="AH182" s="19">
        <f t="shared" si="196"/>
        <v>0</v>
      </c>
      <c r="AI182" s="15">
        <f t="shared" si="197"/>
        <v>0</v>
      </c>
      <c r="AJ182" s="16">
        <f t="shared" si="198"/>
        <v>0</v>
      </c>
      <c r="AK182" s="9"/>
      <c r="AL182" s="375">
        <v>0</v>
      </c>
      <c r="AM182" s="378">
        <v>0</v>
      </c>
      <c r="AN182" s="9"/>
    </row>
    <row r="183" spans="1:40" s="385" customFormat="1" ht="24.95" customHeight="1" x14ac:dyDescent="0.2">
      <c r="A183" s="762"/>
      <c r="B183" s="668"/>
      <c r="N183" s="9"/>
      <c r="P183" s="9"/>
      <c r="Q183" s="9"/>
      <c r="R183" s="9"/>
      <c r="S183" s="719">
        <v>3299999</v>
      </c>
      <c r="T183" s="693" t="s">
        <v>132</v>
      </c>
      <c r="U183" s="401">
        <v>0</v>
      </c>
      <c r="V183" s="15">
        <f t="shared" si="191"/>
        <v>0</v>
      </c>
      <c r="W183" s="15">
        <f t="shared" si="191"/>
        <v>8290292</v>
      </c>
      <c r="X183" s="16">
        <f t="shared" si="192"/>
        <v>8290292</v>
      </c>
      <c r="Y183" s="19">
        <v>0</v>
      </c>
      <c r="Z183" s="377">
        <v>8290292</v>
      </c>
      <c r="AA183" s="16">
        <f t="shared" si="193"/>
        <v>8290292</v>
      </c>
      <c r="AB183" s="19">
        <v>0</v>
      </c>
      <c r="AC183" s="377">
        <v>8290292</v>
      </c>
      <c r="AD183" s="18">
        <f t="shared" si="194"/>
        <v>8290292</v>
      </c>
      <c r="AE183" s="19">
        <v>0</v>
      </c>
      <c r="AF183" s="377">
        <v>8256505</v>
      </c>
      <c r="AG183" s="16">
        <f t="shared" si="195"/>
        <v>8256505</v>
      </c>
      <c r="AH183" s="19">
        <f t="shared" si="196"/>
        <v>0</v>
      </c>
      <c r="AI183" s="15">
        <f t="shared" si="197"/>
        <v>0</v>
      </c>
      <c r="AJ183" s="16">
        <f t="shared" si="198"/>
        <v>33787</v>
      </c>
      <c r="AK183" s="9"/>
      <c r="AL183" s="375">
        <v>0</v>
      </c>
      <c r="AM183" s="378">
        <v>8290292</v>
      </c>
      <c r="AN183" s="9"/>
    </row>
    <row r="184" spans="1:40" s="385" customFormat="1" ht="24.95" customHeight="1" x14ac:dyDescent="0.2">
      <c r="A184" s="762"/>
      <c r="B184" s="668"/>
      <c r="N184" s="9"/>
      <c r="P184" s="9"/>
      <c r="Q184" s="9"/>
      <c r="R184" s="9"/>
      <c r="S184" s="369"/>
      <c r="T184" s="689"/>
      <c r="U184" s="203"/>
      <c r="V184" s="164"/>
      <c r="W184" s="164"/>
      <c r="X184" s="169"/>
      <c r="Y184" s="370"/>
      <c r="Z184" s="203"/>
      <c r="AA184" s="169"/>
      <c r="AB184" s="370"/>
      <c r="AC184" s="203"/>
      <c r="AD184" s="164"/>
      <c r="AE184" s="370"/>
      <c r="AF184" s="203"/>
      <c r="AG184" s="169"/>
      <c r="AH184" s="370"/>
      <c r="AI184" s="164"/>
      <c r="AJ184" s="169"/>
      <c r="AK184" s="9"/>
      <c r="AL184" s="175"/>
      <c r="AM184" s="176"/>
      <c r="AN184" s="9"/>
    </row>
    <row r="185" spans="1:40" s="385" customFormat="1" ht="24.95" customHeight="1" x14ac:dyDescent="0.2">
      <c r="A185" s="762"/>
      <c r="B185" s="668"/>
      <c r="N185" s="9"/>
      <c r="P185" s="9"/>
      <c r="Q185" s="9"/>
      <c r="R185" s="9"/>
      <c r="S185" s="718">
        <v>3300000</v>
      </c>
      <c r="T185" s="692" t="s">
        <v>315</v>
      </c>
      <c r="U185" s="135">
        <f t="shared" ref="U185:AJ185" si="199">U186+U187+U191</f>
        <v>3616464</v>
      </c>
      <c r="V185" s="124">
        <f t="shared" si="199"/>
        <v>0</v>
      </c>
      <c r="W185" s="124">
        <f t="shared" si="199"/>
        <v>388382</v>
      </c>
      <c r="X185" s="133">
        <f t="shared" si="199"/>
        <v>4004846</v>
      </c>
      <c r="Y185" s="131">
        <f t="shared" si="199"/>
        <v>0</v>
      </c>
      <c r="Z185" s="124">
        <f t="shared" si="199"/>
        <v>2965782</v>
      </c>
      <c r="AA185" s="133">
        <f t="shared" si="199"/>
        <v>2965782</v>
      </c>
      <c r="AB185" s="131">
        <f t="shared" si="199"/>
        <v>0</v>
      </c>
      <c r="AC185" s="124">
        <f t="shared" si="199"/>
        <v>2965782</v>
      </c>
      <c r="AD185" s="132">
        <f t="shared" si="199"/>
        <v>2965782</v>
      </c>
      <c r="AE185" s="131">
        <f t="shared" si="199"/>
        <v>0</v>
      </c>
      <c r="AF185" s="124">
        <f t="shared" si="199"/>
        <v>0</v>
      </c>
      <c r="AG185" s="133">
        <f t="shared" si="199"/>
        <v>0</v>
      </c>
      <c r="AH185" s="131">
        <f t="shared" si="199"/>
        <v>1039064</v>
      </c>
      <c r="AI185" s="124">
        <f t="shared" si="199"/>
        <v>1039064</v>
      </c>
      <c r="AJ185" s="133">
        <f t="shared" si="199"/>
        <v>4004846</v>
      </c>
      <c r="AK185" s="9"/>
      <c r="AL185" s="131">
        <f>AL186+AL187+AL191</f>
        <v>0</v>
      </c>
      <c r="AM185" s="133">
        <f>AM186+AM187+AM191</f>
        <v>388382</v>
      </c>
      <c r="AN185" s="9"/>
    </row>
    <row r="186" spans="1:40" s="385" customFormat="1" ht="24.95" customHeight="1" x14ac:dyDescent="0.2">
      <c r="A186" s="762"/>
      <c r="B186" s="668"/>
      <c r="N186" s="9"/>
      <c r="P186" s="9"/>
      <c r="Q186" s="9"/>
      <c r="R186" s="9"/>
      <c r="S186" s="719">
        <v>3300100</v>
      </c>
      <c r="T186" s="693" t="s">
        <v>316</v>
      </c>
      <c r="U186" s="401">
        <v>0</v>
      </c>
      <c r="V186" s="15">
        <f>AL186</f>
        <v>0</v>
      </c>
      <c r="W186" s="15">
        <f>AM186</f>
        <v>0</v>
      </c>
      <c r="X186" s="16">
        <f>SUM(U186:W186)</f>
        <v>0</v>
      </c>
      <c r="Y186" s="19">
        <v>0</v>
      </c>
      <c r="Z186" s="377">
        <v>0</v>
      </c>
      <c r="AA186" s="16">
        <f>SUM(Y186:Z186)</f>
        <v>0</v>
      </c>
      <c r="AB186" s="19">
        <v>0</v>
      </c>
      <c r="AC186" s="377">
        <v>0</v>
      </c>
      <c r="AD186" s="18">
        <f>SUM(AB186:AC186)</f>
        <v>0</v>
      </c>
      <c r="AE186" s="19">
        <v>0</v>
      </c>
      <c r="AF186" s="377">
        <v>0</v>
      </c>
      <c r="AG186" s="16">
        <f>SUM(AE186:AF186)</f>
        <v>0</v>
      </c>
      <c r="AH186" s="19">
        <f>X186-AA186</f>
        <v>0</v>
      </c>
      <c r="AI186" s="15">
        <f>X186-AD186</f>
        <v>0</v>
      </c>
      <c r="AJ186" s="16">
        <f>X186-AG186</f>
        <v>0</v>
      </c>
      <c r="AK186" s="9"/>
      <c r="AL186" s="375">
        <v>0</v>
      </c>
      <c r="AM186" s="378">
        <v>0</v>
      </c>
      <c r="AN186" s="9"/>
    </row>
    <row r="187" spans="1:40" s="385" customFormat="1" ht="24.95" customHeight="1" x14ac:dyDescent="0.2">
      <c r="A187" s="762"/>
      <c r="B187" s="668"/>
      <c r="N187" s="9"/>
      <c r="P187" s="9"/>
      <c r="Q187" s="9"/>
      <c r="R187" s="9"/>
      <c r="S187" s="719">
        <v>3300200</v>
      </c>
      <c r="T187" s="693" t="s">
        <v>317</v>
      </c>
      <c r="U187" s="17">
        <f t="shared" ref="U187:AM187" si="200">SUM(U188:U190)</f>
        <v>3616464</v>
      </c>
      <c r="V187" s="15">
        <f t="shared" si="200"/>
        <v>0</v>
      </c>
      <c r="W187" s="15">
        <f t="shared" si="200"/>
        <v>0</v>
      </c>
      <c r="X187" s="16">
        <f t="shared" si="200"/>
        <v>3616464</v>
      </c>
      <c r="Y187" s="19">
        <f t="shared" si="200"/>
        <v>0</v>
      </c>
      <c r="Z187" s="145">
        <f t="shared" si="200"/>
        <v>2577400</v>
      </c>
      <c r="AA187" s="16">
        <f t="shared" si="200"/>
        <v>2577400</v>
      </c>
      <c r="AB187" s="19">
        <f t="shared" si="200"/>
        <v>0</v>
      </c>
      <c r="AC187" s="145">
        <f t="shared" si="200"/>
        <v>2577400</v>
      </c>
      <c r="AD187" s="18">
        <f t="shared" si="200"/>
        <v>2577400</v>
      </c>
      <c r="AE187" s="19">
        <f t="shared" si="200"/>
        <v>0</v>
      </c>
      <c r="AF187" s="145">
        <f t="shared" si="200"/>
        <v>0</v>
      </c>
      <c r="AG187" s="16">
        <f t="shared" si="200"/>
        <v>0</v>
      </c>
      <c r="AH187" s="19">
        <f t="shared" si="200"/>
        <v>1039064</v>
      </c>
      <c r="AI187" s="15">
        <f t="shared" si="200"/>
        <v>1039064</v>
      </c>
      <c r="AJ187" s="16">
        <f t="shared" si="200"/>
        <v>3616464</v>
      </c>
      <c r="AK187" s="9"/>
      <c r="AL187" s="29">
        <f t="shared" si="200"/>
        <v>0</v>
      </c>
      <c r="AM187" s="26">
        <f t="shared" si="200"/>
        <v>0</v>
      </c>
      <c r="AN187" s="9"/>
    </row>
    <row r="188" spans="1:40" s="385" customFormat="1" ht="24.95" customHeight="1" x14ac:dyDescent="0.2">
      <c r="A188" s="762"/>
      <c r="B188" s="669"/>
      <c r="N188" s="9"/>
      <c r="P188" s="9"/>
      <c r="Q188" s="9"/>
      <c r="R188" s="9"/>
      <c r="S188" s="720" t="s">
        <v>318</v>
      </c>
      <c r="T188" s="694" t="s">
        <v>427</v>
      </c>
      <c r="U188" s="401">
        <v>793940</v>
      </c>
      <c r="V188" s="15">
        <f t="shared" ref="V188:W191" si="201">AL188</f>
        <v>0</v>
      </c>
      <c r="W188" s="15">
        <f t="shared" si="201"/>
        <v>0</v>
      </c>
      <c r="X188" s="16">
        <f>SUM(U188:W188)</f>
        <v>793940</v>
      </c>
      <c r="Y188" s="19">
        <v>0</v>
      </c>
      <c r="Z188" s="377">
        <v>0</v>
      </c>
      <c r="AA188" s="16">
        <f>SUM(Y188:Z188)</f>
        <v>0</v>
      </c>
      <c r="AB188" s="19">
        <v>0</v>
      </c>
      <c r="AC188" s="377">
        <v>0</v>
      </c>
      <c r="AD188" s="18">
        <f>SUM(AB188:AC188)</f>
        <v>0</v>
      </c>
      <c r="AE188" s="19">
        <v>0</v>
      </c>
      <c r="AF188" s="377">
        <v>0</v>
      </c>
      <c r="AG188" s="16">
        <f>SUM(AE188:AF188)</f>
        <v>0</v>
      </c>
      <c r="AH188" s="19">
        <f>X188-AA188</f>
        <v>793940</v>
      </c>
      <c r="AI188" s="15">
        <f>X188-AD188</f>
        <v>793940</v>
      </c>
      <c r="AJ188" s="16">
        <f>X188-AG188</f>
        <v>793940</v>
      </c>
      <c r="AK188" s="9"/>
      <c r="AL188" s="375">
        <v>0</v>
      </c>
      <c r="AM188" s="378">
        <v>0</v>
      </c>
      <c r="AN188" s="9"/>
    </row>
    <row r="189" spans="1:40" s="385" customFormat="1" ht="24.95" customHeight="1" x14ac:dyDescent="0.2">
      <c r="A189" s="762"/>
      <c r="B189" s="669"/>
      <c r="N189" s="9"/>
      <c r="P189" s="9"/>
      <c r="Q189" s="9"/>
      <c r="R189" s="9"/>
      <c r="S189" s="720" t="s">
        <v>319</v>
      </c>
      <c r="T189" s="694" t="s">
        <v>428</v>
      </c>
      <c r="U189" s="401">
        <v>2822524</v>
      </c>
      <c r="V189" s="15">
        <f t="shared" si="201"/>
        <v>0</v>
      </c>
      <c r="W189" s="15">
        <f t="shared" si="201"/>
        <v>0</v>
      </c>
      <c r="X189" s="16">
        <f>SUM(U189:W189)</f>
        <v>2822524</v>
      </c>
      <c r="Y189" s="19">
        <v>0</v>
      </c>
      <c r="Z189" s="377">
        <v>2577400</v>
      </c>
      <c r="AA189" s="16">
        <f>SUM(Y189:Z189)</f>
        <v>2577400</v>
      </c>
      <c r="AB189" s="19">
        <v>0</v>
      </c>
      <c r="AC189" s="377">
        <v>2577400</v>
      </c>
      <c r="AD189" s="18">
        <f>SUM(AB189:AC189)</f>
        <v>2577400</v>
      </c>
      <c r="AE189" s="19">
        <v>0</v>
      </c>
      <c r="AF189" s="377">
        <v>0</v>
      </c>
      <c r="AG189" s="16">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2"/>
      <c r="B190" s="669"/>
      <c r="N190" s="9"/>
      <c r="P190" s="9"/>
      <c r="Q190" s="9"/>
      <c r="R190" s="9"/>
      <c r="S190" s="720" t="s">
        <v>320</v>
      </c>
      <c r="T190" s="694" t="s">
        <v>429</v>
      </c>
      <c r="U190" s="401">
        <v>0</v>
      </c>
      <c r="V190" s="15">
        <f t="shared" si="201"/>
        <v>0</v>
      </c>
      <c r="W190" s="15">
        <f t="shared" si="201"/>
        <v>0</v>
      </c>
      <c r="X190" s="16">
        <f>SUM(U190:W190)</f>
        <v>0</v>
      </c>
      <c r="Y190" s="19">
        <v>0</v>
      </c>
      <c r="Z190" s="377">
        <v>0</v>
      </c>
      <c r="AA190" s="16">
        <f>SUM(Y190:Z190)</f>
        <v>0</v>
      </c>
      <c r="AB190" s="19">
        <v>0</v>
      </c>
      <c r="AC190" s="377">
        <v>0</v>
      </c>
      <c r="AD190" s="18">
        <f>SUM(AB190:AC190)</f>
        <v>0</v>
      </c>
      <c r="AE190" s="19">
        <v>0</v>
      </c>
      <c r="AF190" s="377">
        <v>0</v>
      </c>
      <c r="AG190" s="16">
        <f>SUM(AE190:AF190)</f>
        <v>0</v>
      </c>
      <c r="AH190" s="19">
        <f>X190-AA190</f>
        <v>0</v>
      </c>
      <c r="AI190" s="15">
        <f>X190-AD190</f>
        <v>0</v>
      </c>
      <c r="AJ190" s="16">
        <f>X190-AG190</f>
        <v>0</v>
      </c>
      <c r="AK190" s="9"/>
      <c r="AL190" s="375">
        <v>0</v>
      </c>
      <c r="AM190" s="378">
        <v>0</v>
      </c>
      <c r="AN190" s="9"/>
    </row>
    <row r="191" spans="1:40" s="385" customFormat="1" ht="24.95" customHeight="1" x14ac:dyDescent="0.2">
      <c r="A191" s="762"/>
      <c r="B191" s="669"/>
      <c r="N191" s="9"/>
      <c r="P191" s="9"/>
      <c r="Q191" s="9"/>
      <c r="R191" s="9"/>
      <c r="S191" s="719">
        <v>3399999</v>
      </c>
      <c r="T191" s="693" t="s">
        <v>132</v>
      </c>
      <c r="U191" s="401">
        <v>0</v>
      </c>
      <c r="V191" s="15">
        <f t="shared" si="201"/>
        <v>0</v>
      </c>
      <c r="W191" s="15">
        <f t="shared" si="201"/>
        <v>388382</v>
      </c>
      <c r="X191" s="16">
        <f>SUM(U191:W191)</f>
        <v>388382</v>
      </c>
      <c r="Y191" s="19">
        <v>0</v>
      </c>
      <c r="Z191" s="377">
        <v>388382</v>
      </c>
      <c r="AA191" s="16">
        <f>SUM(Y191:Z191)</f>
        <v>388382</v>
      </c>
      <c r="AB191" s="19">
        <v>0</v>
      </c>
      <c r="AC191" s="377">
        <v>388382</v>
      </c>
      <c r="AD191" s="18">
        <f>SUM(AB191:AC191)</f>
        <v>388382</v>
      </c>
      <c r="AE191" s="19">
        <v>0</v>
      </c>
      <c r="AF191" s="377">
        <v>0</v>
      </c>
      <c r="AG191" s="16">
        <f>SUM(AE191:AF191)</f>
        <v>0</v>
      </c>
      <c r="AH191" s="19">
        <f>X191-AA191</f>
        <v>0</v>
      </c>
      <c r="AI191" s="15">
        <f>X191-AD191</f>
        <v>0</v>
      </c>
      <c r="AJ191" s="16">
        <f>X191-AG191</f>
        <v>388382</v>
      </c>
      <c r="AK191" s="9"/>
      <c r="AL191" s="375">
        <v>0</v>
      </c>
      <c r="AM191" s="378">
        <v>388382</v>
      </c>
      <c r="AN191" s="9"/>
    </row>
    <row r="192" spans="1:40" s="385" customFormat="1" ht="24.95" customHeight="1" x14ac:dyDescent="0.2">
      <c r="A192" s="762"/>
      <c r="B192" s="669"/>
      <c r="N192" s="9"/>
      <c r="P192" s="9"/>
      <c r="Q192" s="9"/>
      <c r="R192" s="9"/>
      <c r="S192" s="369"/>
      <c r="T192" s="689"/>
      <c r="U192" s="203"/>
      <c r="V192" s="164"/>
      <c r="W192" s="164"/>
      <c r="X192" s="169"/>
      <c r="Y192" s="370"/>
      <c r="Z192" s="203"/>
      <c r="AA192" s="169"/>
      <c r="AB192" s="370"/>
      <c r="AC192" s="203"/>
      <c r="AD192" s="164"/>
      <c r="AE192" s="370"/>
      <c r="AF192" s="203"/>
      <c r="AG192" s="169"/>
      <c r="AH192" s="370"/>
      <c r="AI192" s="164"/>
      <c r="AJ192" s="169"/>
      <c r="AK192" s="9"/>
      <c r="AL192" s="175"/>
      <c r="AM192" s="176"/>
      <c r="AN192" s="9"/>
    </row>
    <row r="193" spans="1:40" s="385" customFormat="1" ht="24.95" customHeight="1" x14ac:dyDescent="0.2">
      <c r="A193" s="762"/>
      <c r="B193" s="669"/>
      <c r="N193" s="9"/>
      <c r="P193" s="9"/>
      <c r="Q193" s="9"/>
      <c r="R193" s="9"/>
      <c r="S193" s="717">
        <v>4000000</v>
      </c>
      <c r="T193" s="697" t="s">
        <v>321</v>
      </c>
      <c r="U193" s="473">
        <f t="shared" ref="U193:AJ193" si="202">U194</f>
        <v>272529328</v>
      </c>
      <c r="V193" s="474">
        <f t="shared" si="202"/>
        <v>0</v>
      </c>
      <c r="W193" s="474">
        <f t="shared" si="202"/>
        <v>135118812</v>
      </c>
      <c r="X193" s="383">
        <f t="shared" si="202"/>
        <v>407648140</v>
      </c>
      <c r="Y193" s="382">
        <f t="shared" si="202"/>
        <v>0</v>
      </c>
      <c r="Z193" s="474">
        <f t="shared" si="202"/>
        <v>121965112</v>
      </c>
      <c r="AA193" s="383">
        <f t="shared" si="202"/>
        <v>121965112</v>
      </c>
      <c r="AB193" s="382">
        <f t="shared" si="202"/>
        <v>0</v>
      </c>
      <c r="AC193" s="474">
        <f t="shared" si="202"/>
        <v>121965112</v>
      </c>
      <c r="AD193" s="475">
        <f t="shared" si="202"/>
        <v>121965112</v>
      </c>
      <c r="AE193" s="382">
        <f t="shared" si="202"/>
        <v>0</v>
      </c>
      <c r="AF193" s="474">
        <f t="shared" si="202"/>
        <v>13189235</v>
      </c>
      <c r="AG193" s="383">
        <f t="shared" si="202"/>
        <v>13189235</v>
      </c>
      <c r="AH193" s="382">
        <f t="shared" si="202"/>
        <v>285683028</v>
      </c>
      <c r="AI193" s="474">
        <f t="shared" si="202"/>
        <v>285683028</v>
      </c>
      <c r="AJ193" s="383">
        <f t="shared" si="202"/>
        <v>394458905</v>
      </c>
      <c r="AK193" s="9"/>
      <c r="AL193" s="131">
        <f>AL194</f>
        <v>0</v>
      </c>
      <c r="AM193" s="133">
        <f>AM194</f>
        <v>135118812</v>
      </c>
      <c r="AN193" s="9"/>
    </row>
    <row r="194" spans="1:40" s="385" customFormat="1" ht="24.95" customHeight="1" x14ac:dyDescent="0.2">
      <c r="A194" s="762"/>
      <c r="B194" s="669"/>
      <c r="N194" s="9"/>
      <c r="P194" s="9"/>
      <c r="Q194" s="9"/>
      <c r="R194" s="9"/>
      <c r="S194" s="718">
        <v>4100000</v>
      </c>
      <c r="T194" s="692" t="s">
        <v>322</v>
      </c>
      <c r="U194" s="135">
        <f t="shared" ref="U194:AJ194" si="203">U195+U203+U205</f>
        <v>272529328</v>
      </c>
      <c r="V194" s="124">
        <f t="shared" si="203"/>
        <v>0</v>
      </c>
      <c r="W194" s="124">
        <f t="shared" si="203"/>
        <v>135118812</v>
      </c>
      <c r="X194" s="133">
        <f t="shared" si="203"/>
        <v>407648140</v>
      </c>
      <c r="Y194" s="131">
        <f t="shared" si="203"/>
        <v>0</v>
      </c>
      <c r="Z194" s="124">
        <f t="shared" si="203"/>
        <v>121965112</v>
      </c>
      <c r="AA194" s="133">
        <f t="shared" si="203"/>
        <v>121965112</v>
      </c>
      <c r="AB194" s="131">
        <f t="shared" si="203"/>
        <v>0</v>
      </c>
      <c r="AC194" s="124">
        <f t="shared" si="203"/>
        <v>121965112</v>
      </c>
      <c r="AD194" s="132">
        <f t="shared" si="203"/>
        <v>121965112</v>
      </c>
      <c r="AE194" s="131">
        <f t="shared" si="203"/>
        <v>0</v>
      </c>
      <c r="AF194" s="124">
        <f t="shared" si="203"/>
        <v>13189235</v>
      </c>
      <c r="AG194" s="133">
        <f t="shared" si="203"/>
        <v>13189235</v>
      </c>
      <c r="AH194" s="131">
        <f t="shared" si="203"/>
        <v>285683028</v>
      </c>
      <c r="AI194" s="124">
        <f t="shared" si="203"/>
        <v>285683028</v>
      </c>
      <c r="AJ194" s="133">
        <f t="shared" si="203"/>
        <v>394458905</v>
      </c>
      <c r="AK194" s="10"/>
      <c r="AL194" s="131">
        <f>AL195+AL203+AL205</f>
        <v>0</v>
      </c>
      <c r="AM194" s="133">
        <f>AM195+AM203+AM205</f>
        <v>135118812</v>
      </c>
      <c r="AN194" s="9"/>
    </row>
    <row r="195" spans="1:40" s="385" customFormat="1" ht="24.95" customHeight="1" x14ac:dyDescent="0.2">
      <c r="A195" s="762"/>
      <c r="B195" s="669"/>
      <c r="N195" s="9"/>
      <c r="P195" s="9"/>
      <c r="Q195" s="9"/>
      <c r="R195" s="9"/>
      <c r="S195" s="719">
        <v>4100100</v>
      </c>
      <c r="T195" s="693" t="s">
        <v>323</v>
      </c>
      <c r="U195" s="17">
        <f t="shared" ref="U195:AJ195" si="204">SUM(U196:U202)</f>
        <v>240561284</v>
      </c>
      <c r="V195" s="15">
        <f t="shared" si="204"/>
        <v>0</v>
      </c>
      <c r="W195" s="15">
        <f t="shared" si="204"/>
        <v>43282880</v>
      </c>
      <c r="X195" s="16">
        <f t="shared" si="204"/>
        <v>283844164</v>
      </c>
      <c r="Y195" s="19">
        <f t="shared" si="204"/>
        <v>0</v>
      </c>
      <c r="Z195" s="145">
        <f t="shared" si="204"/>
        <v>27311880</v>
      </c>
      <c r="AA195" s="16">
        <f t="shared" si="204"/>
        <v>27311880</v>
      </c>
      <c r="AB195" s="19">
        <f t="shared" si="204"/>
        <v>0</v>
      </c>
      <c r="AC195" s="145">
        <f t="shared" si="204"/>
        <v>27311880</v>
      </c>
      <c r="AD195" s="18">
        <f t="shared" si="204"/>
        <v>27311880</v>
      </c>
      <c r="AE195" s="19">
        <f t="shared" si="204"/>
        <v>0</v>
      </c>
      <c r="AF195" s="145">
        <f t="shared" si="204"/>
        <v>275000</v>
      </c>
      <c r="AG195" s="16">
        <f t="shared" si="204"/>
        <v>275000</v>
      </c>
      <c r="AH195" s="19">
        <f t="shared" si="204"/>
        <v>256532284</v>
      </c>
      <c r="AI195" s="15">
        <f t="shared" si="204"/>
        <v>256532284</v>
      </c>
      <c r="AJ195" s="16">
        <f t="shared" si="204"/>
        <v>283569164</v>
      </c>
      <c r="AK195" s="9"/>
      <c r="AL195" s="29">
        <f>SUM(AL196:AL202)</f>
        <v>0</v>
      </c>
      <c r="AM195" s="26">
        <f>SUM(AM196:AM202)</f>
        <v>43282880</v>
      </c>
      <c r="AN195" s="9"/>
    </row>
    <row r="196" spans="1:40" s="385" customFormat="1" ht="24.95" customHeight="1" x14ac:dyDescent="0.2">
      <c r="A196" s="762"/>
      <c r="B196" s="669"/>
      <c r="N196" s="9"/>
      <c r="P196" s="9"/>
      <c r="Q196" s="9"/>
      <c r="R196" s="9"/>
      <c r="S196" s="720" t="s">
        <v>324</v>
      </c>
      <c r="T196" s="694" t="s">
        <v>430</v>
      </c>
      <c r="U196" s="401">
        <v>145961721</v>
      </c>
      <c r="V196" s="15">
        <f t="shared" ref="V196:W200" si="205">AL196</f>
        <v>0</v>
      </c>
      <c r="W196" s="15">
        <f t="shared" si="205"/>
        <v>41282880</v>
      </c>
      <c r="X196" s="16">
        <f t="shared" ref="X196:X202" si="206">SUM(U196:W196)</f>
        <v>187244601</v>
      </c>
      <c r="Y196" s="19">
        <v>0</v>
      </c>
      <c r="Z196" s="377">
        <v>16828901</v>
      </c>
      <c r="AA196" s="16">
        <f t="shared" ref="AA196:AA202" si="207">SUM(Y196:Z196)</f>
        <v>16828901</v>
      </c>
      <c r="AB196" s="19">
        <v>0</v>
      </c>
      <c r="AC196" s="377">
        <v>16828901</v>
      </c>
      <c r="AD196" s="18">
        <f t="shared" ref="AD196:AD202" si="208">SUM(AB196:AC196)</f>
        <v>16828901</v>
      </c>
      <c r="AE196" s="19">
        <v>0</v>
      </c>
      <c r="AF196" s="377">
        <v>275000</v>
      </c>
      <c r="AG196" s="16">
        <f t="shared" ref="AG196:AG202" si="209">SUM(AE196:AF196)</f>
        <v>275000</v>
      </c>
      <c r="AH196" s="19">
        <f t="shared" ref="AH196:AH202" si="210">X196-AA196</f>
        <v>170415700</v>
      </c>
      <c r="AI196" s="15">
        <f t="shared" ref="AI196:AI202" si="211">X196-AD196</f>
        <v>170415700</v>
      </c>
      <c r="AJ196" s="16">
        <f t="shared" ref="AJ196:AJ202" si="212">X196-AG196</f>
        <v>186969601</v>
      </c>
      <c r="AK196" s="9"/>
      <c r="AL196" s="375">
        <v>0</v>
      </c>
      <c r="AM196" s="378">
        <v>41282880</v>
      </c>
      <c r="AN196" s="9"/>
    </row>
    <row r="197" spans="1:40" s="385" customFormat="1" ht="24.95" customHeight="1" x14ac:dyDescent="0.2">
      <c r="A197" s="762"/>
      <c r="B197" s="669"/>
      <c r="N197" s="9"/>
      <c r="P197" s="9"/>
      <c r="Q197" s="9"/>
      <c r="R197" s="9"/>
      <c r="S197" s="720" t="s">
        <v>325</v>
      </c>
      <c r="T197" s="694" t="s">
        <v>431</v>
      </c>
      <c r="U197" s="401">
        <v>49263202</v>
      </c>
      <c r="V197" s="15">
        <f t="shared" si="205"/>
        <v>0</v>
      </c>
      <c r="W197" s="15">
        <f t="shared" si="205"/>
        <v>0</v>
      </c>
      <c r="X197" s="16">
        <f t="shared" si="206"/>
        <v>49263202</v>
      </c>
      <c r="Y197" s="19">
        <v>0</v>
      </c>
      <c r="Z197" s="377">
        <v>6575643</v>
      </c>
      <c r="AA197" s="16">
        <f t="shared" si="207"/>
        <v>6575643</v>
      </c>
      <c r="AB197" s="19">
        <v>0</v>
      </c>
      <c r="AC197" s="377">
        <v>6575643</v>
      </c>
      <c r="AD197" s="18">
        <f t="shared" si="208"/>
        <v>6575643</v>
      </c>
      <c r="AE197" s="19">
        <v>0</v>
      </c>
      <c r="AF197" s="377">
        <v>0</v>
      </c>
      <c r="AG197" s="16">
        <f t="shared" si="209"/>
        <v>0</v>
      </c>
      <c r="AH197" s="19">
        <f t="shared" si="210"/>
        <v>42687559</v>
      </c>
      <c r="AI197" s="15">
        <f t="shared" si="211"/>
        <v>42687559</v>
      </c>
      <c r="AJ197" s="16">
        <f t="shared" si="212"/>
        <v>49263202</v>
      </c>
      <c r="AK197" s="9"/>
      <c r="AL197" s="375">
        <v>0</v>
      </c>
      <c r="AM197" s="378">
        <v>0</v>
      </c>
      <c r="AN197" s="9"/>
    </row>
    <row r="198" spans="1:40" s="385" customFormat="1" ht="24.95" customHeight="1" x14ac:dyDescent="0.2">
      <c r="A198" s="762"/>
      <c r="B198" s="669"/>
      <c r="N198" s="9"/>
      <c r="P198" s="9"/>
      <c r="Q198" s="9"/>
      <c r="R198" s="9"/>
      <c r="S198" s="720" t="s">
        <v>326</v>
      </c>
      <c r="T198" s="694" t="s">
        <v>432</v>
      </c>
      <c r="U198" s="401">
        <v>20729510</v>
      </c>
      <c r="V198" s="15">
        <f t="shared" si="205"/>
        <v>0</v>
      </c>
      <c r="W198" s="15">
        <f t="shared" si="205"/>
        <v>0</v>
      </c>
      <c r="X198" s="16">
        <f t="shared" si="206"/>
        <v>20729510</v>
      </c>
      <c r="Y198" s="19">
        <v>0</v>
      </c>
      <c r="Z198" s="377">
        <v>2683528</v>
      </c>
      <c r="AA198" s="16">
        <f t="shared" si="207"/>
        <v>2683528</v>
      </c>
      <c r="AB198" s="19">
        <v>0</v>
      </c>
      <c r="AC198" s="377">
        <v>2683528</v>
      </c>
      <c r="AD198" s="18">
        <f t="shared" si="208"/>
        <v>2683528</v>
      </c>
      <c r="AE198" s="19">
        <v>0</v>
      </c>
      <c r="AF198" s="377">
        <v>0</v>
      </c>
      <c r="AG198" s="16">
        <f t="shared" si="209"/>
        <v>0</v>
      </c>
      <c r="AH198" s="19">
        <f t="shared" si="210"/>
        <v>18045982</v>
      </c>
      <c r="AI198" s="15">
        <f t="shared" si="211"/>
        <v>18045982</v>
      </c>
      <c r="AJ198" s="16">
        <f t="shared" si="212"/>
        <v>20729510</v>
      </c>
      <c r="AK198" s="9"/>
      <c r="AL198" s="375">
        <v>0</v>
      </c>
      <c r="AM198" s="378">
        <v>0</v>
      </c>
      <c r="AN198" s="9"/>
    </row>
    <row r="199" spans="1:40" s="385" customFormat="1" ht="24.95" customHeight="1" x14ac:dyDescent="0.2">
      <c r="A199" s="762"/>
      <c r="B199" s="669"/>
      <c r="N199" s="9"/>
      <c r="P199" s="9"/>
      <c r="Q199" s="9"/>
      <c r="R199" s="9"/>
      <c r="S199" s="720" t="s">
        <v>327</v>
      </c>
      <c r="T199" s="694" t="s">
        <v>433</v>
      </c>
      <c r="U199" s="401">
        <v>22568185</v>
      </c>
      <c r="V199" s="15">
        <f t="shared" si="205"/>
        <v>0</v>
      </c>
      <c r="W199" s="15">
        <f t="shared" si="205"/>
        <v>0</v>
      </c>
      <c r="X199" s="16">
        <f t="shared" si="206"/>
        <v>22568185</v>
      </c>
      <c r="Y199" s="19">
        <v>0</v>
      </c>
      <c r="Z199" s="377">
        <v>1223808</v>
      </c>
      <c r="AA199" s="16">
        <f t="shared" si="207"/>
        <v>1223808</v>
      </c>
      <c r="AB199" s="19">
        <v>0</v>
      </c>
      <c r="AC199" s="377">
        <v>1223808</v>
      </c>
      <c r="AD199" s="18">
        <f t="shared" si="208"/>
        <v>1223808</v>
      </c>
      <c r="AE199" s="19">
        <v>0</v>
      </c>
      <c r="AF199" s="377">
        <v>0</v>
      </c>
      <c r="AG199" s="16">
        <f t="shared" si="209"/>
        <v>0</v>
      </c>
      <c r="AH199" s="19">
        <f t="shared" si="210"/>
        <v>21344377</v>
      </c>
      <c r="AI199" s="15">
        <f t="shared" si="211"/>
        <v>21344377</v>
      </c>
      <c r="AJ199" s="16">
        <f t="shared" si="212"/>
        <v>22568185</v>
      </c>
      <c r="AK199" s="9"/>
      <c r="AL199" s="375">
        <v>0</v>
      </c>
      <c r="AM199" s="378">
        <v>0</v>
      </c>
      <c r="AN199" s="9"/>
    </row>
    <row r="200" spans="1:40" s="385" customFormat="1" ht="24.95" customHeight="1" x14ac:dyDescent="0.2">
      <c r="A200" s="762"/>
      <c r="B200" s="669"/>
      <c r="N200" s="9"/>
      <c r="P200" s="9"/>
      <c r="Q200" s="9"/>
      <c r="R200" s="9"/>
      <c r="S200" s="720" t="s">
        <v>328</v>
      </c>
      <c r="T200" s="694" t="s">
        <v>434</v>
      </c>
      <c r="U200" s="401">
        <v>2038666</v>
      </c>
      <c r="V200" s="15">
        <f t="shared" si="205"/>
        <v>0</v>
      </c>
      <c r="W200" s="15">
        <f t="shared" si="205"/>
        <v>2000000</v>
      </c>
      <c r="X200" s="16">
        <f t="shared" si="206"/>
        <v>4038666</v>
      </c>
      <c r="Y200" s="19">
        <v>0</v>
      </c>
      <c r="Z200" s="377">
        <v>0</v>
      </c>
      <c r="AA200" s="16">
        <f t="shared" si="207"/>
        <v>0</v>
      </c>
      <c r="AB200" s="19">
        <v>0</v>
      </c>
      <c r="AC200" s="377">
        <v>0</v>
      </c>
      <c r="AD200" s="18">
        <f t="shared" si="208"/>
        <v>0</v>
      </c>
      <c r="AE200" s="19">
        <v>0</v>
      </c>
      <c r="AF200" s="377">
        <v>0</v>
      </c>
      <c r="AG200" s="16">
        <f t="shared" si="209"/>
        <v>0</v>
      </c>
      <c r="AH200" s="19">
        <f t="shared" si="210"/>
        <v>4038666</v>
      </c>
      <c r="AI200" s="15">
        <f t="shared" si="211"/>
        <v>4038666</v>
      </c>
      <c r="AJ200" s="16">
        <f t="shared" si="212"/>
        <v>4038666</v>
      </c>
      <c r="AK200" s="9"/>
      <c r="AL200" s="375">
        <v>0</v>
      </c>
      <c r="AM200" s="378">
        <v>2000000</v>
      </c>
      <c r="AN200" s="9"/>
    </row>
    <row r="201" spans="1:40" s="385" customFormat="1" ht="24.95" customHeight="1" x14ac:dyDescent="0.2">
      <c r="A201" s="762"/>
      <c r="B201" s="669"/>
      <c r="N201" s="9"/>
      <c r="P201" s="9"/>
      <c r="Q201" s="9"/>
      <c r="R201" s="9"/>
      <c r="S201" s="723"/>
      <c r="T201" s="695"/>
      <c r="U201" s="401">
        <v>0</v>
      </c>
      <c r="V201" s="15">
        <f>AL201</f>
        <v>0</v>
      </c>
      <c r="W201" s="15">
        <f>AM201</f>
        <v>0</v>
      </c>
      <c r="X201" s="16">
        <f t="shared" si="206"/>
        <v>0</v>
      </c>
      <c r="Y201" s="19">
        <v>0</v>
      </c>
      <c r="Z201" s="377">
        <v>0</v>
      </c>
      <c r="AA201" s="16">
        <f t="shared" si="207"/>
        <v>0</v>
      </c>
      <c r="AB201" s="19">
        <v>0</v>
      </c>
      <c r="AC201" s="377">
        <v>0</v>
      </c>
      <c r="AD201" s="18">
        <f t="shared" si="208"/>
        <v>0</v>
      </c>
      <c r="AE201" s="19">
        <v>0</v>
      </c>
      <c r="AF201" s="377">
        <v>0</v>
      </c>
      <c r="AG201" s="16">
        <f t="shared" si="209"/>
        <v>0</v>
      </c>
      <c r="AH201" s="19">
        <f t="shared" si="210"/>
        <v>0</v>
      </c>
      <c r="AI201" s="15">
        <f t="shared" si="211"/>
        <v>0</v>
      </c>
      <c r="AJ201" s="16">
        <f t="shared" si="212"/>
        <v>0</v>
      </c>
      <c r="AK201" s="9"/>
      <c r="AL201" s="375">
        <v>0</v>
      </c>
      <c r="AM201" s="378">
        <v>0</v>
      </c>
      <c r="AN201" s="9"/>
    </row>
    <row r="202" spans="1:40" s="385" customFormat="1" ht="24.95" customHeight="1" x14ac:dyDescent="0.2">
      <c r="A202" s="762"/>
      <c r="B202" s="669"/>
      <c r="N202" s="9"/>
      <c r="P202" s="9"/>
      <c r="Q202" s="9"/>
      <c r="R202" s="9"/>
      <c r="S202" s="723"/>
      <c r="T202" s="695"/>
      <c r="U202" s="401">
        <v>0</v>
      </c>
      <c r="V202" s="15">
        <f>AL202</f>
        <v>0</v>
      </c>
      <c r="W202" s="15">
        <f>AM202</f>
        <v>0</v>
      </c>
      <c r="X202" s="16">
        <f t="shared" si="206"/>
        <v>0</v>
      </c>
      <c r="Y202" s="19">
        <v>0</v>
      </c>
      <c r="Z202" s="377">
        <v>0</v>
      </c>
      <c r="AA202" s="16">
        <f t="shared" si="207"/>
        <v>0</v>
      </c>
      <c r="AB202" s="19">
        <v>0</v>
      </c>
      <c r="AC202" s="377">
        <v>0</v>
      </c>
      <c r="AD202" s="18">
        <f t="shared" si="208"/>
        <v>0</v>
      </c>
      <c r="AE202" s="19">
        <v>0</v>
      </c>
      <c r="AF202" s="377">
        <v>0</v>
      </c>
      <c r="AG202" s="16">
        <f t="shared" si="209"/>
        <v>0</v>
      </c>
      <c r="AH202" s="19">
        <f t="shared" si="210"/>
        <v>0</v>
      </c>
      <c r="AI202" s="15">
        <f t="shared" si="211"/>
        <v>0</v>
      </c>
      <c r="AJ202" s="16">
        <f t="shared" si="212"/>
        <v>0</v>
      </c>
      <c r="AK202" s="9"/>
      <c r="AL202" s="375">
        <v>0</v>
      </c>
      <c r="AM202" s="378">
        <v>0</v>
      </c>
      <c r="AN202" s="9"/>
    </row>
    <row r="203" spans="1:40" s="385" customFormat="1" ht="24.95" customHeight="1" x14ac:dyDescent="0.2">
      <c r="A203" s="762"/>
      <c r="B203" s="669"/>
      <c r="N203" s="9"/>
      <c r="P203" s="9"/>
      <c r="Q203" s="9"/>
      <c r="R203" s="9"/>
      <c r="S203" s="719">
        <v>4100200</v>
      </c>
      <c r="T203" s="693" t="s">
        <v>329</v>
      </c>
      <c r="U203" s="17">
        <f t="shared" ref="U203:AJ203" si="213">U204</f>
        <v>31968044</v>
      </c>
      <c r="V203" s="15">
        <f t="shared" si="213"/>
        <v>0</v>
      </c>
      <c r="W203" s="15">
        <f t="shared" si="213"/>
        <v>0</v>
      </c>
      <c r="X203" s="16">
        <f t="shared" si="213"/>
        <v>31968044</v>
      </c>
      <c r="Y203" s="19">
        <f t="shared" si="213"/>
        <v>0</v>
      </c>
      <c r="Z203" s="145">
        <f t="shared" si="213"/>
        <v>2817300</v>
      </c>
      <c r="AA203" s="16">
        <f t="shared" si="213"/>
        <v>2817300</v>
      </c>
      <c r="AB203" s="19">
        <f t="shared" si="213"/>
        <v>0</v>
      </c>
      <c r="AC203" s="145">
        <f t="shared" si="213"/>
        <v>2817300</v>
      </c>
      <c r="AD203" s="18">
        <f t="shared" si="213"/>
        <v>2817300</v>
      </c>
      <c r="AE203" s="19">
        <f t="shared" si="213"/>
        <v>0</v>
      </c>
      <c r="AF203" s="145">
        <f t="shared" si="213"/>
        <v>0</v>
      </c>
      <c r="AG203" s="16">
        <f t="shared" si="213"/>
        <v>0</v>
      </c>
      <c r="AH203" s="19">
        <f t="shared" si="213"/>
        <v>29150744</v>
      </c>
      <c r="AI203" s="15">
        <f t="shared" si="213"/>
        <v>29150744</v>
      </c>
      <c r="AJ203" s="16">
        <f t="shared" si="213"/>
        <v>31968044</v>
      </c>
      <c r="AK203" s="9"/>
      <c r="AL203" s="29">
        <f>AL204</f>
        <v>0</v>
      </c>
      <c r="AM203" s="26">
        <f>AM204</f>
        <v>0</v>
      </c>
      <c r="AN203" s="9"/>
    </row>
    <row r="204" spans="1:40" s="385" customFormat="1" ht="24.95" customHeight="1" x14ac:dyDescent="0.2">
      <c r="A204" s="762"/>
      <c r="B204" s="669"/>
      <c r="N204" s="9"/>
      <c r="P204" s="9"/>
      <c r="Q204" s="9"/>
      <c r="R204" s="9"/>
      <c r="S204" s="720" t="s">
        <v>330</v>
      </c>
      <c r="T204" s="694" t="s">
        <v>435</v>
      </c>
      <c r="U204" s="401">
        <v>31968044</v>
      </c>
      <c r="V204" s="15">
        <f>AL204</f>
        <v>0</v>
      </c>
      <c r="W204" s="15">
        <f>AM204</f>
        <v>0</v>
      </c>
      <c r="X204" s="16">
        <f>SUM(U204:W204)</f>
        <v>31968044</v>
      </c>
      <c r="Y204" s="19">
        <v>0</v>
      </c>
      <c r="Z204" s="377">
        <v>2817300</v>
      </c>
      <c r="AA204" s="16">
        <f>SUM(Y204:Z204)</f>
        <v>2817300</v>
      </c>
      <c r="AB204" s="19">
        <v>0</v>
      </c>
      <c r="AC204" s="377">
        <v>2817300</v>
      </c>
      <c r="AD204" s="18">
        <f>SUM(AB204:AC204)</f>
        <v>2817300</v>
      </c>
      <c r="AE204" s="19">
        <v>0</v>
      </c>
      <c r="AF204" s="377">
        <v>0</v>
      </c>
      <c r="AG204" s="16">
        <f>SUM(AE204:AF204)</f>
        <v>0</v>
      </c>
      <c r="AH204" s="19">
        <f>X204-AA204</f>
        <v>29150744</v>
      </c>
      <c r="AI204" s="15">
        <f>X204-AD204</f>
        <v>29150744</v>
      </c>
      <c r="AJ204" s="16">
        <f>X204-AG204</f>
        <v>31968044</v>
      </c>
      <c r="AK204" s="9"/>
      <c r="AL204" s="375">
        <v>0</v>
      </c>
      <c r="AM204" s="378">
        <v>0</v>
      </c>
      <c r="AN204" s="9"/>
    </row>
    <row r="205" spans="1:40" s="385" customFormat="1" ht="24.95" customHeight="1" thickBot="1" x14ac:dyDescent="0.25">
      <c r="A205" s="762"/>
      <c r="B205" s="669"/>
      <c r="N205" s="9"/>
      <c r="P205" s="9"/>
      <c r="Q205" s="9"/>
      <c r="R205" s="9"/>
      <c r="S205" s="724">
        <v>4199999</v>
      </c>
      <c r="T205" s="699" t="s">
        <v>132</v>
      </c>
      <c r="U205" s="491">
        <v>0</v>
      </c>
      <c r="V205" s="123">
        <f>AL205</f>
        <v>0</v>
      </c>
      <c r="W205" s="123">
        <f>AM205</f>
        <v>91835932</v>
      </c>
      <c r="X205" s="128">
        <f>SUM(U205:W205)</f>
        <v>91835932</v>
      </c>
      <c r="Y205" s="127">
        <v>0</v>
      </c>
      <c r="Z205" s="391">
        <v>91835932</v>
      </c>
      <c r="AA205" s="128">
        <f>SUM(Y205:Z205)</f>
        <v>91835932</v>
      </c>
      <c r="AB205" s="127">
        <v>0</v>
      </c>
      <c r="AC205" s="391">
        <v>91835932</v>
      </c>
      <c r="AD205" s="129">
        <f>SUM(AB205:AC205)</f>
        <v>91835932</v>
      </c>
      <c r="AE205" s="127">
        <v>0</v>
      </c>
      <c r="AF205" s="391">
        <v>12914235</v>
      </c>
      <c r="AG205" s="128">
        <f>SUM(AE205:AF205)</f>
        <v>12914235</v>
      </c>
      <c r="AH205" s="127">
        <f>X205-AA205</f>
        <v>0</v>
      </c>
      <c r="AI205" s="123">
        <f>X205-AD205</f>
        <v>0</v>
      </c>
      <c r="AJ205" s="128">
        <f>X205-AG205</f>
        <v>78921697</v>
      </c>
      <c r="AK205" s="9"/>
      <c r="AL205" s="387">
        <v>0</v>
      </c>
      <c r="AM205" s="392">
        <v>91835932</v>
      </c>
      <c r="AN205" s="9"/>
    </row>
    <row r="206" spans="1:40" s="385" customFormat="1" ht="24.95" customHeight="1" x14ac:dyDescent="0.2">
      <c r="A206" s="762"/>
      <c r="B206" s="669"/>
      <c r="N206" s="9"/>
      <c r="P206" s="9"/>
      <c r="Q206" s="9"/>
      <c r="R206" s="9"/>
      <c r="S206" s="492"/>
      <c r="T206" s="700"/>
      <c r="U206" s="207"/>
      <c r="V206" s="170"/>
      <c r="W206" s="170"/>
      <c r="X206" s="171"/>
      <c r="Y206" s="493"/>
      <c r="Z206" s="207"/>
      <c r="AA206" s="171"/>
      <c r="AB206" s="170"/>
      <c r="AC206" s="207"/>
      <c r="AD206" s="170"/>
      <c r="AE206" s="493"/>
      <c r="AF206" s="207"/>
      <c r="AG206" s="171"/>
      <c r="AH206" s="493"/>
      <c r="AI206" s="170"/>
      <c r="AJ206" s="171"/>
      <c r="AK206" s="9"/>
      <c r="AL206" s="494"/>
      <c r="AM206" s="495"/>
      <c r="AN206" s="9"/>
    </row>
    <row r="207" spans="1:40" s="385" customFormat="1" ht="24.95" customHeight="1" x14ac:dyDescent="0.2">
      <c r="A207" s="762"/>
      <c r="B207" s="669"/>
      <c r="N207" s="9"/>
      <c r="P207" s="9"/>
      <c r="Q207" s="9"/>
      <c r="R207" s="9"/>
      <c r="S207" s="496" t="s">
        <v>331</v>
      </c>
      <c r="T207" s="701" t="s">
        <v>332</v>
      </c>
      <c r="U207" s="473">
        <f t="shared" ref="U207:AJ207" si="214">U209</f>
        <v>0</v>
      </c>
      <c r="V207" s="474">
        <f t="shared" si="214"/>
        <v>0</v>
      </c>
      <c r="W207" s="474">
        <f t="shared" si="214"/>
        <v>0</v>
      </c>
      <c r="X207" s="383">
        <f t="shared" si="214"/>
        <v>0</v>
      </c>
      <c r="Y207" s="382">
        <f t="shared" si="214"/>
        <v>0</v>
      </c>
      <c r="Z207" s="497">
        <f t="shared" si="214"/>
        <v>0</v>
      </c>
      <c r="AA207" s="383">
        <f t="shared" si="214"/>
        <v>0</v>
      </c>
      <c r="AB207" s="473">
        <f t="shared" si="214"/>
        <v>0</v>
      </c>
      <c r="AC207" s="497">
        <f t="shared" si="214"/>
        <v>0</v>
      </c>
      <c r="AD207" s="475">
        <f t="shared" si="214"/>
        <v>0</v>
      </c>
      <c r="AE207" s="382">
        <f t="shared" si="214"/>
        <v>0</v>
      </c>
      <c r="AF207" s="497">
        <f t="shared" si="214"/>
        <v>0</v>
      </c>
      <c r="AG207" s="383">
        <f t="shared" si="214"/>
        <v>0</v>
      </c>
      <c r="AH207" s="382">
        <f t="shared" si="214"/>
        <v>0</v>
      </c>
      <c r="AI207" s="474">
        <f t="shared" si="214"/>
        <v>0</v>
      </c>
      <c r="AJ207" s="383">
        <f t="shared" si="214"/>
        <v>0</v>
      </c>
      <c r="AK207" s="9"/>
      <c r="AL207" s="382">
        <f>AL209</f>
        <v>0</v>
      </c>
      <c r="AM207" s="383">
        <f>AM209</f>
        <v>0</v>
      </c>
      <c r="AN207" s="9"/>
    </row>
    <row r="208" spans="1:40" s="385" customFormat="1" ht="24.95" customHeight="1" x14ac:dyDescent="0.2">
      <c r="A208" s="762"/>
      <c r="B208" s="669"/>
      <c r="N208" s="9"/>
      <c r="P208" s="9"/>
      <c r="Q208" s="9"/>
      <c r="R208" s="9"/>
      <c r="S208" s="498"/>
      <c r="T208" s="702"/>
      <c r="U208" s="203"/>
      <c r="V208" s="164"/>
      <c r="W208" s="164"/>
      <c r="X208" s="169"/>
      <c r="Y208" s="370"/>
      <c r="Z208" s="203"/>
      <c r="AA208" s="169"/>
      <c r="AB208" s="164"/>
      <c r="AC208" s="203"/>
      <c r="AD208" s="164"/>
      <c r="AE208" s="370"/>
      <c r="AF208" s="203"/>
      <c r="AG208" s="169"/>
      <c r="AH208" s="370"/>
      <c r="AI208" s="164"/>
      <c r="AJ208" s="169"/>
      <c r="AK208" s="9"/>
      <c r="AL208" s="499"/>
      <c r="AM208" s="500"/>
      <c r="AN208" s="9"/>
    </row>
    <row r="209" spans="1:40" s="385" customFormat="1" ht="24.95" customHeight="1" x14ac:dyDescent="0.2">
      <c r="A209" s="762"/>
      <c r="B209" s="669"/>
      <c r="N209" s="9"/>
      <c r="P209" s="9"/>
      <c r="Q209" s="9"/>
      <c r="R209" s="9"/>
      <c r="S209" s="725">
        <v>5000000</v>
      </c>
      <c r="T209" s="703" t="s">
        <v>460</v>
      </c>
      <c r="U209" s="473">
        <f t="shared" ref="U209:AJ209" si="215">U210</f>
        <v>0</v>
      </c>
      <c r="V209" s="474">
        <f t="shared" si="215"/>
        <v>0</v>
      </c>
      <c r="W209" s="474">
        <f t="shared" si="215"/>
        <v>0</v>
      </c>
      <c r="X209" s="383">
        <f t="shared" si="215"/>
        <v>0</v>
      </c>
      <c r="Y209" s="382">
        <f t="shared" si="215"/>
        <v>0</v>
      </c>
      <c r="Z209" s="497">
        <f t="shared" si="215"/>
        <v>0</v>
      </c>
      <c r="AA209" s="383">
        <f t="shared" si="215"/>
        <v>0</v>
      </c>
      <c r="AB209" s="473">
        <f t="shared" si="215"/>
        <v>0</v>
      </c>
      <c r="AC209" s="497">
        <f t="shared" si="215"/>
        <v>0</v>
      </c>
      <c r="AD209" s="475">
        <f t="shared" si="215"/>
        <v>0</v>
      </c>
      <c r="AE209" s="382">
        <f t="shared" si="215"/>
        <v>0</v>
      </c>
      <c r="AF209" s="497">
        <f t="shared" si="215"/>
        <v>0</v>
      </c>
      <c r="AG209" s="383">
        <f t="shared" si="215"/>
        <v>0</v>
      </c>
      <c r="AH209" s="382">
        <f t="shared" si="215"/>
        <v>0</v>
      </c>
      <c r="AI209" s="474">
        <f t="shared" si="215"/>
        <v>0</v>
      </c>
      <c r="AJ209" s="383">
        <f t="shared" si="215"/>
        <v>0</v>
      </c>
      <c r="AK209" s="9"/>
      <c r="AL209" s="131">
        <f>AL210</f>
        <v>0</v>
      </c>
      <c r="AM209" s="133">
        <f>AM210</f>
        <v>0</v>
      </c>
      <c r="AN209" s="9"/>
    </row>
    <row r="210" spans="1:40" s="385" customFormat="1" ht="24.95" customHeight="1" x14ac:dyDescent="0.2">
      <c r="A210" s="762"/>
      <c r="B210" s="669"/>
      <c r="N210" s="9"/>
      <c r="P210" s="9"/>
      <c r="Q210" s="9"/>
      <c r="R210" s="9"/>
      <c r="S210" s="726">
        <v>5100000</v>
      </c>
      <c r="T210" s="704" t="s">
        <v>333</v>
      </c>
      <c r="U210" s="135">
        <f t="shared" ref="U210:AJ210" si="216">U211+U218</f>
        <v>0</v>
      </c>
      <c r="V210" s="124">
        <f t="shared" si="216"/>
        <v>0</v>
      </c>
      <c r="W210" s="124">
        <f t="shared" si="216"/>
        <v>0</v>
      </c>
      <c r="X210" s="133">
        <f t="shared" si="216"/>
        <v>0</v>
      </c>
      <c r="Y210" s="131">
        <f t="shared" si="216"/>
        <v>0</v>
      </c>
      <c r="Z210" s="205">
        <f t="shared" si="216"/>
        <v>0</v>
      </c>
      <c r="AA210" s="133">
        <f t="shared" si="216"/>
        <v>0</v>
      </c>
      <c r="AB210" s="135">
        <f t="shared" si="216"/>
        <v>0</v>
      </c>
      <c r="AC210" s="205">
        <f t="shared" si="216"/>
        <v>0</v>
      </c>
      <c r="AD210" s="132">
        <f t="shared" si="216"/>
        <v>0</v>
      </c>
      <c r="AE210" s="131">
        <f t="shared" si="216"/>
        <v>0</v>
      </c>
      <c r="AF210" s="205">
        <f t="shared" si="216"/>
        <v>0</v>
      </c>
      <c r="AG210" s="133">
        <f t="shared" si="216"/>
        <v>0</v>
      </c>
      <c r="AH210" s="131">
        <f t="shared" si="216"/>
        <v>0</v>
      </c>
      <c r="AI210" s="124">
        <f t="shared" si="216"/>
        <v>0</v>
      </c>
      <c r="AJ210" s="133">
        <f t="shared" si="216"/>
        <v>0</v>
      </c>
      <c r="AK210" s="9"/>
      <c r="AL210" s="131">
        <f>AL211+AL218</f>
        <v>0</v>
      </c>
      <c r="AM210" s="133">
        <f>AM211+AM218</f>
        <v>0</v>
      </c>
      <c r="AN210" s="9"/>
    </row>
    <row r="211" spans="1:40" s="385" customFormat="1" ht="24.95" customHeight="1" x14ac:dyDescent="0.2">
      <c r="A211" s="762"/>
      <c r="B211" s="669"/>
      <c r="N211" s="9"/>
      <c r="P211" s="9"/>
      <c r="Q211" s="9"/>
      <c r="R211" s="9"/>
      <c r="S211" s="727">
        <v>5100100</v>
      </c>
      <c r="T211" s="705" t="s">
        <v>334</v>
      </c>
      <c r="U211" s="17">
        <f t="shared" ref="U211:AJ211" si="217">SUM(U212:U217)</f>
        <v>0</v>
      </c>
      <c r="V211" s="15">
        <f t="shared" si="217"/>
        <v>0</v>
      </c>
      <c r="W211" s="15">
        <f t="shared" si="217"/>
        <v>0</v>
      </c>
      <c r="X211" s="16">
        <f t="shared" si="217"/>
        <v>0</v>
      </c>
      <c r="Y211" s="19">
        <f t="shared" si="217"/>
        <v>0</v>
      </c>
      <c r="Z211" s="145">
        <f t="shared" si="217"/>
        <v>0</v>
      </c>
      <c r="AA211" s="16">
        <f t="shared" si="217"/>
        <v>0</v>
      </c>
      <c r="AB211" s="17">
        <f t="shared" si="217"/>
        <v>0</v>
      </c>
      <c r="AC211" s="145">
        <f t="shared" si="217"/>
        <v>0</v>
      </c>
      <c r="AD211" s="18">
        <f t="shared" si="217"/>
        <v>0</v>
      </c>
      <c r="AE211" s="19">
        <f t="shared" si="217"/>
        <v>0</v>
      </c>
      <c r="AF211" s="145">
        <f t="shared" si="217"/>
        <v>0</v>
      </c>
      <c r="AG211" s="16">
        <f t="shared" si="217"/>
        <v>0</v>
      </c>
      <c r="AH211" s="19">
        <f t="shared" si="217"/>
        <v>0</v>
      </c>
      <c r="AI211" s="15">
        <f t="shared" si="217"/>
        <v>0</v>
      </c>
      <c r="AJ211" s="16">
        <f t="shared" si="217"/>
        <v>0</v>
      </c>
      <c r="AK211" s="10"/>
      <c r="AL211" s="29">
        <f>SUM(AL212:AL217)</f>
        <v>0</v>
      </c>
      <c r="AM211" s="26">
        <f>SUM(AM212:AM217)</f>
        <v>0</v>
      </c>
      <c r="AN211" s="9"/>
    </row>
    <row r="212" spans="1:40" s="385" customFormat="1" ht="24.95" customHeight="1" x14ac:dyDescent="0.2">
      <c r="A212" s="762"/>
      <c r="B212" s="669"/>
      <c r="N212" s="9"/>
      <c r="P212" s="9"/>
      <c r="Q212" s="9"/>
      <c r="R212" s="9"/>
      <c r="S212" s="728" t="s">
        <v>335</v>
      </c>
      <c r="T212" s="706" t="s">
        <v>430</v>
      </c>
      <c r="U212" s="401">
        <v>0</v>
      </c>
      <c r="V212" s="15">
        <f t="shared" ref="V212:W218" si="218">AL212</f>
        <v>0</v>
      </c>
      <c r="W212" s="15">
        <f t="shared" si="218"/>
        <v>0</v>
      </c>
      <c r="X212" s="16">
        <f t="shared" ref="X212:X218" si="219">SUM(U212:W212)</f>
        <v>0</v>
      </c>
      <c r="Y212" s="19">
        <v>0</v>
      </c>
      <c r="Z212" s="377">
        <v>0</v>
      </c>
      <c r="AA212" s="16">
        <f t="shared" ref="AA212:AA218" si="220">SUM(Y212:Z212)</f>
        <v>0</v>
      </c>
      <c r="AB212" s="17">
        <v>0</v>
      </c>
      <c r="AC212" s="377">
        <v>0</v>
      </c>
      <c r="AD212" s="18">
        <f t="shared" ref="AD212:AD218" si="221">SUM(AB212:AC212)</f>
        <v>0</v>
      </c>
      <c r="AE212" s="19">
        <v>0</v>
      </c>
      <c r="AF212" s="377">
        <v>0</v>
      </c>
      <c r="AG212" s="16">
        <f t="shared" ref="AG212:AG218" si="222">SUM(AE212:AF212)</f>
        <v>0</v>
      </c>
      <c r="AH212" s="19">
        <f t="shared" ref="AH212:AH218" si="223">X212-AA212</f>
        <v>0</v>
      </c>
      <c r="AI212" s="15">
        <f t="shared" ref="AI212:AI218" si="224">X212-AD212</f>
        <v>0</v>
      </c>
      <c r="AJ212" s="16">
        <f t="shared" ref="AJ212:AJ218" si="225">X212-AG212</f>
        <v>0</v>
      </c>
      <c r="AK212" s="9"/>
      <c r="AL212" s="375">
        <v>0</v>
      </c>
      <c r="AM212" s="378">
        <v>0</v>
      </c>
      <c r="AN212" s="9"/>
    </row>
    <row r="213" spans="1:40" s="385" customFormat="1" ht="24.95" customHeight="1" x14ac:dyDescent="0.2">
      <c r="A213" s="762"/>
      <c r="B213" s="669"/>
      <c r="N213" s="9"/>
      <c r="P213" s="9"/>
      <c r="Q213" s="9"/>
      <c r="R213" s="9"/>
      <c r="S213" s="728" t="s">
        <v>336</v>
      </c>
      <c r="T213" s="706" t="s">
        <v>431</v>
      </c>
      <c r="U213" s="401">
        <v>0</v>
      </c>
      <c r="V213" s="15">
        <f t="shared" si="218"/>
        <v>0</v>
      </c>
      <c r="W213" s="15">
        <f t="shared" si="218"/>
        <v>0</v>
      </c>
      <c r="X213" s="16">
        <f t="shared" si="219"/>
        <v>0</v>
      </c>
      <c r="Y213" s="19">
        <v>0</v>
      </c>
      <c r="Z213" s="377">
        <v>0</v>
      </c>
      <c r="AA213" s="16">
        <f t="shared" si="220"/>
        <v>0</v>
      </c>
      <c r="AB213" s="17">
        <v>0</v>
      </c>
      <c r="AC213" s="377">
        <v>0</v>
      </c>
      <c r="AD213" s="18">
        <f t="shared" si="221"/>
        <v>0</v>
      </c>
      <c r="AE213" s="19">
        <v>0</v>
      </c>
      <c r="AF213" s="377">
        <v>0</v>
      </c>
      <c r="AG213" s="16">
        <f t="shared" si="222"/>
        <v>0</v>
      </c>
      <c r="AH213" s="19">
        <f t="shared" si="223"/>
        <v>0</v>
      </c>
      <c r="AI213" s="15">
        <f t="shared" si="224"/>
        <v>0</v>
      </c>
      <c r="AJ213" s="16">
        <f t="shared" si="225"/>
        <v>0</v>
      </c>
      <c r="AK213" s="9"/>
      <c r="AL213" s="375">
        <v>0</v>
      </c>
      <c r="AM213" s="378">
        <v>0</v>
      </c>
      <c r="AN213" s="9"/>
    </row>
    <row r="214" spans="1:40" s="385" customFormat="1" ht="24.95" customHeight="1" x14ac:dyDescent="0.2">
      <c r="A214" s="762"/>
      <c r="B214" s="669"/>
      <c r="N214" s="9"/>
      <c r="P214" s="9"/>
      <c r="Q214" s="9"/>
      <c r="R214" s="9"/>
      <c r="S214" s="728" t="s">
        <v>337</v>
      </c>
      <c r="T214" s="706" t="s">
        <v>432</v>
      </c>
      <c r="U214" s="401">
        <v>0</v>
      </c>
      <c r="V214" s="15">
        <f t="shared" si="218"/>
        <v>0</v>
      </c>
      <c r="W214" s="15">
        <f t="shared" si="218"/>
        <v>0</v>
      </c>
      <c r="X214" s="16">
        <f t="shared" si="219"/>
        <v>0</v>
      </c>
      <c r="Y214" s="19">
        <v>0</v>
      </c>
      <c r="Z214" s="377">
        <v>0</v>
      </c>
      <c r="AA214" s="16">
        <f t="shared" si="220"/>
        <v>0</v>
      </c>
      <c r="AB214" s="17">
        <v>0</v>
      </c>
      <c r="AC214" s="377">
        <v>0</v>
      </c>
      <c r="AD214" s="18">
        <f t="shared" si="221"/>
        <v>0</v>
      </c>
      <c r="AE214" s="19">
        <v>0</v>
      </c>
      <c r="AF214" s="377">
        <v>0</v>
      </c>
      <c r="AG214" s="16">
        <f t="shared" si="222"/>
        <v>0</v>
      </c>
      <c r="AH214" s="19">
        <f t="shared" si="223"/>
        <v>0</v>
      </c>
      <c r="AI214" s="15">
        <f t="shared" si="224"/>
        <v>0</v>
      </c>
      <c r="AJ214" s="16">
        <f t="shared" si="225"/>
        <v>0</v>
      </c>
      <c r="AK214" s="9"/>
      <c r="AL214" s="375">
        <v>0</v>
      </c>
      <c r="AM214" s="378">
        <v>0</v>
      </c>
      <c r="AN214" s="9"/>
    </row>
    <row r="215" spans="1:40" s="385" customFormat="1" ht="24.95" customHeight="1" x14ac:dyDescent="0.2">
      <c r="A215" s="762"/>
      <c r="B215" s="669"/>
      <c r="N215" s="9"/>
      <c r="P215" s="9"/>
      <c r="Q215" s="9"/>
      <c r="R215" s="9"/>
      <c r="S215" s="728" t="s">
        <v>338</v>
      </c>
      <c r="T215" s="706" t="s">
        <v>433</v>
      </c>
      <c r="U215" s="401">
        <v>0</v>
      </c>
      <c r="V215" s="15">
        <f t="shared" si="218"/>
        <v>0</v>
      </c>
      <c r="W215" s="15">
        <f t="shared" si="218"/>
        <v>0</v>
      </c>
      <c r="X215" s="16">
        <f t="shared" si="219"/>
        <v>0</v>
      </c>
      <c r="Y215" s="19">
        <v>0</v>
      </c>
      <c r="Z215" s="377">
        <v>0</v>
      </c>
      <c r="AA215" s="16">
        <f t="shared" si="220"/>
        <v>0</v>
      </c>
      <c r="AB215" s="17">
        <v>0</v>
      </c>
      <c r="AC215" s="377">
        <v>0</v>
      </c>
      <c r="AD215" s="18">
        <f t="shared" si="221"/>
        <v>0</v>
      </c>
      <c r="AE215" s="19">
        <v>0</v>
      </c>
      <c r="AF215" s="377">
        <v>0</v>
      </c>
      <c r="AG215" s="16">
        <f t="shared" si="222"/>
        <v>0</v>
      </c>
      <c r="AH215" s="19">
        <f t="shared" si="223"/>
        <v>0</v>
      </c>
      <c r="AI215" s="15">
        <f t="shared" si="224"/>
        <v>0</v>
      </c>
      <c r="AJ215" s="16">
        <f t="shared" si="225"/>
        <v>0</v>
      </c>
      <c r="AK215" s="9"/>
      <c r="AL215" s="375">
        <v>0</v>
      </c>
      <c r="AM215" s="378">
        <v>0</v>
      </c>
      <c r="AN215" s="9"/>
    </row>
    <row r="216" spans="1:40" s="385" customFormat="1" ht="24.95" customHeight="1" x14ac:dyDescent="0.2">
      <c r="A216" s="762"/>
      <c r="B216" s="669"/>
      <c r="N216" s="9"/>
      <c r="P216" s="9"/>
      <c r="Q216" s="9"/>
      <c r="R216" s="9"/>
      <c r="S216" s="728" t="s">
        <v>339</v>
      </c>
      <c r="T216" s="706" t="s">
        <v>434</v>
      </c>
      <c r="U216" s="401">
        <v>0</v>
      </c>
      <c r="V216" s="15">
        <f t="shared" si="218"/>
        <v>0</v>
      </c>
      <c r="W216" s="15">
        <f t="shared" si="218"/>
        <v>0</v>
      </c>
      <c r="X216" s="16">
        <f t="shared" si="219"/>
        <v>0</v>
      </c>
      <c r="Y216" s="19">
        <v>0</v>
      </c>
      <c r="Z216" s="377">
        <v>0</v>
      </c>
      <c r="AA216" s="16">
        <f t="shared" si="220"/>
        <v>0</v>
      </c>
      <c r="AB216" s="17">
        <v>0</v>
      </c>
      <c r="AC216" s="377">
        <v>0</v>
      </c>
      <c r="AD216" s="18">
        <f t="shared" si="221"/>
        <v>0</v>
      </c>
      <c r="AE216" s="19">
        <v>0</v>
      </c>
      <c r="AF216" s="377">
        <v>0</v>
      </c>
      <c r="AG216" s="16">
        <f t="shared" si="222"/>
        <v>0</v>
      </c>
      <c r="AH216" s="19">
        <f t="shared" si="223"/>
        <v>0</v>
      </c>
      <c r="AI216" s="15">
        <f t="shared" si="224"/>
        <v>0</v>
      </c>
      <c r="AJ216" s="16">
        <f t="shared" si="225"/>
        <v>0</v>
      </c>
      <c r="AK216" s="9"/>
      <c r="AL216" s="375">
        <v>0</v>
      </c>
      <c r="AM216" s="378">
        <v>0</v>
      </c>
      <c r="AN216" s="9"/>
    </row>
    <row r="217" spans="1:40" s="385" customFormat="1" ht="24.95" customHeight="1" x14ac:dyDescent="0.2">
      <c r="A217" s="762"/>
      <c r="B217" s="669"/>
      <c r="N217" s="9"/>
      <c r="P217" s="9"/>
      <c r="Q217" s="9"/>
      <c r="R217" s="9"/>
      <c r="S217" s="728" t="s">
        <v>340</v>
      </c>
      <c r="T217" s="706" t="s">
        <v>436</v>
      </c>
      <c r="U217" s="401">
        <v>0</v>
      </c>
      <c r="V217" s="15">
        <f t="shared" si="218"/>
        <v>0</v>
      </c>
      <c r="W217" s="15">
        <f t="shared" si="218"/>
        <v>0</v>
      </c>
      <c r="X217" s="16">
        <f t="shared" si="219"/>
        <v>0</v>
      </c>
      <c r="Y217" s="19">
        <v>0</v>
      </c>
      <c r="Z217" s="377">
        <v>0</v>
      </c>
      <c r="AA217" s="16">
        <f t="shared" si="220"/>
        <v>0</v>
      </c>
      <c r="AB217" s="17">
        <v>0</v>
      </c>
      <c r="AC217" s="377">
        <v>0</v>
      </c>
      <c r="AD217" s="18">
        <f t="shared" si="221"/>
        <v>0</v>
      </c>
      <c r="AE217" s="19">
        <v>0</v>
      </c>
      <c r="AF217" s="377">
        <v>0</v>
      </c>
      <c r="AG217" s="16">
        <f t="shared" si="222"/>
        <v>0</v>
      </c>
      <c r="AH217" s="19">
        <f t="shared" si="223"/>
        <v>0</v>
      </c>
      <c r="AI217" s="15">
        <f t="shared" si="224"/>
        <v>0</v>
      </c>
      <c r="AJ217" s="16">
        <f t="shared" si="225"/>
        <v>0</v>
      </c>
      <c r="AK217" s="9"/>
      <c r="AL217" s="375">
        <v>0</v>
      </c>
      <c r="AM217" s="378">
        <v>0</v>
      </c>
      <c r="AN217" s="9"/>
    </row>
    <row r="218" spans="1:40" s="385" customFormat="1" ht="24.95" customHeight="1" thickBot="1" x14ac:dyDescent="0.25">
      <c r="A218" s="762"/>
      <c r="B218" s="669"/>
      <c r="N218" s="9"/>
      <c r="P218" s="9"/>
      <c r="Q218" s="9"/>
      <c r="R218" s="9"/>
      <c r="S218" s="729">
        <v>5199999</v>
      </c>
      <c r="T218" s="706" t="s">
        <v>132</v>
      </c>
      <c r="U218" s="491">
        <v>0</v>
      </c>
      <c r="V218" s="123">
        <f t="shared" si="218"/>
        <v>0</v>
      </c>
      <c r="W218" s="123">
        <f t="shared" si="218"/>
        <v>0</v>
      </c>
      <c r="X218" s="128">
        <f t="shared" si="219"/>
        <v>0</v>
      </c>
      <c r="Y218" s="127">
        <v>0</v>
      </c>
      <c r="Z218" s="391">
        <v>0</v>
      </c>
      <c r="AA218" s="128">
        <f t="shared" si="220"/>
        <v>0</v>
      </c>
      <c r="AB218" s="192">
        <v>0</v>
      </c>
      <c r="AC218" s="391">
        <v>0</v>
      </c>
      <c r="AD218" s="129">
        <f t="shared" si="221"/>
        <v>0</v>
      </c>
      <c r="AE218" s="127">
        <v>0</v>
      </c>
      <c r="AF218" s="391">
        <v>0</v>
      </c>
      <c r="AG218" s="128">
        <f t="shared" si="222"/>
        <v>0</v>
      </c>
      <c r="AH218" s="127">
        <f t="shared" si="223"/>
        <v>0</v>
      </c>
      <c r="AI218" s="123">
        <f t="shared" si="224"/>
        <v>0</v>
      </c>
      <c r="AJ218" s="128">
        <f t="shared" si="225"/>
        <v>0</v>
      </c>
      <c r="AK218" s="9"/>
      <c r="AL218" s="375">
        <v>0</v>
      </c>
      <c r="AM218" s="378">
        <v>0</v>
      </c>
      <c r="AN218" s="9"/>
    </row>
    <row r="219" spans="1:40" s="385" customFormat="1" ht="24.95" customHeight="1" thickBot="1" x14ac:dyDescent="0.25">
      <c r="A219" s="762"/>
      <c r="B219" s="669"/>
      <c r="N219" s="9"/>
      <c r="P219" s="9"/>
      <c r="Q219" s="9"/>
      <c r="R219" s="9"/>
      <c r="S219" s="501"/>
      <c r="T219" s="707"/>
      <c r="U219" s="208"/>
      <c r="V219" s="163"/>
      <c r="W219" s="163"/>
      <c r="X219" s="163"/>
      <c r="Y219" s="163"/>
      <c r="Z219" s="208"/>
      <c r="AA219" s="163"/>
      <c r="AB219" s="163"/>
      <c r="AC219" s="208"/>
      <c r="AD219" s="163"/>
      <c r="AE219" s="163"/>
      <c r="AF219" s="208"/>
      <c r="AG219" s="163"/>
      <c r="AH219" s="502"/>
      <c r="AI219" s="163"/>
      <c r="AJ219" s="172"/>
      <c r="AK219" s="10"/>
      <c r="AL219" s="503"/>
      <c r="AM219" s="504"/>
      <c r="AN219" s="9"/>
    </row>
    <row r="220" spans="1:40" s="385" customFormat="1" ht="24.95" customHeight="1" x14ac:dyDescent="0.2">
      <c r="A220" s="762"/>
      <c r="B220" s="669"/>
      <c r="N220" s="9"/>
      <c r="P220" s="9"/>
      <c r="Q220" s="9"/>
      <c r="R220" s="9"/>
      <c r="S220" s="360" t="s">
        <v>341</v>
      </c>
      <c r="T220" s="688" t="s">
        <v>342</v>
      </c>
      <c r="U220" s="361">
        <f t="shared" ref="U220:AJ220" si="226">U222+U227</f>
        <v>0</v>
      </c>
      <c r="V220" s="362">
        <f t="shared" si="226"/>
        <v>0</v>
      </c>
      <c r="W220" s="362">
        <f t="shared" si="226"/>
        <v>0</v>
      </c>
      <c r="X220" s="365">
        <f t="shared" si="226"/>
        <v>0</v>
      </c>
      <c r="Y220" s="364">
        <f t="shared" si="226"/>
        <v>0</v>
      </c>
      <c r="Z220" s="505">
        <f t="shared" si="226"/>
        <v>0</v>
      </c>
      <c r="AA220" s="365">
        <f t="shared" si="226"/>
        <v>0</v>
      </c>
      <c r="AB220" s="364">
        <f t="shared" si="226"/>
        <v>0</v>
      </c>
      <c r="AC220" s="505">
        <f t="shared" si="226"/>
        <v>0</v>
      </c>
      <c r="AD220" s="365">
        <f t="shared" si="226"/>
        <v>0</v>
      </c>
      <c r="AE220" s="364">
        <f t="shared" si="226"/>
        <v>0</v>
      </c>
      <c r="AF220" s="505">
        <f t="shared" si="226"/>
        <v>0</v>
      </c>
      <c r="AG220" s="365">
        <f t="shared" si="226"/>
        <v>0</v>
      </c>
      <c r="AH220" s="364">
        <f t="shared" si="226"/>
        <v>0</v>
      </c>
      <c r="AI220" s="362">
        <f t="shared" si="226"/>
        <v>0</v>
      </c>
      <c r="AJ220" s="363">
        <f t="shared" si="226"/>
        <v>0</v>
      </c>
      <c r="AK220" s="506"/>
      <c r="AL220" s="364">
        <f>AL222+AL227</f>
        <v>0</v>
      </c>
      <c r="AM220" s="363">
        <f>AM222+AM227</f>
        <v>0</v>
      </c>
      <c r="AN220" s="9"/>
    </row>
    <row r="221" spans="1:40" s="385" customFormat="1" ht="24.95" customHeight="1" x14ac:dyDescent="0.2">
      <c r="A221" s="762"/>
      <c r="B221" s="669"/>
      <c r="N221" s="9"/>
      <c r="P221" s="9"/>
      <c r="Q221" s="9"/>
      <c r="R221" s="9"/>
      <c r="S221" s="369"/>
      <c r="T221" s="708"/>
      <c r="U221" s="203"/>
      <c r="V221" s="164"/>
      <c r="W221" s="164"/>
      <c r="X221" s="164"/>
      <c r="Y221" s="164"/>
      <c r="Z221" s="203"/>
      <c r="AA221" s="164"/>
      <c r="AB221" s="164"/>
      <c r="AC221" s="203"/>
      <c r="AD221" s="164"/>
      <c r="AE221" s="164"/>
      <c r="AF221" s="203"/>
      <c r="AG221" s="164"/>
      <c r="AH221" s="370"/>
      <c r="AI221" s="164"/>
      <c r="AJ221" s="169"/>
      <c r="AK221" s="9"/>
      <c r="AL221" s="175"/>
      <c r="AM221" s="176"/>
      <c r="AN221" s="9"/>
    </row>
    <row r="222" spans="1:40" s="385" customFormat="1" ht="24.95" customHeight="1" x14ac:dyDescent="0.2">
      <c r="A222" s="762"/>
      <c r="B222" s="669"/>
      <c r="N222" s="9"/>
      <c r="P222" s="9"/>
      <c r="Q222" s="9"/>
      <c r="R222" s="9"/>
      <c r="S222" s="718">
        <v>7001000</v>
      </c>
      <c r="T222" s="692" t="s">
        <v>343</v>
      </c>
      <c r="U222" s="204">
        <f t="shared" ref="U222:AJ222" si="227">SUM(U223:U225)</f>
        <v>0</v>
      </c>
      <c r="V222" s="124">
        <f t="shared" si="227"/>
        <v>0</v>
      </c>
      <c r="W222" s="124">
        <f t="shared" si="227"/>
        <v>0</v>
      </c>
      <c r="X222" s="132">
        <f t="shared" si="227"/>
        <v>0</v>
      </c>
      <c r="Y222" s="131">
        <f t="shared" si="227"/>
        <v>0</v>
      </c>
      <c r="Z222" s="205">
        <f t="shared" si="227"/>
        <v>0</v>
      </c>
      <c r="AA222" s="132">
        <f t="shared" si="227"/>
        <v>0</v>
      </c>
      <c r="AB222" s="131">
        <f t="shared" si="227"/>
        <v>0</v>
      </c>
      <c r="AC222" s="205">
        <f t="shared" si="227"/>
        <v>0</v>
      </c>
      <c r="AD222" s="132">
        <f t="shared" si="227"/>
        <v>0</v>
      </c>
      <c r="AE222" s="131">
        <f t="shared" si="227"/>
        <v>0</v>
      </c>
      <c r="AF222" s="205">
        <f t="shared" si="227"/>
        <v>0</v>
      </c>
      <c r="AG222" s="132">
        <f t="shared" si="227"/>
        <v>0</v>
      </c>
      <c r="AH222" s="131">
        <f t="shared" si="227"/>
        <v>0</v>
      </c>
      <c r="AI222" s="124">
        <f t="shared" si="227"/>
        <v>0</v>
      </c>
      <c r="AJ222" s="133">
        <f t="shared" si="227"/>
        <v>0</v>
      </c>
      <c r="AK222" s="9"/>
      <c r="AL222" s="131">
        <f>SUM(AL223:AL225)</f>
        <v>0</v>
      </c>
      <c r="AM222" s="133">
        <f>SUM(AM223:AM225)</f>
        <v>0</v>
      </c>
      <c r="AN222" s="9"/>
    </row>
    <row r="223" spans="1:40" s="385" customFormat="1" ht="24.95" customHeight="1" x14ac:dyDescent="0.2">
      <c r="A223" s="762"/>
      <c r="B223" s="669"/>
      <c r="N223" s="9"/>
      <c r="P223" s="9"/>
      <c r="Q223" s="9"/>
      <c r="R223" s="9"/>
      <c r="S223" s="719">
        <v>7001100</v>
      </c>
      <c r="T223" s="693" t="s">
        <v>344</v>
      </c>
      <c r="U223" s="401">
        <v>0</v>
      </c>
      <c r="V223" s="15">
        <f t="shared" ref="V223:W225" si="228">AL223</f>
        <v>0</v>
      </c>
      <c r="W223" s="15">
        <f t="shared" si="228"/>
        <v>0</v>
      </c>
      <c r="X223" s="18">
        <f>SUM(U223:W223)</f>
        <v>0</v>
      </c>
      <c r="Y223" s="19">
        <v>0</v>
      </c>
      <c r="Z223" s="377">
        <v>0</v>
      </c>
      <c r="AA223" s="18">
        <f>SUM(Y223:Z223)</f>
        <v>0</v>
      </c>
      <c r="AB223" s="19">
        <v>0</v>
      </c>
      <c r="AC223" s="377">
        <v>0</v>
      </c>
      <c r="AD223" s="18">
        <f>SUM(AB223:AC223)</f>
        <v>0</v>
      </c>
      <c r="AE223" s="19">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2"/>
      <c r="B224" s="669"/>
      <c r="N224" s="9"/>
      <c r="P224" s="9"/>
      <c r="Q224" s="9"/>
      <c r="R224" s="9"/>
      <c r="S224" s="719">
        <v>7001200</v>
      </c>
      <c r="T224" s="693" t="s">
        <v>345</v>
      </c>
      <c r="U224" s="401">
        <v>0</v>
      </c>
      <c r="V224" s="15">
        <f t="shared" si="228"/>
        <v>0</v>
      </c>
      <c r="W224" s="15">
        <f t="shared" si="228"/>
        <v>0</v>
      </c>
      <c r="X224" s="18">
        <f>SUM(U224:W224)</f>
        <v>0</v>
      </c>
      <c r="Y224" s="19">
        <v>0</v>
      </c>
      <c r="Z224" s="377">
        <v>0</v>
      </c>
      <c r="AA224" s="18">
        <f>SUM(Y224:Z224)</f>
        <v>0</v>
      </c>
      <c r="AB224" s="19">
        <v>0</v>
      </c>
      <c r="AC224" s="377">
        <v>0</v>
      </c>
      <c r="AD224" s="18">
        <f>SUM(AB224:AC224)</f>
        <v>0</v>
      </c>
      <c r="AE224" s="19">
        <v>0</v>
      </c>
      <c r="AF224" s="377">
        <v>0</v>
      </c>
      <c r="AG224" s="18">
        <f>SUM(AE224:AF224)</f>
        <v>0</v>
      </c>
      <c r="AH224" s="19">
        <f>X224-AA224</f>
        <v>0</v>
      </c>
      <c r="AI224" s="15">
        <f>X224-AD224</f>
        <v>0</v>
      </c>
      <c r="AJ224" s="16">
        <f>X224-AG224</f>
        <v>0</v>
      </c>
      <c r="AK224" s="9"/>
      <c r="AL224" s="375">
        <v>0</v>
      </c>
      <c r="AM224" s="378">
        <v>0</v>
      </c>
      <c r="AN224" s="9"/>
    </row>
    <row r="225" spans="1:70" s="385" customFormat="1" ht="24.95" customHeight="1" x14ac:dyDescent="0.2">
      <c r="A225" s="762"/>
      <c r="B225" s="669"/>
      <c r="N225" s="9"/>
      <c r="P225" s="9"/>
      <c r="Q225" s="9"/>
      <c r="R225" s="9"/>
      <c r="S225" s="719">
        <v>7001999</v>
      </c>
      <c r="T225" s="693" t="s">
        <v>132</v>
      </c>
      <c r="U225" s="401">
        <v>0</v>
      </c>
      <c r="V225" s="15">
        <f t="shared" si="228"/>
        <v>0</v>
      </c>
      <c r="W225" s="15">
        <f t="shared" si="228"/>
        <v>0</v>
      </c>
      <c r="X225" s="18">
        <f>SUM(U225:W225)</f>
        <v>0</v>
      </c>
      <c r="Y225" s="19">
        <v>0</v>
      </c>
      <c r="Z225" s="377">
        <v>0</v>
      </c>
      <c r="AA225" s="18">
        <f>SUM(Y225:Z225)</f>
        <v>0</v>
      </c>
      <c r="AB225" s="19">
        <v>0</v>
      </c>
      <c r="AC225" s="377">
        <v>0</v>
      </c>
      <c r="AD225" s="18">
        <f>SUM(AB225:AC225)</f>
        <v>0</v>
      </c>
      <c r="AE225" s="19">
        <v>0</v>
      </c>
      <c r="AF225" s="377">
        <v>0</v>
      </c>
      <c r="AG225" s="18">
        <f>SUM(AE225:AF225)</f>
        <v>0</v>
      </c>
      <c r="AH225" s="19">
        <f>X225-AA225</f>
        <v>0</v>
      </c>
      <c r="AI225" s="15">
        <f>X225-AD225</f>
        <v>0</v>
      </c>
      <c r="AJ225" s="16">
        <f>X225-AG225</f>
        <v>0</v>
      </c>
      <c r="AK225" s="9"/>
      <c r="AL225" s="375">
        <v>0</v>
      </c>
      <c r="AM225" s="378">
        <v>0</v>
      </c>
      <c r="AN225" s="9"/>
    </row>
    <row r="226" spans="1:70" s="385" customFormat="1" ht="24.95" customHeight="1" x14ac:dyDescent="0.2">
      <c r="A226" s="762"/>
      <c r="B226" s="669"/>
      <c r="N226" s="9"/>
      <c r="P226" s="9"/>
      <c r="Q226" s="9"/>
      <c r="R226" s="9"/>
      <c r="S226" s="369"/>
      <c r="T226" s="708"/>
      <c r="U226" s="203"/>
      <c r="V226" s="164"/>
      <c r="W226" s="164"/>
      <c r="X226" s="164"/>
      <c r="Y226" s="164"/>
      <c r="Z226" s="203"/>
      <c r="AA226" s="164"/>
      <c r="AB226" s="164"/>
      <c r="AC226" s="203"/>
      <c r="AD226" s="164"/>
      <c r="AE226" s="164"/>
      <c r="AF226" s="203"/>
      <c r="AG226" s="164"/>
      <c r="AH226" s="370"/>
      <c r="AI226" s="164"/>
      <c r="AJ226" s="169"/>
      <c r="AK226" s="10"/>
      <c r="AL226" s="175"/>
      <c r="AM226" s="176"/>
      <c r="AN226" s="9"/>
    </row>
    <row r="227" spans="1:70" s="385" customFormat="1" ht="24.95" customHeight="1" x14ac:dyDescent="0.2">
      <c r="A227" s="762"/>
      <c r="B227" s="669"/>
      <c r="N227" s="9"/>
      <c r="P227" s="9"/>
      <c r="Q227" s="9"/>
      <c r="R227" s="9"/>
      <c r="S227" s="718">
        <v>7002001</v>
      </c>
      <c r="T227" s="692" t="s">
        <v>346</v>
      </c>
      <c r="U227" s="204">
        <f t="shared" ref="U227:AJ227" si="229">SUM(U228:U230)</f>
        <v>0</v>
      </c>
      <c r="V227" s="124">
        <f t="shared" si="229"/>
        <v>0</v>
      </c>
      <c r="W227" s="124">
        <f t="shared" si="229"/>
        <v>0</v>
      </c>
      <c r="X227" s="132">
        <f t="shared" si="229"/>
        <v>0</v>
      </c>
      <c r="Y227" s="131">
        <f t="shared" si="229"/>
        <v>0</v>
      </c>
      <c r="Z227" s="205">
        <f t="shared" si="229"/>
        <v>0</v>
      </c>
      <c r="AA227" s="132">
        <f t="shared" si="229"/>
        <v>0</v>
      </c>
      <c r="AB227" s="131">
        <f t="shared" si="229"/>
        <v>0</v>
      </c>
      <c r="AC227" s="205">
        <f t="shared" si="229"/>
        <v>0</v>
      </c>
      <c r="AD227" s="132">
        <f t="shared" si="229"/>
        <v>0</v>
      </c>
      <c r="AE227" s="131">
        <f t="shared" si="229"/>
        <v>0</v>
      </c>
      <c r="AF227" s="205">
        <f t="shared" si="229"/>
        <v>0</v>
      </c>
      <c r="AG227" s="132">
        <f t="shared" si="229"/>
        <v>0</v>
      </c>
      <c r="AH227" s="131">
        <f t="shared" si="229"/>
        <v>0</v>
      </c>
      <c r="AI227" s="124">
        <f t="shared" si="229"/>
        <v>0</v>
      </c>
      <c r="AJ227" s="133">
        <f t="shared" si="229"/>
        <v>0</v>
      </c>
      <c r="AK227" s="10"/>
      <c r="AL227" s="131">
        <f>SUM(AL228:AL230)</f>
        <v>0</v>
      </c>
      <c r="AM227" s="133">
        <f>SUM(AM228:AM230)</f>
        <v>0</v>
      </c>
      <c r="AN227" s="9"/>
    </row>
    <row r="228" spans="1:70" s="385" customFormat="1" ht="24.95" customHeight="1" x14ac:dyDescent="0.2">
      <c r="A228" s="762"/>
      <c r="B228" s="669"/>
      <c r="N228" s="9"/>
      <c r="P228" s="9"/>
      <c r="Q228" s="9"/>
      <c r="R228" s="9"/>
      <c r="S228" s="719">
        <v>7002100</v>
      </c>
      <c r="T228" s="693" t="s">
        <v>347</v>
      </c>
      <c r="U228" s="401">
        <v>0</v>
      </c>
      <c r="V228" s="15">
        <f t="shared" ref="V228:W230" si="230">AL228</f>
        <v>0</v>
      </c>
      <c r="W228" s="15">
        <f t="shared" si="230"/>
        <v>0</v>
      </c>
      <c r="X228" s="18">
        <f>SUM(U228:W228)</f>
        <v>0</v>
      </c>
      <c r="Y228" s="19">
        <v>0</v>
      </c>
      <c r="Z228" s="377">
        <v>0</v>
      </c>
      <c r="AA228" s="18">
        <f>SUM(Y228:Z228)</f>
        <v>0</v>
      </c>
      <c r="AB228" s="19">
        <v>0</v>
      </c>
      <c r="AC228" s="377">
        <v>0</v>
      </c>
      <c r="AD228" s="18">
        <f>SUM(AB228:AC228)</f>
        <v>0</v>
      </c>
      <c r="AE228" s="19">
        <v>0</v>
      </c>
      <c r="AF228" s="377">
        <v>0</v>
      </c>
      <c r="AG228" s="18">
        <f>SUM(AE228:AF228)</f>
        <v>0</v>
      </c>
      <c r="AH228" s="19">
        <f>X228-AA228</f>
        <v>0</v>
      </c>
      <c r="AI228" s="15">
        <f>X228-AD228</f>
        <v>0</v>
      </c>
      <c r="AJ228" s="16">
        <f>X228-AG228</f>
        <v>0</v>
      </c>
      <c r="AK228" s="9"/>
      <c r="AL228" s="375">
        <v>0</v>
      </c>
      <c r="AM228" s="378">
        <v>0</v>
      </c>
      <c r="AN228" s="9"/>
    </row>
    <row r="229" spans="1:70" s="385" customFormat="1" ht="24.95" customHeight="1" x14ac:dyDescent="0.2">
      <c r="A229" s="762"/>
      <c r="B229" s="669"/>
      <c r="N229" s="9"/>
      <c r="P229" s="9"/>
      <c r="Q229" s="9"/>
      <c r="R229" s="9"/>
      <c r="S229" s="719">
        <v>7002200</v>
      </c>
      <c r="T229" s="693" t="s">
        <v>345</v>
      </c>
      <c r="U229" s="401">
        <v>0</v>
      </c>
      <c r="V229" s="15">
        <f t="shared" si="230"/>
        <v>0</v>
      </c>
      <c r="W229" s="15">
        <f t="shared" si="230"/>
        <v>0</v>
      </c>
      <c r="X229" s="18">
        <f>SUM(U229:W229)</f>
        <v>0</v>
      </c>
      <c r="Y229" s="19">
        <v>0</v>
      </c>
      <c r="Z229" s="377">
        <v>0</v>
      </c>
      <c r="AA229" s="18">
        <f>SUM(Y229:Z229)</f>
        <v>0</v>
      </c>
      <c r="AB229" s="19">
        <v>0</v>
      </c>
      <c r="AC229" s="377">
        <v>0</v>
      </c>
      <c r="AD229" s="18">
        <f>SUM(AB229:AC229)</f>
        <v>0</v>
      </c>
      <c r="AE229" s="19">
        <v>0</v>
      </c>
      <c r="AF229" s="377">
        <v>0</v>
      </c>
      <c r="AG229" s="18">
        <f>SUM(AE229:AF229)</f>
        <v>0</v>
      </c>
      <c r="AH229" s="19">
        <f>X229-AA229</f>
        <v>0</v>
      </c>
      <c r="AI229" s="15">
        <f>X229-AD229</f>
        <v>0</v>
      </c>
      <c r="AJ229" s="16">
        <f>X229-AG229</f>
        <v>0</v>
      </c>
      <c r="AK229" s="9"/>
      <c r="AL229" s="375">
        <v>0</v>
      </c>
      <c r="AM229" s="378">
        <v>0</v>
      </c>
      <c r="AN229" s="9"/>
    </row>
    <row r="230" spans="1:70" s="385" customFormat="1" ht="24.95" customHeight="1" thickBot="1" x14ac:dyDescent="0.25">
      <c r="A230" s="762"/>
      <c r="B230" s="669"/>
      <c r="N230" s="9"/>
      <c r="P230" s="9"/>
      <c r="Q230" s="9"/>
      <c r="R230" s="9"/>
      <c r="S230" s="724">
        <v>7002999</v>
      </c>
      <c r="T230" s="699" t="s">
        <v>132</v>
      </c>
      <c r="U230" s="491">
        <v>0</v>
      </c>
      <c r="V230" s="123">
        <f t="shared" si="230"/>
        <v>0</v>
      </c>
      <c r="W230" s="123">
        <f t="shared" si="230"/>
        <v>0</v>
      </c>
      <c r="X230" s="129">
        <f>SUM(U230:W230)</f>
        <v>0</v>
      </c>
      <c r="Y230" s="127">
        <v>0</v>
      </c>
      <c r="Z230" s="391">
        <v>0</v>
      </c>
      <c r="AA230" s="129">
        <f>SUM(Y230:Z230)</f>
        <v>0</v>
      </c>
      <c r="AB230" s="127">
        <v>0</v>
      </c>
      <c r="AC230" s="391">
        <v>0</v>
      </c>
      <c r="AD230" s="129">
        <f>SUM(AB230:AC230)</f>
        <v>0</v>
      </c>
      <c r="AE230" s="127">
        <v>0</v>
      </c>
      <c r="AF230" s="391">
        <v>0</v>
      </c>
      <c r="AG230" s="129">
        <f>SUM(AE230:AF230)</f>
        <v>0</v>
      </c>
      <c r="AH230" s="127">
        <f>X230-AA230</f>
        <v>0</v>
      </c>
      <c r="AI230" s="123">
        <f>X230-AD230</f>
        <v>0</v>
      </c>
      <c r="AJ230" s="128">
        <f>X230-AG230</f>
        <v>0</v>
      </c>
      <c r="AK230" s="9"/>
      <c r="AL230" s="507">
        <v>0</v>
      </c>
      <c r="AM230" s="508">
        <v>0</v>
      </c>
      <c r="AN230" s="9"/>
    </row>
    <row r="231" spans="1:70" s="385" customFormat="1" ht="24.95" customHeight="1" x14ac:dyDescent="0.2">
      <c r="A231" s="762"/>
      <c r="B231" s="669"/>
      <c r="N231" s="9"/>
      <c r="P231" s="9"/>
      <c r="Q231" s="9"/>
      <c r="R231" s="9"/>
      <c r="S231" s="492"/>
      <c r="T231" s="700"/>
      <c r="U231" s="207"/>
      <c r="V231" s="170"/>
      <c r="W231" s="170"/>
      <c r="X231" s="170"/>
      <c r="Y231" s="170"/>
      <c r="Z231" s="207"/>
      <c r="AA231" s="170"/>
      <c r="AB231" s="170"/>
      <c r="AC231" s="207"/>
      <c r="AD231" s="170"/>
      <c r="AE231" s="170"/>
      <c r="AF231" s="207"/>
      <c r="AG231" s="170"/>
      <c r="AH231" s="493"/>
      <c r="AI231" s="170"/>
      <c r="AJ231" s="171"/>
      <c r="AK231" s="9"/>
      <c r="AL231" s="509"/>
      <c r="AM231" s="510"/>
      <c r="AN231" s="9"/>
    </row>
    <row r="232" spans="1:70" s="385" customFormat="1" ht="24.95" customHeight="1" x14ac:dyDescent="0.2">
      <c r="A232" s="762"/>
      <c r="B232" s="669"/>
      <c r="N232" s="9"/>
      <c r="P232" s="9"/>
      <c r="Q232" s="9"/>
      <c r="R232" s="9"/>
      <c r="S232" s="511" t="s">
        <v>348</v>
      </c>
      <c r="T232" s="709" t="s">
        <v>72</v>
      </c>
      <c r="U232" s="473">
        <f t="shared" ref="U232:AJ232" si="231">U234</f>
        <v>303000000</v>
      </c>
      <c r="V232" s="474">
        <f t="shared" si="231"/>
        <v>0</v>
      </c>
      <c r="W232" s="474">
        <f t="shared" si="231"/>
        <v>178000000</v>
      </c>
      <c r="X232" s="475">
        <f t="shared" si="231"/>
        <v>481000000</v>
      </c>
      <c r="Y232" s="382">
        <f t="shared" si="231"/>
        <v>0</v>
      </c>
      <c r="Z232" s="497">
        <f t="shared" si="231"/>
        <v>0</v>
      </c>
      <c r="AA232" s="475">
        <f t="shared" si="231"/>
        <v>0</v>
      </c>
      <c r="AB232" s="382">
        <f t="shared" si="231"/>
        <v>0</v>
      </c>
      <c r="AC232" s="497">
        <f t="shared" si="231"/>
        <v>0</v>
      </c>
      <c r="AD232" s="475">
        <f t="shared" si="231"/>
        <v>0</v>
      </c>
      <c r="AE232" s="382">
        <f t="shared" si="231"/>
        <v>0</v>
      </c>
      <c r="AF232" s="497">
        <f t="shared" si="231"/>
        <v>0</v>
      </c>
      <c r="AG232" s="475">
        <f t="shared" si="231"/>
        <v>0</v>
      </c>
      <c r="AH232" s="382">
        <f t="shared" si="231"/>
        <v>481000000</v>
      </c>
      <c r="AI232" s="474">
        <f t="shared" si="231"/>
        <v>481000000</v>
      </c>
      <c r="AJ232" s="383">
        <f t="shared" si="231"/>
        <v>481000000</v>
      </c>
      <c r="AK232" s="506"/>
      <c r="AL232" s="382">
        <f>AL234</f>
        <v>0</v>
      </c>
      <c r="AM232" s="383">
        <f>AM234</f>
        <v>178000000</v>
      </c>
      <c r="AN232" s="9"/>
    </row>
    <row r="233" spans="1:70" s="385" customFormat="1" ht="24.95" customHeight="1" x14ac:dyDescent="0.2">
      <c r="A233" s="762"/>
      <c r="B233" s="669"/>
      <c r="N233" s="9"/>
      <c r="P233" s="9"/>
      <c r="Q233" s="9"/>
      <c r="R233" s="9"/>
      <c r="S233" s="369"/>
      <c r="T233" s="708"/>
      <c r="U233" s="203"/>
      <c r="V233" s="164"/>
      <c r="W233" s="164"/>
      <c r="X233" s="164"/>
      <c r="Y233" s="164"/>
      <c r="Z233" s="203"/>
      <c r="AA233" s="164"/>
      <c r="AB233" s="164"/>
      <c r="AC233" s="203"/>
      <c r="AD233" s="164"/>
      <c r="AE233" s="164"/>
      <c r="AF233" s="203"/>
      <c r="AG233" s="164"/>
      <c r="AH233" s="370"/>
      <c r="AI233" s="164"/>
      <c r="AJ233" s="169"/>
      <c r="AK233" s="9"/>
      <c r="AL233" s="175"/>
      <c r="AM233" s="176"/>
      <c r="AN233" s="9"/>
    </row>
    <row r="234" spans="1:70" s="385" customFormat="1" ht="24.95" customHeight="1" x14ac:dyDescent="0.2">
      <c r="A234" s="762"/>
      <c r="B234" s="669"/>
      <c r="N234" s="9"/>
      <c r="P234" s="9"/>
      <c r="Q234" s="9"/>
      <c r="R234" s="9"/>
      <c r="S234" s="718">
        <v>8000000</v>
      </c>
      <c r="T234" s="692" t="s">
        <v>349</v>
      </c>
      <c r="U234" s="135">
        <f t="shared" ref="U234:AJ234" si="232">U235+U243</f>
        <v>303000000</v>
      </c>
      <c r="V234" s="124">
        <f t="shared" si="232"/>
        <v>0</v>
      </c>
      <c r="W234" s="124">
        <f t="shared" si="232"/>
        <v>178000000</v>
      </c>
      <c r="X234" s="132">
        <f t="shared" si="232"/>
        <v>481000000</v>
      </c>
      <c r="Y234" s="131">
        <f t="shared" si="232"/>
        <v>0</v>
      </c>
      <c r="Z234" s="205">
        <f t="shared" si="232"/>
        <v>0</v>
      </c>
      <c r="AA234" s="132">
        <f t="shared" si="232"/>
        <v>0</v>
      </c>
      <c r="AB234" s="131">
        <f t="shared" si="232"/>
        <v>0</v>
      </c>
      <c r="AC234" s="205">
        <f t="shared" si="232"/>
        <v>0</v>
      </c>
      <c r="AD234" s="132">
        <f t="shared" si="232"/>
        <v>0</v>
      </c>
      <c r="AE234" s="131">
        <f t="shared" si="232"/>
        <v>0</v>
      </c>
      <c r="AF234" s="205">
        <f t="shared" si="232"/>
        <v>0</v>
      </c>
      <c r="AG234" s="132">
        <f t="shared" si="232"/>
        <v>0</v>
      </c>
      <c r="AH234" s="131">
        <f t="shared" si="232"/>
        <v>481000000</v>
      </c>
      <c r="AI234" s="124">
        <f t="shared" si="232"/>
        <v>481000000</v>
      </c>
      <c r="AJ234" s="133">
        <f t="shared" si="232"/>
        <v>481000000</v>
      </c>
      <c r="AK234" s="9"/>
      <c r="AL234" s="131">
        <f>AL235+AL243</f>
        <v>0</v>
      </c>
      <c r="AM234" s="133">
        <f>AM235+AM243</f>
        <v>178000000</v>
      </c>
      <c r="AN234" s="9"/>
    </row>
    <row r="235" spans="1:70" s="385" customFormat="1" ht="24.95" customHeight="1" x14ac:dyDescent="0.2">
      <c r="A235" s="762"/>
      <c r="B235" s="669"/>
      <c r="N235" s="9"/>
      <c r="P235" s="9"/>
      <c r="Q235" s="9"/>
      <c r="R235" s="9"/>
      <c r="S235" s="719">
        <v>8001000</v>
      </c>
      <c r="T235" s="693" t="s">
        <v>350</v>
      </c>
      <c r="U235" s="210">
        <f t="shared" ref="U235:AJ235" si="233">SUM(U236:U241)</f>
        <v>185000000</v>
      </c>
      <c r="V235" s="15">
        <f t="shared" si="233"/>
        <v>0</v>
      </c>
      <c r="W235" s="15">
        <f t="shared" si="233"/>
        <v>0</v>
      </c>
      <c r="X235" s="18">
        <f t="shared" si="233"/>
        <v>185000000</v>
      </c>
      <c r="Y235" s="19">
        <f t="shared" si="233"/>
        <v>0</v>
      </c>
      <c r="Z235" s="206">
        <f t="shared" si="233"/>
        <v>0</v>
      </c>
      <c r="AA235" s="18">
        <f t="shared" si="233"/>
        <v>0</v>
      </c>
      <c r="AB235" s="19">
        <f t="shared" si="233"/>
        <v>0</v>
      </c>
      <c r="AC235" s="206">
        <f t="shared" si="233"/>
        <v>0</v>
      </c>
      <c r="AD235" s="18">
        <f t="shared" si="233"/>
        <v>0</v>
      </c>
      <c r="AE235" s="19">
        <f t="shared" si="233"/>
        <v>0</v>
      </c>
      <c r="AF235" s="206">
        <f t="shared" si="233"/>
        <v>0</v>
      </c>
      <c r="AG235" s="18">
        <f t="shared" si="233"/>
        <v>0</v>
      </c>
      <c r="AH235" s="19">
        <f t="shared" si="233"/>
        <v>185000000</v>
      </c>
      <c r="AI235" s="15">
        <f t="shared" si="233"/>
        <v>185000000</v>
      </c>
      <c r="AJ235" s="16">
        <f t="shared" si="233"/>
        <v>185000000</v>
      </c>
      <c r="AK235" s="9"/>
      <c r="AL235" s="29">
        <f>SUM(AL236:AL241)</f>
        <v>0</v>
      </c>
      <c r="AM235" s="26">
        <f>SUM(AM236:AM241)</f>
        <v>0</v>
      </c>
      <c r="AN235" s="9"/>
    </row>
    <row r="236" spans="1:70" s="385" customFormat="1" ht="24.95" customHeight="1" x14ac:dyDescent="0.2">
      <c r="A236" s="762"/>
      <c r="B236" s="669"/>
      <c r="N236" s="9"/>
      <c r="P236" s="9"/>
      <c r="Q236" s="9"/>
      <c r="R236" s="9"/>
      <c r="S236" s="720" t="s">
        <v>351</v>
      </c>
      <c r="T236" s="695" t="s">
        <v>608</v>
      </c>
      <c r="U236" s="401">
        <v>60000000</v>
      </c>
      <c r="V236" s="15">
        <f t="shared" ref="V236:W241" si="234">AL236</f>
        <v>0</v>
      </c>
      <c r="W236" s="15">
        <f t="shared" si="234"/>
        <v>0</v>
      </c>
      <c r="X236" s="18">
        <f t="shared" ref="X236:X241" si="235">SUM(U236:W236)</f>
        <v>60000000</v>
      </c>
      <c r="Y236" s="19">
        <v>0</v>
      </c>
      <c r="Z236" s="377">
        <v>0</v>
      </c>
      <c r="AA236" s="18">
        <f t="shared" ref="AA236:AA241" si="236">SUM(Y236:Z236)</f>
        <v>0</v>
      </c>
      <c r="AB236" s="19">
        <v>0</v>
      </c>
      <c r="AC236" s="377">
        <v>0</v>
      </c>
      <c r="AD236" s="18">
        <f t="shared" ref="AD236:AD241" si="237">SUM(AB236:AC236)</f>
        <v>0</v>
      </c>
      <c r="AE236" s="19">
        <v>0</v>
      </c>
      <c r="AF236" s="377">
        <v>0</v>
      </c>
      <c r="AG236" s="18">
        <f t="shared" ref="AG236:AG241" si="238">SUM(AE236:AF236)</f>
        <v>0</v>
      </c>
      <c r="AH236" s="19">
        <f t="shared" ref="AH236:AH241" si="239">X236-AA236</f>
        <v>60000000</v>
      </c>
      <c r="AI236" s="15">
        <f t="shared" ref="AI236:AI241" si="240">X236-AD236</f>
        <v>60000000</v>
      </c>
      <c r="AJ236" s="16">
        <f t="shared" ref="AJ236:AJ241" si="241">X236-AG236</f>
        <v>60000000</v>
      </c>
      <c r="AK236" s="9"/>
      <c r="AL236" s="375">
        <v>0</v>
      </c>
      <c r="AM236" s="378">
        <v>0</v>
      </c>
      <c r="AN236" s="9"/>
    </row>
    <row r="237" spans="1:70" s="385" customFormat="1" ht="24.95" customHeight="1" x14ac:dyDescent="0.2">
      <c r="A237" s="762"/>
      <c r="B237" s="669"/>
      <c r="N237" s="9"/>
      <c r="P237" s="9"/>
      <c r="Q237" s="9"/>
      <c r="R237" s="9"/>
      <c r="S237" s="720" t="s">
        <v>352</v>
      </c>
      <c r="T237" s="695" t="s">
        <v>609</v>
      </c>
      <c r="U237" s="401">
        <v>50000000</v>
      </c>
      <c r="V237" s="15">
        <f t="shared" si="234"/>
        <v>0</v>
      </c>
      <c r="W237" s="15">
        <f t="shared" si="234"/>
        <v>0</v>
      </c>
      <c r="X237" s="18">
        <f t="shared" si="235"/>
        <v>50000000</v>
      </c>
      <c r="Y237" s="19">
        <v>0</v>
      </c>
      <c r="Z237" s="377">
        <v>0</v>
      </c>
      <c r="AA237" s="18">
        <f t="shared" si="236"/>
        <v>0</v>
      </c>
      <c r="AB237" s="19">
        <v>0</v>
      </c>
      <c r="AC237" s="377">
        <v>0</v>
      </c>
      <c r="AD237" s="18">
        <f t="shared" si="237"/>
        <v>0</v>
      </c>
      <c r="AE237" s="19">
        <v>0</v>
      </c>
      <c r="AF237" s="377">
        <v>0</v>
      </c>
      <c r="AG237" s="18">
        <f t="shared" si="238"/>
        <v>0</v>
      </c>
      <c r="AH237" s="19">
        <f t="shared" si="239"/>
        <v>50000000</v>
      </c>
      <c r="AI237" s="15">
        <f t="shared" si="240"/>
        <v>50000000</v>
      </c>
      <c r="AJ237" s="16">
        <f t="shared" si="241"/>
        <v>50000000</v>
      </c>
      <c r="AK237" s="9"/>
      <c r="AL237" s="375">
        <v>0</v>
      </c>
      <c r="AM237" s="378">
        <v>0</v>
      </c>
      <c r="AN237" s="9"/>
    </row>
    <row r="238" spans="1:70" s="385" customFormat="1" ht="24.95" customHeight="1" x14ac:dyDescent="0.2">
      <c r="A238" s="762"/>
      <c r="B238" s="669"/>
      <c r="N238" s="9"/>
      <c r="P238" s="9"/>
      <c r="Q238" s="9"/>
      <c r="R238" s="9"/>
      <c r="S238" s="720" t="s">
        <v>353</v>
      </c>
      <c r="T238" s="695" t="s">
        <v>610</v>
      </c>
      <c r="U238" s="401">
        <v>75000000</v>
      </c>
      <c r="V238" s="15">
        <f t="shared" si="234"/>
        <v>0</v>
      </c>
      <c r="W238" s="15">
        <f t="shared" si="234"/>
        <v>0</v>
      </c>
      <c r="X238" s="18">
        <f t="shared" si="235"/>
        <v>75000000</v>
      </c>
      <c r="Y238" s="19">
        <v>0</v>
      </c>
      <c r="Z238" s="377">
        <v>0</v>
      </c>
      <c r="AA238" s="18">
        <f t="shared" si="236"/>
        <v>0</v>
      </c>
      <c r="AB238" s="19">
        <v>0</v>
      </c>
      <c r="AC238" s="377">
        <v>0</v>
      </c>
      <c r="AD238" s="18">
        <f t="shared" si="237"/>
        <v>0</v>
      </c>
      <c r="AE238" s="19">
        <v>0</v>
      </c>
      <c r="AF238" s="377">
        <v>0</v>
      </c>
      <c r="AG238" s="18">
        <f t="shared" si="238"/>
        <v>0</v>
      </c>
      <c r="AH238" s="19">
        <f t="shared" si="239"/>
        <v>75000000</v>
      </c>
      <c r="AI238" s="15">
        <f t="shared" si="240"/>
        <v>75000000</v>
      </c>
      <c r="AJ238" s="16">
        <f t="shared" si="241"/>
        <v>75000000</v>
      </c>
      <c r="AK238" s="9"/>
      <c r="AL238" s="375">
        <v>0</v>
      </c>
      <c r="AM238" s="378">
        <v>0</v>
      </c>
      <c r="AN238" s="9"/>
    </row>
    <row r="239" spans="1:70" s="385" customFormat="1" ht="24.95" customHeight="1" x14ac:dyDescent="0.2">
      <c r="A239" s="762"/>
      <c r="B239" s="669"/>
      <c r="N239" s="9"/>
      <c r="P239" s="9"/>
      <c r="Q239" s="9"/>
      <c r="S239" s="720" t="s">
        <v>354</v>
      </c>
      <c r="T239" s="695" t="s">
        <v>617</v>
      </c>
      <c r="U239" s="401">
        <v>0</v>
      </c>
      <c r="V239" s="15">
        <f t="shared" si="234"/>
        <v>0</v>
      </c>
      <c r="W239" s="15">
        <f t="shared" si="234"/>
        <v>0</v>
      </c>
      <c r="X239" s="18">
        <f t="shared" si="235"/>
        <v>0</v>
      </c>
      <c r="Y239" s="19">
        <v>0</v>
      </c>
      <c r="Z239" s="377">
        <v>0</v>
      </c>
      <c r="AA239" s="18">
        <f t="shared" si="236"/>
        <v>0</v>
      </c>
      <c r="AB239" s="19">
        <v>0</v>
      </c>
      <c r="AC239" s="377">
        <v>0</v>
      </c>
      <c r="AD239" s="18">
        <f t="shared" si="237"/>
        <v>0</v>
      </c>
      <c r="AE239" s="19">
        <v>0</v>
      </c>
      <c r="AF239" s="377">
        <v>0</v>
      </c>
      <c r="AG239" s="18">
        <f t="shared" si="238"/>
        <v>0</v>
      </c>
      <c r="AH239" s="19">
        <f t="shared" si="239"/>
        <v>0</v>
      </c>
      <c r="AI239" s="15">
        <f t="shared" si="240"/>
        <v>0</v>
      </c>
      <c r="AJ239" s="16">
        <f t="shared" si="241"/>
        <v>0</v>
      </c>
      <c r="AK239" s="9"/>
      <c r="AL239" s="375">
        <v>0</v>
      </c>
      <c r="AM239" s="378">
        <v>0</v>
      </c>
      <c r="AN239" s="9"/>
    </row>
    <row r="240" spans="1:70" ht="24.95" customHeight="1" x14ac:dyDescent="0.2">
      <c r="A240" s="762"/>
      <c r="B240" s="669"/>
      <c r="C240" s="385"/>
      <c r="D240" s="385"/>
      <c r="E240" s="385"/>
      <c r="F240" s="385"/>
      <c r="G240" s="385"/>
      <c r="H240" s="385"/>
      <c r="I240" s="385"/>
      <c r="J240" s="385"/>
      <c r="K240" s="385"/>
      <c r="L240" s="385"/>
      <c r="M240" s="385"/>
      <c r="N240" s="9"/>
      <c r="O240" s="385"/>
      <c r="P240" s="9"/>
      <c r="Q240" s="9"/>
      <c r="S240" s="720" t="s">
        <v>355</v>
      </c>
      <c r="T240" s="695" t="s">
        <v>356</v>
      </c>
      <c r="U240" s="401">
        <v>0</v>
      </c>
      <c r="V240" s="15">
        <f t="shared" si="234"/>
        <v>0</v>
      </c>
      <c r="W240" s="15">
        <f t="shared" si="234"/>
        <v>0</v>
      </c>
      <c r="X240" s="18">
        <f t="shared" si="235"/>
        <v>0</v>
      </c>
      <c r="Y240" s="19">
        <v>0</v>
      </c>
      <c r="Z240" s="377">
        <v>0</v>
      </c>
      <c r="AA240" s="18">
        <f t="shared" si="236"/>
        <v>0</v>
      </c>
      <c r="AB240" s="19">
        <v>0</v>
      </c>
      <c r="AC240" s="377">
        <v>0</v>
      </c>
      <c r="AD240" s="18">
        <f t="shared" si="237"/>
        <v>0</v>
      </c>
      <c r="AE240" s="19">
        <v>0</v>
      </c>
      <c r="AF240" s="377">
        <v>0</v>
      </c>
      <c r="AG240" s="18">
        <f t="shared" si="238"/>
        <v>0</v>
      </c>
      <c r="AH240" s="19">
        <f t="shared" si="239"/>
        <v>0</v>
      </c>
      <c r="AI240" s="15">
        <f t="shared" si="240"/>
        <v>0</v>
      </c>
      <c r="AJ240" s="16">
        <f t="shared" si="241"/>
        <v>0</v>
      </c>
      <c r="AK240" s="9"/>
      <c r="AL240" s="375">
        <v>0</v>
      </c>
      <c r="AM240" s="378">
        <v>0</v>
      </c>
      <c r="BB240" s="385"/>
      <c r="BC240" s="385"/>
      <c r="BD240" s="385"/>
      <c r="BE240" s="385"/>
      <c r="BM240" s="385"/>
      <c r="BN240" s="385"/>
      <c r="BO240" s="385"/>
      <c r="BP240" s="385"/>
      <c r="BQ240" s="385"/>
      <c r="BR240" s="385"/>
    </row>
    <row r="241" spans="1:70" ht="24.95" customHeight="1" x14ac:dyDescent="0.2">
      <c r="A241" s="762"/>
      <c r="B241" s="669"/>
      <c r="C241" s="385"/>
      <c r="D241" s="385"/>
      <c r="E241" s="385"/>
      <c r="F241" s="385"/>
      <c r="G241" s="385"/>
      <c r="H241" s="385"/>
      <c r="I241" s="385"/>
      <c r="J241" s="385"/>
      <c r="K241" s="385"/>
      <c r="L241" s="385"/>
      <c r="M241" s="385"/>
      <c r="N241" s="9"/>
      <c r="O241" s="385"/>
      <c r="P241" s="9"/>
      <c r="Q241" s="9"/>
      <c r="S241" s="730">
        <v>8001999</v>
      </c>
      <c r="T241" s="694" t="s">
        <v>132</v>
      </c>
      <c r="U241" s="401">
        <v>0</v>
      </c>
      <c r="V241" s="15">
        <f t="shared" si="234"/>
        <v>0</v>
      </c>
      <c r="W241" s="15">
        <f t="shared" si="234"/>
        <v>0</v>
      </c>
      <c r="X241" s="18">
        <f t="shared" si="235"/>
        <v>0</v>
      </c>
      <c r="Y241" s="19">
        <v>0</v>
      </c>
      <c r="Z241" s="377">
        <v>0</v>
      </c>
      <c r="AA241" s="18">
        <f t="shared" si="236"/>
        <v>0</v>
      </c>
      <c r="AB241" s="19">
        <v>0</v>
      </c>
      <c r="AC241" s="377">
        <v>0</v>
      </c>
      <c r="AD241" s="18">
        <f t="shared" si="237"/>
        <v>0</v>
      </c>
      <c r="AE241" s="19">
        <v>0</v>
      </c>
      <c r="AF241" s="377">
        <v>0</v>
      </c>
      <c r="AG241" s="18">
        <f t="shared" si="238"/>
        <v>0</v>
      </c>
      <c r="AH241" s="19">
        <f t="shared" si="239"/>
        <v>0</v>
      </c>
      <c r="AI241" s="15">
        <f t="shared" si="240"/>
        <v>0</v>
      </c>
      <c r="AJ241" s="16">
        <f t="shared" si="241"/>
        <v>0</v>
      </c>
      <c r="AK241" s="9"/>
      <c r="AL241" s="375">
        <v>0</v>
      </c>
      <c r="AM241" s="378">
        <v>0</v>
      </c>
      <c r="BM241" s="385"/>
      <c r="BN241" s="385"/>
      <c r="BO241" s="385"/>
      <c r="BP241" s="385"/>
      <c r="BQ241" s="385"/>
      <c r="BR241" s="385"/>
    </row>
    <row r="242" spans="1:70" ht="24.95" customHeight="1" x14ac:dyDescent="0.2">
      <c r="A242" s="762"/>
      <c r="B242" s="669"/>
      <c r="C242" s="385"/>
      <c r="D242" s="385"/>
      <c r="E242" s="385"/>
      <c r="F242" s="385"/>
      <c r="G242" s="385"/>
      <c r="H242" s="385"/>
      <c r="I242" s="385"/>
      <c r="J242" s="385"/>
      <c r="K242" s="385"/>
      <c r="L242" s="385"/>
      <c r="M242" s="385"/>
      <c r="N242" s="9"/>
      <c r="O242" s="385"/>
      <c r="P242" s="9"/>
      <c r="Q242" s="9"/>
      <c r="S242" s="369"/>
      <c r="T242" s="708"/>
      <c r="U242" s="203"/>
      <c r="V242" s="164"/>
      <c r="W242" s="164"/>
      <c r="X242" s="164"/>
      <c r="Y242" s="164"/>
      <c r="Z242" s="203"/>
      <c r="AA242" s="164"/>
      <c r="AB242" s="164"/>
      <c r="AC242" s="203"/>
      <c r="AD242" s="164"/>
      <c r="AE242" s="164"/>
      <c r="AF242" s="203"/>
      <c r="AG242" s="164"/>
      <c r="AH242" s="370"/>
      <c r="AI242" s="164"/>
      <c r="AJ242" s="169"/>
      <c r="AK242" s="9"/>
      <c r="AL242" s="175"/>
      <c r="AM242" s="176"/>
    </row>
    <row r="243" spans="1:70" ht="24.95" customHeight="1" x14ac:dyDescent="0.2">
      <c r="A243" s="762"/>
      <c r="B243" s="669"/>
      <c r="C243" s="385"/>
      <c r="D243" s="385"/>
      <c r="E243" s="385"/>
      <c r="F243" s="385"/>
      <c r="G243" s="385"/>
      <c r="H243" s="385"/>
      <c r="I243" s="385"/>
      <c r="J243" s="385"/>
      <c r="K243" s="385"/>
      <c r="L243" s="385"/>
      <c r="M243" s="385"/>
      <c r="N243" s="9"/>
      <c r="O243" s="385"/>
      <c r="P243" s="9"/>
      <c r="Q243" s="9"/>
      <c r="S243" s="719">
        <v>8002001</v>
      </c>
      <c r="T243" s="693" t="s">
        <v>357</v>
      </c>
      <c r="U243" s="210">
        <f t="shared" ref="U243:AJ243" si="242">SUM(U244:U256)</f>
        <v>118000000</v>
      </c>
      <c r="V243" s="15">
        <f t="shared" si="242"/>
        <v>0</v>
      </c>
      <c r="W243" s="15">
        <f t="shared" si="242"/>
        <v>178000000</v>
      </c>
      <c r="X243" s="18">
        <f t="shared" si="242"/>
        <v>296000000</v>
      </c>
      <c r="Y243" s="19">
        <f t="shared" si="242"/>
        <v>0</v>
      </c>
      <c r="Z243" s="206">
        <f t="shared" si="242"/>
        <v>0</v>
      </c>
      <c r="AA243" s="18">
        <f t="shared" si="242"/>
        <v>0</v>
      </c>
      <c r="AB243" s="19">
        <f t="shared" si="242"/>
        <v>0</v>
      </c>
      <c r="AC243" s="206">
        <f t="shared" si="242"/>
        <v>0</v>
      </c>
      <c r="AD243" s="18">
        <f t="shared" si="242"/>
        <v>0</v>
      </c>
      <c r="AE243" s="19">
        <f t="shared" si="242"/>
        <v>0</v>
      </c>
      <c r="AF243" s="206">
        <f t="shared" si="242"/>
        <v>0</v>
      </c>
      <c r="AG243" s="18">
        <f t="shared" si="242"/>
        <v>0</v>
      </c>
      <c r="AH243" s="19">
        <f t="shared" si="242"/>
        <v>296000000</v>
      </c>
      <c r="AI243" s="15">
        <f t="shared" si="242"/>
        <v>296000000</v>
      </c>
      <c r="AJ243" s="16">
        <f t="shared" si="242"/>
        <v>296000000</v>
      </c>
      <c r="AK243" s="9"/>
      <c r="AL243" s="19">
        <f>SUM(AL244:AL256)</f>
        <v>0</v>
      </c>
      <c r="AM243" s="16">
        <f>SUM(AM244:AM256)</f>
        <v>178000000</v>
      </c>
    </row>
    <row r="244" spans="1:70" ht="24.95" customHeight="1" x14ac:dyDescent="0.2">
      <c r="A244" s="762"/>
      <c r="B244" s="669"/>
      <c r="C244" s="385"/>
      <c r="D244" s="385"/>
      <c r="E244" s="385"/>
      <c r="F244" s="385"/>
      <c r="G244" s="385"/>
      <c r="H244" s="385"/>
      <c r="I244" s="385"/>
      <c r="J244" s="385"/>
      <c r="K244" s="385"/>
      <c r="L244" s="385"/>
      <c r="M244" s="385"/>
      <c r="N244" s="9"/>
      <c r="O244" s="385"/>
      <c r="P244" s="9"/>
      <c r="Q244" s="9"/>
      <c r="S244" s="720" t="s">
        <v>358</v>
      </c>
      <c r="T244" s="695" t="s">
        <v>359</v>
      </c>
      <c r="U244" s="401">
        <v>0</v>
      </c>
      <c r="V244" s="15">
        <f t="shared" ref="V244:W256" si="243">AL244</f>
        <v>0</v>
      </c>
      <c r="W244" s="15">
        <f t="shared" si="243"/>
        <v>0</v>
      </c>
      <c r="X244" s="18">
        <f t="shared" ref="X244:X256" si="244">SUM(U244:W244)</f>
        <v>0</v>
      </c>
      <c r="Y244" s="19">
        <v>0</v>
      </c>
      <c r="Z244" s="377">
        <v>0</v>
      </c>
      <c r="AA244" s="18">
        <f t="shared" ref="AA244:AA256" si="245">SUM(Y244:Z244)</f>
        <v>0</v>
      </c>
      <c r="AB244" s="19">
        <v>0</v>
      </c>
      <c r="AC244" s="377">
        <v>0</v>
      </c>
      <c r="AD244" s="18">
        <f t="shared" ref="AD244:AD256" si="246">SUM(AB244:AC244)</f>
        <v>0</v>
      </c>
      <c r="AE244" s="19">
        <v>0</v>
      </c>
      <c r="AF244" s="377">
        <v>0</v>
      </c>
      <c r="AG244" s="18">
        <f t="shared" ref="AG244:AG256" si="247">SUM(AE244:AF244)</f>
        <v>0</v>
      </c>
      <c r="AH244" s="19">
        <f t="shared" ref="AH244:AH256" si="248">X244-AA244</f>
        <v>0</v>
      </c>
      <c r="AI244" s="15">
        <f t="shared" ref="AI244:AI256" si="249">X244-AD244</f>
        <v>0</v>
      </c>
      <c r="AJ244" s="16">
        <f t="shared" ref="AJ244:AJ256" si="250">X244-AG244</f>
        <v>0</v>
      </c>
      <c r="AK244" s="9"/>
      <c r="AL244" s="375">
        <v>0</v>
      </c>
      <c r="AM244" s="378">
        <v>0</v>
      </c>
    </row>
    <row r="245" spans="1:70" ht="24.95" customHeight="1" x14ac:dyDescent="0.2">
      <c r="A245" s="762"/>
      <c r="B245" s="669"/>
      <c r="C245" s="385"/>
      <c r="D245" s="385"/>
      <c r="E245" s="385"/>
      <c r="F245" s="385"/>
      <c r="G245" s="385"/>
      <c r="H245" s="385"/>
      <c r="I245" s="385"/>
      <c r="J245" s="385"/>
      <c r="K245" s="385"/>
      <c r="L245" s="385"/>
      <c r="M245" s="385"/>
      <c r="N245" s="9"/>
      <c r="O245" s="385"/>
      <c r="P245" s="9"/>
      <c r="Q245" s="9"/>
      <c r="S245" s="720" t="s">
        <v>360</v>
      </c>
      <c r="T245" s="695" t="s">
        <v>612</v>
      </c>
      <c r="U245" s="401">
        <v>94000000</v>
      </c>
      <c r="V245" s="15">
        <f t="shared" si="243"/>
        <v>0</v>
      </c>
      <c r="W245" s="15">
        <f t="shared" si="243"/>
        <v>94000000</v>
      </c>
      <c r="X245" s="18">
        <f t="shared" si="244"/>
        <v>188000000</v>
      </c>
      <c r="Y245" s="19">
        <v>0</v>
      </c>
      <c r="Z245" s="377">
        <v>0</v>
      </c>
      <c r="AA245" s="18">
        <f t="shared" si="245"/>
        <v>0</v>
      </c>
      <c r="AB245" s="19">
        <v>0</v>
      </c>
      <c r="AC245" s="377">
        <v>0</v>
      </c>
      <c r="AD245" s="18">
        <f t="shared" si="246"/>
        <v>0</v>
      </c>
      <c r="AE245" s="19">
        <v>0</v>
      </c>
      <c r="AF245" s="377">
        <v>0</v>
      </c>
      <c r="AG245" s="18">
        <f t="shared" si="247"/>
        <v>0</v>
      </c>
      <c r="AH245" s="19">
        <f t="shared" si="248"/>
        <v>188000000</v>
      </c>
      <c r="AI245" s="15">
        <f t="shared" si="249"/>
        <v>188000000</v>
      </c>
      <c r="AJ245" s="16">
        <f t="shared" si="250"/>
        <v>188000000</v>
      </c>
      <c r="AK245" s="9"/>
      <c r="AL245" s="375">
        <v>0</v>
      </c>
      <c r="AM245" s="378">
        <v>94000000</v>
      </c>
    </row>
    <row r="246" spans="1:70" ht="24.95" customHeight="1" x14ac:dyDescent="0.2">
      <c r="A246" s="762"/>
      <c r="B246" s="669"/>
      <c r="C246" s="385"/>
      <c r="D246" s="385"/>
      <c r="E246" s="385"/>
      <c r="F246" s="385"/>
      <c r="G246" s="385"/>
      <c r="H246" s="385"/>
      <c r="I246" s="385"/>
      <c r="J246" s="385"/>
      <c r="K246" s="385"/>
      <c r="L246" s="385"/>
      <c r="M246" s="385"/>
      <c r="N246" s="9"/>
      <c r="O246" s="385"/>
      <c r="P246" s="9"/>
      <c r="Q246" s="9"/>
      <c r="S246" s="720" t="s">
        <v>361</v>
      </c>
      <c r="T246" s="695" t="s">
        <v>613</v>
      </c>
      <c r="U246" s="401">
        <v>0</v>
      </c>
      <c r="V246" s="15">
        <f t="shared" si="243"/>
        <v>0</v>
      </c>
      <c r="W246" s="15">
        <f t="shared" si="243"/>
        <v>50000000</v>
      </c>
      <c r="X246" s="18">
        <f t="shared" si="244"/>
        <v>50000000</v>
      </c>
      <c r="Y246" s="19">
        <v>0</v>
      </c>
      <c r="Z246" s="377">
        <v>0</v>
      </c>
      <c r="AA246" s="18">
        <f t="shared" si="245"/>
        <v>0</v>
      </c>
      <c r="AB246" s="19">
        <v>0</v>
      </c>
      <c r="AC246" s="377">
        <v>0</v>
      </c>
      <c r="AD246" s="18">
        <f t="shared" si="246"/>
        <v>0</v>
      </c>
      <c r="AE246" s="19">
        <v>0</v>
      </c>
      <c r="AF246" s="377">
        <v>0</v>
      </c>
      <c r="AG246" s="18">
        <f t="shared" si="247"/>
        <v>0</v>
      </c>
      <c r="AH246" s="19">
        <f t="shared" si="248"/>
        <v>50000000</v>
      </c>
      <c r="AI246" s="15">
        <f t="shared" si="249"/>
        <v>50000000</v>
      </c>
      <c r="AJ246" s="16">
        <f t="shared" si="250"/>
        <v>50000000</v>
      </c>
      <c r="AK246" s="9"/>
      <c r="AL246" s="375">
        <v>0</v>
      </c>
      <c r="AM246" s="378">
        <v>50000000</v>
      </c>
    </row>
    <row r="247" spans="1:70" ht="24.95" customHeight="1" x14ac:dyDescent="0.2">
      <c r="A247" s="762"/>
      <c r="B247" s="669"/>
      <c r="C247" s="385"/>
      <c r="D247" s="385"/>
      <c r="E247" s="385"/>
      <c r="F247" s="385"/>
      <c r="G247" s="385"/>
      <c r="H247" s="385"/>
      <c r="I247" s="385"/>
      <c r="J247" s="385"/>
      <c r="K247" s="385"/>
      <c r="L247" s="385"/>
      <c r="M247" s="385"/>
      <c r="N247" s="9"/>
      <c r="O247" s="385"/>
      <c r="P247" s="9"/>
      <c r="Q247" s="9"/>
      <c r="S247" s="720" t="s">
        <v>362</v>
      </c>
      <c r="T247" s="695" t="s">
        <v>611</v>
      </c>
      <c r="U247" s="401">
        <v>0</v>
      </c>
      <c r="V247" s="15">
        <f t="shared" si="243"/>
        <v>0</v>
      </c>
      <c r="W247" s="15">
        <f t="shared" si="243"/>
        <v>0</v>
      </c>
      <c r="X247" s="18">
        <f t="shared" si="244"/>
        <v>0</v>
      </c>
      <c r="Y247" s="19">
        <v>0</v>
      </c>
      <c r="Z247" s="377">
        <v>0</v>
      </c>
      <c r="AA247" s="18">
        <f t="shared" si="245"/>
        <v>0</v>
      </c>
      <c r="AB247" s="19">
        <v>0</v>
      </c>
      <c r="AC247" s="377">
        <v>0</v>
      </c>
      <c r="AD247" s="18">
        <f t="shared" si="246"/>
        <v>0</v>
      </c>
      <c r="AE247" s="19">
        <v>0</v>
      </c>
      <c r="AF247" s="377">
        <v>0</v>
      </c>
      <c r="AG247" s="18">
        <f t="shared" si="247"/>
        <v>0</v>
      </c>
      <c r="AH247" s="19">
        <f t="shared" si="248"/>
        <v>0</v>
      </c>
      <c r="AI247" s="15">
        <f t="shared" si="249"/>
        <v>0</v>
      </c>
      <c r="AJ247" s="16">
        <f t="shared" si="250"/>
        <v>0</v>
      </c>
      <c r="AK247" s="9"/>
      <c r="AL247" s="375">
        <v>0</v>
      </c>
      <c r="AM247" s="378">
        <v>0</v>
      </c>
    </row>
    <row r="248" spans="1:70" ht="24.95" customHeight="1" x14ac:dyDescent="0.2">
      <c r="A248" s="762"/>
      <c r="B248" s="669"/>
      <c r="C248" s="385"/>
      <c r="D248" s="385"/>
      <c r="E248" s="385"/>
      <c r="F248" s="385"/>
      <c r="G248" s="385"/>
      <c r="H248" s="385"/>
      <c r="I248" s="385"/>
      <c r="J248" s="385"/>
      <c r="K248" s="385"/>
      <c r="L248" s="385"/>
      <c r="M248" s="385"/>
      <c r="N248" s="9"/>
      <c r="O248" s="385"/>
      <c r="P248" s="9"/>
      <c r="Q248" s="9"/>
      <c r="S248" s="720" t="s">
        <v>363</v>
      </c>
      <c r="T248" s="695" t="s">
        <v>614</v>
      </c>
      <c r="U248" s="401">
        <v>24000000</v>
      </c>
      <c r="V248" s="15">
        <f t="shared" si="243"/>
        <v>0</v>
      </c>
      <c r="W248" s="15">
        <f t="shared" si="243"/>
        <v>34000000</v>
      </c>
      <c r="X248" s="18">
        <f t="shared" si="244"/>
        <v>58000000</v>
      </c>
      <c r="Y248" s="19">
        <v>0</v>
      </c>
      <c r="Z248" s="377">
        <v>0</v>
      </c>
      <c r="AA248" s="18">
        <f t="shared" si="245"/>
        <v>0</v>
      </c>
      <c r="AB248" s="19">
        <v>0</v>
      </c>
      <c r="AC248" s="377">
        <v>0</v>
      </c>
      <c r="AD248" s="18">
        <f t="shared" si="246"/>
        <v>0</v>
      </c>
      <c r="AE248" s="19">
        <v>0</v>
      </c>
      <c r="AF248" s="377">
        <v>0</v>
      </c>
      <c r="AG248" s="18">
        <f t="shared" si="247"/>
        <v>0</v>
      </c>
      <c r="AH248" s="19">
        <f t="shared" si="248"/>
        <v>58000000</v>
      </c>
      <c r="AI248" s="15">
        <f t="shared" si="249"/>
        <v>58000000</v>
      </c>
      <c r="AJ248" s="16">
        <f t="shared" si="250"/>
        <v>58000000</v>
      </c>
      <c r="AK248" s="9"/>
      <c r="AL248" s="375">
        <v>0</v>
      </c>
      <c r="AM248" s="378">
        <v>34000000</v>
      </c>
    </row>
    <row r="249" spans="1:70" ht="24.95" customHeight="1" x14ac:dyDescent="0.2">
      <c r="A249" s="762"/>
      <c r="B249" s="669"/>
      <c r="C249" s="385"/>
      <c r="D249" s="385"/>
      <c r="E249" s="385"/>
      <c r="F249" s="385"/>
      <c r="G249" s="385"/>
      <c r="H249" s="385"/>
      <c r="I249" s="385"/>
      <c r="J249" s="385"/>
      <c r="K249" s="385"/>
      <c r="L249" s="385"/>
      <c r="M249" s="385"/>
      <c r="N249" s="9"/>
      <c r="O249" s="385"/>
      <c r="P249" s="9"/>
      <c r="Q249" s="9"/>
      <c r="S249" s="720" t="s">
        <v>364</v>
      </c>
      <c r="T249" s="695" t="s">
        <v>480</v>
      </c>
      <c r="U249" s="401">
        <v>0</v>
      </c>
      <c r="V249" s="15">
        <f t="shared" si="243"/>
        <v>0</v>
      </c>
      <c r="W249" s="15">
        <f t="shared" si="243"/>
        <v>0</v>
      </c>
      <c r="X249" s="18">
        <f t="shared" si="244"/>
        <v>0</v>
      </c>
      <c r="Y249" s="19">
        <v>0</v>
      </c>
      <c r="Z249" s="377">
        <v>0</v>
      </c>
      <c r="AA249" s="18">
        <f t="shared" si="245"/>
        <v>0</v>
      </c>
      <c r="AB249" s="19">
        <v>0</v>
      </c>
      <c r="AC249" s="377">
        <v>0</v>
      </c>
      <c r="AD249" s="18">
        <f t="shared" si="246"/>
        <v>0</v>
      </c>
      <c r="AE249" s="19">
        <v>0</v>
      </c>
      <c r="AF249" s="377">
        <v>0</v>
      </c>
      <c r="AG249" s="18">
        <f t="shared" si="247"/>
        <v>0</v>
      </c>
      <c r="AH249" s="19">
        <f t="shared" si="248"/>
        <v>0</v>
      </c>
      <c r="AI249" s="15">
        <f t="shared" si="249"/>
        <v>0</v>
      </c>
      <c r="AJ249" s="16">
        <f t="shared" si="250"/>
        <v>0</v>
      </c>
      <c r="AK249" s="9"/>
      <c r="AL249" s="375">
        <v>0</v>
      </c>
      <c r="AM249" s="378">
        <v>0</v>
      </c>
    </row>
    <row r="250" spans="1:70" ht="24.95" customHeight="1" x14ac:dyDescent="0.2">
      <c r="A250" s="762"/>
      <c r="B250" s="669"/>
      <c r="C250" s="385"/>
      <c r="D250" s="385"/>
      <c r="E250" s="385"/>
      <c r="F250" s="385"/>
      <c r="G250" s="385"/>
      <c r="H250" s="385"/>
      <c r="I250" s="385"/>
      <c r="J250" s="385"/>
      <c r="K250" s="385"/>
      <c r="L250" s="385"/>
      <c r="M250" s="385"/>
      <c r="N250" s="9"/>
      <c r="O250" s="385"/>
      <c r="P250" s="9"/>
      <c r="Q250" s="9"/>
      <c r="S250" s="720" t="s">
        <v>365</v>
      </c>
      <c r="T250" s="695" t="s">
        <v>481</v>
      </c>
      <c r="U250" s="401">
        <v>0</v>
      </c>
      <c r="V250" s="15">
        <f t="shared" ref="V250:W254" si="251">AL250</f>
        <v>0</v>
      </c>
      <c r="W250" s="15">
        <f t="shared" si="251"/>
        <v>0</v>
      </c>
      <c r="X250" s="18">
        <f>SUM(U250:W250)</f>
        <v>0</v>
      </c>
      <c r="Y250" s="19">
        <v>0</v>
      </c>
      <c r="Z250" s="377">
        <v>0</v>
      </c>
      <c r="AA250" s="18">
        <f>SUM(Y250:Z250)</f>
        <v>0</v>
      </c>
      <c r="AB250" s="19">
        <v>0</v>
      </c>
      <c r="AC250" s="377">
        <v>0</v>
      </c>
      <c r="AD250" s="18">
        <f>SUM(AB250:AC250)</f>
        <v>0</v>
      </c>
      <c r="AE250" s="19">
        <v>0</v>
      </c>
      <c r="AF250" s="377">
        <v>0</v>
      </c>
      <c r="AG250" s="18">
        <f>SUM(AE250:AF250)</f>
        <v>0</v>
      </c>
      <c r="AH250" s="19">
        <f>X250-AA250</f>
        <v>0</v>
      </c>
      <c r="AI250" s="15">
        <f>X250-AD250</f>
        <v>0</v>
      </c>
      <c r="AJ250" s="16">
        <f>X250-AG250</f>
        <v>0</v>
      </c>
      <c r="AK250" s="9"/>
      <c r="AL250" s="375">
        <v>0</v>
      </c>
      <c r="AM250" s="378">
        <v>0</v>
      </c>
    </row>
    <row r="251" spans="1:70" ht="24.95" customHeight="1" x14ac:dyDescent="0.2">
      <c r="A251" s="762"/>
      <c r="B251" s="669"/>
      <c r="C251" s="385"/>
      <c r="D251" s="385"/>
      <c r="E251" s="385"/>
      <c r="F251" s="385"/>
      <c r="G251" s="385"/>
      <c r="H251" s="385"/>
      <c r="I251" s="385"/>
      <c r="J251" s="385"/>
      <c r="K251" s="385"/>
      <c r="L251" s="385"/>
      <c r="M251" s="385"/>
      <c r="N251" s="9"/>
      <c r="O251" s="385"/>
      <c r="P251" s="9"/>
      <c r="Q251" s="9"/>
      <c r="S251" s="720" t="s">
        <v>462</v>
      </c>
      <c r="T251" s="695" t="s">
        <v>482</v>
      </c>
      <c r="U251" s="401">
        <v>0</v>
      </c>
      <c r="V251" s="15">
        <f t="shared" si="251"/>
        <v>0</v>
      </c>
      <c r="W251" s="15">
        <f t="shared" si="251"/>
        <v>0</v>
      </c>
      <c r="X251" s="18">
        <f>SUM(U251:W251)</f>
        <v>0</v>
      </c>
      <c r="Y251" s="19">
        <v>0</v>
      </c>
      <c r="Z251" s="377">
        <v>0</v>
      </c>
      <c r="AA251" s="18">
        <f>SUM(Y251:Z251)</f>
        <v>0</v>
      </c>
      <c r="AB251" s="19">
        <v>0</v>
      </c>
      <c r="AC251" s="377">
        <v>0</v>
      </c>
      <c r="AD251" s="18">
        <f>SUM(AB251:AC251)</f>
        <v>0</v>
      </c>
      <c r="AE251" s="19">
        <v>0</v>
      </c>
      <c r="AF251" s="377">
        <v>0</v>
      </c>
      <c r="AG251" s="18">
        <f>SUM(AE251:AF251)</f>
        <v>0</v>
      </c>
      <c r="AH251" s="19">
        <f>X251-AA251</f>
        <v>0</v>
      </c>
      <c r="AI251" s="15">
        <f>X251-AD251</f>
        <v>0</v>
      </c>
      <c r="AJ251" s="16">
        <f>X251-AG251</f>
        <v>0</v>
      </c>
      <c r="AK251" s="9"/>
      <c r="AL251" s="375">
        <v>0</v>
      </c>
      <c r="AM251" s="378">
        <v>0</v>
      </c>
    </row>
    <row r="252" spans="1:70" ht="24.95" customHeight="1" x14ac:dyDescent="0.2">
      <c r="A252" s="762"/>
      <c r="B252" s="669"/>
      <c r="C252" s="385"/>
      <c r="D252" s="385"/>
      <c r="E252" s="385"/>
      <c r="F252" s="385"/>
      <c r="G252" s="385"/>
      <c r="H252" s="385"/>
      <c r="I252" s="385"/>
      <c r="J252" s="385"/>
      <c r="K252" s="385"/>
      <c r="L252" s="385"/>
      <c r="M252" s="385"/>
      <c r="N252" s="9"/>
      <c r="O252" s="385"/>
      <c r="P252" s="9"/>
      <c r="Q252" s="9"/>
      <c r="S252" s="720" t="s">
        <v>463</v>
      </c>
      <c r="T252" s="695" t="s">
        <v>483</v>
      </c>
      <c r="U252" s="401">
        <v>0</v>
      </c>
      <c r="V252" s="15">
        <f t="shared" si="251"/>
        <v>0</v>
      </c>
      <c r="W252" s="15">
        <f t="shared" si="251"/>
        <v>0</v>
      </c>
      <c r="X252" s="18">
        <f>SUM(U252:W252)</f>
        <v>0</v>
      </c>
      <c r="Y252" s="19">
        <v>0</v>
      </c>
      <c r="Z252" s="377">
        <v>0</v>
      </c>
      <c r="AA252" s="18">
        <f>SUM(Y252:Z252)</f>
        <v>0</v>
      </c>
      <c r="AB252" s="19">
        <v>0</v>
      </c>
      <c r="AC252" s="377">
        <v>0</v>
      </c>
      <c r="AD252" s="18">
        <f>SUM(AB252:AC252)</f>
        <v>0</v>
      </c>
      <c r="AE252" s="19">
        <v>0</v>
      </c>
      <c r="AF252" s="377">
        <v>0</v>
      </c>
      <c r="AG252" s="18">
        <f>SUM(AE252:AF252)</f>
        <v>0</v>
      </c>
      <c r="AH252" s="19">
        <f>X252-AA252</f>
        <v>0</v>
      </c>
      <c r="AI252" s="15">
        <f>X252-AD252</f>
        <v>0</v>
      </c>
      <c r="AJ252" s="16">
        <f>X252-AG252</f>
        <v>0</v>
      </c>
      <c r="AK252" s="9"/>
      <c r="AL252" s="375">
        <v>0</v>
      </c>
      <c r="AM252" s="378">
        <v>0</v>
      </c>
    </row>
    <row r="253" spans="1:70" ht="24.95" customHeight="1" x14ac:dyDescent="0.2">
      <c r="A253" s="762"/>
      <c r="B253" s="669"/>
      <c r="C253" s="385"/>
      <c r="D253" s="385"/>
      <c r="E253" s="385"/>
      <c r="F253" s="385"/>
      <c r="G253" s="385"/>
      <c r="H253" s="385"/>
      <c r="I253" s="385"/>
      <c r="J253" s="385"/>
      <c r="K253" s="385"/>
      <c r="L253" s="385"/>
      <c r="M253" s="385"/>
      <c r="N253" s="9"/>
      <c r="O253" s="385"/>
      <c r="P253" s="9"/>
      <c r="Q253" s="9"/>
      <c r="S253" s="720" t="s">
        <v>464</v>
      </c>
      <c r="T253" s="695" t="s">
        <v>484</v>
      </c>
      <c r="U253" s="401">
        <v>0</v>
      </c>
      <c r="V253" s="15">
        <f t="shared" si="251"/>
        <v>0</v>
      </c>
      <c r="W253" s="15">
        <f t="shared" si="251"/>
        <v>0</v>
      </c>
      <c r="X253" s="18">
        <f>SUM(U253:W253)</f>
        <v>0</v>
      </c>
      <c r="Y253" s="19">
        <v>0</v>
      </c>
      <c r="Z253" s="377">
        <v>0</v>
      </c>
      <c r="AA253" s="18">
        <f>SUM(Y253:Z253)</f>
        <v>0</v>
      </c>
      <c r="AB253" s="19">
        <v>0</v>
      </c>
      <c r="AC253" s="377">
        <v>0</v>
      </c>
      <c r="AD253" s="18">
        <f>SUM(AB253:AC253)</f>
        <v>0</v>
      </c>
      <c r="AE253" s="19">
        <v>0</v>
      </c>
      <c r="AF253" s="377">
        <v>0</v>
      </c>
      <c r="AG253" s="18">
        <f>SUM(AE253:AF253)</f>
        <v>0</v>
      </c>
      <c r="AH253" s="19">
        <f>X253-AA253</f>
        <v>0</v>
      </c>
      <c r="AI253" s="15">
        <f>X253-AD253</f>
        <v>0</v>
      </c>
      <c r="AJ253" s="16">
        <f>X253-AG253</f>
        <v>0</v>
      </c>
      <c r="AK253" s="9"/>
      <c r="AL253" s="375">
        <v>0</v>
      </c>
      <c r="AM253" s="378">
        <v>0</v>
      </c>
    </row>
    <row r="254" spans="1:70" ht="24.95" customHeight="1" x14ac:dyDescent="0.2">
      <c r="A254" s="762"/>
      <c r="B254" s="669"/>
      <c r="C254" s="385"/>
      <c r="D254" s="385"/>
      <c r="E254" s="385"/>
      <c r="F254" s="385"/>
      <c r="G254" s="385"/>
      <c r="H254" s="385"/>
      <c r="I254" s="385"/>
      <c r="J254" s="385"/>
      <c r="K254" s="385"/>
      <c r="L254" s="385"/>
      <c r="M254" s="385"/>
      <c r="N254" s="9"/>
      <c r="O254" s="385"/>
      <c r="P254" s="9"/>
      <c r="Q254" s="9"/>
      <c r="S254" s="720" t="s">
        <v>465</v>
      </c>
      <c r="T254" s="695" t="s">
        <v>467</v>
      </c>
      <c r="U254" s="401">
        <v>0</v>
      </c>
      <c r="V254" s="15">
        <f t="shared" si="251"/>
        <v>0</v>
      </c>
      <c r="W254" s="15">
        <f t="shared" si="251"/>
        <v>0</v>
      </c>
      <c r="X254" s="18">
        <f>SUM(U254:W254)</f>
        <v>0</v>
      </c>
      <c r="Y254" s="19">
        <v>0</v>
      </c>
      <c r="Z254" s="377">
        <v>0</v>
      </c>
      <c r="AA254" s="18">
        <f>SUM(Y254:Z254)</f>
        <v>0</v>
      </c>
      <c r="AB254" s="19">
        <v>0</v>
      </c>
      <c r="AC254" s="377">
        <v>0</v>
      </c>
      <c r="AD254" s="18">
        <f>SUM(AB254:AC254)</f>
        <v>0</v>
      </c>
      <c r="AE254" s="19">
        <v>0</v>
      </c>
      <c r="AF254" s="377">
        <v>0</v>
      </c>
      <c r="AG254" s="18">
        <f>SUM(AE254:AF254)</f>
        <v>0</v>
      </c>
      <c r="AH254" s="19">
        <f>X254-AA254</f>
        <v>0</v>
      </c>
      <c r="AI254" s="15">
        <f>X254-AD254</f>
        <v>0</v>
      </c>
      <c r="AJ254" s="16">
        <f>X254-AG254</f>
        <v>0</v>
      </c>
      <c r="AK254" s="9"/>
      <c r="AL254" s="375">
        <v>0</v>
      </c>
      <c r="AM254" s="378">
        <v>0</v>
      </c>
    </row>
    <row r="255" spans="1:70" ht="24.95" customHeight="1" x14ac:dyDescent="0.2">
      <c r="A255" s="762"/>
      <c r="B255" s="669"/>
      <c r="C255" s="385"/>
      <c r="D255" s="385"/>
      <c r="E255" s="385"/>
      <c r="F255" s="385"/>
      <c r="G255" s="385"/>
      <c r="H255" s="385"/>
      <c r="I255" s="385"/>
      <c r="J255" s="385"/>
      <c r="K255" s="385"/>
      <c r="L255" s="385"/>
      <c r="M255" s="385"/>
      <c r="N255" s="9"/>
      <c r="O255" s="385"/>
      <c r="P255" s="9"/>
      <c r="Q255" s="9"/>
      <c r="S255" s="720" t="s">
        <v>466</v>
      </c>
      <c r="T255" s="695" t="s">
        <v>468</v>
      </c>
      <c r="U255" s="401">
        <v>0</v>
      </c>
      <c r="V255" s="15">
        <f t="shared" si="243"/>
        <v>0</v>
      </c>
      <c r="W255" s="15">
        <f t="shared" si="243"/>
        <v>0</v>
      </c>
      <c r="X255" s="18">
        <f t="shared" si="244"/>
        <v>0</v>
      </c>
      <c r="Y255" s="19">
        <v>0</v>
      </c>
      <c r="Z255" s="377">
        <v>0</v>
      </c>
      <c r="AA255" s="18">
        <f t="shared" si="245"/>
        <v>0</v>
      </c>
      <c r="AB255" s="19">
        <v>0</v>
      </c>
      <c r="AC255" s="377">
        <v>0</v>
      </c>
      <c r="AD255" s="18">
        <f t="shared" si="246"/>
        <v>0</v>
      </c>
      <c r="AE255" s="19">
        <v>0</v>
      </c>
      <c r="AF255" s="377">
        <v>0</v>
      </c>
      <c r="AG255" s="18">
        <f t="shared" si="247"/>
        <v>0</v>
      </c>
      <c r="AH255" s="19">
        <f t="shared" si="248"/>
        <v>0</v>
      </c>
      <c r="AI255" s="15">
        <f t="shared" si="249"/>
        <v>0</v>
      </c>
      <c r="AJ255" s="16">
        <f t="shared" si="250"/>
        <v>0</v>
      </c>
      <c r="AK255" s="9"/>
      <c r="AL255" s="375">
        <v>0</v>
      </c>
      <c r="AM255" s="378">
        <v>0</v>
      </c>
    </row>
    <row r="256" spans="1:70" ht="24.95" customHeight="1" thickBot="1" x14ac:dyDescent="0.25">
      <c r="A256" s="762"/>
      <c r="B256" s="669"/>
      <c r="C256" s="385"/>
      <c r="D256" s="385"/>
      <c r="E256" s="385"/>
      <c r="F256" s="385"/>
      <c r="G256" s="385"/>
      <c r="H256" s="385"/>
      <c r="I256" s="385"/>
      <c r="J256" s="385"/>
      <c r="K256" s="385"/>
      <c r="L256" s="385"/>
      <c r="M256" s="385"/>
      <c r="N256" s="9"/>
      <c r="O256" s="385"/>
      <c r="P256" s="9"/>
      <c r="Q256" s="9"/>
      <c r="S256" s="731">
        <v>8002999</v>
      </c>
      <c r="T256" s="710" t="s">
        <v>132</v>
      </c>
      <c r="U256" s="491">
        <v>0</v>
      </c>
      <c r="V256" s="123">
        <f t="shared" si="243"/>
        <v>0</v>
      </c>
      <c r="W256" s="123">
        <f t="shared" si="243"/>
        <v>0</v>
      </c>
      <c r="X256" s="129">
        <f t="shared" si="244"/>
        <v>0</v>
      </c>
      <c r="Y256" s="127">
        <v>0</v>
      </c>
      <c r="Z256" s="391">
        <v>0</v>
      </c>
      <c r="AA256" s="129">
        <f t="shared" si="245"/>
        <v>0</v>
      </c>
      <c r="AB256" s="127">
        <v>0</v>
      </c>
      <c r="AC256" s="391">
        <v>0</v>
      </c>
      <c r="AD256" s="129">
        <f t="shared" si="246"/>
        <v>0</v>
      </c>
      <c r="AE256" s="127">
        <v>0</v>
      </c>
      <c r="AF256" s="391">
        <v>0</v>
      </c>
      <c r="AG256" s="129">
        <f t="shared" si="247"/>
        <v>0</v>
      </c>
      <c r="AH256" s="127">
        <f t="shared" si="248"/>
        <v>0</v>
      </c>
      <c r="AI256" s="123">
        <f t="shared" si="249"/>
        <v>0</v>
      </c>
      <c r="AJ256" s="128">
        <f t="shared" si="250"/>
        <v>0</v>
      </c>
      <c r="AK256" s="9"/>
      <c r="AL256" s="387">
        <v>0</v>
      </c>
      <c r="AM256" s="392">
        <v>0</v>
      </c>
    </row>
    <row r="257" spans="15:39" ht="24.95" customHeight="1" thickBot="1" x14ac:dyDescent="0.25">
      <c r="O257" s="385"/>
      <c r="S257" s="501"/>
      <c r="T257" s="707"/>
      <c r="U257" s="163"/>
      <c r="V257" s="163"/>
      <c r="W257" s="163"/>
      <c r="X257" s="163"/>
      <c r="Y257" s="163"/>
      <c r="Z257" s="163"/>
      <c r="AA257" s="163"/>
      <c r="AB257" s="163"/>
      <c r="AC257" s="163"/>
      <c r="AD257" s="163"/>
      <c r="AE257" s="163"/>
      <c r="AF257" s="163"/>
      <c r="AG257" s="163"/>
      <c r="AH257" s="163"/>
      <c r="AI257" s="163"/>
      <c r="AJ257" s="172"/>
      <c r="AK257" s="10"/>
      <c r="AL257" s="512"/>
      <c r="AM257" s="513"/>
    </row>
    <row r="258" spans="15:39" ht="24.95" customHeight="1" thickBot="1" x14ac:dyDescent="0.25">
      <c r="S258" s="514" t="s">
        <v>366</v>
      </c>
      <c r="T258" s="711" t="s">
        <v>137</v>
      </c>
      <c r="U258" s="341">
        <f t="shared" ref="U258:AJ258" si="252">+(C10+C17+C113)-(U10+U207+U220+U232)</f>
        <v>0</v>
      </c>
      <c r="V258" s="341">
        <f t="shared" si="252"/>
        <v>0</v>
      </c>
      <c r="W258" s="341">
        <f t="shared" si="252"/>
        <v>0</v>
      </c>
      <c r="X258" s="341">
        <f t="shared" si="252"/>
        <v>0</v>
      </c>
      <c r="Y258" s="341">
        <f t="shared" si="252"/>
        <v>0</v>
      </c>
      <c r="Z258" s="341">
        <f t="shared" si="252"/>
        <v>-138681671</v>
      </c>
      <c r="AA258" s="341">
        <f t="shared" si="252"/>
        <v>-138681671</v>
      </c>
      <c r="AB258" s="341">
        <f t="shared" si="252"/>
        <v>0</v>
      </c>
      <c r="AC258" s="341">
        <f t="shared" si="252"/>
        <v>-263420166</v>
      </c>
      <c r="AD258" s="341">
        <f t="shared" si="252"/>
        <v>-263420166</v>
      </c>
      <c r="AE258" s="341">
        <f t="shared" si="252"/>
        <v>3365225904</v>
      </c>
      <c r="AF258" s="341">
        <f t="shared" si="252"/>
        <v>3334575666</v>
      </c>
      <c r="AG258" s="341">
        <f t="shared" si="252"/>
        <v>-162812733</v>
      </c>
      <c r="AH258" s="341">
        <f t="shared" si="252"/>
        <v>-3226544233</v>
      </c>
      <c r="AI258" s="341">
        <f t="shared" si="252"/>
        <v>-2598239744</v>
      </c>
      <c r="AJ258" s="515">
        <f t="shared" si="252"/>
        <v>-3608616770</v>
      </c>
      <c r="AK258" s="9"/>
      <c r="AL258" s="341">
        <v>0</v>
      </c>
      <c r="AM258" s="342">
        <v>0</v>
      </c>
    </row>
    <row r="259" spans="15:39" ht="24.95" customHeight="1" thickBot="1" x14ac:dyDescent="0.25">
      <c r="S259" s="912" t="s">
        <v>367</v>
      </c>
      <c r="T259" s="913"/>
      <c r="U259" s="125">
        <f t="shared" ref="U259:AJ259" si="253">+SUMIF($T$8:$T$256,$T$33,U8:U256)</f>
        <v>0</v>
      </c>
      <c r="V259" s="115">
        <f t="shared" si="253"/>
        <v>0</v>
      </c>
      <c r="W259" s="115">
        <f t="shared" si="253"/>
        <v>342364056</v>
      </c>
      <c r="X259" s="126">
        <f t="shared" si="253"/>
        <v>342364056</v>
      </c>
      <c r="Y259" s="125">
        <f t="shared" si="253"/>
        <v>0</v>
      </c>
      <c r="Z259" s="115">
        <f t="shared" si="253"/>
        <v>342364056</v>
      </c>
      <c r="AA259" s="126">
        <f t="shared" si="253"/>
        <v>342364056</v>
      </c>
      <c r="AB259" s="125">
        <f t="shared" si="253"/>
        <v>0</v>
      </c>
      <c r="AC259" s="115">
        <f t="shared" si="253"/>
        <v>342364056</v>
      </c>
      <c r="AD259" s="126">
        <f t="shared" si="253"/>
        <v>342364056</v>
      </c>
      <c r="AE259" s="125">
        <f t="shared" si="253"/>
        <v>0</v>
      </c>
      <c r="AF259" s="115">
        <f t="shared" si="253"/>
        <v>49299658</v>
      </c>
      <c r="AG259" s="126">
        <f t="shared" si="253"/>
        <v>49299658</v>
      </c>
      <c r="AH259" s="125">
        <f t="shared" si="253"/>
        <v>0</v>
      </c>
      <c r="AI259" s="115">
        <f t="shared" si="253"/>
        <v>0</v>
      </c>
      <c r="AJ259" s="116">
        <f t="shared" si="253"/>
        <v>293064398</v>
      </c>
      <c r="AK259" s="10"/>
      <c r="AL259" s="125">
        <f>+SUMIF(AK8:AK256,AK33,AL8:AL256)</f>
        <v>0</v>
      </c>
      <c r="AM259" s="116">
        <f>+SUMIF(AL8:AL256,AL33,AM8:AM256)</f>
        <v>3577613192</v>
      </c>
    </row>
  </sheetData>
  <sheetProtection password="E4F6" sheet="1" objects="1" scenarios="1" formatCells="0" formatColumns="0"/>
  <mergeCells count="47">
    <mergeCell ref="S259:T259"/>
    <mergeCell ref="T3:T4"/>
    <mergeCell ref="L3:M4"/>
    <mergeCell ref="C5:F5"/>
    <mergeCell ref="G5:I5"/>
    <mergeCell ref="J5:L5"/>
    <mergeCell ref="M5:N5"/>
    <mergeCell ref="D3:E4"/>
    <mergeCell ref="T5:T6"/>
    <mergeCell ref="Q3:Q5"/>
    <mergeCell ref="P3:P5"/>
    <mergeCell ref="BM2:BO2"/>
    <mergeCell ref="BM3:BO3"/>
    <mergeCell ref="AL3:AL5"/>
    <mergeCell ref="AM3:AM5"/>
    <mergeCell ref="BB2:BC2"/>
    <mergeCell ref="BB3:BC3"/>
    <mergeCell ref="AL2:AM2"/>
    <mergeCell ref="BG2:BI2"/>
    <mergeCell ref="BG3:BI3"/>
    <mergeCell ref="BM5:BM6"/>
    <mergeCell ref="AW19:AZ19"/>
    <mergeCell ref="AW4:AZ4"/>
    <mergeCell ref="BH5:BK5"/>
    <mergeCell ref="BG5:BG6"/>
    <mergeCell ref="A1:B1"/>
    <mergeCell ref="K1:N1"/>
    <mergeCell ref="F3:K4"/>
    <mergeCell ref="B3:B4"/>
    <mergeCell ref="N3:N4"/>
    <mergeCell ref="D2:E2"/>
    <mergeCell ref="L2:M2"/>
    <mergeCell ref="A5:A6"/>
    <mergeCell ref="B5:B6"/>
    <mergeCell ref="S5:S6"/>
    <mergeCell ref="V2:X2"/>
    <mergeCell ref="P2:Q2"/>
    <mergeCell ref="U1:X1"/>
    <mergeCell ref="AB5:AD5"/>
    <mergeCell ref="AJ3:AJ4"/>
    <mergeCell ref="V3:X4"/>
    <mergeCell ref="Y3:AG4"/>
    <mergeCell ref="AH3:AI4"/>
    <mergeCell ref="AH2:AI2"/>
    <mergeCell ref="Y2:AG2"/>
    <mergeCell ref="AH5:AJ5"/>
    <mergeCell ref="AE5:AG5"/>
  </mergeCells>
  <phoneticPr fontId="1" type="noConversion"/>
  <conditionalFormatting sqref="B5:B7">
    <cfRule type="expression" dxfId="11" priority="1" stopIfTrue="1">
      <formula>$B$5="OJO - RECUERDE RECAUDAR LA DISPONIBLIDAD INICIAL EN ESTE TRIMESTRE, haga clik en H9 para ampliar la información"</formula>
    </cfRule>
  </conditionalFormatting>
  <dataValidations disablePrompts="1" count="5">
    <dataValidation allowBlank="1" showInputMessage="1" showErrorMessage="1" promptTitle="MANEJO DE DISPONIBILIDAD INCIAL" prompt="Al realizar el estimativo del presupuesto, se usó para la disponibilidad inicial un valor tentativo. Ese valor debe ser adicionado o modificado en este trimestre para dejar el valor real que quedó como disponible efectivamente al finalizar la vigencia." sqref="B10:B11"/>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P15:Q15 C15 A15 H15"/>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Las actividades de Promoción y Prevención se manejaran en su respectivo régimen." sqref="A43:C44 P43:Q44 K43:K44 H43:H44"/>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BS261"/>
  <sheetViews>
    <sheetView showGridLines="0" topLeftCell="AD241" workbookViewId="0">
      <selection activeCell="AM248" sqref="AM248"/>
    </sheetView>
  </sheetViews>
  <sheetFormatPr baseColWidth="10" defaultColWidth="0" defaultRowHeight="24.95" customHeight="1" x14ac:dyDescent="0.2"/>
  <cols>
    <col min="1" max="1" width="12.7109375" style="768" customWidth="1"/>
    <col min="2" max="2" width="51" style="670" customWidth="1"/>
    <col min="3" max="3" width="14.425781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7109375" style="712" customWidth="1"/>
    <col min="20" max="20" width="53.42578125" style="686" customWidth="1"/>
    <col min="21" max="21" width="16.85546875" style="275" customWidth="1"/>
    <col min="22" max="23" width="14.7109375" style="275" customWidth="1"/>
    <col min="24" max="24" width="16" style="275" customWidth="1"/>
    <col min="25" max="25" width="18.140625" style="275" customWidth="1"/>
    <col min="26" max="27" width="14.7109375" style="275" customWidth="1"/>
    <col min="28" max="28" width="17.5703125" style="275" customWidth="1"/>
    <col min="29" max="30" width="14.7109375" style="275" customWidth="1"/>
    <col min="31" max="31" width="16.7109375" style="275" customWidth="1"/>
    <col min="32"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47.425781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764" t="str">
        <f>IF($F$8-$X$8=0," ","OJO: PRESUPUESTO DESEQUILIBRADO")</f>
        <v xml:space="preserve"> </v>
      </c>
      <c r="B1" s="671"/>
      <c r="C1" s="934" t="str">
        <f>IF(SUM(C12:C15)=0,"",IF(SUM(H12:H15)=SUM(C12:C15),"OJO - EN LA DISPONIBILIDAD INICIAL, NI EL RECONOCIMIENTO NI EL RECAUDO PUEDEN SER IGUALES AL PRESUPUESTO INICIAL, haga click en la celda B8 para mas información",""))</f>
        <v/>
      </c>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7.25"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2</v>
      </c>
      <c r="AP2" s="283" t="s">
        <v>8</v>
      </c>
      <c r="AQ2" s="284"/>
      <c r="AR2" s="3"/>
      <c r="AS2" s="3"/>
      <c r="AT2" s="3"/>
      <c r="AU2" s="3"/>
      <c r="AV2" s="3"/>
      <c r="AW2" s="3"/>
      <c r="AX2" s="3"/>
      <c r="AY2" s="3"/>
      <c r="AZ2" s="4"/>
      <c r="BB2" s="899" t="s">
        <v>404</v>
      </c>
      <c r="BC2" s="901"/>
      <c r="BD2" s="51" t="s">
        <v>392</v>
      </c>
      <c r="BE2" s="281" t="str">
        <f>+L3</f>
        <v>FEBRERO</v>
      </c>
      <c r="BF2" s="276"/>
      <c r="BG2" s="899" t="s">
        <v>405</v>
      </c>
      <c r="BH2" s="901"/>
      <c r="BI2" s="901"/>
      <c r="BJ2" s="51" t="s">
        <v>392</v>
      </c>
      <c r="BK2" s="281" t="str">
        <f>+BE2</f>
        <v>FEBRERO</v>
      </c>
      <c r="BM2" s="899" t="s">
        <v>405</v>
      </c>
      <c r="BN2" s="901"/>
      <c r="BO2" s="901"/>
      <c r="BP2" s="51" t="s">
        <v>392</v>
      </c>
      <c r="BQ2" s="281" t="str">
        <f>+BK2</f>
        <v>FEBRERO</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368</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FEBRERO</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48"/>
      <c r="BJ4" s="48"/>
      <c r="BK4" s="296"/>
      <c r="BL4" s="8"/>
      <c r="BM4" s="294"/>
      <c r="BN4" s="297"/>
      <c r="BO4" s="297"/>
      <c r="BP4" s="49"/>
      <c r="BQ4" s="298"/>
    </row>
    <row r="5" spans="1:69" ht="43.5" customHeight="1" thickBot="1" x14ac:dyDescent="0.3">
      <c r="A5" s="935" t="s">
        <v>19</v>
      </c>
      <c r="B5" s="937" t="str">
        <f>IF(SUM(C8:N125)=0,"DESCRIPCIÓN",IF(I10&gt;0,"DESCRIPCIÓN",IF(MARZO!I10=0,"OJO - RECUERDE RECAUDAR LA DISPONIBLIDAD INICIAL EN ESTE TRIMESTRE, haga clik en H9 para ampliar la información","")))</f>
        <v>DESCRIPCIÓN</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878" t="s">
        <v>34</v>
      </c>
      <c r="BH5" s="875" t="str">
        <f>+CONCATENATE("ACUMULADO ",N3)</f>
        <v>ACUMULADO 2015</v>
      </c>
      <c r="BI5" s="876"/>
      <c r="BJ5" s="876" t="str">
        <f>+BG2</f>
        <v>INFORMACION DE GASTOS CONSOLIDAR INFORME DECRETO 2193</v>
      </c>
      <c r="BK5" s="877"/>
      <c r="BM5" s="910" t="s">
        <v>34</v>
      </c>
      <c r="BN5" s="311" t="str">
        <f>+CONCATENATE("ACUMULADO ",BQ3)</f>
        <v>ACUMULADO 2015</v>
      </c>
      <c r="BO5" s="312"/>
      <c r="BP5" s="313"/>
      <c r="BQ5" s="314"/>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FEBRERO</v>
      </c>
      <c r="AS6" s="319" t="str">
        <f>AR6</f>
        <v>FEBRERO</v>
      </c>
      <c r="AT6" s="319" t="str">
        <f>AR6</f>
        <v>FEBRERO</v>
      </c>
      <c r="AU6" s="319" t="s">
        <v>16</v>
      </c>
      <c r="AV6" s="319" t="s">
        <v>31</v>
      </c>
      <c r="AW6" s="319"/>
      <c r="AX6" s="319"/>
      <c r="AY6" s="319" t="s">
        <v>16</v>
      </c>
      <c r="AZ6" s="320" t="s">
        <v>31</v>
      </c>
      <c r="BB6" s="321"/>
      <c r="BC6" s="322" t="s">
        <v>47</v>
      </c>
      <c r="BD6" s="323" t="s">
        <v>48</v>
      </c>
      <c r="BE6" s="324" t="s">
        <v>49</v>
      </c>
      <c r="BF6" s="325"/>
      <c r="BG6" s="879"/>
      <c r="BH6" s="326" t="s">
        <v>47</v>
      </c>
      <c r="BI6" s="326" t="s">
        <v>50</v>
      </c>
      <c r="BJ6" s="326" t="s">
        <v>51</v>
      </c>
      <c r="BK6" s="327" t="s">
        <v>52</v>
      </c>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319917876</v>
      </c>
      <c r="AS7" s="330">
        <f>L22</f>
        <v>134166491</v>
      </c>
      <c r="AT7" s="13"/>
      <c r="AU7" s="331">
        <f t="shared" ref="AU7:AU17" si="0">IF(AQ7=0," ",AR7/AQ7)</f>
        <v>0.18190016490202066</v>
      </c>
      <c r="AV7" s="331">
        <f t="shared" ref="AV7:AV17" si="1">IF(AQ7=0," ",AS7/AQ7)</f>
        <v>7.6284911435288066E-2</v>
      </c>
      <c r="AW7" s="330">
        <f>I23/AO$2*12+I24</f>
        <v>1248674801</v>
      </c>
      <c r="AX7" s="330">
        <f>L23/AO$2*12+L24</f>
        <v>134166491</v>
      </c>
      <c r="AY7" s="330">
        <f t="shared" ref="AY7:AY16" si="2">AW7-AQ7</f>
        <v>-510080482</v>
      </c>
      <c r="AZ7" s="332">
        <f t="shared" ref="AZ7:AZ16" si="3">AX7-AQ7</f>
        <v>-1624588792</v>
      </c>
      <c r="BB7" s="333" t="s">
        <v>55</v>
      </c>
      <c r="BC7" s="54">
        <f>F10</f>
        <v>90342061</v>
      </c>
      <c r="BD7" s="55">
        <f>I10</f>
        <v>90342061</v>
      </c>
      <c r="BE7" s="56">
        <f>K10</f>
        <v>0</v>
      </c>
      <c r="BF7" s="57"/>
      <c r="BG7" s="58" t="s">
        <v>56</v>
      </c>
      <c r="BH7" s="59">
        <f>+SUM(BH8:BH11)</f>
        <v>2694533912</v>
      </c>
      <c r="BI7" s="59">
        <f>+SUM(BI8:BI11)</f>
        <v>664176882</v>
      </c>
      <c r="BJ7" s="59">
        <f>+SUM(BJ8:BJ11)</f>
        <v>395623674</v>
      </c>
      <c r="BK7" s="60">
        <f>+SUM(BK8:BK11)</f>
        <v>137638126</v>
      </c>
      <c r="BM7" s="61" t="s">
        <v>56</v>
      </c>
      <c r="BN7" s="62">
        <f>BN8+BN15+BN22</f>
        <v>2694533912</v>
      </c>
      <c r="BO7" s="63">
        <f>BO8+BO15+BO22</f>
        <v>664176882</v>
      </c>
      <c r="BP7" s="63">
        <f>BP8+BP15+BP22</f>
        <v>395623674</v>
      </c>
      <c r="BQ7" s="64">
        <f>BQ8+BQ15+BQ22</f>
        <v>137638126</v>
      </c>
    </row>
    <row r="8" spans="1:69" s="9" customFormat="1" ht="24.95" customHeight="1" thickBot="1" x14ac:dyDescent="0.3">
      <c r="A8" s="744">
        <f>+IF(ENERO!A8=0,"",ENERO!A8)</f>
        <v>1</v>
      </c>
      <c r="B8" s="643" t="str">
        <f>+IF(ENERO!B8=0,"",ENERO!B8)</f>
        <v>INGRESOS</v>
      </c>
      <c r="C8" s="334">
        <f>C10+C17+C113</f>
        <v>3135701014</v>
      </c>
      <c r="D8" s="334">
        <f t="shared" ref="D8:Q8" si="4">D10+D17+D113</f>
        <v>0</v>
      </c>
      <c r="E8" s="334">
        <f t="shared" si="4"/>
        <v>653009162</v>
      </c>
      <c r="F8" s="334">
        <f t="shared" si="4"/>
        <v>3788710176</v>
      </c>
      <c r="G8" s="334">
        <f t="shared" si="4"/>
        <v>406203599</v>
      </c>
      <c r="H8" s="334">
        <f t="shared" si="4"/>
        <v>298955464</v>
      </c>
      <c r="I8" s="334">
        <f t="shared" si="4"/>
        <v>705159063</v>
      </c>
      <c r="J8" s="334">
        <f t="shared" si="4"/>
        <v>274041104</v>
      </c>
      <c r="K8" s="334">
        <f t="shared" si="4"/>
        <v>171268572</v>
      </c>
      <c r="L8" s="334">
        <f t="shared" si="4"/>
        <v>445309676</v>
      </c>
      <c r="M8" s="334">
        <f t="shared" si="4"/>
        <v>3083551113</v>
      </c>
      <c r="N8" s="334">
        <f t="shared" si="4"/>
        <v>3343400500</v>
      </c>
      <c r="O8" s="336"/>
      <c r="P8" s="337">
        <f t="shared" si="4"/>
        <v>0</v>
      </c>
      <c r="Q8" s="335">
        <f t="shared" si="4"/>
        <v>17280673</v>
      </c>
      <c r="S8" s="715" t="str">
        <f>+IF(ENERO!S8=0,"",ENERO!S8)</f>
        <v/>
      </c>
      <c r="T8" s="687" t="str">
        <f>+IF(ENERO!T8=0,"",ENERO!T8)</f>
        <v>GASTOS</v>
      </c>
      <c r="U8" s="338">
        <f t="shared" ref="U8:AM8" si="5">U10+U207+U220+U232</f>
        <v>3135701014</v>
      </c>
      <c r="V8" s="339">
        <f t="shared" si="5"/>
        <v>0</v>
      </c>
      <c r="W8" s="339">
        <f t="shared" si="5"/>
        <v>653009162</v>
      </c>
      <c r="X8" s="340">
        <f t="shared" si="5"/>
        <v>3788710176</v>
      </c>
      <c r="Y8" s="341">
        <f t="shared" si="5"/>
        <v>544885270</v>
      </c>
      <c r="Z8" s="339">
        <f t="shared" si="5"/>
        <v>539501682</v>
      </c>
      <c r="AA8" s="340">
        <f t="shared" si="5"/>
        <v>1084386952</v>
      </c>
      <c r="AB8" s="341">
        <f t="shared" si="5"/>
        <v>537461270</v>
      </c>
      <c r="AC8" s="339">
        <f t="shared" si="5"/>
        <v>255103154</v>
      </c>
      <c r="AD8" s="340">
        <f t="shared" si="5"/>
        <v>792564424</v>
      </c>
      <c r="AE8" s="341">
        <f t="shared" si="5"/>
        <v>162812733</v>
      </c>
      <c r="AF8" s="339">
        <f t="shared" si="5"/>
        <v>280916322</v>
      </c>
      <c r="AG8" s="340">
        <f t="shared" si="5"/>
        <v>443729055</v>
      </c>
      <c r="AH8" s="341">
        <f t="shared" si="5"/>
        <v>2704323224</v>
      </c>
      <c r="AI8" s="339">
        <f t="shared" si="5"/>
        <v>2996145752</v>
      </c>
      <c r="AJ8" s="342">
        <f t="shared" si="5"/>
        <v>3344981121</v>
      </c>
      <c r="AL8" s="343">
        <f t="shared" si="5"/>
        <v>0</v>
      </c>
      <c r="AM8" s="344">
        <f t="shared" si="5"/>
        <v>17280673</v>
      </c>
      <c r="AO8" s="21"/>
      <c r="AP8" s="11" t="s">
        <v>58</v>
      </c>
      <c r="AQ8" s="675">
        <f>F25</f>
        <v>945539330</v>
      </c>
      <c r="AR8" s="12">
        <f>I25</f>
        <v>160072972</v>
      </c>
      <c r="AS8" s="12">
        <f>L25</f>
        <v>107879765</v>
      </c>
      <c r="AT8" s="13"/>
      <c r="AU8" s="345">
        <f t="shared" si="0"/>
        <v>0.1692927696619452</v>
      </c>
      <c r="AV8" s="345">
        <f t="shared" si="1"/>
        <v>0.11409336616383794</v>
      </c>
      <c r="AW8" s="12">
        <f>I26/AO$2*12+I27</f>
        <v>810616077</v>
      </c>
      <c r="AX8" s="12">
        <f>L26/AO$2*12+L27</f>
        <v>497456835</v>
      </c>
      <c r="AY8" s="12">
        <f t="shared" si="2"/>
        <v>-134923253</v>
      </c>
      <c r="AZ8" s="346">
        <f t="shared" si="3"/>
        <v>-448082495</v>
      </c>
      <c r="BB8" s="143" t="s">
        <v>59</v>
      </c>
      <c r="BC8" s="65">
        <f>BC9+BC19</f>
        <v>3120322541</v>
      </c>
      <c r="BD8" s="66">
        <f>BD9+BD19</f>
        <v>428596252</v>
      </c>
      <c r="BE8" s="67">
        <f>BE9+BE19</f>
        <v>83312069</v>
      </c>
      <c r="BF8" s="57"/>
      <c r="BG8" s="68" t="s">
        <v>60</v>
      </c>
      <c r="BH8" s="69">
        <f>BN9+BN13</f>
        <v>1648143224</v>
      </c>
      <c r="BI8" s="69">
        <f>BO9+BO13</f>
        <v>237737503</v>
      </c>
      <c r="BJ8" s="69">
        <f>BP9+BP13</f>
        <v>237737503</v>
      </c>
      <c r="BK8" s="70">
        <f>BQ9+BQ13</f>
        <v>104514747</v>
      </c>
      <c r="BM8" s="71" t="s">
        <v>61</v>
      </c>
      <c r="BN8" s="72">
        <f>BN9+BN14+BN13</f>
        <v>2014472741</v>
      </c>
      <c r="BO8" s="69">
        <f>BO9+BO14+BO13</f>
        <v>445876003</v>
      </c>
      <c r="BP8" s="69">
        <f>BP9+BP14+BP13</f>
        <v>267872003</v>
      </c>
      <c r="BQ8" s="70">
        <f>BQ9+BQ14+BQ13</f>
        <v>119360741</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675">
        <f>F28+F75</f>
        <v>350726828</v>
      </c>
      <c r="AR9" s="12">
        <f>I28+I75</f>
        <v>49631294</v>
      </c>
      <c r="AS9" s="12">
        <f>L28+L75</f>
        <v>49631294</v>
      </c>
      <c r="AT9" s="13"/>
      <c r="AU9" s="353">
        <f t="shared" si="0"/>
        <v>0.14150983055108632</v>
      </c>
      <c r="AV9" s="353">
        <f t="shared" si="1"/>
        <v>0.14150983055108632</v>
      </c>
      <c r="AW9" s="354">
        <f>(I30+I33+I36+I76)/AO$2*12+I31+I34+I37+I38+I39+I40+I77</f>
        <v>49631294</v>
      </c>
      <c r="AX9" s="354">
        <f>(L30+L33+L36+L76)/AO$2*12+L31+L34+L37+L38+L39+L40+L77</f>
        <v>49631294</v>
      </c>
      <c r="AY9" s="354">
        <f t="shared" si="2"/>
        <v>-301095534</v>
      </c>
      <c r="AZ9" s="355">
        <f t="shared" si="3"/>
        <v>-301095534</v>
      </c>
      <c r="BB9" s="356" t="s">
        <v>437</v>
      </c>
      <c r="BC9" s="73">
        <f>BC10+BC18</f>
        <v>3013140862</v>
      </c>
      <c r="BD9" s="74">
        <f>BD10+BD18</f>
        <v>409659020</v>
      </c>
      <c r="BE9" s="75">
        <f>BE10+BE18</f>
        <v>74853961</v>
      </c>
      <c r="BF9" s="76"/>
      <c r="BG9" s="77" t="s">
        <v>64</v>
      </c>
      <c r="BH9" s="78">
        <f t="shared" ref="BH9:BK10" si="6">BN14</f>
        <v>366329517</v>
      </c>
      <c r="BI9" s="78">
        <f t="shared" si="6"/>
        <v>208138500</v>
      </c>
      <c r="BJ9" s="78">
        <f t="shared" si="6"/>
        <v>30134500</v>
      </c>
      <c r="BK9" s="79">
        <f t="shared" si="6"/>
        <v>14845994</v>
      </c>
      <c r="BM9" s="140" t="s">
        <v>65</v>
      </c>
      <c r="BN9" s="80">
        <f>SUM(BN10:BN12)</f>
        <v>1208004402</v>
      </c>
      <c r="BO9" s="78">
        <f>SUM(BO10:BO12)</f>
        <v>181309637</v>
      </c>
      <c r="BP9" s="78">
        <f>SUM(BP10:BP12)</f>
        <v>181309637</v>
      </c>
      <c r="BQ9" s="79">
        <f>SUM(BQ10:BQ12)</f>
        <v>76235562</v>
      </c>
    </row>
    <row r="10" spans="1:69" s="9" customFormat="1" ht="24.95" customHeight="1" x14ac:dyDescent="0.2">
      <c r="A10" s="745">
        <f>+IF(ENERO!A10=0,"",ENERO!A10)</f>
        <v>10</v>
      </c>
      <c r="B10" s="645" t="str">
        <f>+IF(ENERO!B10=0,"",ENERO!B10)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+IF(ENERO!S10=0,"",ENERO!S10)</f>
        <v>A</v>
      </c>
      <c r="T10" s="733" t="str">
        <f>+IF(ENERO!T10=0,"",ENERO!T10)</f>
        <v>GASTOS DE FUNCIONAMIENTO</v>
      </c>
      <c r="U10" s="364">
        <f t="shared" ref="U10:AJ10" si="8">U12+U110+U170+U193</f>
        <v>2832701014</v>
      </c>
      <c r="V10" s="362">
        <f t="shared" si="8"/>
        <v>45000000</v>
      </c>
      <c r="W10" s="362">
        <f t="shared" si="8"/>
        <v>475009162</v>
      </c>
      <c r="X10" s="363">
        <f t="shared" si="8"/>
        <v>3352710176</v>
      </c>
      <c r="Y10" s="364">
        <f t="shared" si="8"/>
        <v>544885270</v>
      </c>
      <c r="Z10" s="362">
        <f t="shared" si="8"/>
        <v>539501682</v>
      </c>
      <c r="AA10" s="365">
        <f t="shared" si="8"/>
        <v>1084386952</v>
      </c>
      <c r="AB10" s="364">
        <f t="shared" si="8"/>
        <v>537461270</v>
      </c>
      <c r="AC10" s="362">
        <f t="shared" si="8"/>
        <v>255103154</v>
      </c>
      <c r="AD10" s="363">
        <f t="shared" si="8"/>
        <v>792564424</v>
      </c>
      <c r="AE10" s="364">
        <f t="shared" si="8"/>
        <v>162812733</v>
      </c>
      <c r="AF10" s="362">
        <f t="shared" si="8"/>
        <v>280916322</v>
      </c>
      <c r="AG10" s="363">
        <f t="shared" si="8"/>
        <v>443729055</v>
      </c>
      <c r="AH10" s="364">
        <f t="shared" si="8"/>
        <v>2268323224</v>
      </c>
      <c r="AI10" s="362">
        <f t="shared" si="8"/>
        <v>2560145752</v>
      </c>
      <c r="AJ10" s="363">
        <f t="shared" si="8"/>
        <v>2908981121</v>
      </c>
      <c r="AL10" s="366">
        <f>AL12+AL110+AL170+AL193</f>
        <v>45000000</v>
      </c>
      <c r="AM10" s="367">
        <f>AM12+AM110+AM170+AM193</f>
        <v>17280673</v>
      </c>
      <c r="AO10" s="352"/>
      <c r="AP10" s="11" t="s">
        <v>67</v>
      </c>
      <c r="AQ10" s="675">
        <f>+F42</f>
        <v>111280673</v>
      </c>
      <c r="AR10" s="12">
        <f>I87</f>
        <v>0</v>
      </c>
      <c r="AS10" s="12">
        <f>L87</f>
        <v>0</v>
      </c>
      <c r="AT10" s="13"/>
      <c r="AU10" s="353">
        <f t="shared" si="0"/>
        <v>0</v>
      </c>
      <c r="AV10" s="353">
        <f t="shared" si="1"/>
        <v>0</v>
      </c>
      <c r="AW10" s="354">
        <f>I43/AO$2*12+I44</f>
        <v>0</v>
      </c>
      <c r="AX10" s="354">
        <f>L43/AO$2*12+L44</f>
        <v>0</v>
      </c>
      <c r="AY10" s="354">
        <f t="shared" si="2"/>
        <v>-111280673</v>
      </c>
      <c r="AZ10" s="355">
        <f t="shared" si="3"/>
        <v>-111280673</v>
      </c>
      <c r="BB10" s="368" t="s">
        <v>438</v>
      </c>
      <c r="BC10" s="73">
        <f>BC11+BC12+BC13+BC14+BC16+BC17+BC15</f>
        <v>3013140862</v>
      </c>
      <c r="BD10" s="74">
        <f>BD11+BD12+BD13+BD14+BD16+BD17+BD15</f>
        <v>409659020</v>
      </c>
      <c r="BE10" s="75">
        <f>BE11+BE12+BE13+BE14+BE16+BE17+BE15</f>
        <v>74853961</v>
      </c>
      <c r="BF10" s="76"/>
      <c r="BG10" s="68" t="s">
        <v>68</v>
      </c>
      <c r="BH10" s="81">
        <f t="shared" si="6"/>
        <v>614488887</v>
      </c>
      <c r="BI10" s="81">
        <f t="shared" si="6"/>
        <v>208076200</v>
      </c>
      <c r="BJ10" s="81">
        <f t="shared" si="6"/>
        <v>117526992</v>
      </c>
      <c r="BK10" s="82">
        <f t="shared" si="6"/>
        <v>18277385</v>
      </c>
      <c r="BM10" s="137" t="s">
        <v>450</v>
      </c>
      <c r="BN10" s="83">
        <f>X17+X66</f>
        <v>945471180</v>
      </c>
      <c r="BO10" s="81">
        <f>AA17+AA66</f>
        <v>157440932</v>
      </c>
      <c r="BP10" s="81">
        <f>AD17+AD66</f>
        <v>157440932</v>
      </c>
      <c r="BQ10" s="82">
        <f>AF17+AF66</f>
        <v>67109219</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370"/>
      <c r="V11" s="164"/>
      <c r="W11" s="164"/>
      <c r="X11" s="169"/>
      <c r="Y11" s="370"/>
      <c r="Z11" s="164"/>
      <c r="AA11" s="164"/>
      <c r="AB11" s="370"/>
      <c r="AC11" s="164"/>
      <c r="AD11" s="169"/>
      <c r="AE11" s="370"/>
      <c r="AF11" s="164"/>
      <c r="AG11" s="169"/>
      <c r="AH11" s="370"/>
      <c r="AI11" s="164"/>
      <c r="AJ11" s="169"/>
      <c r="AL11" s="371"/>
      <c r="AM11" s="372"/>
      <c r="AO11" s="373" t="s">
        <v>13</v>
      </c>
      <c r="AP11" s="535" t="s">
        <v>559</v>
      </c>
      <c r="AQ11" s="675">
        <f>F88</f>
        <v>0</v>
      </c>
      <c r="AR11" s="12">
        <f>I88</f>
        <v>0</v>
      </c>
      <c r="AS11" s="12">
        <f>L88</f>
        <v>0</v>
      </c>
      <c r="AT11" s="374">
        <f>AO2/12</f>
        <v>0.16666666666666666</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130108621</v>
      </c>
      <c r="BE11" s="75">
        <f>K26</f>
        <v>39525164</v>
      </c>
      <c r="BF11" s="76"/>
      <c r="BG11" s="68" t="s">
        <v>69</v>
      </c>
      <c r="BH11" s="84">
        <f>BN22</f>
        <v>65572284</v>
      </c>
      <c r="BI11" s="84">
        <f>BO22</f>
        <v>10224679</v>
      </c>
      <c r="BJ11" s="84">
        <f>BP22</f>
        <v>10224679</v>
      </c>
      <c r="BK11" s="85">
        <f>BQ22</f>
        <v>0</v>
      </c>
      <c r="BM11" s="138" t="s">
        <v>451</v>
      </c>
      <c r="BN11" s="86">
        <f>X18+X67</f>
        <v>90039980</v>
      </c>
      <c r="BO11" s="84">
        <f>AA18+AA67</f>
        <v>23576705</v>
      </c>
      <c r="BP11" s="84">
        <f>AD18+AD67</f>
        <v>23576705</v>
      </c>
      <c r="BQ11" s="85">
        <f>AF18+AF67</f>
        <v>9012293</v>
      </c>
    </row>
    <row r="12" spans="1:69" s="9" customFormat="1" ht="24.95" customHeight="1" x14ac:dyDescent="0.2">
      <c r="A12" s="618">
        <f>+IF(ENERO!A12=0,"",ENERO!A12)</f>
        <v>1001</v>
      </c>
      <c r="B12" s="646" t="str">
        <f>+IF(ENERO!B12=0,"",ENERO!B12)</f>
        <v>Bienestar Social (Caja, Bancos, Inversiones Tempor.) a Dic-31-2014</v>
      </c>
      <c r="C12" s="375">
        <f>+ENERO!C12</f>
        <v>0</v>
      </c>
      <c r="D12" s="376">
        <f>ENERO!D12+FEBRERO!P12</f>
        <v>0</v>
      </c>
      <c r="E12" s="376">
        <f>ENERO!E12+FEBRERO!Q12</f>
        <v>81553</v>
      </c>
      <c r="F12" s="146">
        <f>SUM(C12:E12)</f>
        <v>81553</v>
      </c>
      <c r="G12" s="222">
        <f>ENERO!I12</f>
        <v>81553</v>
      </c>
      <c r="H12" s="377">
        <v>0</v>
      </c>
      <c r="I12" s="146">
        <f>SUM(G12:H12)</f>
        <v>81553</v>
      </c>
      <c r="J12" s="222">
        <f>ENERO!L12</f>
        <v>81553</v>
      </c>
      <c r="K12" s="134">
        <f>+H12</f>
        <v>0</v>
      </c>
      <c r="L12" s="146">
        <f>SUM(J12:K12)</f>
        <v>81553</v>
      </c>
      <c r="M12" s="222">
        <f>F12-I12</f>
        <v>0</v>
      </c>
      <c r="N12" s="146">
        <f>F12-L12</f>
        <v>0</v>
      </c>
      <c r="O12" s="297"/>
      <c r="P12" s="375">
        <v>0</v>
      </c>
      <c r="Q12" s="378">
        <v>0</v>
      </c>
      <c r="S12" s="716">
        <f>+IF(ENERO!S12=0,"",ENERO!S12)</f>
        <v>1000000</v>
      </c>
      <c r="T12" s="734" t="str">
        <f>+IF(ENERO!T12=0,"",ENERO!T12)</f>
        <v>GASTOS DE PERSONAL</v>
      </c>
      <c r="U12" s="366">
        <f t="shared" ref="U12:AJ12" si="9">U14+U63</f>
        <v>1994472741</v>
      </c>
      <c r="V12" s="380">
        <f t="shared" si="9"/>
        <v>20000000</v>
      </c>
      <c r="W12" s="380">
        <f t="shared" si="9"/>
        <v>139312300</v>
      </c>
      <c r="X12" s="367">
        <f t="shared" si="9"/>
        <v>2153785041</v>
      </c>
      <c r="Y12" s="366">
        <f t="shared" si="9"/>
        <v>269299891</v>
      </c>
      <c r="Z12" s="380">
        <f t="shared" si="9"/>
        <v>315888412</v>
      </c>
      <c r="AA12" s="381">
        <f t="shared" si="9"/>
        <v>585188303</v>
      </c>
      <c r="AB12" s="366">
        <f t="shared" si="9"/>
        <v>264843891</v>
      </c>
      <c r="AC12" s="380">
        <f t="shared" si="9"/>
        <v>142340412</v>
      </c>
      <c r="AD12" s="367">
        <f t="shared" si="9"/>
        <v>407184303</v>
      </c>
      <c r="AE12" s="366">
        <f t="shared" si="9"/>
        <v>119315933</v>
      </c>
      <c r="AF12" s="380">
        <f t="shared" si="9"/>
        <v>219302733</v>
      </c>
      <c r="AG12" s="367">
        <f t="shared" si="9"/>
        <v>338618666</v>
      </c>
      <c r="AH12" s="366">
        <f t="shared" si="9"/>
        <v>1568596738</v>
      </c>
      <c r="AI12" s="380">
        <f t="shared" si="9"/>
        <v>1746600738</v>
      </c>
      <c r="AJ12" s="367">
        <f t="shared" si="9"/>
        <v>1815166375</v>
      </c>
      <c r="AK12" s="10"/>
      <c r="AL12" s="382">
        <f>AL14+AL63</f>
        <v>20000000</v>
      </c>
      <c r="AM12" s="383">
        <f>AM14+AM63</f>
        <v>0</v>
      </c>
      <c r="AO12" s="373"/>
      <c r="AP12" s="535" t="s">
        <v>560</v>
      </c>
      <c r="AQ12" s="675">
        <f>F89</f>
        <v>50000000</v>
      </c>
      <c r="AR12" s="12">
        <f>I89</f>
        <v>0</v>
      </c>
      <c r="AS12" s="12">
        <f>L89</f>
        <v>0</v>
      </c>
      <c r="AT12" s="13"/>
      <c r="AU12" s="353">
        <f t="shared" si="0"/>
        <v>0</v>
      </c>
      <c r="AV12" s="353">
        <f t="shared" si="1"/>
        <v>0</v>
      </c>
      <c r="AW12" s="354">
        <f>I89</f>
        <v>0</v>
      </c>
      <c r="AX12" s="354">
        <f>L89</f>
        <v>0</v>
      </c>
      <c r="AY12" s="354">
        <f t="shared" si="2"/>
        <v>-50000000</v>
      </c>
      <c r="AZ12" s="355">
        <f t="shared" si="3"/>
        <v>-50000000</v>
      </c>
      <c r="BB12" s="368" t="s">
        <v>440</v>
      </c>
      <c r="BC12" s="73">
        <f>F23</f>
        <v>1323143662</v>
      </c>
      <c r="BD12" s="74">
        <f>I23</f>
        <v>185751385</v>
      </c>
      <c r="BE12" s="75">
        <f>K23</f>
        <v>0</v>
      </c>
      <c r="BF12" s="76"/>
      <c r="BG12" s="384" t="s">
        <v>395</v>
      </c>
      <c r="BH12" s="84">
        <f>BN25</f>
        <v>315812208</v>
      </c>
      <c r="BI12" s="15">
        <f>BO25</f>
        <v>79719794</v>
      </c>
      <c r="BJ12" s="84">
        <f>BP25</f>
        <v>54576694</v>
      </c>
      <c r="BK12" s="85">
        <f>BQ25</f>
        <v>2877500</v>
      </c>
      <c r="BM12" s="139" t="s">
        <v>452</v>
      </c>
      <c r="BN12" s="86">
        <f>X16+X65-X81-X33-BN10-BN11</f>
        <v>172493242</v>
      </c>
      <c r="BO12" s="84">
        <f>AA16+AA65-AA81-AA33-BO10-BO11</f>
        <v>292000</v>
      </c>
      <c r="BP12" s="84">
        <f>AD16+AD65-AD81-AD33-BP10-BP11</f>
        <v>292000</v>
      </c>
      <c r="BQ12" s="85">
        <f>AF16+AF65-AF81-AF33-BQ10-BQ11</f>
        <v>114050</v>
      </c>
    </row>
    <row r="13" spans="1:69" s="9" customFormat="1" ht="24.95" customHeight="1" x14ac:dyDescent="0.25">
      <c r="A13" s="618">
        <f>+IF(ENERO!A13=0,"",ENERO!A13)</f>
        <v>1002</v>
      </c>
      <c r="B13" s="646" t="str">
        <f>+IF(ENERO!B13=0,"",ENERO!B13)</f>
        <v>Fondo Vivienda (Caja, Bancos, Inversiones Tempor.) a Dic-31-2014</v>
      </c>
      <c r="C13" s="375">
        <f>+ENERO!C13</f>
        <v>0</v>
      </c>
      <c r="D13" s="376">
        <f>ENERO!D13+FEBRERO!P13</f>
        <v>0</v>
      </c>
      <c r="E13" s="376">
        <f>ENERO!E13+FEBRERO!Q13</f>
        <v>0</v>
      </c>
      <c r="F13" s="146">
        <f>SUM(C13:E13)</f>
        <v>0</v>
      </c>
      <c r="G13" s="222">
        <f>ENERO!I13</f>
        <v>0</v>
      </c>
      <c r="H13" s="377">
        <v>0</v>
      </c>
      <c r="I13" s="146">
        <f>SUM(G13:H13)</f>
        <v>0</v>
      </c>
      <c r="J13" s="222">
        <f>ENERO!L13</f>
        <v>0</v>
      </c>
      <c r="K13" s="134">
        <f>+H13</f>
        <v>0</v>
      </c>
      <c r="L13" s="146">
        <f>SUM(J13:K13)</f>
        <v>0</v>
      </c>
      <c r="M13" s="222">
        <f>F13-I13</f>
        <v>0</v>
      </c>
      <c r="N13" s="146">
        <f>F13-L13</f>
        <v>0</v>
      </c>
      <c r="O13" s="385"/>
      <c r="P13" s="375">
        <v>0</v>
      </c>
      <c r="Q13" s="378">
        <v>0</v>
      </c>
      <c r="S13" s="369"/>
      <c r="T13" s="708"/>
      <c r="U13" s="370"/>
      <c r="V13" s="164"/>
      <c r="W13" s="164"/>
      <c r="X13" s="169"/>
      <c r="Y13" s="370"/>
      <c r="Z13" s="164"/>
      <c r="AA13" s="164"/>
      <c r="AB13" s="370"/>
      <c r="AC13" s="164"/>
      <c r="AD13" s="169"/>
      <c r="AE13" s="370"/>
      <c r="AF13" s="164"/>
      <c r="AG13" s="169"/>
      <c r="AH13" s="370"/>
      <c r="AI13" s="164"/>
      <c r="AJ13" s="169"/>
      <c r="AK13" s="10"/>
      <c r="AL13" s="371"/>
      <c r="AM13" s="372"/>
      <c r="AO13" s="20"/>
      <c r="AP13" s="535" t="s">
        <v>561</v>
      </c>
      <c r="AQ13" s="675">
        <f>F90</f>
        <v>24000000</v>
      </c>
      <c r="AR13" s="12">
        <f>I90</f>
        <v>2400000</v>
      </c>
      <c r="AS13" s="12">
        <f>L90</f>
        <v>0</v>
      </c>
      <c r="AT13" s="13"/>
      <c r="AU13" s="353">
        <f t="shared" si="0"/>
        <v>0.1</v>
      </c>
      <c r="AV13" s="353">
        <f t="shared" si="1"/>
        <v>0</v>
      </c>
      <c r="AW13" s="354">
        <f>I90</f>
        <v>2400000</v>
      </c>
      <c r="AX13" s="354">
        <f>L90</f>
        <v>0</v>
      </c>
      <c r="AY13" s="354">
        <f t="shared" si="2"/>
        <v>-21600000</v>
      </c>
      <c r="AZ13" s="355">
        <f t="shared" si="3"/>
        <v>-24000000</v>
      </c>
      <c r="BA13" s="385"/>
      <c r="BB13" s="386" t="s">
        <v>441</v>
      </c>
      <c r="BC13" s="87">
        <f>+F30+F33+F36+F38+F39+F40</f>
        <v>350726828</v>
      </c>
      <c r="BD13" s="88">
        <f>+I30+I33+I36+I38+I39+I40</f>
        <v>49631294</v>
      </c>
      <c r="BE13" s="89">
        <f>+K30+K33+K36+K38+K39+K40</f>
        <v>24815647</v>
      </c>
      <c r="BF13" s="90"/>
      <c r="BG13" s="91" t="s">
        <v>72</v>
      </c>
      <c r="BH13" s="84">
        <f t="shared" ref="BH13:BK15" si="10">BN29</f>
        <v>436000000</v>
      </c>
      <c r="BI13" s="84">
        <f t="shared" si="10"/>
        <v>0</v>
      </c>
      <c r="BJ13" s="84">
        <f t="shared" si="10"/>
        <v>0</v>
      </c>
      <c r="BK13" s="85">
        <f t="shared" si="10"/>
        <v>0</v>
      </c>
      <c r="BM13" s="142" t="s">
        <v>453</v>
      </c>
      <c r="BN13" s="83">
        <f>X43-X55+X57-X61+X90-X102+X104-X108</f>
        <v>440138822</v>
      </c>
      <c r="BO13" s="81">
        <f>AA43-AA55+AA57-AA61+AA90-AA102+AA104-AA108</f>
        <v>56427866</v>
      </c>
      <c r="BP13" s="81">
        <f>AD43-AD55+AD57-AD61+AD90-AD102+AD104-AD108</f>
        <v>56427866</v>
      </c>
      <c r="BQ13" s="82">
        <f>AF43-AF55+AF57-AF61+AF90-AF102+AF104-AF108</f>
        <v>28279185</v>
      </c>
    </row>
    <row r="14" spans="1:69" s="9" customFormat="1" ht="24.95" customHeight="1" x14ac:dyDescent="0.25">
      <c r="A14" s="618">
        <f>+IF(ENERO!A14=0,"",ENERO!A14)</f>
        <v>1003</v>
      </c>
      <c r="B14" s="646" t="str">
        <f>+IF(ENERO!B14=0,"",ENERO!B14)</f>
        <v>Fondos Comunes y Especiales (Caja, Bancos, Invers. Tempor.) a Dic-31-2014</v>
      </c>
      <c r="C14" s="375">
        <f>+ENERO!C14</f>
        <v>0</v>
      </c>
      <c r="D14" s="376">
        <f>ENERO!D14+FEBRERO!P14</f>
        <v>0</v>
      </c>
      <c r="E14" s="376">
        <f>ENERO!E14+FEBRERO!Q14</f>
        <v>11310362</v>
      </c>
      <c r="F14" s="146">
        <f>SUM(C14:E14)</f>
        <v>11310362</v>
      </c>
      <c r="G14" s="222">
        <f>ENERO!I14</f>
        <v>11310362</v>
      </c>
      <c r="H14" s="377">
        <v>0</v>
      </c>
      <c r="I14" s="146">
        <f>SUM(G14:H14)</f>
        <v>11310362</v>
      </c>
      <c r="J14" s="222">
        <f>ENERO!L14</f>
        <v>11310362</v>
      </c>
      <c r="K14" s="134">
        <f>+H14</f>
        <v>0</v>
      </c>
      <c r="L14" s="146">
        <f>SUM(J14:K14)</f>
        <v>11310362</v>
      </c>
      <c r="M14" s="222">
        <f>F14-I14</f>
        <v>0</v>
      </c>
      <c r="N14" s="146">
        <f>F14-L14</f>
        <v>0</v>
      </c>
      <c r="O14" s="385"/>
      <c r="P14" s="375">
        <v>0</v>
      </c>
      <c r="Q14" s="378">
        <v>0</v>
      </c>
      <c r="S14" s="717">
        <f>+IF(ENERO!S14=0,"",ENERO!S14)</f>
        <v>1010000</v>
      </c>
      <c r="T14" s="735" t="str">
        <f>+IF(ENERO!T14=0,"",ENERO!T14)</f>
        <v>Gastos de Administración</v>
      </c>
      <c r="U14" s="131">
        <f t="shared" ref="U14:AJ14" si="11">U16+U35+U43+U57</f>
        <v>717551072</v>
      </c>
      <c r="V14" s="124">
        <f t="shared" si="11"/>
        <v>0</v>
      </c>
      <c r="W14" s="124">
        <f t="shared" si="11"/>
        <v>61017882</v>
      </c>
      <c r="X14" s="133">
        <f t="shared" si="11"/>
        <v>778568954</v>
      </c>
      <c r="Y14" s="131">
        <f t="shared" si="11"/>
        <v>97836764</v>
      </c>
      <c r="Z14" s="124">
        <f t="shared" si="11"/>
        <v>181302283</v>
      </c>
      <c r="AA14" s="132">
        <f t="shared" si="11"/>
        <v>279139047</v>
      </c>
      <c r="AB14" s="131">
        <f t="shared" si="11"/>
        <v>97836764</v>
      </c>
      <c r="AC14" s="124">
        <f t="shared" si="11"/>
        <v>43822283</v>
      </c>
      <c r="AD14" s="133">
        <f t="shared" si="11"/>
        <v>141659047</v>
      </c>
      <c r="AE14" s="131">
        <f t="shared" si="11"/>
        <v>38272976</v>
      </c>
      <c r="AF14" s="124">
        <f t="shared" si="11"/>
        <v>68653627</v>
      </c>
      <c r="AG14" s="133">
        <f t="shared" si="11"/>
        <v>106926603</v>
      </c>
      <c r="AH14" s="131">
        <f t="shared" si="11"/>
        <v>499429907</v>
      </c>
      <c r="AI14" s="124">
        <f t="shared" si="11"/>
        <v>636909907</v>
      </c>
      <c r="AJ14" s="133">
        <f t="shared" si="11"/>
        <v>671642351</v>
      </c>
      <c r="AK14" s="10"/>
      <c r="AL14" s="131">
        <f>AL16+AL35+AL43+AL57</f>
        <v>0</v>
      </c>
      <c r="AM14" s="133">
        <f>AM16+AM35+AM43+AM57</f>
        <v>0</v>
      </c>
      <c r="AO14" s="21"/>
      <c r="AP14" s="11" t="s">
        <v>75</v>
      </c>
      <c r="AQ14" s="675">
        <f>F19-AQ7-AQ8-AQ9-AQ10-AQ11-AQ12-AQ13</f>
        <v>318225176</v>
      </c>
      <c r="AR14" s="12">
        <f>I19-AR7-AR8-AR9-AR10-AR11-AR12-AR13</f>
        <v>63430101</v>
      </c>
      <c r="AS14" s="12">
        <f>L19-AS7-AS8-AS9-AS10-AS11-AS12-AS13</f>
        <v>43925306</v>
      </c>
      <c r="AT14" s="385"/>
      <c r="AU14" s="353">
        <f t="shared" si="0"/>
        <v>0.19932458455141211</v>
      </c>
      <c r="AV14" s="353">
        <f t="shared" si="1"/>
        <v>0.13803215242781419</v>
      </c>
      <c r="AW14" s="354">
        <f>(I41+I46+I49+I52+I55+I58+I61+I64+I67+I70+I73+I78+I81+I82+I83+I85+I94+I104)/AO$2*12+I47+I50+I53+I56+I59+I62+I65+I68+I71+I74</f>
        <v>400772093</v>
      </c>
      <c r="AX14" s="354">
        <f>(L41+L46+L49+L52+L55+L58+L61+L64+L67+L70+L73+L78+L81+L82+L83+L85+L94+L104)/AO$2*12+L47+L50+L53+L56+L59+L62+L65+L68+L71+L74</f>
        <v>269343323</v>
      </c>
      <c r="AY14" s="354">
        <f t="shared" si="2"/>
        <v>82546917</v>
      </c>
      <c r="AZ14" s="355">
        <f t="shared" si="3"/>
        <v>-48881853</v>
      </c>
      <c r="BB14" s="386" t="s">
        <v>442</v>
      </c>
      <c r="BC14" s="92">
        <f>+F64</f>
        <v>22951026</v>
      </c>
      <c r="BD14" s="93">
        <f>+I64</f>
        <v>4454223</v>
      </c>
      <c r="BE14" s="94">
        <f>K64</f>
        <v>0</v>
      </c>
      <c r="BF14" s="95"/>
      <c r="BG14" s="91" t="s">
        <v>76</v>
      </c>
      <c r="BH14" s="81">
        <f t="shared" si="10"/>
        <v>0</v>
      </c>
      <c r="BI14" s="81">
        <f t="shared" si="10"/>
        <v>0</v>
      </c>
      <c r="BJ14" s="81">
        <f t="shared" si="10"/>
        <v>0</v>
      </c>
      <c r="BK14" s="82">
        <f t="shared" si="10"/>
        <v>0</v>
      </c>
      <c r="BM14" s="141" t="s">
        <v>449</v>
      </c>
      <c r="BN14" s="86">
        <f>X35-X41+X83-X88</f>
        <v>366329517</v>
      </c>
      <c r="BO14" s="84">
        <f>AA35-AA41+AA83-AA88</f>
        <v>208138500</v>
      </c>
      <c r="BP14" s="84">
        <f>AD35-AD41+AD83-AD88</f>
        <v>30134500</v>
      </c>
      <c r="BQ14" s="85">
        <f>AF35-AF41+AF83-AF88</f>
        <v>14845994</v>
      </c>
    </row>
    <row r="15" spans="1:69" s="9" customFormat="1" ht="24.95" customHeight="1" thickBot="1" x14ac:dyDescent="0.3">
      <c r="A15" s="619">
        <f>+IF(ENERO!A15=0,"",ENERO!A15)</f>
        <v>1004</v>
      </c>
      <c r="B15" s="646" t="str">
        <f>+IF(ENERO!B15=0,"",ENERO!B15)</f>
        <v>Cesantias Ley 50/1990 a Dic-31-2014</v>
      </c>
      <c r="C15" s="387">
        <f>+ENERO!C15</f>
        <v>0</v>
      </c>
      <c r="D15" s="388">
        <f>ENERO!D15+FEBRERO!P15</f>
        <v>0</v>
      </c>
      <c r="E15" s="388">
        <f>ENERO!E15+FEBRERO!Q15</f>
        <v>78950146</v>
      </c>
      <c r="F15" s="389">
        <f>SUM(C15:E15)</f>
        <v>78950146</v>
      </c>
      <c r="G15" s="390">
        <f>ENERO!I15</f>
        <v>78950146</v>
      </c>
      <c r="H15" s="391">
        <v>0</v>
      </c>
      <c r="I15" s="389">
        <f>SUM(G15:H15)</f>
        <v>78950146</v>
      </c>
      <c r="J15" s="390">
        <f>ENERO!L15</f>
        <v>78950146</v>
      </c>
      <c r="K15" s="168">
        <f>+H15</f>
        <v>0</v>
      </c>
      <c r="L15" s="389">
        <f>SUM(J15:K15)</f>
        <v>78950146</v>
      </c>
      <c r="M15" s="390">
        <f>F15-I15</f>
        <v>0</v>
      </c>
      <c r="N15" s="389">
        <f>F15-L15</f>
        <v>0</v>
      </c>
      <c r="O15" s="385"/>
      <c r="P15" s="387">
        <v>0</v>
      </c>
      <c r="Q15" s="392">
        <v>0</v>
      </c>
      <c r="S15" s="369" t="str">
        <f>+IF(ENERO!S15=0,"",ENERO!S15)</f>
        <v/>
      </c>
      <c r="T15" s="708" t="str">
        <f>+IF(ENERO!T15=0,"",ENERO!T15)</f>
        <v xml:space="preserve"> </v>
      </c>
      <c r="U15" s="370"/>
      <c r="V15" s="164"/>
      <c r="W15" s="164"/>
      <c r="X15" s="169"/>
      <c r="Y15" s="370"/>
      <c r="Z15" s="164"/>
      <c r="AA15" s="164"/>
      <c r="AB15" s="370"/>
      <c r="AC15" s="164"/>
      <c r="AD15" s="169"/>
      <c r="AE15" s="370"/>
      <c r="AF15" s="164"/>
      <c r="AG15" s="169"/>
      <c r="AH15" s="370"/>
      <c r="AI15" s="164"/>
      <c r="AJ15" s="169"/>
      <c r="AK15" s="10"/>
      <c r="AL15" s="173"/>
      <c r="AM15" s="174"/>
      <c r="AO15" s="20"/>
      <c r="AP15" s="11" t="s">
        <v>78</v>
      </c>
      <c r="AQ15" s="675">
        <f>F113</f>
        <v>32659146</v>
      </c>
      <c r="AR15" s="12">
        <f>I113</f>
        <v>347527</v>
      </c>
      <c r="AS15" s="12">
        <f>L113</f>
        <v>347527</v>
      </c>
      <c r="AT15" s="13"/>
      <c r="AU15" s="345">
        <f t="shared" si="0"/>
        <v>1.064103145869154E-2</v>
      </c>
      <c r="AV15" s="345">
        <f t="shared" si="1"/>
        <v>1.064103145869154E-2</v>
      </c>
      <c r="AW15" s="12">
        <f>+AR15</f>
        <v>347527</v>
      </c>
      <c r="AX15" s="12">
        <f>+AS15</f>
        <v>347527</v>
      </c>
      <c r="AY15" s="12">
        <f t="shared" si="2"/>
        <v>-32311619</v>
      </c>
      <c r="AZ15" s="346">
        <f t="shared" si="3"/>
        <v>-32311619</v>
      </c>
      <c r="BA15" s="385"/>
      <c r="BB15" s="386" t="s">
        <v>79</v>
      </c>
      <c r="BC15" s="92">
        <f>F46+F49</f>
        <v>0</v>
      </c>
      <c r="BD15" s="93">
        <f>I46+I49</f>
        <v>0</v>
      </c>
      <c r="BE15" s="94">
        <f>K46+K49</f>
        <v>0</v>
      </c>
      <c r="BF15" s="95"/>
      <c r="BG15" s="91" t="s">
        <v>80</v>
      </c>
      <c r="BH15" s="81">
        <f t="shared" si="10"/>
        <v>342364056</v>
      </c>
      <c r="BI15" s="81">
        <f t="shared" si="10"/>
        <v>340490276</v>
      </c>
      <c r="BJ15" s="81">
        <f t="shared" si="10"/>
        <v>342364056</v>
      </c>
      <c r="BK15" s="82">
        <f t="shared" si="10"/>
        <v>140400696</v>
      </c>
      <c r="BM15" s="71" t="s">
        <v>68</v>
      </c>
      <c r="BN15" s="83">
        <f>SUM(BN16:BN21)</f>
        <v>614488887</v>
      </c>
      <c r="BO15" s="81">
        <f>SUM(BO16:BO21)</f>
        <v>208076200</v>
      </c>
      <c r="BP15" s="81">
        <f>SUM(BP16:BP21)</f>
        <v>117526992</v>
      </c>
      <c r="BQ15" s="82">
        <f>SUM(BQ16:BQ21)</f>
        <v>18277385</v>
      </c>
    </row>
    <row r="16" spans="1:69" s="9" customFormat="1" ht="24.95" customHeight="1" thickBot="1" x14ac:dyDescent="0.3">
      <c r="A16" s="746" t="str">
        <f>+IF(ENERO!A16=0,"",ENERO!A16)</f>
        <v/>
      </c>
      <c r="B16" s="647" t="str">
        <f>+IF(ENERO!B16=0,"",ENERO!B16)</f>
        <v/>
      </c>
      <c r="C16" s="393"/>
      <c r="D16" s="393"/>
      <c r="E16" s="393"/>
      <c r="F16" s="393"/>
      <c r="G16" s="393"/>
      <c r="H16" s="393"/>
      <c r="I16" s="393"/>
      <c r="J16" s="393"/>
      <c r="K16" s="393"/>
      <c r="L16" s="393"/>
      <c r="M16" s="393"/>
      <c r="N16" s="394"/>
      <c r="O16" s="385"/>
      <c r="P16" s="395"/>
      <c r="Q16" s="396"/>
      <c r="S16" s="718">
        <f>+IF(ENERO!S16=0,"",ENERO!S16)</f>
        <v>1010100</v>
      </c>
      <c r="T16" s="736" t="str">
        <f>+IF(ENERO!T16=0,"",ENERO!T16)</f>
        <v>Servicios Personales Asociados a Nómina</v>
      </c>
      <c r="U16" s="131">
        <f t="shared" ref="U16:AJ16" si="12">SUM(U17:U20)+U33</f>
        <v>372660589</v>
      </c>
      <c r="V16" s="124">
        <f t="shared" si="12"/>
        <v>0</v>
      </c>
      <c r="W16" s="124">
        <f t="shared" si="12"/>
        <v>2702630</v>
      </c>
      <c r="X16" s="133">
        <f t="shared" si="12"/>
        <v>375363219</v>
      </c>
      <c r="Y16" s="131">
        <f t="shared" si="12"/>
        <v>28264422</v>
      </c>
      <c r="Z16" s="124">
        <f t="shared" si="12"/>
        <v>27177033</v>
      </c>
      <c r="AA16" s="132">
        <f t="shared" si="12"/>
        <v>55441455</v>
      </c>
      <c r="AB16" s="131">
        <f t="shared" si="12"/>
        <v>28264422</v>
      </c>
      <c r="AC16" s="124">
        <f t="shared" si="12"/>
        <v>27177033</v>
      </c>
      <c r="AD16" s="133">
        <f t="shared" si="12"/>
        <v>55441455</v>
      </c>
      <c r="AE16" s="131">
        <f t="shared" si="12"/>
        <v>27157280</v>
      </c>
      <c r="AF16" s="124">
        <f t="shared" si="12"/>
        <v>17183624</v>
      </c>
      <c r="AG16" s="133">
        <f t="shared" si="12"/>
        <v>44340904</v>
      </c>
      <c r="AH16" s="131">
        <f t="shared" si="12"/>
        <v>319921764</v>
      </c>
      <c r="AI16" s="124">
        <f t="shared" si="12"/>
        <v>319921764</v>
      </c>
      <c r="AJ16" s="133">
        <f t="shared" si="12"/>
        <v>331022315</v>
      </c>
      <c r="AK16" s="10"/>
      <c r="AL16" s="131">
        <f>SUM(AL17:AL20)+AL33</f>
        <v>0</v>
      </c>
      <c r="AM16" s="133">
        <f>SUM(AM17:AM20)+AM33</f>
        <v>0</v>
      </c>
      <c r="AO16" s="21"/>
      <c r="AP16" s="397" t="s">
        <v>83</v>
      </c>
      <c r="AQ16" s="676">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0</v>
      </c>
      <c r="BE16" s="75">
        <f>K43</f>
        <v>0</v>
      </c>
      <c r="BF16" s="76"/>
      <c r="BG16" s="91" t="s">
        <v>84</v>
      </c>
      <c r="BH16" s="96">
        <f>BH7+BH12+BH13+BH14+BH15</f>
        <v>3788710176</v>
      </c>
      <c r="BI16" s="96">
        <f>BI7+BI12+BI13+BI14+BI15</f>
        <v>1084386952</v>
      </c>
      <c r="BJ16" s="96">
        <f>BJ7+BJ12+BJ13+BJ14+BJ15</f>
        <v>792564424</v>
      </c>
      <c r="BK16" s="97">
        <f>BK7+BK12+BK13+BK14+BK15</f>
        <v>280916322</v>
      </c>
      <c r="BM16" s="140" t="s">
        <v>85</v>
      </c>
      <c r="BN16" s="83">
        <f>X114-X121+X147-X148-X153</f>
        <v>142267519</v>
      </c>
      <c r="BO16" s="81">
        <f>AA114-AA121+AA147-AA148-AA153</f>
        <v>12926315</v>
      </c>
      <c r="BP16" s="81">
        <f>AD114-AD121+AD147-AD148-AD153</f>
        <v>12926315</v>
      </c>
      <c r="BQ16" s="82">
        <f>AF114-AF121+AF147-AF148-AF153</f>
        <v>0</v>
      </c>
    </row>
    <row r="17" spans="1:70" s="385" customFormat="1" ht="24.95" customHeight="1" thickBot="1" x14ac:dyDescent="0.3">
      <c r="A17" s="745">
        <f>+IF(ENERO!A17=0,"",ENERO!A17)</f>
        <v>11</v>
      </c>
      <c r="B17" s="648" t="str">
        <f>+IF(ENERO!B17=0,"",ENERO!B17)</f>
        <v>INGRESOS  CORRIENTES</v>
      </c>
      <c r="C17" s="337">
        <f>C19+C94+C104</f>
        <v>3103041868</v>
      </c>
      <c r="D17" s="334">
        <f t="shared" ref="D17:Q17" si="13">D19+D94+D104</f>
        <v>0</v>
      </c>
      <c r="E17" s="334">
        <f t="shared" si="13"/>
        <v>562667101</v>
      </c>
      <c r="F17" s="334">
        <f t="shared" si="13"/>
        <v>3665708969</v>
      </c>
      <c r="G17" s="334">
        <f t="shared" si="13"/>
        <v>315861125</v>
      </c>
      <c r="H17" s="334">
        <f t="shared" si="13"/>
        <v>298608350</v>
      </c>
      <c r="I17" s="334">
        <f t="shared" si="13"/>
        <v>614469475</v>
      </c>
      <c r="J17" s="334">
        <f t="shared" si="13"/>
        <v>183698630</v>
      </c>
      <c r="K17" s="334">
        <f t="shared" si="13"/>
        <v>170921458</v>
      </c>
      <c r="L17" s="334">
        <f t="shared" si="13"/>
        <v>354620088</v>
      </c>
      <c r="M17" s="334">
        <f t="shared" si="13"/>
        <v>3051239494</v>
      </c>
      <c r="N17" s="335">
        <f t="shared" si="13"/>
        <v>3311088881</v>
      </c>
      <c r="P17" s="177">
        <f t="shared" si="13"/>
        <v>0</v>
      </c>
      <c r="Q17" s="178">
        <f t="shared" si="13"/>
        <v>17280673</v>
      </c>
      <c r="R17" s="9"/>
      <c r="S17" s="719">
        <f>+IF(ENERO!S17=0,"",ENERO!S17)</f>
        <v>1010101</v>
      </c>
      <c r="T17" s="737" t="str">
        <f>+IF(ENERO!T17=0,"",ENERO!T17)</f>
        <v>Sueldos del Personal de nómina</v>
      </c>
      <c r="U17" s="29">
        <f>+ENERO!U17</f>
        <v>304405836</v>
      </c>
      <c r="V17" s="15">
        <f>ENERO!V17+FEBRERO!AL17</f>
        <v>0</v>
      </c>
      <c r="W17" s="15">
        <f>ENERO!W17+FEBRERO!AM17</f>
        <v>0</v>
      </c>
      <c r="X17" s="16">
        <f>SUM(U17:W17)</f>
        <v>304405836</v>
      </c>
      <c r="Y17" s="19">
        <f>ENERO!AA17</f>
        <v>24453543</v>
      </c>
      <c r="Z17" s="377">
        <v>26143165</v>
      </c>
      <c r="AA17" s="18">
        <f>SUM(Y17:Z17)</f>
        <v>50596708</v>
      </c>
      <c r="AB17" s="19">
        <f>ENERO!AD17</f>
        <v>24453543</v>
      </c>
      <c r="AC17" s="377">
        <v>26143165</v>
      </c>
      <c r="AD17" s="16">
        <f>SUM(AB17:AC17)</f>
        <v>50596708</v>
      </c>
      <c r="AE17" s="19">
        <f>ENERO!AG17</f>
        <v>24453543</v>
      </c>
      <c r="AF17" s="377">
        <v>16188144</v>
      </c>
      <c r="AG17" s="16">
        <f>SUM(AE17:AF17)</f>
        <v>40641687</v>
      </c>
      <c r="AH17" s="19">
        <f>X17-AA17</f>
        <v>253809128</v>
      </c>
      <c r="AI17" s="15">
        <f>X17-AD17</f>
        <v>253809128</v>
      </c>
      <c r="AJ17" s="16">
        <f>X17-AG17</f>
        <v>263764149</v>
      </c>
      <c r="AK17" s="9"/>
      <c r="AL17" s="375">
        <v>0</v>
      </c>
      <c r="AM17" s="378">
        <v>0</v>
      </c>
      <c r="AN17" s="9"/>
      <c r="AO17" s="352"/>
      <c r="AP17" s="402" t="s">
        <v>87</v>
      </c>
      <c r="AQ17" s="403">
        <f>SUM(AQ7:AQ16)</f>
        <v>3681528497</v>
      </c>
      <c r="AR17" s="404">
        <f>SUM(AR7:AR16)</f>
        <v>686141831</v>
      </c>
      <c r="AS17" s="405">
        <f>SUM(AS7:AS16)</f>
        <v>426292444</v>
      </c>
      <c r="AT17" s="406"/>
      <c r="AU17" s="404">
        <f t="shared" si="0"/>
        <v>0.18637417354208247</v>
      </c>
      <c r="AV17" s="404">
        <f t="shared" si="1"/>
        <v>0.11579224345197293</v>
      </c>
      <c r="AW17" s="407">
        <f>SUM(AX7:AX16)</f>
        <v>1041287531</v>
      </c>
      <c r="AX17" s="407">
        <f>SUM(AX7:AX16)</f>
        <v>1041287531</v>
      </c>
      <c r="AY17" s="407">
        <f>SUM(AY7:AY16)</f>
        <v>-1078744644</v>
      </c>
      <c r="AZ17" s="408">
        <f>SUM(AZ7:AZ16)</f>
        <v>-2640240966</v>
      </c>
      <c r="BA17" s="9"/>
      <c r="BB17" s="368" t="s">
        <v>444</v>
      </c>
      <c r="BC17" s="73">
        <f>F41+F52+F55+F58+F61+F67+F70+F73+F76+F79+F82+F86+F87+F88+F89+F90+F91</f>
        <v>331051770</v>
      </c>
      <c r="BD17" s="74">
        <f>I41+I52+I55+I58+I61+I67+I70+I73+I76+I79+I82+I86+I87+I88+I89+I90+I91</f>
        <v>39713497</v>
      </c>
      <c r="BE17" s="75">
        <f>K41+K52+K55+K58+K61+K67+K70+K73+K76+K79+K82+K86+K87+K88+K89+K90+K91</f>
        <v>10513150</v>
      </c>
      <c r="BF17" s="76"/>
      <c r="BG17" s="98" t="s">
        <v>88</v>
      </c>
      <c r="BH17" s="99">
        <f>BC23-BH16</f>
        <v>-3788710176</v>
      </c>
      <c r="BI17" s="99"/>
      <c r="BJ17" s="99"/>
      <c r="BK17" s="100"/>
      <c r="BM17" s="140" t="s">
        <v>459</v>
      </c>
      <c r="BN17" s="83">
        <f>X123-X126-X139+X155-X156-X167-X168</f>
        <v>249163207</v>
      </c>
      <c r="BO17" s="81">
        <f>AA123-AA126-AA139+AA155-AA156-AA167-AA168</f>
        <v>125769028</v>
      </c>
      <c r="BP17" s="81">
        <f>AD123-AD126-AD139+AD155-AD156-AD167-AD168</f>
        <v>59592820</v>
      </c>
      <c r="BQ17" s="82">
        <f>AF123-AF126-AF139+AF155-AF156-AF167-AF168</f>
        <v>2274949</v>
      </c>
      <c r="BR17" s="9"/>
    </row>
    <row r="18" spans="1:70" s="9" customFormat="1" ht="24.95" customHeight="1" thickBot="1" x14ac:dyDescent="0.25">
      <c r="A18" s="618" t="str">
        <f>+IF(ENERO!A18=0,"",ENERO!A18)</f>
        <v/>
      </c>
      <c r="B18" s="649" t="str">
        <f>+IF(ENERO!B18=0,"",ENERO!B18)</f>
        <v/>
      </c>
      <c r="C18" s="297"/>
      <c r="D18" s="297"/>
      <c r="E18" s="297"/>
      <c r="F18" s="297"/>
      <c r="G18" s="297"/>
      <c r="H18" s="297"/>
      <c r="I18" s="297"/>
      <c r="J18" s="297"/>
      <c r="K18" s="297"/>
      <c r="L18" s="297"/>
      <c r="M18" s="297"/>
      <c r="N18" s="466"/>
      <c r="P18" s="410"/>
      <c r="Q18" s="409"/>
      <c r="S18" s="719">
        <f>+IF(ENERO!S18=0,"",ENERO!S18)</f>
        <v>1010102</v>
      </c>
      <c r="T18" s="737" t="str">
        <f>+IF(ENERO!T18=0,"",ENERO!T18)</f>
        <v>Horas Extras,Dominic.,Festivos y Rec. Nocturnos</v>
      </c>
      <c r="U18" s="29">
        <f>+ENERO!U18</f>
        <v>12090252</v>
      </c>
      <c r="V18" s="15">
        <f>ENERO!V18+FEBRERO!AL18</f>
        <v>0</v>
      </c>
      <c r="W18" s="15">
        <f>ENERO!W18+FEBRERO!AM18</f>
        <v>0</v>
      </c>
      <c r="X18" s="16">
        <f>SUM(U18:W18)</f>
        <v>12090252</v>
      </c>
      <c r="Y18" s="19">
        <f>ENERO!AA18</f>
        <v>1036249</v>
      </c>
      <c r="Z18" s="377">
        <v>959868</v>
      </c>
      <c r="AA18" s="18">
        <f>SUM(Y18:Z18)</f>
        <v>1996117</v>
      </c>
      <c r="AB18" s="19">
        <f>ENERO!AD18</f>
        <v>1036249</v>
      </c>
      <c r="AC18" s="377">
        <v>959868</v>
      </c>
      <c r="AD18" s="16">
        <f>SUM(AB18:AC18)</f>
        <v>1996117</v>
      </c>
      <c r="AE18" s="19">
        <f>ENERO!AG18</f>
        <v>1036249</v>
      </c>
      <c r="AF18" s="377">
        <v>594361</v>
      </c>
      <c r="AG18" s="16">
        <f>SUM(AE18:AF18)</f>
        <v>1630610</v>
      </c>
      <c r="AH18" s="19">
        <f>X18-AA18</f>
        <v>10094135</v>
      </c>
      <c r="AI18" s="15">
        <f>X18-AD18</f>
        <v>10094135</v>
      </c>
      <c r="AJ18" s="16">
        <f>X18-AG18</f>
        <v>10459642</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0</v>
      </c>
      <c r="BD18" s="74">
        <f>+I95+I96+I97+I99+I100+I101</f>
        <v>0</v>
      </c>
      <c r="BE18" s="75">
        <f>+K95+K96+K97+K99+K100+K101</f>
        <v>0</v>
      </c>
      <c r="BF18" s="95"/>
      <c r="BM18" s="140" t="s">
        <v>89</v>
      </c>
      <c r="BN18" s="83">
        <f>X148+X156</f>
        <v>156785051</v>
      </c>
      <c r="BO18" s="81">
        <f>AA148+AA156</f>
        <v>62208270</v>
      </c>
      <c r="BP18" s="81">
        <f>AD148+AD156</f>
        <v>37835270</v>
      </c>
      <c r="BQ18" s="82">
        <f>AF148+AF156</f>
        <v>11674400</v>
      </c>
      <c r="BR18" s="385"/>
    </row>
    <row r="19" spans="1:70" s="9" customFormat="1" ht="24.95" customHeight="1" thickBot="1" x14ac:dyDescent="0.3">
      <c r="A19" s="747">
        <f>+IF(ENERO!A19=0,"",ENERO!A19)</f>
        <v>113</v>
      </c>
      <c r="B19" s="650" t="str">
        <f>+IF(ENERO!B19=0,"",ENERO!B19)</f>
        <v>VENTA DE SERVICIOS</v>
      </c>
      <c r="C19" s="337">
        <f t="shared" ref="C19:N19" si="14">C21+C85</f>
        <v>2995860189</v>
      </c>
      <c r="D19" s="334">
        <f t="shared" si="14"/>
        <v>0</v>
      </c>
      <c r="E19" s="334">
        <f t="shared" si="14"/>
        <v>562667101</v>
      </c>
      <c r="F19" s="335">
        <f t="shared" si="14"/>
        <v>3558527290</v>
      </c>
      <c r="G19" s="337">
        <f t="shared" si="14"/>
        <v>305302001</v>
      </c>
      <c r="H19" s="334">
        <f t="shared" si="14"/>
        <v>290150242</v>
      </c>
      <c r="I19" s="335">
        <f t="shared" si="14"/>
        <v>595452243</v>
      </c>
      <c r="J19" s="337">
        <f t="shared" si="14"/>
        <v>173139506</v>
      </c>
      <c r="K19" s="334">
        <f t="shared" si="14"/>
        <v>162463350</v>
      </c>
      <c r="L19" s="335">
        <f t="shared" si="14"/>
        <v>335602856</v>
      </c>
      <c r="M19" s="337">
        <f t="shared" si="14"/>
        <v>2963075047</v>
      </c>
      <c r="N19" s="335">
        <f t="shared" si="14"/>
        <v>3222924434</v>
      </c>
      <c r="O19" s="385"/>
      <c r="P19" s="43">
        <f>P21+P85</f>
        <v>0</v>
      </c>
      <c r="Q19" s="45">
        <f>Q21+Q85</f>
        <v>17280673</v>
      </c>
      <c r="S19" s="719">
        <f>+IF(ENERO!S19=0,"",ENERO!S19)</f>
        <v>1010103</v>
      </c>
      <c r="T19" s="737" t="str">
        <f>+IF(ENERO!T19=0,"",ENERO!T19)</f>
        <v>Prima Técnica</v>
      </c>
      <c r="U19" s="29">
        <f>+ENERO!U19</f>
        <v>0</v>
      </c>
      <c r="V19" s="15">
        <f>ENERO!V19+FEBRERO!AL19</f>
        <v>0</v>
      </c>
      <c r="W19" s="15">
        <f>ENERO!W19+FEBRERO!AM19</f>
        <v>0</v>
      </c>
      <c r="X19" s="16">
        <f>SUM(U19:W19)</f>
        <v>0</v>
      </c>
      <c r="Y19" s="19">
        <f>ENERO!AA19</f>
        <v>0</v>
      </c>
      <c r="Z19" s="377">
        <v>0</v>
      </c>
      <c r="AA19" s="18">
        <f>SUM(Y19:Z19)</f>
        <v>0</v>
      </c>
      <c r="AB19" s="19">
        <f>ENERO!AD19</f>
        <v>0</v>
      </c>
      <c r="AC19" s="377">
        <v>0</v>
      </c>
      <c r="AD19" s="16">
        <f>SUM(AB19:AC19)</f>
        <v>0</v>
      </c>
      <c r="AE19" s="19">
        <f>ENERO!AG19</f>
        <v>0</v>
      </c>
      <c r="AF19" s="377">
        <v>0</v>
      </c>
      <c r="AG19" s="16">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18937232</v>
      </c>
      <c r="BE19" s="94">
        <f>+K105+K106+K107+K108+K109+K110+K98</f>
        <v>8458108</v>
      </c>
      <c r="BF19" s="57"/>
      <c r="BG19" s="385"/>
      <c r="BH19" s="385"/>
      <c r="BI19" s="385"/>
      <c r="BJ19" s="385"/>
      <c r="BK19" s="385"/>
      <c r="BM19" s="140" t="s">
        <v>96</v>
      </c>
      <c r="BN19" s="83">
        <f>X126+X167</f>
        <v>55492147</v>
      </c>
      <c r="BO19" s="81">
        <f>AA126+AA167</f>
        <v>7172587</v>
      </c>
      <c r="BP19" s="81">
        <f>AD126+AD167</f>
        <v>7172587</v>
      </c>
      <c r="BQ19" s="82">
        <f>AF126+AF167</f>
        <v>4328036</v>
      </c>
    </row>
    <row r="20" spans="1:70" s="425" customFormat="1" ht="24.95" customHeight="1" thickBot="1" x14ac:dyDescent="0.3">
      <c r="A20" s="618" t="str">
        <f>+IF(ENERO!A20=0,"",ENERO!A20)</f>
        <v/>
      </c>
      <c r="B20" s="651" t="str">
        <f>+IF(ENERO!B20=0,"",ENERO!B20)</f>
        <v/>
      </c>
      <c r="C20" s="297"/>
      <c r="D20" s="297"/>
      <c r="E20" s="297"/>
      <c r="F20" s="297"/>
      <c r="G20" s="297"/>
      <c r="H20" s="297"/>
      <c r="I20" s="297"/>
      <c r="J20" s="297"/>
      <c r="K20" s="297"/>
      <c r="L20" s="297"/>
      <c r="M20" s="297"/>
      <c r="N20" s="466"/>
      <c r="O20" s="9"/>
      <c r="P20" s="410"/>
      <c r="Q20" s="409"/>
      <c r="R20" s="9"/>
      <c r="S20" s="719">
        <f>+IF(ENERO!S20=0,"",ENERO!S20)</f>
        <v>1010104</v>
      </c>
      <c r="T20" s="737" t="str">
        <f>+IF(ENERO!T20=0,"",ENERO!T20)</f>
        <v>Otros</v>
      </c>
      <c r="U20" s="29">
        <f t="shared" ref="U20:AJ20" si="15">SUM(U21:U32)</f>
        <v>56164501</v>
      </c>
      <c r="V20" s="15">
        <f t="shared" si="15"/>
        <v>0</v>
      </c>
      <c r="W20" s="15">
        <f t="shared" si="15"/>
        <v>0</v>
      </c>
      <c r="X20" s="16">
        <f t="shared" si="15"/>
        <v>56164501</v>
      </c>
      <c r="Y20" s="19">
        <f t="shared" si="15"/>
        <v>72000</v>
      </c>
      <c r="Z20" s="145">
        <f t="shared" si="15"/>
        <v>74000</v>
      </c>
      <c r="AA20" s="18">
        <f t="shared" si="15"/>
        <v>146000</v>
      </c>
      <c r="AB20" s="19">
        <f t="shared" si="15"/>
        <v>72000</v>
      </c>
      <c r="AC20" s="145">
        <f t="shared" si="15"/>
        <v>74000</v>
      </c>
      <c r="AD20" s="16">
        <f t="shared" si="15"/>
        <v>146000</v>
      </c>
      <c r="AE20" s="19">
        <f t="shared" si="15"/>
        <v>72000</v>
      </c>
      <c r="AF20" s="145">
        <f t="shared" si="15"/>
        <v>45822</v>
      </c>
      <c r="AG20" s="16">
        <f t="shared" si="15"/>
        <v>117822</v>
      </c>
      <c r="AH20" s="19">
        <f t="shared" si="15"/>
        <v>56018501</v>
      </c>
      <c r="AI20" s="15">
        <f t="shared" si="15"/>
        <v>56018501</v>
      </c>
      <c r="AJ20" s="16">
        <f t="shared" si="15"/>
        <v>56046679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594347</v>
      </c>
      <c r="BD20" s="66">
        <f>+I115+I117+I119+I120+I121+I123+I124</f>
        <v>28386</v>
      </c>
      <c r="BE20" s="67">
        <f>+K115+K117+K119+K120+K121+K123+K124</f>
        <v>27973</v>
      </c>
      <c r="BF20" s="57"/>
      <c r="BG20" s="385"/>
      <c r="BH20" s="385"/>
      <c r="BI20" s="385"/>
      <c r="BJ20" s="385"/>
      <c r="BK20" s="385"/>
      <c r="BL20" s="385"/>
      <c r="BM20" s="142" t="s">
        <v>454</v>
      </c>
      <c r="BN20" s="83">
        <f>+X141-X143</f>
        <v>10780963</v>
      </c>
      <c r="BO20" s="81">
        <f>+AA141-AA143</f>
        <v>0</v>
      </c>
      <c r="BP20" s="81">
        <f>+AD141-AD143</f>
        <v>0</v>
      </c>
      <c r="BQ20" s="82">
        <f>+AF141-AF143</f>
        <v>0</v>
      </c>
      <c r="BR20" s="9"/>
    </row>
    <row r="21" spans="1:70" s="425" customFormat="1" ht="24.95" customHeight="1" thickBot="1" x14ac:dyDescent="0.3">
      <c r="A21" s="748">
        <f>+IF(ENERO!A21=0,"",ENERO!A21)</f>
        <v>11301</v>
      </c>
      <c r="B21" s="652" t="str">
        <f>+IF(ENERO!B21=0,"",ENERO!B21)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305302001</v>
      </c>
      <c r="H21" s="357">
        <f t="shared" si="16"/>
        <v>287750242</v>
      </c>
      <c r="I21" s="357">
        <f t="shared" si="16"/>
        <v>593052243</v>
      </c>
      <c r="J21" s="357">
        <f t="shared" si="16"/>
        <v>173139506</v>
      </c>
      <c r="K21" s="357">
        <f t="shared" si="16"/>
        <v>162463350</v>
      </c>
      <c r="L21" s="357">
        <f t="shared" si="16"/>
        <v>335602856</v>
      </c>
      <c r="M21" s="357">
        <f t="shared" si="16"/>
        <v>2891475047</v>
      </c>
      <c r="N21" s="178">
        <f t="shared" si="16"/>
        <v>3148924434</v>
      </c>
      <c r="O21" s="385"/>
      <c r="P21" s="43">
        <f>P22+P25+P28+P41+P42+P45+P48+P51+P54+P57+P60+P63+P66+P69+P72+P75+P78+P81</f>
        <v>0</v>
      </c>
      <c r="Q21" s="45">
        <f>Q22+Q25+Q28+Q41+Q42+Q45+Q48+Q51+Q54+Q57+Q60+Q63+Q66+Q69+Q72+Q75+Q78+Q81</f>
        <v>17280673</v>
      </c>
      <c r="R21" s="9"/>
      <c r="S21" s="720" t="str">
        <f>+IF(ENERO!S21=0,"",ENERO!S21)</f>
        <v>1010104-1</v>
      </c>
      <c r="T21" s="738" t="str">
        <f>+IF(ENERO!T21=0,"",ENERO!T21)</f>
        <v xml:space="preserve">Prima de Navidad </v>
      </c>
      <c r="U21" s="29">
        <f>+ENERO!U21</f>
        <v>27481083</v>
      </c>
      <c r="V21" s="15">
        <f>ENERO!V21+FEBRERO!AL21</f>
        <v>0</v>
      </c>
      <c r="W21" s="15">
        <f>ENERO!W21+FEBRERO!AM21</f>
        <v>0</v>
      </c>
      <c r="X21" s="16">
        <f t="shared" ref="X21:X33" si="17">SUM(U21:W21)</f>
        <v>27481083</v>
      </c>
      <c r="Y21" s="19">
        <f>ENERO!AA21</f>
        <v>0</v>
      </c>
      <c r="Z21" s="377">
        <v>0</v>
      </c>
      <c r="AA21" s="18">
        <f t="shared" ref="AA21:AA33" si="18">SUM(Y21:Z21)</f>
        <v>0</v>
      </c>
      <c r="AB21" s="19">
        <f>ENERO!AD21</f>
        <v>0</v>
      </c>
      <c r="AC21" s="377">
        <v>0</v>
      </c>
      <c r="AD21" s="16">
        <f t="shared" ref="AD21:AD33" si="19">SUM(AB21:AC21)</f>
        <v>0</v>
      </c>
      <c r="AE21" s="19">
        <f>ENERO!AG21</f>
        <v>0</v>
      </c>
      <c r="AF21" s="377">
        <v>0</v>
      </c>
      <c r="AG21" s="16">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FEBRERO</v>
      </c>
      <c r="AS21" s="429" t="str">
        <f>AR6</f>
        <v>FEBRERO</v>
      </c>
      <c r="AT21" s="428" t="str">
        <f>AR6</f>
        <v>FEBRERO</v>
      </c>
      <c r="AU21" s="428" t="s">
        <v>46</v>
      </c>
      <c r="AV21" s="428" t="s">
        <v>24</v>
      </c>
      <c r="AW21" s="430"/>
      <c r="AX21" s="430"/>
      <c r="AY21" s="428" t="s">
        <v>46</v>
      </c>
      <c r="AZ21" s="431" t="s">
        <v>24</v>
      </c>
      <c r="BA21" s="9"/>
      <c r="BB21" s="101" t="s">
        <v>447</v>
      </c>
      <c r="BC21" s="65">
        <f>SUMIF($B8:B122,$B24,F8:F122)+F122</f>
        <v>577451227</v>
      </c>
      <c r="BD21" s="66">
        <f>SUMIF($B8:B122,$B24,I8:I122)+I122</f>
        <v>186192364</v>
      </c>
      <c r="BE21" s="67">
        <f>SUMIF($B8:B122,$B24,K8:K122)+K122</f>
        <v>87928530</v>
      </c>
      <c r="BF21" s="57"/>
      <c r="BG21" s="385"/>
      <c r="BH21" s="385"/>
      <c r="BI21" s="385"/>
      <c r="BJ21" s="385"/>
      <c r="BK21" s="385"/>
      <c r="BL21" s="385"/>
      <c r="BM21" s="140" t="s">
        <v>101</v>
      </c>
      <c r="BN21" s="83">
        <v>0</v>
      </c>
      <c r="BO21" s="81">
        <v>0</v>
      </c>
      <c r="BP21" s="81">
        <v>0</v>
      </c>
      <c r="BQ21" s="82">
        <v>0</v>
      </c>
    </row>
    <row r="22" spans="1:70" s="9" customFormat="1" ht="24.95" customHeight="1" thickBot="1" x14ac:dyDescent="0.3">
      <c r="A22" s="747">
        <f>+IF(ENERO!A22=0,"",ENERO!A22)</f>
        <v>1130101</v>
      </c>
      <c r="B22" s="653" t="str">
        <f>+IF(ENERO!B22=0,"",ENERO!B22)</f>
        <v>EPS - REGIMEN CONTRIBUTIVO</v>
      </c>
      <c r="C22" s="43">
        <f t="shared" ref="C22:N22" si="24">SUM(C23:C24)</f>
        <v>1323143662</v>
      </c>
      <c r="D22" s="44">
        <f t="shared" si="24"/>
        <v>0</v>
      </c>
      <c r="E22" s="44">
        <f t="shared" si="24"/>
        <v>435611621</v>
      </c>
      <c r="F22" s="44">
        <f t="shared" si="24"/>
        <v>1758755283</v>
      </c>
      <c r="G22" s="44">
        <f t="shared" si="24"/>
        <v>177772378</v>
      </c>
      <c r="H22" s="44">
        <f t="shared" si="24"/>
        <v>142145498</v>
      </c>
      <c r="I22" s="44">
        <f t="shared" si="24"/>
        <v>319917876</v>
      </c>
      <c r="J22" s="44">
        <f t="shared" si="24"/>
        <v>81308744</v>
      </c>
      <c r="K22" s="44">
        <f t="shared" si="24"/>
        <v>52857747</v>
      </c>
      <c r="L22" s="44">
        <f t="shared" si="24"/>
        <v>134166491</v>
      </c>
      <c r="M22" s="44">
        <f t="shared" si="24"/>
        <v>1438837407</v>
      </c>
      <c r="N22" s="45">
        <f t="shared" si="24"/>
        <v>1624588792</v>
      </c>
      <c r="P22" s="43">
        <f>SUM(P23:P24)</f>
        <v>0</v>
      </c>
      <c r="Q22" s="45">
        <f>SUM(Q23:Q24)</f>
        <v>0</v>
      </c>
      <c r="S22" s="720" t="str">
        <f>+IF(ENERO!S22=0,"",ENERO!S22)</f>
        <v>1010104-2</v>
      </c>
      <c r="T22" s="738" t="str">
        <f>+IF(ENERO!T22=0,"",ENERO!T22)</f>
        <v>Prima Vida Cara</v>
      </c>
      <c r="U22" s="29">
        <f>+ENERO!U22</f>
        <v>0</v>
      </c>
      <c r="V22" s="15">
        <f>ENERO!V22+FEBRERO!AL22</f>
        <v>0</v>
      </c>
      <c r="W22" s="15">
        <f>ENERO!W22+FEBRERO!AM22</f>
        <v>0</v>
      </c>
      <c r="X22" s="16">
        <f t="shared" si="17"/>
        <v>0</v>
      </c>
      <c r="Y22" s="19">
        <f>ENERO!AA22</f>
        <v>0</v>
      </c>
      <c r="Z22" s="377">
        <v>0</v>
      </c>
      <c r="AA22" s="18">
        <f t="shared" si="18"/>
        <v>0</v>
      </c>
      <c r="AB22" s="19">
        <f>ENERO!AD22</f>
        <v>0</v>
      </c>
      <c r="AC22" s="377">
        <v>0</v>
      </c>
      <c r="AD22" s="16">
        <f t="shared" si="19"/>
        <v>0</v>
      </c>
      <c r="AE22" s="19">
        <f>ENERO!AG22</f>
        <v>0</v>
      </c>
      <c r="AF22" s="377">
        <v>0</v>
      </c>
      <c r="AG22" s="16">
        <f t="shared" si="20"/>
        <v>0</v>
      </c>
      <c r="AH22" s="19">
        <f t="shared" si="21"/>
        <v>0</v>
      </c>
      <c r="AI22" s="15">
        <f t="shared" si="22"/>
        <v>0</v>
      </c>
      <c r="AJ22" s="16">
        <f t="shared" si="23"/>
        <v>0</v>
      </c>
      <c r="AL22" s="375">
        <v>0</v>
      </c>
      <c r="AM22" s="378">
        <v>0</v>
      </c>
      <c r="AO22" s="21"/>
      <c r="AP22" s="432" t="s">
        <v>106</v>
      </c>
      <c r="AQ22" s="433">
        <f>X17+X66</f>
        <v>945471180</v>
      </c>
      <c r="AR22" s="433">
        <f>AD17+AD66</f>
        <v>157440932</v>
      </c>
      <c r="AS22" s="433">
        <f>AG17+AG66</f>
        <v>137816997</v>
      </c>
      <c r="AT22" s="434"/>
      <c r="AU22" s="435">
        <f t="shared" ref="AU22:AU32" si="25">IF(AQ22=0," ",AR22/AQ22)</f>
        <v>0.16652113288106782</v>
      </c>
      <c r="AV22" s="435">
        <f t="shared" ref="AV22:AV32" si="26">IF(AQ22=0," ",AS22/AQ22)</f>
        <v>0.14576541296583995</v>
      </c>
      <c r="AW22" s="436">
        <f>AR22/$AO$2*12</f>
        <v>944645592</v>
      </c>
      <c r="AX22" s="436">
        <f>AS22/$AO$2*12</f>
        <v>826901982</v>
      </c>
      <c r="AY22" s="436">
        <f t="shared" ref="AY22:AY28" si="27">AQ22-AW22</f>
        <v>825588</v>
      </c>
      <c r="AZ22" s="437">
        <f t="shared" ref="AZ22:AZ31" si="28">AQ22-AX22</f>
        <v>118569198</v>
      </c>
      <c r="BA22" s="385"/>
      <c r="BB22" s="102" t="s">
        <v>111</v>
      </c>
      <c r="BC22" s="103">
        <f>BC7+BC8+BC20+BC21</f>
        <v>3788710176</v>
      </c>
      <c r="BD22" s="104">
        <f>BD7+BD8+BD20+BD21</f>
        <v>705159063</v>
      </c>
      <c r="BE22" s="105">
        <f>BE7+BE8+BE20+BE21</f>
        <v>171268572</v>
      </c>
      <c r="BF22" s="57"/>
      <c r="BG22" s="385"/>
      <c r="BH22" s="385"/>
      <c r="BI22" s="385"/>
      <c r="BJ22" s="385"/>
      <c r="BK22" s="385"/>
      <c r="BM22" s="71" t="s">
        <v>69</v>
      </c>
      <c r="BN22" s="83">
        <f>BN23+BN24</f>
        <v>65572284</v>
      </c>
      <c r="BO22" s="81">
        <f>BO23+BO24</f>
        <v>10224679</v>
      </c>
      <c r="BP22" s="81">
        <f>BP23+BP24</f>
        <v>10224679</v>
      </c>
      <c r="BQ22" s="82">
        <f>BQ23+BQ24</f>
        <v>0</v>
      </c>
      <c r="BR22" s="425"/>
    </row>
    <row r="23" spans="1:70" s="425" customFormat="1" ht="24.95" customHeight="1" x14ac:dyDescent="0.2">
      <c r="A23" s="618" t="str">
        <f>+IF(ENERO!A23=0,"",ENERO!A23)</f>
        <v>1130101-1</v>
      </c>
      <c r="B23" s="654" t="str">
        <f>+CONCATENATE("Vigencia ",INSTRUCCIONES!$F$3)</f>
        <v>Vigencia 2015</v>
      </c>
      <c r="C23" s="375">
        <f>+ENERO!C23</f>
        <v>1323143662</v>
      </c>
      <c r="D23" s="376">
        <f>ENERO!D23+FEBRERO!P23</f>
        <v>0</v>
      </c>
      <c r="E23" s="376">
        <f>ENERO!E23+FEBRERO!Q23</f>
        <v>0</v>
      </c>
      <c r="F23" s="376">
        <f>SUM(C23:E23)</f>
        <v>1323143662</v>
      </c>
      <c r="G23" s="376">
        <f>ENERO!I23</f>
        <v>96463634</v>
      </c>
      <c r="H23" s="377">
        <v>89287751</v>
      </c>
      <c r="I23" s="376">
        <f>SUM(G23:H23)</f>
        <v>185751385</v>
      </c>
      <c r="J23" s="376">
        <f>ENERO!L23</f>
        <v>0</v>
      </c>
      <c r="K23" s="377">
        <v>0</v>
      </c>
      <c r="L23" s="376">
        <f>SUM(J23:K23)</f>
        <v>0</v>
      </c>
      <c r="M23" s="376">
        <f>F23-I23</f>
        <v>1137392277</v>
      </c>
      <c r="N23" s="146">
        <f>F23-L23</f>
        <v>1323143662</v>
      </c>
      <c r="O23" s="9"/>
      <c r="P23" s="375">
        <v>0</v>
      </c>
      <c r="Q23" s="378">
        <v>0</v>
      </c>
      <c r="R23" s="9"/>
      <c r="S23" s="720" t="str">
        <f>+IF(ENERO!S23=0,"",ENERO!S23)</f>
        <v>1010104-3</v>
      </c>
      <c r="T23" s="738" t="str">
        <f>+IF(ENERO!T23=0,"",ENERO!T23)</f>
        <v>Prima de Vacaciones</v>
      </c>
      <c r="U23" s="29">
        <f>+ENERO!U23</f>
        <v>12683577</v>
      </c>
      <c r="V23" s="15">
        <f>ENERO!V23+FEBRERO!AL23</f>
        <v>0</v>
      </c>
      <c r="W23" s="15">
        <f>ENERO!W23+FEBRERO!AM23</f>
        <v>0</v>
      </c>
      <c r="X23" s="16">
        <f t="shared" si="17"/>
        <v>12683577</v>
      </c>
      <c r="Y23" s="19">
        <f>ENERO!AA23</f>
        <v>0</v>
      </c>
      <c r="Z23" s="377">
        <v>0</v>
      </c>
      <c r="AA23" s="18">
        <f t="shared" si="18"/>
        <v>0</v>
      </c>
      <c r="AB23" s="19">
        <f>ENERO!AD23</f>
        <v>0</v>
      </c>
      <c r="AC23" s="377">
        <v>0</v>
      </c>
      <c r="AD23" s="16">
        <f t="shared" si="19"/>
        <v>0</v>
      </c>
      <c r="AE23" s="19">
        <f>ENERO!AG23</f>
        <v>0</v>
      </c>
      <c r="AF23" s="377">
        <v>0</v>
      </c>
      <c r="AG23" s="16">
        <f t="shared" si="20"/>
        <v>0</v>
      </c>
      <c r="AH23" s="19">
        <f t="shared" si="21"/>
        <v>12683577</v>
      </c>
      <c r="AI23" s="15">
        <f t="shared" si="22"/>
        <v>12683577</v>
      </c>
      <c r="AJ23" s="16">
        <f t="shared" si="23"/>
        <v>12683577</v>
      </c>
      <c r="AK23" s="9"/>
      <c r="AL23" s="375">
        <v>0</v>
      </c>
      <c r="AM23" s="378">
        <v>0</v>
      </c>
      <c r="AN23" s="9"/>
      <c r="AO23" s="373"/>
      <c r="AP23" s="438" t="s">
        <v>110</v>
      </c>
      <c r="AQ23" s="439">
        <f>X16+X65-AQ22</f>
        <v>278891529</v>
      </c>
      <c r="AR23" s="439">
        <f>AD16+AD65-AR22</f>
        <v>40227012</v>
      </c>
      <c r="AS23" s="439">
        <f>AG16+AG65-AS22</f>
        <v>30537708</v>
      </c>
      <c r="AT23" s="330"/>
      <c r="AU23" s="345">
        <f t="shared" si="25"/>
        <v>0.1442389166291243</v>
      </c>
      <c r="AV23" s="345">
        <f t="shared" si="26"/>
        <v>0.10949672121450486</v>
      </c>
      <c r="AW23" s="439">
        <f>(AR23-AD21-AD22-AD23-AD25-AD30-AD33-AD70-AD71-AD72-AD74-AD78-AD81)/$AO$2*12+AX22/12*2.5+AD30+AD33+AD78+AD81</f>
        <v>331841783.25</v>
      </c>
      <c r="AX23" s="439">
        <f>(AS23-AG21-AG22-AG23-AG25-AG30-AG33-AG70-AG71-AG72-AG74-AG78-AG81)/$AO$2*12+AX22/12*2.5+AG30+AG33+AG78+AG81</f>
        <v>310091079.25</v>
      </c>
      <c r="AY23" s="439">
        <f t="shared" si="27"/>
        <v>-52950254.25</v>
      </c>
      <c r="AZ23" s="46">
        <f t="shared" si="28"/>
        <v>-31199550.25</v>
      </c>
      <c r="BA23" s="385"/>
      <c r="BF23" s="385"/>
      <c r="BG23" s="385"/>
      <c r="BH23" s="385"/>
      <c r="BI23" s="385"/>
      <c r="BJ23" s="385"/>
      <c r="BK23" s="385"/>
      <c r="BL23" s="385"/>
      <c r="BM23" s="140" t="s">
        <v>107</v>
      </c>
      <c r="BN23" s="83">
        <f>X177</f>
        <v>39279816</v>
      </c>
      <c r="BO23" s="81">
        <f>AA177</f>
        <v>5089152</v>
      </c>
      <c r="BP23" s="81">
        <f>AD177</f>
        <v>5089152</v>
      </c>
      <c r="BQ23" s="82">
        <f>AF177</f>
        <v>0</v>
      </c>
      <c r="BR23" s="9"/>
    </row>
    <row r="24" spans="1:70" s="425" customFormat="1" ht="24.95" customHeight="1" x14ac:dyDescent="0.2">
      <c r="A24" s="618" t="str">
        <f>+IF(ENERO!A24=0,"",ENERO!A24)</f>
        <v>1130101-2</v>
      </c>
      <c r="B24" s="654" t="str">
        <f>+IF(ENERO!B24=0,"",ENERO!B24)</f>
        <v>Vigencia Anterior</v>
      </c>
      <c r="C24" s="375">
        <f>+ENERO!C24</f>
        <v>0</v>
      </c>
      <c r="D24" s="376">
        <f>ENERO!D24+FEBRERO!P24</f>
        <v>0</v>
      </c>
      <c r="E24" s="376">
        <f>ENERO!E24+FEBRERO!Q24</f>
        <v>435611621</v>
      </c>
      <c r="F24" s="376">
        <f>SUM(C24:E24)</f>
        <v>435611621</v>
      </c>
      <c r="G24" s="376">
        <f>ENERO!I24</f>
        <v>81308744</v>
      </c>
      <c r="H24" s="377">
        <v>52857747</v>
      </c>
      <c r="I24" s="376">
        <f>SUM(G24:H24)</f>
        <v>134166491</v>
      </c>
      <c r="J24" s="376">
        <f>ENERO!L24</f>
        <v>81308744</v>
      </c>
      <c r="K24" s="377">
        <v>52857747</v>
      </c>
      <c r="L24" s="376">
        <f>SUM(J24:K24)</f>
        <v>134166491</v>
      </c>
      <c r="M24" s="376">
        <f>F24-I24</f>
        <v>301445130</v>
      </c>
      <c r="N24" s="146">
        <f>F24-L24</f>
        <v>301445130</v>
      </c>
      <c r="O24" s="385"/>
      <c r="P24" s="375">
        <v>0</v>
      </c>
      <c r="Q24" s="378">
        <v>0</v>
      </c>
      <c r="R24" s="9"/>
      <c r="S24" s="720" t="str">
        <f>+IF(ENERO!S24=0,"",ENERO!S24)</f>
        <v>1010104-4</v>
      </c>
      <c r="T24" s="738" t="str">
        <f>+IF(ENERO!T24=0,"",ENERO!T24)</f>
        <v>Prima Clima</v>
      </c>
      <c r="U24" s="29">
        <f>+ENERO!U24</f>
        <v>0</v>
      </c>
      <c r="V24" s="15">
        <f>ENERO!V24+FEBRERO!AL24</f>
        <v>0</v>
      </c>
      <c r="W24" s="15">
        <f>ENERO!W24+FEBRERO!AM24</f>
        <v>0</v>
      </c>
      <c r="X24" s="16">
        <f t="shared" si="17"/>
        <v>0</v>
      </c>
      <c r="Y24" s="19">
        <f>ENERO!AA24</f>
        <v>0</v>
      </c>
      <c r="Z24" s="377">
        <v>0</v>
      </c>
      <c r="AA24" s="18">
        <f t="shared" si="18"/>
        <v>0</v>
      </c>
      <c r="AB24" s="19">
        <f>ENERO!AD24</f>
        <v>0</v>
      </c>
      <c r="AC24" s="377">
        <v>0</v>
      </c>
      <c r="AD24" s="16">
        <f t="shared" si="19"/>
        <v>0</v>
      </c>
      <c r="AE24" s="19">
        <f>ENERO!AG24</f>
        <v>0</v>
      </c>
      <c r="AF24" s="377">
        <v>0</v>
      </c>
      <c r="AG24" s="16">
        <f t="shared" si="20"/>
        <v>0</v>
      </c>
      <c r="AH24" s="19">
        <f t="shared" si="21"/>
        <v>0</v>
      </c>
      <c r="AI24" s="15">
        <f t="shared" si="22"/>
        <v>0</v>
      </c>
      <c r="AJ24" s="16">
        <f t="shared" si="23"/>
        <v>0</v>
      </c>
      <c r="AK24" s="9"/>
      <c r="AL24" s="375">
        <v>0</v>
      </c>
      <c r="AM24" s="378">
        <v>0</v>
      </c>
      <c r="AN24" s="9"/>
      <c r="AO24" s="373"/>
      <c r="AP24" s="418" t="s">
        <v>115</v>
      </c>
      <c r="AQ24" s="434">
        <f>X35+X83</f>
        <v>400283995</v>
      </c>
      <c r="AR24" s="434">
        <f>AD35+AD83</f>
        <v>64088978</v>
      </c>
      <c r="AS24" s="434">
        <f>AG35+AG83</f>
        <v>35199624</v>
      </c>
      <c r="AT24" s="434"/>
      <c r="AU24" s="376">
        <f t="shared" si="25"/>
        <v>0.1601087697748195</v>
      </c>
      <c r="AV24" s="376">
        <f t="shared" si="26"/>
        <v>8.7936626094680601E-2</v>
      </c>
      <c r="AW24" s="376">
        <f>(AR24-AD41-AD88)/$AO$2*12+AD41+AD88</f>
        <v>214761478</v>
      </c>
      <c r="AX24" s="376">
        <f>(AS24-AG41-AG88)/$AO$2*12+AG41+AG88</f>
        <v>112729624</v>
      </c>
      <c r="AY24" s="376">
        <f t="shared" si="27"/>
        <v>185522517</v>
      </c>
      <c r="AZ24" s="146">
        <f t="shared" si="28"/>
        <v>287554371</v>
      </c>
      <c r="BA24" s="9"/>
      <c r="BB24" s="440"/>
      <c r="BC24" s="385"/>
      <c r="BD24" s="385"/>
      <c r="BE24" s="385"/>
      <c r="BF24" s="385"/>
      <c r="BG24" s="385"/>
      <c r="BH24" s="385"/>
      <c r="BI24" s="385"/>
      <c r="BJ24" s="385"/>
      <c r="BK24" s="385"/>
      <c r="BL24" s="385"/>
      <c r="BM24" s="140" t="s">
        <v>112</v>
      </c>
      <c r="BN24" s="83">
        <f>X170-X177-X174-X183-X191</f>
        <v>26292468</v>
      </c>
      <c r="BO24" s="81">
        <f>AA170-AA177-AA174-AA183-AA191</f>
        <v>5135527</v>
      </c>
      <c r="BP24" s="81">
        <f>AD170-AD177-AD174-AD183-AD191</f>
        <v>5135527</v>
      </c>
      <c r="BQ24" s="82">
        <f>AF170-AF177-AF174-AF183-AF191</f>
        <v>0</v>
      </c>
    </row>
    <row r="25" spans="1:70" s="385" customFormat="1" ht="24.95" customHeight="1" x14ac:dyDescent="0.25">
      <c r="A25" s="747">
        <f>+IF(ENERO!A25=0,"",ENERO!A25)</f>
        <v>1130102</v>
      </c>
      <c r="B25" s="653" t="str">
        <f>+IF(ENERO!B25=0,"",ENERO!B25)</f>
        <v>ARS - REGIMEN SUBSIDIADO</v>
      </c>
      <c r="C25" s="43">
        <f t="shared" ref="C25:N25" si="29">SUM(C26:C27)</f>
        <v>873986903</v>
      </c>
      <c r="D25" s="44">
        <f t="shared" si="29"/>
        <v>0</v>
      </c>
      <c r="E25" s="44">
        <f t="shared" si="29"/>
        <v>71552427</v>
      </c>
      <c r="F25" s="44">
        <f t="shared" si="29"/>
        <v>945539330</v>
      </c>
      <c r="G25" s="44">
        <f t="shared" si="29"/>
        <v>77570949</v>
      </c>
      <c r="H25" s="44">
        <f t="shared" si="29"/>
        <v>82502023</v>
      </c>
      <c r="I25" s="44">
        <f t="shared" si="29"/>
        <v>160072972</v>
      </c>
      <c r="J25" s="44">
        <f t="shared" si="29"/>
        <v>53051517</v>
      </c>
      <c r="K25" s="44">
        <f t="shared" si="29"/>
        <v>54828248</v>
      </c>
      <c r="L25" s="44">
        <f t="shared" si="29"/>
        <v>107879765</v>
      </c>
      <c r="M25" s="44">
        <f t="shared" si="29"/>
        <v>785466358</v>
      </c>
      <c r="N25" s="45">
        <f t="shared" si="29"/>
        <v>837659565</v>
      </c>
      <c r="P25" s="43">
        <f>SUM(P26:P27)</f>
        <v>0</v>
      </c>
      <c r="Q25" s="45">
        <f>SUM(Q26:Q27)</f>
        <v>0</v>
      </c>
      <c r="R25" s="9"/>
      <c r="S25" s="720" t="str">
        <f>+IF(ENERO!S25=0,"",ENERO!S25)</f>
        <v>1010104-5</v>
      </c>
      <c r="T25" s="738" t="str">
        <f>+IF(ENERO!T25=0,"",ENERO!T25)</f>
        <v>Prima de Servicios</v>
      </c>
      <c r="U25" s="29">
        <f>+ENERO!U25</f>
        <v>12683577</v>
      </c>
      <c r="V25" s="15">
        <f>ENERO!V25+FEBRERO!AL25</f>
        <v>0</v>
      </c>
      <c r="W25" s="15">
        <f>ENERO!W25+FEBRERO!AM25</f>
        <v>0</v>
      </c>
      <c r="X25" s="16">
        <f t="shared" si="17"/>
        <v>12683577</v>
      </c>
      <c r="Y25" s="19">
        <f>ENERO!AA25</f>
        <v>0</v>
      </c>
      <c r="Z25" s="377">
        <v>0</v>
      </c>
      <c r="AA25" s="18">
        <f t="shared" si="18"/>
        <v>0</v>
      </c>
      <c r="AB25" s="19">
        <f>ENERO!AD25</f>
        <v>0</v>
      </c>
      <c r="AC25" s="377">
        <v>0</v>
      </c>
      <c r="AD25" s="16">
        <f t="shared" si="19"/>
        <v>0</v>
      </c>
      <c r="AE25" s="19">
        <f>ENERO!AG25</f>
        <v>0</v>
      </c>
      <c r="AF25" s="377">
        <v>0</v>
      </c>
      <c r="AG25" s="16">
        <f t="shared" si="20"/>
        <v>0</v>
      </c>
      <c r="AH25" s="19">
        <f t="shared" si="21"/>
        <v>12683577</v>
      </c>
      <c r="AI25" s="15">
        <f t="shared" si="22"/>
        <v>12683577</v>
      </c>
      <c r="AJ25" s="16">
        <f t="shared" si="23"/>
        <v>12683577</v>
      </c>
      <c r="AK25" s="9"/>
      <c r="AL25" s="375">
        <v>0</v>
      </c>
      <c r="AM25" s="378">
        <v>0</v>
      </c>
      <c r="AN25" s="9"/>
      <c r="AO25" s="21"/>
      <c r="AP25" s="441" t="s">
        <v>118</v>
      </c>
      <c r="AQ25" s="376">
        <f>X43+X57+X90+X104</f>
        <v>529138337</v>
      </c>
      <c r="AR25" s="376">
        <f>AD43+AD57+AD90+AD104</f>
        <v>145427381</v>
      </c>
      <c r="AS25" s="376">
        <f>AG43+AG57+AG90+AG104</f>
        <v>135064337</v>
      </c>
      <c r="AT25" s="434"/>
      <c r="AU25" s="376">
        <f t="shared" si="25"/>
        <v>0.27483811100234079</v>
      </c>
      <c r="AV25" s="376">
        <f t="shared" si="26"/>
        <v>0.25525335730871451</v>
      </c>
      <c r="AW25" s="376">
        <f>(AR25-AD55-AD61-AD102-AD108)/$AO$2*12+AD55+AD61+AD102+AD108</f>
        <v>427566711</v>
      </c>
      <c r="AX25" s="376">
        <f>(AS25-AG55-AG61-AG102-AG108)/$AO$2*12+AG55+AG61+AG102+AG108</f>
        <v>376118167</v>
      </c>
      <c r="AY25" s="376">
        <f t="shared" si="27"/>
        <v>101571626</v>
      </c>
      <c r="AZ25" s="146">
        <f t="shared" si="28"/>
        <v>153020170</v>
      </c>
      <c r="BM25" s="143" t="s">
        <v>455</v>
      </c>
      <c r="BN25" s="106">
        <f>+SUM(BN26:BN28)</f>
        <v>315812208</v>
      </c>
      <c r="BO25" s="107">
        <f>+SUM(BO26:BO28)</f>
        <v>79719794</v>
      </c>
      <c r="BP25" s="107">
        <f>+SUM(BP26:BP28)</f>
        <v>54576694</v>
      </c>
      <c r="BQ25" s="108">
        <f>+SUM(BQ26:BQ28)</f>
        <v>2877500</v>
      </c>
      <c r="BR25" s="425"/>
    </row>
    <row r="26" spans="1:70" s="9" customFormat="1" ht="24.95" customHeight="1" x14ac:dyDescent="0.2">
      <c r="A26" s="618" t="str">
        <f>+IF(ENERO!A26=0,"",ENERO!A26)</f>
        <v>1130102-1</v>
      </c>
      <c r="B26" s="654" t="str">
        <f>+CONCATENATE("Vigencia ",INSTRUCCIONES!$F$3)</f>
        <v>Vigencia 2015</v>
      </c>
      <c r="C26" s="375">
        <f>+ENERO!C26</f>
        <v>873986903</v>
      </c>
      <c r="D26" s="376">
        <f>ENERO!D26+FEBRERO!P26</f>
        <v>0</v>
      </c>
      <c r="E26" s="376">
        <f>ENERO!E26+FEBRERO!Q26</f>
        <v>0</v>
      </c>
      <c r="F26" s="376">
        <f>SUM(C26:E26)</f>
        <v>873986903</v>
      </c>
      <c r="G26" s="376">
        <f>ENERO!I26</f>
        <v>62909682</v>
      </c>
      <c r="H26" s="377">
        <v>67198939</v>
      </c>
      <c r="I26" s="376">
        <f>SUM(G26:H26)</f>
        <v>130108621</v>
      </c>
      <c r="J26" s="376">
        <f>ENERO!L26</f>
        <v>38390250</v>
      </c>
      <c r="K26" s="377">
        <v>39525164</v>
      </c>
      <c r="L26" s="376">
        <f>SUM(J26:K26)</f>
        <v>77915414</v>
      </c>
      <c r="M26" s="376">
        <f>F26-I26</f>
        <v>743878282</v>
      </c>
      <c r="N26" s="146">
        <f>F26-L26</f>
        <v>796071489</v>
      </c>
      <c r="P26" s="375">
        <v>0</v>
      </c>
      <c r="Q26" s="378">
        <v>0</v>
      </c>
      <c r="S26" s="720" t="str">
        <f>+IF(ENERO!S26=0,"",ENERO!S26)</f>
        <v>1010104-8</v>
      </c>
      <c r="T26" s="738" t="str">
        <f>+IF(ENERO!T26=0,"",ENERO!T26)</f>
        <v>Bonific. por Servicios Prestados (Convencional)</v>
      </c>
      <c r="U26" s="29">
        <f>+ENERO!U26</f>
        <v>0</v>
      </c>
      <c r="V26" s="15">
        <f>ENERO!V26+FEBRERO!AL26</f>
        <v>0</v>
      </c>
      <c r="W26" s="15">
        <f>ENERO!W26+FEBRERO!AM26</f>
        <v>0</v>
      </c>
      <c r="X26" s="16">
        <f t="shared" si="17"/>
        <v>0</v>
      </c>
      <c r="Y26" s="19">
        <f>ENERO!AA26</f>
        <v>0</v>
      </c>
      <c r="Z26" s="377">
        <v>0</v>
      </c>
      <c r="AA26" s="18">
        <f t="shared" si="18"/>
        <v>0</v>
      </c>
      <c r="AB26" s="19">
        <f>ENERO!AD26</f>
        <v>0</v>
      </c>
      <c r="AC26" s="377">
        <v>0</v>
      </c>
      <c r="AD26" s="16">
        <f t="shared" si="19"/>
        <v>0</v>
      </c>
      <c r="AE26" s="19">
        <f>ENERO!AG26</f>
        <v>0</v>
      </c>
      <c r="AF26" s="377">
        <v>0</v>
      </c>
      <c r="AG26" s="16">
        <f t="shared" si="20"/>
        <v>0</v>
      </c>
      <c r="AH26" s="19">
        <f t="shared" si="21"/>
        <v>0</v>
      </c>
      <c r="AI26" s="15">
        <f t="shared" si="22"/>
        <v>0</v>
      </c>
      <c r="AJ26" s="16">
        <f t="shared" si="23"/>
        <v>0</v>
      </c>
      <c r="AL26" s="375">
        <v>0</v>
      </c>
      <c r="AM26" s="378">
        <v>0</v>
      </c>
      <c r="AO26" s="21"/>
      <c r="AP26" s="442" t="s">
        <v>122</v>
      </c>
      <c r="AQ26" s="330">
        <f>X110</f>
        <v>716782901</v>
      </c>
      <c r="AR26" s="330">
        <f>AD110</f>
        <v>219821006</v>
      </c>
      <c r="AS26" s="330">
        <f>AG110</f>
        <v>63336906</v>
      </c>
      <c r="AT26" s="374">
        <f>AO2/12</f>
        <v>0.16666666666666666</v>
      </c>
      <c r="AU26" s="345">
        <f t="shared" si="25"/>
        <v>0.30667724591828677</v>
      </c>
      <c r="AV26" s="345">
        <f t="shared" si="26"/>
        <v>8.8362746811673734E-2</v>
      </c>
      <c r="AW26" s="439">
        <f>(AR26-AD121-AD139-AD143-AD153-AD168)/$AO$2*12+AD121+AD139+AD143+AD153+AD168</f>
        <v>807455966</v>
      </c>
      <c r="AX26" s="439">
        <f>(AS26-AG121-AG139-AG143-AG153-AG168)/$AO$2*12+AG121+AG139+AG143+AG153+AG168</f>
        <v>190476976</v>
      </c>
      <c r="AY26" s="439">
        <f t="shared" si="27"/>
        <v>-90673065</v>
      </c>
      <c r="AZ26" s="46">
        <f t="shared" si="28"/>
        <v>526305925</v>
      </c>
      <c r="BA26" s="385"/>
      <c r="BB26" s="385"/>
      <c r="BC26" s="385"/>
      <c r="BD26" s="385"/>
      <c r="BE26" s="385"/>
      <c r="BF26" s="385"/>
      <c r="BG26" s="385"/>
      <c r="BH26" s="385"/>
      <c r="BI26" s="385"/>
      <c r="BJ26" s="385"/>
      <c r="BK26" s="385"/>
      <c r="BM26" s="109" t="s">
        <v>456</v>
      </c>
      <c r="BN26" s="86">
        <f>+X196+X212</f>
        <v>187244601</v>
      </c>
      <c r="BO26" s="84">
        <f>+AA196+AA212</f>
        <v>56498915</v>
      </c>
      <c r="BP26" s="84">
        <f>+AD196+AD212</f>
        <v>31355815</v>
      </c>
      <c r="BQ26" s="85">
        <f>+AF196+AF212</f>
        <v>0</v>
      </c>
      <c r="BR26" s="385"/>
    </row>
    <row r="27" spans="1:70" s="425" customFormat="1" ht="24.95" customHeight="1" x14ac:dyDescent="0.2">
      <c r="A27" s="618" t="str">
        <f>+IF(ENERO!A27=0,"",ENERO!A27)</f>
        <v>1130102-2</v>
      </c>
      <c r="B27" s="654" t="str">
        <f>+IF(ENERO!B27=0,"",ENERO!B27)</f>
        <v>Vigencia Anterior</v>
      </c>
      <c r="C27" s="375">
        <f>+ENERO!C27</f>
        <v>0</v>
      </c>
      <c r="D27" s="376">
        <f>ENERO!D27+FEBRERO!P27</f>
        <v>0</v>
      </c>
      <c r="E27" s="376">
        <f>ENERO!E27+FEBRERO!Q27</f>
        <v>71552427</v>
      </c>
      <c r="F27" s="376">
        <f>SUM(C27:E27)</f>
        <v>71552427</v>
      </c>
      <c r="G27" s="376">
        <f>ENERO!I27</f>
        <v>14661267</v>
      </c>
      <c r="H27" s="377">
        <v>15303084</v>
      </c>
      <c r="I27" s="376">
        <f>SUM(G27:H27)</f>
        <v>29964351</v>
      </c>
      <c r="J27" s="376">
        <f>ENERO!L27</f>
        <v>14661267</v>
      </c>
      <c r="K27" s="377">
        <v>15303084</v>
      </c>
      <c r="L27" s="376">
        <f>SUM(J27:K27)</f>
        <v>29964351</v>
      </c>
      <c r="M27" s="376">
        <f>F27-I27</f>
        <v>41588076</v>
      </c>
      <c r="N27" s="146">
        <f>F27-L27</f>
        <v>41588076</v>
      </c>
      <c r="O27" s="385"/>
      <c r="P27" s="375">
        <v>0</v>
      </c>
      <c r="Q27" s="378">
        <v>0</v>
      </c>
      <c r="R27" s="9"/>
      <c r="S27" s="720" t="str">
        <f>+IF(ENERO!S27=0,"",ENERO!S27)</f>
        <v>1010104-9</v>
      </c>
      <c r="T27" s="738" t="str">
        <f>+IF(ENERO!T27=0,"",ENERO!T27)</f>
        <v>Auxilio de Transporte</v>
      </c>
      <c r="U27" s="29">
        <f>+ENERO!U27</f>
        <v>1625120</v>
      </c>
      <c r="V27" s="15">
        <f>ENERO!V27+FEBRERO!AL27</f>
        <v>0</v>
      </c>
      <c r="W27" s="15">
        <f>ENERO!W27+FEBRERO!AM27</f>
        <v>0</v>
      </c>
      <c r="X27" s="16">
        <f t="shared" si="17"/>
        <v>1625120</v>
      </c>
      <c r="Y27" s="19">
        <f>ENERO!AA27</f>
        <v>72000</v>
      </c>
      <c r="Z27" s="377">
        <v>74000</v>
      </c>
      <c r="AA27" s="18">
        <f t="shared" si="18"/>
        <v>146000</v>
      </c>
      <c r="AB27" s="19">
        <f>ENERO!AD27</f>
        <v>72000</v>
      </c>
      <c r="AC27" s="377">
        <v>74000</v>
      </c>
      <c r="AD27" s="16">
        <f t="shared" si="19"/>
        <v>146000</v>
      </c>
      <c r="AE27" s="19">
        <f>ENERO!AG27</f>
        <v>72000</v>
      </c>
      <c r="AF27" s="377">
        <v>45822</v>
      </c>
      <c r="AG27" s="16">
        <f t="shared" si="20"/>
        <v>117822</v>
      </c>
      <c r="AH27" s="19">
        <f t="shared" si="21"/>
        <v>1479120</v>
      </c>
      <c r="AI27" s="15">
        <f t="shared" si="22"/>
        <v>1479120</v>
      </c>
      <c r="AJ27" s="16">
        <f t="shared" si="23"/>
        <v>1507298</v>
      </c>
      <c r="AK27" s="9"/>
      <c r="AL27" s="375">
        <v>0</v>
      </c>
      <c r="AM27" s="378">
        <v>0</v>
      </c>
      <c r="AN27" s="9"/>
      <c r="AO27" s="352"/>
      <c r="AP27" s="441" t="s">
        <v>126</v>
      </c>
      <c r="AQ27" s="376">
        <f>X170</f>
        <v>74494094</v>
      </c>
      <c r="AR27" s="376">
        <f>AD170</f>
        <v>19146489</v>
      </c>
      <c r="AS27" s="376">
        <f>AG170</f>
        <v>10968483</v>
      </c>
      <c r="AT27" s="434"/>
      <c r="AU27" s="376">
        <f t="shared" si="25"/>
        <v>0.25702022767066607</v>
      </c>
      <c r="AV27" s="376">
        <f t="shared" si="26"/>
        <v>0.14723963217808919</v>
      </c>
      <c r="AW27" s="376">
        <f>(AR27-AD174-AD183-AD191)/$AO$2*12+AD174+AD183+AD191</f>
        <v>70269884</v>
      </c>
      <c r="AX27" s="376">
        <f>(AS27-AG174-AG183-AG191)/$AO$2*12+AG174+AG183+AG191</f>
        <v>23258478</v>
      </c>
      <c r="AY27" s="376">
        <f t="shared" si="27"/>
        <v>4224210</v>
      </c>
      <c r="AZ27" s="146">
        <f t="shared" si="28"/>
        <v>51235616</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+IF(ENERO!A28=0,"",ENERO!A28)</f>
        <v>1130103</v>
      </c>
      <c r="B28" s="630" t="str">
        <f>+IF(ENERO!B28=0,"",ENERO!B28)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24815647</v>
      </c>
      <c r="H28" s="44">
        <f t="shared" si="30"/>
        <v>24815647</v>
      </c>
      <c r="I28" s="44">
        <f t="shared" si="30"/>
        <v>49631294</v>
      </c>
      <c r="J28" s="44">
        <f t="shared" si="30"/>
        <v>24815647</v>
      </c>
      <c r="K28" s="44">
        <f t="shared" si="30"/>
        <v>24815647</v>
      </c>
      <c r="L28" s="44">
        <f t="shared" si="30"/>
        <v>49631294</v>
      </c>
      <c r="M28" s="44">
        <f t="shared" si="30"/>
        <v>301095534</v>
      </c>
      <c r="N28" s="45">
        <f t="shared" si="30"/>
        <v>301095534</v>
      </c>
      <c r="O28" s="385"/>
      <c r="P28" s="43">
        <f>P29+P32+P35+P38+P39+P940</f>
        <v>0</v>
      </c>
      <c r="Q28" s="45">
        <f>Q29+Q32+Q35+Q38+Q39+Q40</f>
        <v>0</v>
      </c>
      <c r="R28" s="9"/>
      <c r="S28" s="720" t="str">
        <f>+IF(ENERO!S28=0,"",ENERO!S28)</f>
        <v>1010104-10</v>
      </c>
      <c r="T28" s="738" t="str">
        <f>+IF(ENERO!T28=0,"",ENERO!T28)</f>
        <v>Subsidio de Alimentación</v>
      </c>
      <c r="U28" s="29">
        <f>+ENERO!U28</f>
        <v>0</v>
      </c>
      <c r="V28" s="15">
        <f>ENERO!V28+FEBRERO!AL28</f>
        <v>0</v>
      </c>
      <c r="W28" s="15">
        <f>ENERO!W28+FEBRERO!AM28</f>
        <v>0</v>
      </c>
      <c r="X28" s="16">
        <f t="shared" si="17"/>
        <v>0</v>
      </c>
      <c r="Y28" s="19">
        <f>ENERO!AA28</f>
        <v>0</v>
      </c>
      <c r="Z28" s="377">
        <v>0</v>
      </c>
      <c r="AA28" s="18">
        <f t="shared" si="18"/>
        <v>0</v>
      </c>
      <c r="AB28" s="19">
        <f>ENERO!AD28</f>
        <v>0</v>
      </c>
      <c r="AC28" s="377">
        <v>0</v>
      </c>
      <c r="AD28" s="16">
        <f t="shared" si="19"/>
        <v>0</v>
      </c>
      <c r="AE28" s="19">
        <f>ENERO!AG28</f>
        <v>0</v>
      </c>
      <c r="AF28" s="377">
        <v>0</v>
      </c>
      <c r="AG28" s="16">
        <f t="shared" si="20"/>
        <v>0</v>
      </c>
      <c r="AH28" s="19">
        <f t="shared" si="21"/>
        <v>0</v>
      </c>
      <c r="AI28" s="15">
        <f t="shared" si="22"/>
        <v>0</v>
      </c>
      <c r="AJ28" s="16">
        <f t="shared" si="23"/>
        <v>0</v>
      </c>
      <c r="AK28" s="9"/>
      <c r="AL28" s="375">
        <v>0</v>
      </c>
      <c r="AM28" s="378">
        <v>0</v>
      </c>
      <c r="AN28" s="9"/>
      <c r="AO28" s="352"/>
      <c r="AP28" s="441" t="s">
        <v>129</v>
      </c>
      <c r="AQ28" s="434">
        <f>X193</f>
        <v>407648140</v>
      </c>
      <c r="AR28" s="434">
        <f>AD193</f>
        <v>146412626</v>
      </c>
      <c r="AS28" s="434">
        <f>AG193</f>
        <v>30805000</v>
      </c>
      <c r="AT28" s="434"/>
      <c r="AU28" s="376">
        <f t="shared" si="25"/>
        <v>0.35916421941726512</v>
      </c>
      <c r="AV28" s="376">
        <f t="shared" si="26"/>
        <v>7.5567620644607869E-2</v>
      </c>
      <c r="AW28" s="376">
        <f>(AR28-AD205)/$AO$2*12+AD205</f>
        <v>419296096</v>
      </c>
      <c r="AX28" s="376">
        <f>(AS28-AG205)/$AO$2*12+AG205</f>
        <v>46567500</v>
      </c>
      <c r="AY28" s="376">
        <f t="shared" si="27"/>
        <v>-11647956</v>
      </c>
      <c r="AZ28" s="146">
        <f t="shared" si="28"/>
        <v>361080640</v>
      </c>
      <c r="BA28" s="385"/>
      <c r="BB28" s="385"/>
      <c r="BC28" s="385"/>
      <c r="BD28" s="385"/>
      <c r="BE28" s="385"/>
      <c r="BF28" s="385"/>
      <c r="BG28" s="385"/>
      <c r="BH28" s="385"/>
      <c r="BI28" s="385"/>
      <c r="BJ28" s="385"/>
      <c r="BK28" s="385"/>
      <c r="BL28" s="385"/>
      <c r="BM28" s="71" t="s">
        <v>458</v>
      </c>
      <c r="BN28" s="83">
        <f>+X194-X196-X205</f>
        <v>128567607</v>
      </c>
      <c r="BO28" s="81">
        <f>+AA194-AA196-AA205</f>
        <v>23220879</v>
      </c>
      <c r="BP28" s="81">
        <f>+AD194-AD196-AD205</f>
        <v>23220879</v>
      </c>
      <c r="BQ28" s="82">
        <f>+AF194-AF196-AF205</f>
        <v>2877500</v>
      </c>
      <c r="BR28" s="9"/>
    </row>
    <row r="29" spans="1:70" s="9" customFormat="1" ht="24.95" customHeight="1" x14ac:dyDescent="0.25">
      <c r="A29" s="618" t="str">
        <f>+IF(ENERO!A29=0,"",ENERO!A29)</f>
        <v>1130103-1</v>
      </c>
      <c r="B29" s="655" t="str">
        <f>+IF(ENERO!B29=0,"",ENERO!B29)</f>
        <v>Prestación de Servicios de salud  1er Nivel</v>
      </c>
      <c r="C29" s="19">
        <f t="shared" ref="C29:N29" si="31">SUM(C30:C31)</f>
        <v>24095828</v>
      </c>
      <c r="D29" s="15">
        <f t="shared" si="31"/>
        <v>0</v>
      </c>
      <c r="E29" s="15">
        <f t="shared" si="31"/>
        <v>0</v>
      </c>
      <c r="F29" s="15">
        <f t="shared" si="31"/>
        <v>24095828</v>
      </c>
      <c r="G29" s="15">
        <f t="shared" si="31"/>
        <v>0</v>
      </c>
      <c r="H29" s="15">
        <f t="shared" si="31"/>
        <v>0</v>
      </c>
      <c r="I29" s="15">
        <f t="shared" si="31"/>
        <v>0</v>
      </c>
      <c r="J29" s="15">
        <f t="shared" si="31"/>
        <v>0</v>
      </c>
      <c r="K29" s="15">
        <f t="shared" si="31"/>
        <v>0</v>
      </c>
      <c r="L29" s="15">
        <f t="shared" si="31"/>
        <v>0</v>
      </c>
      <c r="M29" s="15">
        <f t="shared" si="31"/>
        <v>24095828</v>
      </c>
      <c r="N29" s="16">
        <f t="shared" si="31"/>
        <v>24095828</v>
      </c>
      <c r="O29" s="385"/>
      <c r="P29" s="147">
        <f>SUM(P30:P31)</f>
        <v>0</v>
      </c>
      <c r="Q29" s="148">
        <f>SUM(Q30:Q31)</f>
        <v>0</v>
      </c>
      <c r="S29" s="720" t="str">
        <f>+IF(ENERO!S29=0,"",ENERO!S29)</f>
        <v>1010104-11</v>
      </c>
      <c r="T29" s="738" t="str">
        <f>+IF(ENERO!T29=0,"",ENERO!T29)</f>
        <v>Gastos de Representación</v>
      </c>
      <c r="U29" s="29">
        <f>+ENERO!U29</f>
        <v>0</v>
      </c>
      <c r="V29" s="15">
        <f>ENERO!V29+FEBRERO!AL29</f>
        <v>0</v>
      </c>
      <c r="W29" s="15">
        <f>ENERO!W29+FEBRERO!AM29</f>
        <v>0</v>
      </c>
      <c r="X29" s="16">
        <f t="shared" si="17"/>
        <v>0</v>
      </c>
      <c r="Y29" s="19">
        <f>ENERO!AA29</f>
        <v>0</v>
      </c>
      <c r="Z29" s="377">
        <v>0</v>
      </c>
      <c r="AA29" s="18">
        <f t="shared" si="18"/>
        <v>0</v>
      </c>
      <c r="AB29" s="19">
        <f>ENERO!AD29</f>
        <v>0</v>
      </c>
      <c r="AC29" s="377">
        <v>0</v>
      </c>
      <c r="AD29" s="16">
        <f t="shared" si="19"/>
        <v>0</v>
      </c>
      <c r="AE29" s="19">
        <f>ENERO!AG29</f>
        <v>0</v>
      </c>
      <c r="AF29" s="377">
        <v>0</v>
      </c>
      <c r="AG29" s="16">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v>0</v>
      </c>
      <c r="AZ29" s="46">
        <f t="shared" si="28"/>
        <v>0</v>
      </c>
      <c r="BA29" s="385"/>
      <c r="BB29" s="425"/>
      <c r="BC29" s="425"/>
      <c r="BD29" s="425"/>
      <c r="BE29" s="425"/>
      <c r="BF29" s="425"/>
      <c r="BG29" s="385"/>
      <c r="BH29" s="385"/>
      <c r="BI29" s="385"/>
      <c r="BJ29" s="385"/>
      <c r="BK29" s="385"/>
      <c r="BM29" s="110" t="s">
        <v>72</v>
      </c>
      <c r="BN29" s="106">
        <f>X232-X256-X241</f>
        <v>436000000</v>
      </c>
      <c r="BO29" s="107">
        <f>AA232-AA256-AA241</f>
        <v>0</v>
      </c>
      <c r="BP29" s="107">
        <f>AD232-AD256-AD241</f>
        <v>0</v>
      </c>
      <c r="BQ29" s="108">
        <f>AF232-AF256-AF241</f>
        <v>0</v>
      </c>
      <c r="BR29" s="425"/>
    </row>
    <row r="30" spans="1:70" s="425" customFormat="1" ht="24.95" customHeight="1" x14ac:dyDescent="0.25">
      <c r="A30" s="618" t="str">
        <f>+IF(ENERO!A30=0,"",ENERO!A30)</f>
        <v>1130103-1-1</v>
      </c>
      <c r="B30" s="654" t="str">
        <f>+CONCATENATE("Vigencia ",INSTRUCCIONES!$F$3)</f>
        <v>Vigencia 2015</v>
      </c>
      <c r="C30" s="375">
        <f>+ENERO!C30</f>
        <v>24095828</v>
      </c>
      <c r="D30" s="376">
        <f>ENERO!D30+FEBRERO!P30</f>
        <v>0</v>
      </c>
      <c r="E30" s="376">
        <f>ENERO!E30+FEBRERO!Q30</f>
        <v>0</v>
      </c>
      <c r="F30" s="376">
        <f>SUM(C30:E30)</f>
        <v>24095828</v>
      </c>
      <c r="G30" s="376">
        <f>ENERO!I30</f>
        <v>0</v>
      </c>
      <c r="H30" s="377">
        <v>0</v>
      </c>
      <c r="I30" s="376">
        <f>SUM(G30:H30)</f>
        <v>0</v>
      </c>
      <c r="J30" s="376">
        <f>ENERO!L30</f>
        <v>0</v>
      </c>
      <c r="K30" s="377">
        <v>0</v>
      </c>
      <c r="L30" s="376">
        <f>SUM(J30:K30)</f>
        <v>0</v>
      </c>
      <c r="M30" s="376">
        <f>F30-I30</f>
        <v>24095828</v>
      </c>
      <c r="N30" s="146">
        <f>F30-L30</f>
        <v>24095828</v>
      </c>
      <c r="O30" s="9"/>
      <c r="P30" s="375">
        <v>0</v>
      </c>
      <c r="Q30" s="378">
        <v>0</v>
      </c>
      <c r="R30" s="9"/>
      <c r="S30" s="720" t="str">
        <f>+IF(ENERO!S30=0,"",ENERO!S30)</f>
        <v>1010104-12</v>
      </c>
      <c r="T30" s="738" t="str">
        <f>+IF(ENERO!T30=0,"",ENERO!T30)</f>
        <v xml:space="preserve"> Indemnizaciones por Vacaciones o Supresión de Cargos por Reestructuración</v>
      </c>
      <c r="U30" s="29">
        <f>+ENERO!U30</f>
        <v>0</v>
      </c>
      <c r="V30" s="15">
        <f>ENERO!V30+FEBRERO!AL30</f>
        <v>0</v>
      </c>
      <c r="W30" s="15">
        <f>ENERO!W30+FEBRERO!AM30</f>
        <v>0</v>
      </c>
      <c r="X30" s="16">
        <f t="shared" si="17"/>
        <v>0</v>
      </c>
      <c r="Y30" s="19">
        <f>ENERO!AA30</f>
        <v>0</v>
      </c>
      <c r="Z30" s="377">
        <v>0</v>
      </c>
      <c r="AA30" s="18">
        <f t="shared" si="18"/>
        <v>0</v>
      </c>
      <c r="AB30" s="19">
        <f>ENERO!AD30</f>
        <v>0</v>
      </c>
      <c r="AC30" s="377">
        <v>0</v>
      </c>
      <c r="AD30" s="16">
        <f t="shared" si="19"/>
        <v>0</v>
      </c>
      <c r="AE30" s="19">
        <f>ENERO!AG30</f>
        <v>0</v>
      </c>
      <c r="AF30" s="377">
        <v>0</v>
      </c>
      <c r="AG30" s="16">
        <f t="shared" si="20"/>
        <v>0</v>
      </c>
      <c r="AH30" s="19">
        <f t="shared" si="21"/>
        <v>0</v>
      </c>
      <c r="AI30" s="15">
        <f t="shared" si="22"/>
        <v>0</v>
      </c>
      <c r="AJ30" s="16">
        <f t="shared" si="23"/>
        <v>0</v>
      </c>
      <c r="AK30" s="9"/>
      <c r="AL30" s="375">
        <v>0</v>
      </c>
      <c r="AM30" s="378">
        <v>0</v>
      </c>
      <c r="AN30" s="9"/>
      <c r="AO30" s="373" t="s">
        <v>53</v>
      </c>
      <c r="AP30" s="441" t="s">
        <v>136</v>
      </c>
      <c r="AQ30" s="376">
        <f>X220+X232</f>
        <v>436000000</v>
      </c>
      <c r="AR30" s="376">
        <f>AD220+AD232</f>
        <v>0</v>
      </c>
      <c r="AS30" s="376">
        <f>AG220+AG232</f>
        <v>0</v>
      </c>
      <c r="AT30" s="434"/>
      <c r="AU30" s="376">
        <f t="shared" si="25"/>
        <v>0</v>
      </c>
      <c r="AV30" s="376">
        <f t="shared" si="26"/>
        <v>0</v>
      </c>
      <c r="AW30" s="376">
        <f>(AR30-AD225-AD230-AD241-AD256)/$AO$2*12+AD225+AD230+AD241+AD256</f>
        <v>0</v>
      </c>
      <c r="AX30" s="376">
        <f>(AS30-AG225-AG230-AG241-AG256)/$AO$2*12+AG225+AG230+AG241+AG256</f>
        <v>0</v>
      </c>
      <c r="AY30" s="376">
        <f>AQ30-AW30</f>
        <v>436000000</v>
      </c>
      <c r="AZ30" s="146">
        <f t="shared" si="28"/>
        <v>436000000</v>
      </c>
      <c r="BA30" s="385"/>
      <c r="BG30" s="385"/>
      <c r="BH30" s="385"/>
      <c r="BI30" s="385"/>
      <c r="BJ30" s="385"/>
      <c r="BK30" s="385"/>
      <c r="BL30" s="385"/>
      <c r="BM30" s="110" t="s">
        <v>76</v>
      </c>
      <c r="BN30" s="106">
        <f>X220-X225-X230</f>
        <v>0</v>
      </c>
      <c r="BO30" s="107">
        <f>AA220-AA225-AA230</f>
        <v>0</v>
      </c>
      <c r="BP30" s="107">
        <f>AD220-AD225-AD230</f>
        <v>0</v>
      </c>
      <c r="BQ30" s="108">
        <f>AF220-AF225-AF230</f>
        <v>0</v>
      </c>
    </row>
    <row r="31" spans="1:70" s="425" customFormat="1" ht="24.95" customHeight="1" x14ac:dyDescent="0.25">
      <c r="A31" s="618" t="str">
        <f>+IF(ENERO!A31=0,"",ENERO!A31)</f>
        <v>1130103-1-2</v>
      </c>
      <c r="B31" s="654" t="str">
        <f>+IF(ENERO!B31=0,"",ENERO!B31)</f>
        <v>Vigencia Anterior</v>
      </c>
      <c r="C31" s="375">
        <f>+ENERO!C31</f>
        <v>0</v>
      </c>
      <c r="D31" s="376">
        <f>ENERO!D31+FEBRERO!P31</f>
        <v>0</v>
      </c>
      <c r="E31" s="376">
        <f>ENERO!E31+FEBRERO!Q31</f>
        <v>0</v>
      </c>
      <c r="F31" s="376">
        <f>SUM(C31:E31)</f>
        <v>0</v>
      </c>
      <c r="G31" s="376">
        <f>ENERO!I31</f>
        <v>0</v>
      </c>
      <c r="H31" s="377">
        <v>0</v>
      </c>
      <c r="I31" s="376">
        <f>SUM(G31:H31)</f>
        <v>0</v>
      </c>
      <c r="J31" s="376">
        <f>ENERO!L31</f>
        <v>0</v>
      </c>
      <c r="K31" s="377">
        <v>0</v>
      </c>
      <c r="L31" s="376">
        <f>SUM(J31:K31)</f>
        <v>0</v>
      </c>
      <c r="M31" s="376">
        <f>F31-I31</f>
        <v>0</v>
      </c>
      <c r="N31" s="146">
        <f>F31-L31</f>
        <v>0</v>
      </c>
      <c r="O31" s="385"/>
      <c r="P31" s="375">
        <v>0</v>
      </c>
      <c r="Q31" s="378">
        <v>0</v>
      </c>
      <c r="R31" s="9"/>
      <c r="S31" s="720" t="str">
        <f>+IF(ENERO!S31=0,"",ENERO!S31)</f>
        <v>1010104-13</v>
      </c>
      <c r="T31" s="738" t="str">
        <f>+IF(ENERO!T31=0,"",ENERO!T31)</f>
        <v>Bonificación Especial por Recreación</v>
      </c>
      <c r="U31" s="29">
        <f>+ENERO!U31</f>
        <v>1691144</v>
      </c>
      <c r="V31" s="15">
        <f>ENERO!V31+FEBRERO!AL31</f>
        <v>0</v>
      </c>
      <c r="W31" s="15">
        <f>ENERO!W31+FEBRERO!AM31</f>
        <v>0</v>
      </c>
      <c r="X31" s="16">
        <f t="shared" si="17"/>
        <v>1691144</v>
      </c>
      <c r="Y31" s="19">
        <f>ENERO!AA31</f>
        <v>0</v>
      </c>
      <c r="Z31" s="377">
        <v>0</v>
      </c>
      <c r="AA31" s="18">
        <f t="shared" si="18"/>
        <v>0</v>
      </c>
      <c r="AB31" s="19">
        <f>ENERO!AD31</f>
        <v>0</v>
      </c>
      <c r="AC31" s="377">
        <v>0</v>
      </c>
      <c r="AD31" s="16">
        <f t="shared" si="19"/>
        <v>0</v>
      </c>
      <c r="AE31" s="19">
        <f>ENERO!AG31</f>
        <v>0</v>
      </c>
      <c r="AF31" s="377">
        <v>0</v>
      </c>
      <c r="AG31" s="16">
        <f t="shared" si="20"/>
        <v>0</v>
      </c>
      <c r="AH31" s="19">
        <f t="shared" si="21"/>
        <v>1691144</v>
      </c>
      <c r="AI31" s="15">
        <f t="shared" si="22"/>
        <v>1691144</v>
      </c>
      <c r="AJ31" s="16">
        <f t="shared" si="23"/>
        <v>1691144</v>
      </c>
      <c r="AK31" s="9"/>
      <c r="AL31" s="375">
        <v>0</v>
      </c>
      <c r="AM31" s="378">
        <v>0</v>
      </c>
      <c r="AN31" s="9"/>
      <c r="AO31" s="352"/>
      <c r="AP31" s="418" t="s">
        <v>139</v>
      </c>
      <c r="AQ31" s="434">
        <f>X258</f>
        <v>0</v>
      </c>
      <c r="AR31" s="434">
        <f>AD258</f>
        <v>-347254748</v>
      </c>
      <c r="AS31" s="434">
        <f>AG258</f>
        <v>-443729055</v>
      </c>
      <c r="AT31" s="434"/>
      <c r="AU31" s="376" t="str">
        <f t="shared" si="25"/>
        <v xml:space="preserve"> </v>
      </c>
      <c r="AV31" s="376" t="str">
        <f t="shared" si="26"/>
        <v xml:space="preserve"> </v>
      </c>
      <c r="AW31" s="376">
        <f>AQ31</f>
        <v>0</v>
      </c>
      <c r="AX31" s="376">
        <f>AQ31</f>
        <v>0</v>
      </c>
      <c r="AY31" s="376">
        <f>AQ31-AW31</f>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340490276</v>
      </c>
      <c r="BP31" s="107">
        <f>AD33+AD41+AD55+AD61+AD81+AD88+AD102+AD108+AD121+AD139+AD143+AD153+AD168+AD174+AD183+AD191+AD205+AD218+AD230+AD241+AD256+AD225</f>
        <v>342364056</v>
      </c>
      <c r="BQ31" s="108">
        <f>AF33+AF41+AF55+AF61+AF81+AF88+AF102+AF108+AF121+AF139+AF143+AF153+AF168+AF174+AF183+AF191+AF205+AF218+AF230+AF241+AF256+AF225</f>
        <v>140400696</v>
      </c>
      <c r="BR31" s="9"/>
    </row>
    <row r="32" spans="1:70" s="9" customFormat="1" ht="24.95" customHeight="1" thickBot="1" x14ac:dyDescent="0.3">
      <c r="A32" s="618" t="str">
        <f>+IF(ENERO!A32=0,"",ENERO!A32)</f>
        <v>1130103-2</v>
      </c>
      <c r="B32" s="655" t="str">
        <f>+IF(ENERO!B32=0,"",ENERO!B32)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+IF(ENERO!S32=0,"",ENERO!S32)</f>
        <v>1010104-14</v>
      </c>
      <c r="T32" s="738" t="str">
        <f>+IF(ENERO!T32=0,"",ENERO!T32)</f>
        <v/>
      </c>
      <c r="U32" s="29">
        <f>+ENERO!U32</f>
        <v>0</v>
      </c>
      <c r="V32" s="15">
        <f>ENERO!V32+FEBRERO!AL32</f>
        <v>0</v>
      </c>
      <c r="W32" s="15">
        <f>ENERO!W32+FEBRERO!AM32</f>
        <v>0</v>
      </c>
      <c r="X32" s="16">
        <f t="shared" si="17"/>
        <v>0</v>
      </c>
      <c r="Y32" s="19">
        <f>ENERO!AA32</f>
        <v>0</v>
      </c>
      <c r="Z32" s="377">
        <v>0</v>
      </c>
      <c r="AA32" s="18">
        <f t="shared" si="18"/>
        <v>0</v>
      </c>
      <c r="AB32" s="19">
        <f>ENERO!AD32</f>
        <v>0</v>
      </c>
      <c r="AC32" s="377">
        <v>0</v>
      </c>
      <c r="AD32" s="16">
        <f t="shared" si="19"/>
        <v>0</v>
      </c>
      <c r="AE32" s="19">
        <f>ENERO!AG32</f>
        <v>0</v>
      </c>
      <c r="AF32" s="377">
        <v>0</v>
      </c>
      <c r="AG32" s="16">
        <f t="shared" si="20"/>
        <v>0</v>
      </c>
      <c r="AH32" s="19">
        <f t="shared" si="21"/>
        <v>0</v>
      </c>
      <c r="AI32" s="15">
        <f t="shared" si="22"/>
        <v>0</v>
      </c>
      <c r="AJ32" s="16">
        <f t="shared" si="23"/>
        <v>0</v>
      </c>
      <c r="AL32" s="375">
        <v>0</v>
      </c>
      <c r="AM32" s="378">
        <v>0</v>
      </c>
      <c r="AO32" s="21"/>
      <c r="AP32" s="443" t="s">
        <v>144</v>
      </c>
      <c r="AQ32" s="398">
        <f>SUM(AQ22:AQ31)</f>
        <v>3788710176</v>
      </c>
      <c r="AR32" s="398">
        <f>SUM(AR22:AR31)</f>
        <v>445309676</v>
      </c>
      <c r="AS32" s="398">
        <f>SUM(AS22:AS31)</f>
        <v>0</v>
      </c>
      <c r="AT32" s="444"/>
      <c r="AU32" s="445">
        <f t="shared" si="25"/>
        <v>0.11753595691242444</v>
      </c>
      <c r="AV32" s="445">
        <f t="shared" si="26"/>
        <v>0</v>
      </c>
      <c r="AW32" s="354">
        <f>SUM(AW22:AW31)</f>
        <v>3215837510.25</v>
      </c>
      <c r="AX32" s="354">
        <f>SUM(AX22:AX31)</f>
        <v>1886143806.25</v>
      </c>
      <c r="AY32" s="354">
        <f>SUM(AY22:AY31)</f>
        <v>572872665.75</v>
      </c>
      <c r="AZ32" s="355">
        <f>SUM(AZ22:AZ31)</f>
        <v>1902566369.75</v>
      </c>
      <c r="BA32" s="385"/>
      <c r="BB32" s="425"/>
      <c r="BC32" s="425"/>
      <c r="BD32" s="425"/>
      <c r="BE32" s="425"/>
      <c r="BF32" s="425"/>
      <c r="BG32" s="385"/>
      <c r="BH32" s="385"/>
      <c r="BI32" s="385"/>
      <c r="BJ32" s="385"/>
      <c r="BK32" s="385"/>
      <c r="BM32" s="110" t="s">
        <v>140</v>
      </c>
      <c r="BN32" s="106">
        <f>+BN7+BN25+BN29+BN30+BN31</f>
        <v>3788710176</v>
      </c>
      <c r="BO32" s="107">
        <f>+BO7+BO25+BO29+BO30+BO31</f>
        <v>1084386952</v>
      </c>
      <c r="BP32" s="107">
        <f>+BP7+BP25+BP29+BP30+BP31</f>
        <v>792564424</v>
      </c>
      <c r="BQ32" s="108">
        <f>+BQ7+BQ25+BQ29+BQ30+BQ31</f>
        <v>280916322</v>
      </c>
      <c r="BR32" s="425"/>
    </row>
    <row r="33" spans="1:70" s="425" customFormat="1" ht="24.95" customHeight="1" thickBot="1" x14ac:dyDescent="0.3">
      <c r="A33" s="618" t="str">
        <f>+IF(ENERO!A33=0,"",ENERO!A33)</f>
        <v>1130103-2-1</v>
      </c>
      <c r="B33" s="654" t="str">
        <f>+CONCATENATE("Vigencia ",INSTRUCCIONES!$F$3)</f>
        <v>Vigencia 2015</v>
      </c>
      <c r="C33" s="375">
        <f>+ENERO!C33</f>
        <v>0</v>
      </c>
      <c r="D33" s="376">
        <f>ENERO!D33+FEBRERO!P33</f>
        <v>0</v>
      </c>
      <c r="E33" s="376">
        <f>ENERO!E33+FEBRERO!Q33</f>
        <v>0</v>
      </c>
      <c r="F33" s="376">
        <f>SUM(C33:E33)</f>
        <v>0</v>
      </c>
      <c r="G33" s="376">
        <f>ENERO!I33</f>
        <v>0</v>
      </c>
      <c r="H33" s="377">
        <v>0</v>
      </c>
      <c r="I33" s="376">
        <f>SUM(G33:H33)</f>
        <v>0</v>
      </c>
      <c r="J33" s="376">
        <f>ENERO!L33</f>
        <v>0</v>
      </c>
      <c r="K33" s="377">
        <v>0</v>
      </c>
      <c r="L33" s="376">
        <f>SUM(J33:K33)</f>
        <v>0</v>
      </c>
      <c r="M33" s="376">
        <f>F33-I33</f>
        <v>0</v>
      </c>
      <c r="N33" s="146">
        <f>F33-L33</f>
        <v>0</v>
      </c>
      <c r="O33" s="9"/>
      <c r="P33" s="375">
        <v>0</v>
      </c>
      <c r="Q33" s="378">
        <v>0</v>
      </c>
      <c r="R33" s="9"/>
      <c r="S33" s="719">
        <f>+IF(ENERO!S33=0,"",ENERO!S33)</f>
        <v>1010199</v>
      </c>
      <c r="T33" s="737" t="str">
        <f>+IF(ENERO!T33=0,"",ENERO!T33)</f>
        <v>Vigencias Anteriores</v>
      </c>
      <c r="U33" s="29">
        <f>+ENERO!U33</f>
        <v>0</v>
      </c>
      <c r="V33" s="15">
        <f>ENERO!V33+FEBRERO!AL33</f>
        <v>0</v>
      </c>
      <c r="W33" s="15">
        <f>ENERO!W33+FEBRERO!AM33</f>
        <v>2702630</v>
      </c>
      <c r="X33" s="16">
        <f t="shared" si="17"/>
        <v>2702630</v>
      </c>
      <c r="Y33" s="19">
        <f>ENERO!AA33</f>
        <v>2702630</v>
      </c>
      <c r="Z33" s="377">
        <v>0</v>
      </c>
      <c r="AA33" s="18">
        <f t="shared" si="18"/>
        <v>2702630</v>
      </c>
      <c r="AB33" s="19">
        <f>ENERO!AD33</f>
        <v>2702630</v>
      </c>
      <c r="AC33" s="377">
        <v>0</v>
      </c>
      <c r="AD33" s="16">
        <f t="shared" si="19"/>
        <v>2702630</v>
      </c>
      <c r="AE33" s="19">
        <f>ENERO!AG33</f>
        <v>1595488</v>
      </c>
      <c r="AF33" s="377">
        <v>355297</v>
      </c>
      <c r="AG33" s="16">
        <f t="shared" si="20"/>
        <v>1950785</v>
      </c>
      <c r="AH33" s="19">
        <f t="shared" si="21"/>
        <v>0</v>
      </c>
      <c r="AI33" s="15">
        <f t="shared" si="22"/>
        <v>0</v>
      </c>
      <c r="AJ33" s="16">
        <f t="shared" si="23"/>
        <v>751845</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-379227889</v>
      </c>
      <c r="BP33" s="113">
        <f>AD258</f>
        <v>-347254748</v>
      </c>
      <c r="BQ33" s="114">
        <f>AF258</f>
        <v>3062484178</v>
      </c>
    </row>
    <row r="34" spans="1:70" s="425" customFormat="1" ht="24.95" customHeight="1" thickBot="1" x14ac:dyDescent="0.25">
      <c r="A34" s="618" t="str">
        <f>+IF(ENERO!A34=0,"",ENERO!A34)</f>
        <v>1130103-2-2</v>
      </c>
      <c r="B34" s="654" t="str">
        <f>+IF(ENERO!B34=0,"",ENERO!B34)</f>
        <v>Vigencia Anterior</v>
      </c>
      <c r="C34" s="375">
        <f>+ENERO!C34</f>
        <v>0</v>
      </c>
      <c r="D34" s="376">
        <f>ENERO!D34+FEBRERO!P34</f>
        <v>0</v>
      </c>
      <c r="E34" s="376">
        <f>ENERO!E34+FEBRERO!Q34</f>
        <v>0</v>
      </c>
      <c r="F34" s="376">
        <f>SUM(C34:E34)</f>
        <v>0</v>
      </c>
      <c r="G34" s="376">
        <f>ENERO!I34</f>
        <v>0</v>
      </c>
      <c r="H34" s="377">
        <v>0</v>
      </c>
      <c r="I34" s="376">
        <f>SUM(G34:H34)</f>
        <v>0</v>
      </c>
      <c r="J34" s="376">
        <f>ENERO!L34</f>
        <v>0</v>
      </c>
      <c r="K34" s="377">
        <v>0</v>
      </c>
      <c r="L34" s="376">
        <f>SUM(J34:K34)</f>
        <v>0</v>
      </c>
      <c r="M34" s="376">
        <f>F34-I34</f>
        <v>0</v>
      </c>
      <c r="N34" s="146">
        <f>F34-L34</f>
        <v>0</v>
      </c>
      <c r="O34" s="385"/>
      <c r="P34" s="375">
        <v>0</v>
      </c>
      <c r="Q34" s="378">
        <v>0</v>
      </c>
      <c r="R34" s="9"/>
      <c r="S34" s="369" t="str">
        <f>+IF(ENERO!S34=0,"",ENERO!S34)</f>
        <v/>
      </c>
      <c r="T34" s="708" t="str">
        <f>+IF(ENERO!T34=0,"",ENERO!T34)</f>
        <v/>
      </c>
      <c r="U34" s="370"/>
      <c r="V34" s="164"/>
      <c r="W34" s="164"/>
      <c r="X34" s="169"/>
      <c r="Y34" s="370"/>
      <c r="Z34" s="164"/>
      <c r="AA34" s="164"/>
      <c r="AB34" s="370"/>
      <c r="AC34" s="164"/>
      <c r="AD34" s="169"/>
      <c r="AE34" s="370"/>
      <c r="AF34" s="164"/>
      <c r="AG34" s="169"/>
      <c r="AH34" s="370"/>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+IF(ENERO!A35=0,"",ENERO!A35)</f>
        <v>1130103-3</v>
      </c>
      <c r="B35" s="655" t="str">
        <f>+IF(ENERO!B35=0,"",ENERO!B35)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+IF(ENERO!S35=0,"",ENERO!S35)</f>
        <v>1010200</v>
      </c>
      <c r="T35" s="736" t="str">
        <f>+IF(ENERO!T35=0,"",ENERO!T35)</f>
        <v>Servicios Personales Indirectos</v>
      </c>
      <c r="U35" s="131">
        <f t="shared" ref="U35:AJ35" si="34">SUM(U36:U41)</f>
        <v>215072393</v>
      </c>
      <c r="V35" s="124">
        <f t="shared" si="34"/>
        <v>0</v>
      </c>
      <c r="W35" s="124">
        <f t="shared" si="34"/>
        <v>27070478</v>
      </c>
      <c r="X35" s="133">
        <f t="shared" si="34"/>
        <v>242142871</v>
      </c>
      <c r="Y35" s="131">
        <f t="shared" si="34"/>
        <v>30710478</v>
      </c>
      <c r="Z35" s="124">
        <f t="shared" si="34"/>
        <v>145960500</v>
      </c>
      <c r="AA35" s="132">
        <f t="shared" si="34"/>
        <v>176670978</v>
      </c>
      <c r="AB35" s="131">
        <f t="shared" si="34"/>
        <v>30710478</v>
      </c>
      <c r="AC35" s="124">
        <f t="shared" si="34"/>
        <v>8480500</v>
      </c>
      <c r="AD35" s="133">
        <f t="shared" si="34"/>
        <v>39190978</v>
      </c>
      <c r="AE35" s="131">
        <f t="shared" si="34"/>
        <v>5776506</v>
      </c>
      <c r="AF35" s="124">
        <f t="shared" si="34"/>
        <v>12573118</v>
      </c>
      <c r="AG35" s="133">
        <f t="shared" si="34"/>
        <v>18349624</v>
      </c>
      <c r="AH35" s="131">
        <f t="shared" si="34"/>
        <v>65471893</v>
      </c>
      <c r="AI35" s="124">
        <f t="shared" si="34"/>
        <v>202951893</v>
      </c>
      <c r="AJ35" s="133">
        <f t="shared" si="34"/>
        <v>223793247</v>
      </c>
      <c r="AK35" s="9"/>
      <c r="AL35" s="131">
        <f>SUM(AL36:AL41)</f>
        <v>0</v>
      </c>
      <c r="AM35" s="133">
        <f>SUM(AM36:AM41)</f>
        <v>0</v>
      </c>
      <c r="AN35" s="9"/>
      <c r="AO35" s="352"/>
      <c r="AP35" s="453"/>
      <c r="AQ35" s="295"/>
      <c r="AR35" s="454"/>
      <c r="AS35" s="454"/>
      <c r="AT35" s="454"/>
      <c r="AU35" s="455">
        <f>AR17-AR32</f>
        <v>240832155</v>
      </c>
      <c r="AV35" s="456">
        <f>AS17-AR32</f>
        <v>-19017232</v>
      </c>
      <c r="AW35" s="456" t="s">
        <v>158</v>
      </c>
      <c r="AX35" s="457"/>
      <c r="AY35" s="456">
        <f>AY17+AY32</f>
        <v>-505871978.25</v>
      </c>
      <c r="AZ35" s="458">
        <f>AZ17+AY32</f>
        <v>-2067368300.25</v>
      </c>
      <c r="BB35" s="425"/>
      <c r="BC35" s="425"/>
      <c r="BD35" s="425"/>
      <c r="BE35" s="425"/>
      <c r="BF35" s="425"/>
      <c r="BR35" s="425"/>
    </row>
    <row r="36" spans="1:70" s="385" customFormat="1" ht="24.95" customHeight="1" thickBot="1" x14ac:dyDescent="0.25">
      <c r="A36" s="618" t="str">
        <f>+IF(ENERO!A36=0,"",ENERO!A36)</f>
        <v>1130103-3-1</v>
      </c>
      <c r="B36" s="654" t="str">
        <f>+CONCATENATE("Vigencia ",INSTRUCCIONES!$F$3)</f>
        <v>Vigencia 2015</v>
      </c>
      <c r="C36" s="375">
        <f>+ENERO!C36</f>
        <v>0</v>
      </c>
      <c r="D36" s="376">
        <f>ENERO!D36+FEBRERO!P36</f>
        <v>0</v>
      </c>
      <c r="E36" s="376">
        <f>ENERO!E36+FEBRERO!Q36</f>
        <v>0</v>
      </c>
      <c r="F36" s="376">
        <f t="shared" ref="F36:F41" si="35">SUM(C36:E36)</f>
        <v>0</v>
      </c>
      <c r="G36" s="376">
        <f>ENERO!I36</f>
        <v>0</v>
      </c>
      <c r="H36" s="377">
        <v>0</v>
      </c>
      <c r="I36" s="376">
        <f t="shared" ref="I36:I41" si="36">SUM(G36:H36)</f>
        <v>0</v>
      </c>
      <c r="J36" s="376">
        <f>ENERO!L36</f>
        <v>0</v>
      </c>
      <c r="K36" s="377">
        <v>0</v>
      </c>
      <c r="L36" s="376">
        <f t="shared" ref="L36:L41" si="37">SUM(J36:K36)</f>
        <v>0</v>
      </c>
      <c r="M36" s="376">
        <f t="shared" ref="M36:M41" si="38">F36-I36</f>
        <v>0</v>
      </c>
      <c r="N36" s="146">
        <f t="shared" ref="N36:N41" si="39">F36-L36</f>
        <v>0</v>
      </c>
      <c r="O36" s="9"/>
      <c r="P36" s="375">
        <v>0</v>
      </c>
      <c r="Q36" s="378">
        <v>0</v>
      </c>
      <c r="R36" s="9"/>
      <c r="S36" s="719" t="str">
        <f>+IF(ENERO!S36=0,"",ENERO!S36)</f>
        <v>1010200-1</v>
      </c>
      <c r="T36" s="737" t="str">
        <f>+IF(ENERO!T36=0,"",ENERO!T36)</f>
        <v>Remuneración y Honorarios por Servicios Técnicos y Profesionales</v>
      </c>
      <c r="U36" s="29">
        <f>+ENERO!U36</f>
        <v>213224393</v>
      </c>
      <c r="V36" s="15">
        <f>ENERO!V36+FEBRERO!AL36</f>
        <v>0</v>
      </c>
      <c r="W36" s="15">
        <f>ENERO!W36+FEBRERO!AM36</f>
        <v>0</v>
      </c>
      <c r="X36" s="16">
        <f t="shared" ref="X36:X41" si="40">SUM(U36:W36)</f>
        <v>213224393</v>
      </c>
      <c r="Y36" s="19">
        <f>ENERO!AA36</f>
        <v>3640000</v>
      </c>
      <c r="Z36" s="377">
        <v>145960500</v>
      </c>
      <c r="AA36" s="18">
        <f t="shared" ref="AA36:AA41" si="41">SUM(Y36:Z36)</f>
        <v>149600500</v>
      </c>
      <c r="AB36" s="19">
        <f>ENERO!AD36</f>
        <v>3640000</v>
      </c>
      <c r="AC36" s="377">
        <v>8480500</v>
      </c>
      <c r="AD36" s="16">
        <f t="shared" ref="AD36:AD41" si="42">SUM(AB36:AC36)</f>
        <v>12120500</v>
      </c>
      <c r="AE36" s="19">
        <f>ENERO!AG36</f>
        <v>660006</v>
      </c>
      <c r="AF36" s="377">
        <v>4879994</v>
      </c>
      <c r="AG36" s="16">
        <f t="shared" ref="AG36:AG41" si="43">SUM(AE36:AF36)</f>
        <v>5540000</v>
      </c>
      <c r="AH36" s="19">
        <f t="shared" ref="AH36:AH41" si="44">X36-AA36</f>
        <v>63623893</v>
      </c>
      <c r="AI36" s="15">
        <f t="shared" ref="AI36:AI41" si="45">X36-AD36</f>
        <v>201103893</v>
      </c>
      <c r="AJ36" s="16">
        <f t="shared" ref="AJ36:AJ41" si="46">X36-AG36</f>
        <v>207684393</v>
      </c>
      <c r="AK36" s="9"/>
      <c r="AL36" s="375">
        <v>0</v>
      </c>
      <c r="AM36" s="378">
        <v>0</v>
      </c>
      <c r="AN36" s="9"/>
      <c r="AO36" s="459"/>
      <c r="AP36" s="22"/>
      <c r="AQ36" s="22"/>
      <c r="AR36" s="22"/>
      <c r="AS36" s="22"/>
      <c r="AT36" s="22"/>
      <c r="AU36" s="22"/>
      <c r="AV36" s="22"/>
      <c r="AW36" s="22"/>
      <c r="AX36" s="22"/>
      <c r="AY36" s="22"/>
      <c r="AZ36" s="23"/>
      <c r="BB36" s="425"/>
      <c r="BC36" s="425"/>
      <c r="BD36" s="425"/>
      <c r="BE36" s="425"/>
      <c r="BF36" s="425"/>
      <c r="BR36" s="425"/>
    </row>
    <row r="37" spans="1:70" s="385" customFormat="1" ht="24.95" customHeight="1" x14ac:dyDescent="0.2">
      <c r="A37" s="618" t="str">
        <f>+IF(ENERO!A37=0,"",ENERO!A37)</f>
        <v>1130103-3-2</v>
      </c>
      <c r="B37" s="654" t="str">
        <f>+IF(ENERO!B37=0,"",ENERO!B37)</f>
        <v>Vigencia Anterior</v>
      </c>
      <c r="C37" s="375">
        <f>+ENERO!C37</f>
        <v>0</v>
      </c>
      <c r="D37" s="376">
        <f>ENERO!D37+FEBRERO!P37</f>
        <v>0</v>
      </c>
      <c r="E37" s="376">
        <f>ENERO!E37+FEBRERO!Q37</f>
        <v>0</v>
      </c>
      <c r="F37" s="376">
        <f t="shared" si="35"/>
        <v>0</v>
      </c>
      <c r="G37" s="376">
        <f>ENERO!I37</f>
        <v>0</v>
      </c>
      <c r="H37" s="377">
        <v>0</v>
      </c>
      <c r="I37" s="376">
        <f t="shared" si="36"/>
        <v>0</v>
      </c>
      <c r="J37" s="376">
        <f>ENERO!L37</f>
        <v>0</v>
      </c>
      <c r="K37" s="377">
        <v>0</v>
      </c>
      <c r="L37" s="376">
        <f t="shared" si="37"/>
        <v>0</v>
      </c>
      <c r="M37" s="376">
        <f t="shared" si="38"/>
        <v>0</v>
      </c>
      <c r="N37" s="146">
        <f t="shared" si="39"/>
        <v>0</v>
      </c>
      <c r="P37" s="375">
        <v>0</v>
      </c>
      <c r="Q37" s="378">
        <v>0</v>
      </c>
      <c r="R37" s="9"/>
      <c r="S37" s="719" t="str">
        <f>+IF(ENERO!S37=0,"",ENERO!S37)</f>
        <v>1010200-2</v>
      </c>
      <c r="T37" s="737" t="str">
        <f>+IF(ENERO!T37=0,"",ENERO!T37)</f>
        <v>Personal Supernumerario</v>
      </c>
      <c r="U37" s="29">
        <f>+ENERO!U37</f>
        <v>0</v>
      </c>
      <c r="V37" s="15">
        <f>ENERO!V37+FEBRERO!AL37</f>
        <v>0</v>
      </c>
      <c r="W37" s="15">
        <f>ENERO!W37+FEBRERO!AM37</f>
        <v>0</v>
      </c>
      <c r="X37" s="16">
        <f t="shared" si="40"/>
        <v>0</v>
      </c>
      <c r="Y37" s="19">
        <f>ENERO!AA37</f>
        <v>0</v>
      </c>
      <c r="Z37" s="377">
        <v>0</v>
      </c>
      <c r="AA37" s="18">
        <f t="shared" si="41"/>
        <v>0</v>
      </c>
      <c r="AB37" s="19">
        <f>ENERO!AD37</f>
        <v>0</v>
      </c>
      <c r="AC37" s="377">
        <v>0</v>
      </c>
      <c r="AD37" s="16">
        <f t="shared" si="42"/>
        <v>0</v>
      </c>
      <c r="AE37" s="19">
        <f>ENERO!AG37</f>
        <v>0</v>
      </c>
      <c r="AF37" s="377">
        <v>0</v>
      </c>
      <c r="AG37" s="16">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+IF(ENERO!A38=0,"",ENERO!A38)</f>
        <v>1130103-4</v>
      </c>
      <c r="B38" s="656" t="str">
        <f>+IF(ENERO!B38=0,"",ENERO!B38)</f>
        <v xml:space="preserve"> Aportes Patronales  1o. Nivel</v>
      </c>
      <c r="C38" s="375">
        <f>+ENERO!C38</f>
        <v>326631000</v>
      </c>
      <c r="D38" s="376">
        <f>ENERO!D38+FEBRERO!P38</f>
        <v>0</v>
      </c>
      <c r="E38" s="376">
        <f>ENERO!E38+FEBRERO!Q38</f>
        <v>0</v>
      </c>
      <c r="F38" s="376">
        <f t="shared" si="35"/>
        <v>326631000</v>
      </c>
      <c r="G38" s="376">
        <f>ENERO!I38</f>
        <v>24815647</v>
      </c>
      <c r="H38" s="377">
        <v>24815647</v>
      </c>
      <c r="I38" s="376">
        <f t="shared" si="36"/>
        <v>49631294</v>
      </c>
      <c r="J38" s="376">
        <f>ENERO!L38</f>
        <v>24815647</v>
      </c>
      <c r="K38" s="377">
        <v>24815647</v>
      </c>
      <c r="L38" s="376">
        <f t="shared" si="37"/>
        <v>49631294</v>
      </c>
      <c r="M38" s="376">
        <f t="shared" si="38"/>
        <v>276999706</v>
      </c>
      <c r="N38" s="146">
        <f t="shared" si="39"/>
        <v>276999706</v>
      </c>
      <c r="O38" s="533"/>
      <c r="P38" s="375">
        <v>0</v>
      </c>
      <c r="Q38" s="378">
        <v>0</v>
      </c>
      <c r="R38" s="9"/>
      <c r="S38" s="719" t="str">
        <f>+IF(ENERO!S38=0,"",ENERO!S38)</f>
        <v>1010200-3</v>
      </c>
      <c r="T38" s="737" t="str">
        <f>+IF(ENERO!T38=0,"",ENERO!T38)</f>
        <v>Honorarios de la Junta Directiva</v>
      </c>
      <c r="U38" s="29">
        <f>+ENERO!U38</f>
        <v>1848000</v>
      </c>
      <c r="V38" s="15">
        <f>ENERO!V38+FEBRERO!AL38</f>
        <v>0</v>
      </c>
      <c r="W38" s="15">
        <f>ENERO!W38+FEBRERO!AM38</f>
        <v>0</v>
      </c>
      <c r="X38" s="16">
        <f t="shared" si="40"/>
        <v>1848000</v>
      </c>
      <c r="Y38" s="19">
        <f>ENERO!AA38</f>
        <v>0</v>
      </c>
      <c r="Z38" s="377">
        <v>0</v>
      </c>
      <c r="AA38" s="18">
        <f t="shared" si="41"/>
        <v>0</v>
      </c>
      <c r="AB38" s="19">
        <f>ENERO!AD38</f>
        <v>0</v>
      </c>
      <c r="AC38" s="377">
        <v>0</v>
      </c>
      <c r="AD38" s="16">
        <f t="shared" si="42"/>
        <v>0</v>
      </c>
      <c r="AE38" s="19">
        <f>ENERO!AG38</f>
        <v>0</v>
      </c>
      <c r="AF38" s="377">
        <v>0</v>
      </c>
      <c r="AG38" s="16">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+IF(ENERO!A39=0,"",ENERO!A39)</f>
        <v>1130103-5</v>
      </c>
      <c r="B39" s="656" t="str">
        <f>+IF(ENERO!B39=0,"",ENERO!B39)</f>
        <v xml:space="preserve"> Aportes Patronales  2o. Nivel</v>
      </c>
      <c r="C39" s="375">
        <f>+ENERO!C39</f>
        <v>0</v>
      </c>
      <c r="D39" s="376">
        <f>ENERO!D39+FEBRERO!P39</f>
        <v>0</v>
      </c>
      <c r="E39" s="376">
        <f>ENERO!E39+FEBRERO!Q39</f>
        <v>0</v>
      </c>
      <c r="F39" s="376">
        <f t="shared" si="35"/>
        <v>0</v>
      </c>
      <c r="G39" s="376">
        <f>ENERO!I39</f>
        <v>0</v>
      </c>
      <c r="H39" s="377">
        <v>0</v>
      </c>
      <c r="I39" s="376">
        <f t="shared" si="36"/>
        <v>0</v>
      </c>
      <c r="J39" s="376">
        <f>ENERO!L39</f>
        <v>0</v>
      </c>
      <c r="K39" s="377">
        <v>0</v>
      </c>
      <c r="L39" s="376">
        <f t="shared" si="37"/>
        <v>0</v>
      </c>
      <c r="M39" s="376">
        <f t="shared" si="38"/>
        <v>0</v>
      </c>
      <c r="N39" s="146">
        <f t="shared" si="39"/>
        <v>0</v>
      </c>
      <c r="O39" s="533"/>
      <c r="P39" s="375">
        <v>0</v>
      </c>
      <c r="Q39" s="378">
        <v>0</v>
      </c>
      <c r="R39" s="9"/>
      <c r="S39" s="719" t="str">
        <f>+IF(ENERO!S39=0,"",ENERO!S39)</f>
        <v>1010200-4</v>
      </c>
      <c r="T39" s="737" t="str">
        <f>+IF(ENERO!T39=0,"",ENERO!T39)</f>
        <v>Otros Honorarios (Servicios de Cooperativa)</v>
      </c>
      <c r="U39" s="29">
        <f>+ENERO!U39</f>
        <v>0</v>
      </c>
      <c r="V39" s="15">
        <f>ENERO!V39+FEBRERO!AL39</f>
        <v>0</v>
      </c>
      <c r="W39" s="15">
        <f>ENERO!W39+FEBRERO!AM39</f>
        <v>0</v>
      </c>
      <c r="X39" s="16">
        <f t="shared" si="40"/>
        <v>0</v>
      </c>
      <c r="Y39" s="19">
        <f>ENERO!AA39</f>
        <v>0</v>
      </c>
      <c r="Z39" s="377">
        <v>0</v>
      </c>
      <c r="AA39" s="18">
        <f t="shared" si="41"/>
        <v>0</v>
      </c>
      <c r="AB39" s="19">
        <f>ENERO!AD39</f>
        <v>0</v>
      </c>
      <c r="AC39" s="377">
        <v>0</v>
      </c>
      <c r="AD39" s="16">
        <f t="shared" si="42"/>
        <v>0</v>
      </c>
      <c r="AE39" s="19">
        <f>ENERO!AG39</f>
        <v>0</v>
      </c>
      <c r="AF39" s="377">
        <v>0</v>
      </c>
      <c r="AG39" s="16">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+IF(ENERO!A40=0,"",ENERO!A40)</f>
        <v>1130103-6</v>
      </c>
      <c r="B40" s="656" t="str">
        <f>+IF(ENERO!B40=0,"",ENERO!B40)</f>
        <v xml:space="preserve"> Aportes Patronales  3er. Nivel</v>
      </c>
      <c r="C40" s="375">
        <f>+ENERO!C40</f>
        <v>0</v>
      </c>
      <c r="D40" s="376">
        <f>ENERO!D40+FEBRERO!P40</f>
        <v>0</v>
      </c>
      <c r="E40" s="376">
        <f>ENERO!E40+FEBRERO!Q40</f>
        <v>0</v>
      </c>
      <c r="F40" s="376">
        <f t="shared" si="35"/>
        <v>0</v>
      </c>
      <c r="G40" s="376">
        <f>ENERO!I40</f>
        <v>0</v>
      </c>
      <c r="H40" s="377">
        <v>0</v>
      </c>
      <c r="I40" s="376">
        <f t="shared" si="36"/>
        <v>0</v>
      </c>
      <c r="J40" s="376">
        <f>ENERO!L40</f>
        <v>0</v>
      </c>
      <c r="K40" s="377">
        <v>0</v>
      </c>
      <c r="L40" s="376">
        <f t="shared" si="37"/>
        <v>0</v>
      </c>
      <c r="M40" s="376">
        <f t="shared" si="38"/>
        <v>0</v>
      </c>
      <c r="N40" s="146">
        <f t="shared" si="39"/>
        <v>0</v>
      </c>
      <c r="O40" s="533"/>
      <c r="P40" s="375">
        <v>0</v>
      </c>
      <c r="Q40" s="378">
        <v>0</v>
      </c>
      <c r="R40" s="9"/>
      <c r="S40" s="719" t="str">
        <f>+IF(ENERO!S40=0,"",ENERO!S40)</f>
        <v>1010200-6</v>
      </c>
      <c r="T40" s="737" t="str">
        <f>+IF(ENERO!T40=0,"",ENERO!T40)</f>
        <v>Certificación, Habilitación y Acreditación</v>
      </c>
      <c r="U40" s="29">
        <f>+ENERO!U40</f>
        <v>0</v>
      </c>
      <c r="V40" s="15">
        <f>ENERO!V40+FEBRERO!AL40</f>
        <v>0</v>
      </c>
      <c r="W40" s="15">
        <f>ENERO!W40+FEBRERO!AM40</f>
        <v>0</v>
      </c>
      <c r="X40" s="16">
        <f t="shared" si="40"/>
        <v>0</v>
      </c>
      <c r="Y40" s="19">
        <f>ENERO!AA40</f>
        <v>0</v>
      </c>
      <c r="Z40" s="377">
        <v>0</v>
      </c>
      <c r="AA40" s="18">
        <f t="shared" si="41"/>
        <v>0</v>
      </c>
      <c r="AB40" s="19">
        <f>ENERO!AD40</f>
        <v>0</v>
      </c>
      <c r="AC40" s="377">
        <v>0</v>
      </c>
      <c r="AD40" s="16">
        <f t="shared" si="42"/>
        <v>0</v>
      </c>
      <c r="AE40" s="19">
        <f>ENERO!AG40</f>
        <v>0</v>
      </c>
      <c r="AF40" s="377">
        <v>0</v>
      </c>
      <c r="AG40" s="16">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+IF(ENERO!A41=0,"",ENERO!A41)</f>
        <v>1130104</v>
      </c>
      <c r="B41" s="653" t="str">
        <f>+IF(ENERO!B41=0,"",ENERO!B41)</f>
        <v>SUBSIDIO A LA OFERTA- ACTIVIDADES NO POS-S</v>
      </c>
      <c r="C41" s="375">
        <f>+ENERO!C41</f>
        <v>0</v>
      </c>
      <c r="D41" s="124">
        <f>ENERO!D41+FEBRERO!P41</f>
        <v>0</v>
      </c>
      <c r="E41" s="124">
        <f>ENERO!E41+FEBRERO!Q41</f>
        <v>0</v>
      </c>
      <c r="F41" s="124">
        <f t="shared" si="35"/>
        <v>0</v>
      </c>
      <c r="G41" s="124">
        <f>ENERO!I41</f>
        <v>0</v>
      </c>
      <c r="H41" s="377">
        <v>0</v>
      </c>
      <c r="I41" s="124">
        <f t="shared" si="36"/>
        <v>0</v>
      </c>
      <c r="J41" s="124">
        <f>ENERO!L41</f>
        <v>0</v>
      </c>
      <c r="K41" s="377">
        <v>0</v>
      </c>
      <c r="L41" s="124">
        <f t="shared" si="37"/>
        <v>0</v>
      </c>
      <c r="M41" s="124">
        <f t="shared" si="38"/>
        <v>0</v>
      </c>
      <c r="N41" s="133">
        <f t="shared" si="39"/>
        <v>0</v>
      </c>
      <c r="O41" s="385"/>
      <c r="P41" s="377">
        <v>0</v>
      </c>
      <c r="Q41" s="378">
        <v>0</v>
      </c>
      <c r="R41" s="9"/>
      <c r="S41" s="719">
        <f>+IF(ENERO!S41=0,"",ENERO!S41)</f>
        <v>1010299</v>
      </c>
      <c r="T41" s="737" t="str">
        <f>+IF(ENERO!T41=0,"",ENERO!T41)</f>
        <v>Vigencias Anteriores</v>
      </c>
      <c r="U41" s="29">
        <f>+ENERO!U41</f>
        <v>0</v>
      </c>
      <c r="V41" s="15">
        <f>ENERO!V41+FEBRERO!AL41</f>
        <v>0</v>
      </c>
      <c r="W41" s="15">
        <f>ENERO!W41+FEBRERO!AM41</f>
        <v>27070478</v>
      </c>
      <c r="X41" s="16">
        <f t="shared" si="40"/>
        <v>27070478</v>
      </c>
      <c r="Y41" s="19">
        <f>ENERO!AA41</f>
        <v>27070478</v>
      </c>
      <c r="Z41" s="377">
        <v>0</v>
      </c>
      <c r="AA41" s="18">
        <f t="shared" si="41"/>
        <v>27070478</v>
      </c>
      <c r="AB41" s="19">
        <f>ENERO!AD41</f>
        <v>27070478</v>
      </c>
      <c r="AC41" s="377">
        <v>0</v>
      </c>
      <c r="AD41" s="16">
        <f t="shared" si="42"/>
        <v>27070478</v>
      </c>
      <c r="AE41" s="19">
        <f>ENERO!AG41</f>
        <v>5116500</v>
      </c>
      <c r="AF41" s="377">
        <v>7693124</v>
      </c>
      <c r="AG41" s="16">
        <f t="shared" si="43"/>
        <v>12809624</v>
      </c>
      <c r="AH41" s="19">
        <f t="shared" si="44"/>
        <v>0</v>
      </c>
      <c r="AI41" s="15">
        <f t="shared" si="45"/>
        <v>0</v>
      </c>
      <c r="AJ41" s="16">
        <f t="shared" si="46"/>
        <v>14260854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+IF(ENERO!A42=0,"",ENERO!A42)</f>
        <v>1130106</v>
      </c>
      <c r="B42" s="653" t="str">
        <f>+IF(ENERO!B42=0,"",ENERO!B42)</f>
        <v>SALUD PUBLICA - PLAN DE INTERVENCIONES COLECTIVAS</v>
      </c>
      <c r="C42" s="43">
        <f t="shared" ref="C42:N42" si="47">SUM(C43:C44)</f>
        <v>94000000</v>
      </c>
      <c r="D42" s="44">
        <f t="shared" si="47"/>
        <v>0</v>
      </c>
      <c r="E42" s="44">
        <f t="shared" si="47"/>
        <v>17280673</v>
      </c>
      <c r="F42" s="44">
        <f t="shared" si="47"/>
        <v>111280673</v>
      </c>
      <c r="G42" s="44">
        <f t="shared" si="47"/>
        <v>0</v>
      </c>
      <c r="H42" s="44">
        <f t="shared" si="47"/>
        <v>0</v>
      </c>
      <c r="I42" s="44">
        <f t="shared" si="47"/>
        <v>0</v>
      </c>
      <c r="J42" s="44">
        <f t="shared" si="47"/>
        <v>0</v>
      </c>
      <c r="K42" s="44">
        <f t="shared" si="47"/>
        <v>0</v>
      </c>
      <c r="L42" s="44">
        <f t="shared" si="47"/>
        <v>0</v>
      </c>
      <c r="M42" s="44">
        <f t="shared" si="47"/>
        <v>111280673</v>
      </c>
      <c r="N42" s="45">
        <f t="shared" si="47"/>
        <v>111280673</v>
      </c>
      <c r="P42" s="43">
        <f>SUM(P43:P44)</f>
        <v>0</v>
      </c>
      <c r="Q42" s="45">
        <f>SUM(Q43:Q44)</f>
        <v>17280673</v>
      </c>
      <c r="R42" s="9"/>
      <c r="S42" s="369" t="str">
        <f>+IF(ENERO!S42=0,"",ENERO!S42)</f>
        <v/>
      </c>
      <c r="T42" s="708" t="str">
        <f>+IF(ENERO!T42=0,"",ENERO!T42)</f>
        <v/>
      </c>
      <c r="U42" s="370"/>
      <c r="V42" s="164"/>
      <c r="W42" s="164"/>
      <c r="X42" s="169"/>
      <c r="Y42" s="370"/>
      <c r="Z42" s="164"/>
      <c r="AA42" s="164"/>
      <c r="AB42" s="370"/>
      <c r="AC42" s="164"/>
      <c r="AD42" s="169"/>
      <c r="AE42" s="370"/>
      <c r="AF42" s="164"/>
      <c r="AG42" s="169"/>
      <c r="AH42" s="370"/>
      <c r="AI42" s="164"/>
      <c r="AJ42" s="169"/>
      <c r="AK42" s="10"/>
      <c r="AL42" s="175"/>
      <c r="AM42" s="176"/>
      <c r="AN42" s="9"/>
      <c r="AO42" s="297"/>
      <c r="AP42" s="297"/>
      <c r="AQ42" s="297"/>
      <c r="AR42" s="297"/>
      <c r="AS42" s="297"/>
      <c r="AT42" s="297"/>
      <c r="AU42" s="297"/>
      <c r="AV42" s="297"/>
      <c r="AW42" s="297"/>
      <c r="AX42" s="297"/>
      <c r="AY42" s="297"/>
      <c r="AZ42" s="297"/>
      <c r="BR42" s="425"/>
    </row>
    <row r="43" spans="1:70" s="425" customFormat="1" ht="24.95" customHeight="1" x14ac:dyDescent="0.2">
      <c r="A43" s="618" t="str">
        <f>+IF(ENERO!A43=0,"",ENERO!A43)</f>
        <v>1130106-1</v>
      </c>
      <c r="B43" s="654" t="str">
        <f>+CONCATENATE("Vigencia ",INSTRUCCIONES!$F$3)</f>
        <v>Vigencia 2015</v>
      </c>
      <c r="C43" s="375">
        <f>+ENERO!C43</f>
        <v>94000000</v>
      </c>
      <c r="D43" s="376">
        <f>ENERO!D43+FEBRERO!P43</f>
        <v>0</v>
      </c>
      <c r="E43" s="376">
        <f>ENERO!E43+FEBRERO!Q43</f>
        <v>17280673</v>
      </c>
      <c r="F43" s="376">
        <f>SUM(C43:E43)</f>
        <v>111280673</v>
      </c>
      <c r="G43" s="376">
        <f>ENERO!I43</f>
        <v>0</v>
      </c>
      <c r="H43" s="377">
        <v>0</v>
      </c>
      <c r="I43" s="376">
        <f>SUM(G43:H43)</f>
        <v>0</v>
      </c>
      <c r="J43" s="376">
        <f>ENERO!L43</f>
        <v>0</v>
      </c>
      <c r="K43" s="377">
        <v>0</v>
      </c>
      <c r="L43" s="376">
        <f>SUM(J43:K43)</f>
        <v>0</v>
      </c>
      <c r="M43" s="376">
        <f>F43-I43</f>
        <v>111280673</v>
      </c>
      <c r="N43" s="146">
        <f>F43-L43</f>
        <v>111280673</v>
      </c>
      <c r="O43" s="385"/>
      <c r="P43" s="375">
        <v>0</v>
      </c>
      <c r="Q43" s="378">
        <v>17280673</v>
      </c>
      <c r="R43" s="9"/>
      <c r="S43" s="718">
        <f>+IF(ENERO!S43=0,"",ENERO!S43)</f>
        <v>1010300</v>
      </c>
      <c r="T43" s="736" t="str">
        <f>+IF(ENERO!T43=0,"",ENERO!T43)</f>
        <v>Contribuciones Inherentes nómina al Sector Privado</v>
      </c>
      <c r="U43" s="131">
        <f t="shared" ref="U43:AJ43" si="48">U44+U49+U55</f>
        <v>111328187</v>
      </c>
      <c r="V43" s="124">
        <f t="shared" si="48"/>
        <v>0</v>
      </c>
      <c r="W43" s="124">
        <f t="shared" si="48"/>
        <v>29964174</v>
      </c>
      <c r="X43" s="133">
        <f t="shared" si="48"/>
        <v>141292361</v>
      </c>
      <c r="Y43" s="131">
        <f t="shared" si="48"/>
        <v>36323164</v>
      </c>
      <c r="Z43" s="124">
        <f t="shared" si="48"/>
        <v>6793550</v>
      </c>
      <c r="AA43" s="132">
        <f t="shared" si="48"/>
        <v>43116714</v>
      </c>
      <c r="AB43" s="131">
        <f t="shared" si="48"/>
        <v>36323164</v>
      </c>
      <c r="AC43" s="124">
        <f t="shared" si="48"/>
        <v>6793550</v>
      </c>
      <c r="AD43" s="133">
        <f t="shared" si="48"/>
        <v>43116714</v>
      </c>
      <c r="AE43" s="131">
        <f t="shared" si="48"/>
        <v>5339190</v>
      </c>
      <c r="AF43" s="124">
        <f t="shared" si="48"/>
        <v>36333985</v>
      </c>
      <c r="AG43" s="133">
        <f t="shared" si="48"/>
        <v>41673175</v>
      </c>
      <c r="AH43" s="131">
        <f t="shared" si="48"/>
        <v>98175647</v>
      </c>
      <c r="AI43" s="124">
        <f t="shared" si="48"/>
        <v>98175647</v>
      </c>
      <c r="AJ43" s="133">
        <f t="shared" si="48"/>
        <v>99619186</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row>
    <row r="44" spans="1:70" s="425" customFormat="1" ht="24.95" customHeight="1" x14ac:dyDescent="0.2">
      <c r="A44" s="618" t="str">
        <f>+IF(ENERO!A44=0,"",ENERO!A44)</f>
        <v>1130106-2</v>
      </c>
      <c r="B44" s="654" t="str">
        <f>+IF(ENERO!B44=0,"",ENERO!B44)</f>
        <v>Vigencia Anterior</v>
      </c>
      <c r="C44" s="375">
        <f>+ENERO!C44</f>
        <v>0</v>
      </c>
      <c r="D44" s="376">
        <f>ENERO!D44+FEBRERO!P44</f>
        <v>0</v>
      </c>
      <c r="E44" s="376">
        <f>ENERO!E44+FEBRERO!Q44</f>
        <v>0</v>
      </c>
      <c r="F44" s="376">
        <f>SUM(C44:E44)</f>
        <v>0</v>
      </c>
      <c r="G44" s="376">
        <f>ENERO!I44</f>
        <v>0</v>
      </c>
      <c r="H44" s="377">
        <v>0</v>
      </c>
      <c r="I44" s="376">
        <f>SUM(G44:H44)</f>
        <v>0</v>
      </c>
      <c r="J44" s="376">
        <f>ENERO!L44</f>
        <v>0</v>
      </c>
      <c r="K44" s="377">
        <v>0</v>
      </c>
      <c r="L44" s="376">
        <f>SUM(J44:K44)</f>
        <v>0</v>
      </c>
      <c r="M44" s="376">
        <f>F44-I44</f>
        <v>0</v>
      </c>
      <c r="N44" s="146">
        <f>F44-L44</f>
        <v>0</v>
      </c>
      <c r="O44" s="385"/>
      <c r="P44" s="375">
        <v>0</v>
      </c>
      <c r="Q44" s="378">
        <v>0</v>
      </c>
      <c r="R44" s="9"/>
      <c r="S44" s="719">
        <f>+IF(ENERO!S44=0,"",ENERO!S44)</f>
        <v>1010301</v>
      </c>
      <c r="T44" s="737" t="str">
        <f>+IF(ENERO!T44=0,"",ENERO!T44)</f>
        <v>Contribuciones - Sin Situación de Fondos</v>
      </c>
      <c r="U44" s="29">
        <f t="shared" ref="U44:AJ44" si="49">SUM(U45:U48)</f>
        <v>96536264</v>
      </c>
      <c r="V44" s="15">
        <f t="shared" si="49"/>
        <v>0</v>
      </c>
      <c r="W44" s="15">
        <f t="shared" si="49"/>
        <v>0</v>
      </c>
      <c r="X44" s="16">
        <f t="shared" si="49"/>
        <v>96536264</v>
      </c>
      <c r="Y44" s="19">
        <f t="shared" si="49"/>
        <v>5339190</v>
      </c>
      <c r="Z44" s="145">
        <f t="shared" si="49"/>
        <v>5696750</v>
      </c>
      <c r="AA44" s="18">
        <f t="shared" si="49"/>
        <v>11035940</v>
      </c>
      <c r="AB44" s="19">
        <f t="shared" si="49"/>
        <v>5339190</v>
      </c>
      <c r="AC44" s="145">
        <f t="shared" si="49"/>
        <v>5696750</v>
      </c>
      <c r="AD44" s="16">
        <f t="shared" si="49"/>
        <v>11035940</v>
      </c>
      <c r="AE44" s="19">
        <f t="shared" si="49"/>
        <v>5339190</v>
      </c>
      <c r="AF44" s="145">
        <f t="shared" si="49"/>
        <v>5696750</v>
      </c>
      <c r="AG44" s="16">
        <f t="shared" si="49"/>
        <v>11035940</v>
      </c>
      <c r="AH44" s="19">
        <f t="shared" si="49"/>
        <v>85500324</v>
      </c>
      <c r="AI44" s="15">
        <f t="shared" si="49"/>
        <v>85500324</v>
      </c>
      <c r="AJ44" s="16">
        <f t="shared" si="49"/>
        <v>85500324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+IF(ENERO!A45=0,"",ENERO!A45)</f>
        <v>1130107</v>
      </c>
      <c r="B45" s="653" t="str">
        <f>+IF(ENERO!B45=0,"",ENERO!B45)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+IF(ENERO!S45=0,"",ENERO!S45)</f>
        <v>1010301-1</v>
      </c>
      <c r="T45" s="738" t="str">
        <f>+IF(ENERO!T45=0,"",ENERO!T45)</f>
        <v>Aportes a E.P.S.- Sin sit. Fondos</v>
      </c>
      <c r="U45" s="29">
        <f>+ENERO!U45</f>
        <v>26843256</v>
      </c>
      <c r="V45" s="15">
        <f>ENERO!V45+FEBRERO!AL45</f>
        <v>0</v>
      </c>
      <c r="W45" s="15">
        <f>ENERO!W45+FEBRERO!AM45</f>
        <v>0</v>
      </c>
      <c r="X45" s="16">
        <f>SUM(U45:W45)</f>
        <v>26843256</v>
      </c>
      <c r="Y45" s="19">
        <f>ENERO!AA45</f>
        <v>2166630</v>
      </c>
      <c r="Z45" s="377">
        <v>2303759</v>
      </c>
      <c r="AA45" s="18">
        <f>SUM(Y45:Z45)</f>
        <v>4470389</v>
      </c>
      <c r="AB45" s="19">
        <f>ENERO!AD45</f>
        <v>2166630</v>
      </c>
      <c r="AC45" s="377">
        <v>2303759</v>
      </c>
      <c r="AD45" s="16">
        <f>SUM(AB45:AC45)</f>
        <v>4470389</v>
      </c>
      <c r="AE45" s="19">
        <f>ENERO!AG45</f>
        <v>2166630</v>
      </c>
      <c r="AF45" s="377">
        <v>2303759</v>
      </c>
      <c r="AG45" s="16">
        <f>SUM(AE45:AF45)</f>
        <v>4470389</v>
      </c>
      <c r="AH45" s="19">
        <f>X45-AA45</f>
        <v>22372867</v>
      </c>
      <c r="AI45" s="15">
        <f>X45-AD45</f>
        <v>22372867</v>
      </c>
      <c r="AJ45" s="16">
        <f>X45-AG45</f>
        <v>22372867</v>
      </c>
      <c r="AK45" s="9"/>
      <c r="AL45" s="375">
        <v>0</v>
      </c>
      <c r="AM45" s="378">
        <v>0</v>
      </c>
      <c r="AN45" s="9"/>
      <c r="AO45" s="297"/>
      <c r="AP45" s="297"/>
      <c r="AQ45" s="297"/>
      <c r="AR45" s="297"/>
      <c r="AS45" s="297"/>
      <c r="AT45" s="297"/>
      <c r="AU45" s="297"/>
      <c r="AV45" s="297"/>
      <c r="AW45" s="297"/>
      <c r="AX45" s="297"/>
      <c r="AY45" s="297"/>
      <c r="AZ45" s="297"/>
      <c r="BR45" s="425"/>
    </row>
    <row r="46" spans="1:70" s="425" customFormat="1" ht="24.95" customHeight="1" x14ac:dyDescent="0.2">
      <c r="A46" s="618" t="str">
        <f>+IF(ENERO!A46=0,"",ENERO!A46)</f>
        <v>1130107-1</v>
      </c>
      <c r="B46" s="654" t="str">
        <f>+CONCATENATE("Vigencia ",INSTRUCCIONES!$F$3)</f>
        <v>Vigencia 2015</v>
      </c>
      <c r="C46" s="375">
        <f>+ENERO!C46</f>
        <v>0</v>
      </c>
      <c r="D46" s="376">
        <f>ENERO!D46+FEBRERO!P46</f>
        <v>0</v>
      </c>
      <c r="E46" s="376">
        <f>ENERO!E46+FEBRERO!Q46</f>
        <v>0</v>
      </c>
      <c r="F46" s="376">
        <f>SUM(C46:E46)</f>
        <v>0</v>
      </c>
      <c r="G46" s="376">
        <f>ENERO!I46</f>
        <v>0</v>
      </c>
      <c r="H46" s="377">
        <v>0</v>
      </c>
      <c r="I46" s="376">
        <f>SUM(G46:H46)</f>
        <v>0</v>
      </c>
      <c r="J46" s="376">
        <f>ENERO!L46</f>
        <v>0</v>
      </c>
      <c r="K46" s="377">
        <v>0</v>
      </c>
      <c r="L46" s="376">
        <f>SUM(J46:K46)</f>
        <v>0</v>
      </c>
      <c r="M46" s="376">
        <f>F46-I46</f>
        <v>0</v>
      </c>
      <c r="N46" s="146">
        <f>F46-L46</f>
        <v>0</v>
      </c>
      <c r="O46" s="385"/>
      <c r="P46" s="375">
        <v>0</v>
      </c>
      <c r="Q46" s="378">
        <v>0</v>
      </c>
      <c r="R46" s="9"/>
      <c r="S46" s="720" t="str">
        <f>+IF(ENERO!S46=0,"",ENERO!S46)</f>
        <v>1010301-2</v>
      </c>
      <c r="T46" s="738" t="str">
        <f>+IF(ENERO!T46=0,"",ENERO!T46)</f>
        <v>Aportes Fondos Pensionales - Sin Sit. Fondos</v>
      </c>
      <c r="U46" s="29">
        <f>+ENERO!U46</f>
        <v>37896396</v>
      </c>
      <c r="V46" s="15">
        <f>ENERO!V46+FEBRERO!AL46</f>
        <v>0</v>
      </c>
      <c r="W46" s="15">
        <f>ENERO!W46+FEBRERO!AM46</f>
        <v>0</v>
      </c>
      <c r="X46" s="16">
        <f>SUM(U46:W46)</f>
        <v>37896396</v>
      </c>
      <c r="Y46" s="19">
        <f>ENERO!AA46</f>
        <v>3058774</v>
      </c>
      <c r="Z46" s="377">
        <v>3252365</v>
      </c>
      <c r="AA46" s="18">
        <f>SUM(Y46:Z46)</f>
        <v>6311139</v>
      </c>
      <c r="AB46" s="19">
        <f>ENERO!AD46</f>
        <v>3058774</v>
      </c>
      <c r="AC46" s="377">
        <v>3252365</v>
      </c>
      <c r="AD46" s="16">
        <f>SUM(AB46:AC46)</f>
        <v>6311139</v>
      </c>
      <c r="AE46" s="19">
        <f>ENERO!AG46</f>
        <v>3058774</v>
      </c>
      <c r="AF46" s="377">
        <v>3252365</v>
      </c>
      <c r="AG46" s="16">
        <f>SUM(AE46:AF46)</f>
        <v>6311139</v>
      </c>
      <c r="AH46" s="19">
        <f>X46-AA46</f>
        <v>31585257</v>
      </c>
      <c r="AI46" s="15">
        <f>X46-AD46</f>
        <v>31585257</v>
      </c>
      <c r="AJ46" s="16">
        <f>X46-AG46</f>
        <v>31585257</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+IF(ENERO!A47=0,"",ENERO!A47)</f>
        <v>1130107-2</v>
      </c>
      <c r="B47" s="654" t="str">
        <f>+IF(ENERO!B47=0,"",ENERO!B47)</f>
        <v>Vigencia Anterior</v>
      </c>
      <c r="C47" s="375">
        <f>+ENERO!C47</f>
        <v>0</v>
      </c>
      <c r="D47" s="376">
        <f>ENERO!D47+FEBRERO!P47</f>
        <v>0</v>
      </c>
      <c r="E47" s="376">
        <f>ENERO!E47+FEBRERO!Q47</f>
        <v>0</v>
      </c>
      <c r="F47" s="376">
        <f>SUM(C47:E47)</f>
        <v>0</v>
      </c>
      <c r="G47" s="376">
        <f>ENERO!I47</f>
        <v>0</v>
      </c>
      <c r="H47" s="377">
        <v>0</v>
      </c>
      <c r="I47" s="376">
        <f>SUM(G47:H47)</f>
        <v>0</v>
      </c>
      <c r="J47" s="376">
        <f>ENERO!L47</f>
        <v>0</v>
      </c>
      <c r="K47" s="377">
        <v>0</v>
      </c>
      <c r="L47" s="376">
        <f>SUM(J47:K47)</f>
        <v>0</v>
      </c>
      <c r="M47" s="376">
        <f>F47-I47</f>
        <v>0</v>
      </c>
      <c r="N47" s="146">
        <f>F47-L47</f>
        <v>0</v>
      </c>
      <c r="O47" s="385"/>
      <c r="P47" s="375">
        <v>0</v>
      </c>
      <c r="Q47" s="378">
        <v>0</v>
      </c>
      <c r="R47" s="9"/>
      <c r="S47" s="720" t="str">
        <f>+IF(ENERO!S47=0,"",ENERO!S47)</f>
        <v>1010301-3</v>
      </c>
      <c r="T47" s="738" t="str">
        <f>+IF(ENERO!T47=0,"",ENERO!T47)</f>
        <v xml:space="preserve">Aportes a Fondos de Cesantia - Sin Sit. de Fondos </v>
      </c>
      <c r="U47" s="29">
        <f>+ENERO!U47</f>
        <v>30148119</v>
      </c>
      <c r="V47" s="15">
        <f>ENERO!V47+FEBRERO!AL47</f>
        <v>0</v>
      </c>
      <c r="W47" s="15">
        <f>ENERO!W47+FEBRERO!AM47</f>
        <v>0</v>
      </c>
      <c r="X47" s="16">
        <f>SUM(U47:W47)</f>
        <v>30148119</v>
      </c>
      <c r="Y47" s="19">
        <f>ENERO!AA47</f>
        <v>0</v>
      </c>
      <c r="Z47" s="377">
        <v>0</v>
      </c>
      <c r="AA47" s="18">
        <f>SUM(Y47:Z47)</f>
        <v>0</v>
      </c>
      <c r="AB47" s="19">
        <f>ENERO!AD47</f>
        <v>0</v>
      </c>
      <c r="AC47" s="377">
        <v>0</v>
      </c>
      <c r="AD47" s="16">
        <f>SUM(AB47:AC47)</f>
        <v>0</v>
      </c>
      <c r="AE47" s="19">
        <f>ENERO!AG47</f>
        <v>0</v>
      </c>
      <c r="AF47" s="377">
        <v>0</v>
      </c>
      <c r="AG47" s="16">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+IF(ENERO!A48=0,"",ENERO!A48)</f>
        <v>1130108</v>
      </c>
      <c r="B48" s="653" t="str">
        <f>+IF(ENERO!B48=0,"",ENERO!B48)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+IF(ENERO!S48=0,"",ENERO!S48)</f>
        <v>1010301-4</v>
      </c>
      <c r="T48" s="738" t="str">
        <f>+IF(ENERO!T48=0,"",ENERO!T48)</f>
        <v xml:space="preserve">Aporte a ARL. - Sin Sit. de Fondos </v>
      </c>
      <c r="U48" s="29">
        <f>+ENERO!U48</f>
        <v>1648493</v>
      </c>
      <c r="V48" s="15">
        <f>ENERO!V48+FEBRERO!AL48</f>
        <v>0</v>
      </c>
      <c r="W48" s="15">
        <f>ENERO!W48+FEBRERO!AM48</f>
        <v>0</v>
      </c>
      <c r="X48" s="16">
        <f>SUM(U48:W48)</f>
        <v>1648493</v>
      </c>
      <c r="Y48" s="19">
        <f>ENERO!AA48</f>
        <v>113786</v>
      </c>
      <c r="Z48" s="377">
        <v>140626</v>
      </c>
      <c r="AA48" s="18">
        <f>SUM(Y48:Z48)</f>
        <v>254412</v>
      </c>
      <c r="AB48" s="19">
        <f>ENERO!AD48</f>
        <v>113786</v>
      </c>
      <c r="AC48" s="377">
        <v>140626</v>
      </c>
      <c r="AD48" s="16">
        <f>SUM(AB48:AC48)</f>
        <v>254412</v>
      </c>
      <c r="AE48" s="19">
        <f>ENERO!AG48</f>
        <v>113786</v>
      </c>
      <c r="AF48" s="377">
        <v>140626</v>
      </c>
      <c r="AG48" s="16">
        <f>SUM(AE48:AF48)</f>
        <v>254412</v>
      </c>
      <c r="AH48" s="19">
        <f>X48-AA48</f>
        <v>1394081</v>
      </c>
      <c r="AI48" s="15">
        <f>X48-AD48</f>
        <v>1394081</v>
      </c>
      <c r="AJ48" s="16">
        <f>X48-AG48</f>
        <v>1394081</v>
      </c>
      <c r="AK48" s="9"/>
      <c r="AL48" s="375">
        <v>0</v>
      </c>
      <c r="AM48" s="378">
        <v>0</v>
      </c>
      <c r="AN48" s="9"/>
      <c r="AO48" s="297"/>
      <c r="AP48" s="297"/>
      <c r="AQ48" s="297"/>
      <c r="AR48" s="297"/>
      <c r="AS48" s="297"/>
      <c r="AT48" s="297"/>
      <c r="AU48" s="297"/>
      <c r="AV48" s="297"/>
      <c r="AW48" s="297"/>
      <c r="AX48" s="297"/>
      <c r="AY48" s="297"/>
      <c r="AZ48" s="297"/>
      <c r="BR48" s="425"/>
    </row>
    <row r="49" spans="1:70" s="425" customFormat="1" ht="24.95" customHeight="1" x14ac:dyDescent="0.2">
      <c r="A49" s="618" t="str">
        <f>+IF(ENERO!A49=0,"",ENERO!A49)</f>
        <v>1130108-1</v>
      </c>
      <c r="B49" s="654" t="str">
        <f>+CONCATENATE("Vigencia ",INSTRUCCIONES!$F$3)</f>
        <v>Vigencia 2015</v>
      </c>
      <c r="C49" s="375">
        <f>+ENERO!C49</f>
        <v>0</v>
      </c>
      <c r="D49" s="376">
        <f>ENERO!D49+FEBRERO!P49</f>
        <v>0</v>
      </c>
      <c r="E49" s="376">
        <f>ENERO!E49+FEBRERO!Q49</f>
        <v>0</v>
      </c>
      <c r="F49" s="376">
        <f>SUM(C49:E49)</f>
        <v>0</v>
      </c>
      <c r="G49" s="376">
        <f>ENERO!I49</f>
        <v>0</v>
      </c>
      <c r="H49" s="377">
        <v>0</v>
      </c>
      <c r="I49" s="376">
        <f>SUM(G49:H49)</f>
        <v>0</v>
      </c>
      <c r="J49" s="376">
        <f>ENERO!L49</f>
        <v>0</v>
      </c>
      <c r="K49" s="377">
        <v>0</v>
      </c>
      <c r="L49" s="376">
        <f>SUM(J49:K49)</f>
        <v>0</v>
      </c>
      <c r="M49" s="376">
        <f>F49-I49</f>
        <v>0</v>
      </c>
      <c r="N49" s="146">
        <f>F49-L49</f>
        <v>0</v>
      </c>
      <c r="O49" s="385"/>
      <c r="P49" s="375">
        <v>0</v>
      </c>
      <c r="Q49" s="378">
        <v>0</v>
      </c>
      <c r="R49" s="9"/>
      <c r="S49" s="719">
        <f>+IF(ENERO!S49=0,"",ENERO!S49)</f>
        <v>1010302</v>
      </c>
      <c r="T49" s="737" t="str">
        <f>+IF(ENERO!T49=0,"",ENERO!T49)</f>
        <v>Contribuciones - Otros</v>
      </c>
      <c r="U49" s="29">
        <f t="shared" ref="U49:AJ49" si="52">SUM(U50:U54)</f>
        <v>14791923</v>
      </c>
      <c r="V49" s="15">
        <f t="shared" si="52"/>
        <v>0</v>
      </c>
      <c r="W49" s="15">
        <f t="shared" si="52"/>
        <v>0</v>
      </c>
      <c r="X49" s="16">
        <f t="shared" si="52"/>
        <v>14791923</v>
      </c>
      <c r="Y49" s="19">
        <f t="shared" si="52"/>
        <v>1019800</v>
      </c>
      <c r="Z49" s="145">
        <f t="shared" si="52"/>
        <v>1096800</v>
      </c>
      <c r="AA49" s="18">
        <f t="shared" si="52"/>
        <v>2116600</v>
      </c>
      <c r="AB49" s="19">
        <f t="shared" si="52"/>
        <v>1019800</v>
      </c>
      <c r="AC49" s="145">
        <f t="shared" si="52"/>
        <v>1096800</v>
      </c>
      <c r="AD49" s="16">
        <f t="shared" si="52"/>
        <v>2116600</v>
      </c>
      <c r="AE49" s="19">
        <f t="shared" si="52"/>
        <v>0</v>
      </c>
      <c r="AF49" s="145">
        <f t="shared" si="52"/>
        <v>1039200</v>
      </c>
      <c r="AG49" s="16">
        <f t="shared" si="52"/>
        <v>1039200</v>
      </c>
      <c r="AH49" s="19">
        <f t="shared" si="52"/>
        <v>12675323</v>
      </c>
      <c r="AI49" s="15">
        <f t="shared" si="52"/>
        <v>12675323</v>
      </c>
      <c r="AJ49" s="16">
        <f t="shared" si="52"/>
        <v>13752723</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row>
    <row r="50" spans="1:70" s="425" customFormat="1" ht="24.95" customHeight="1" x14ac:dyDescent="0.2">
      <c r="A50" s="618" t="str">
        <f>+IF(ENERO!A50=0,"",ENERO!A50)</f>
        <v>1130108-2</v>
      </c>
      <c r="B50" s="654" t="str">
        <f>+IF(ENERO!B50=0,"",ENERO!B50)</f>
        <v>Vigencia Anterior</v>
      </c>
      <c r="C50" s="375">
        <f>+ENERO!C50</f>
        <v>0</v>
      </c>
      <c r="D50" s="376">
        <f>ENERO!D50+FEBRERO!P50</f>
        <v>0</v>
      </c>
      <c r="E50" s="376">
        <f>ENERO!E50+FEBRERO!Q50</f>
        <v>0</v>
      </c>
      <c r="F50" s="376">
        <f>SUM(C50:E50)</f>
        <v>0</v>
      </c>
      <c r="G50" s="376">
        <f>ENERO!I50</f>
        <v>0</v>
      </c>
      <c r="H50" s="377">
        <v>0</v>
      </c>
      <c r="I50" s="376">
        <f>SUM(G50:H50)</f>
        <v>0</v>
      </c>
      <c r="J50" s="376">
        <f>ENERO!L50</f>
        <v>0</v>
      </c>
      <c r="K50" s="377">
        <v>0</v>
      </c>
      <c r="L50" s="376">
        <f>SUM(J50:K50)</f>
        <v>0</v>
      </c>
      <c r="M50" s="376">
        <f>F50-I50</f>
        <v>0</v>
      </c>
      <c r="N50" s="146">
        <f>F50-L50</f>
        <v>0</v>
      </c>
      <c r="O50" s="385"/>
      <c r="P50" s="375">
        <v>0</v>
      </c>
      <c r="Q50" s="378">
        <v>0</v>
      </c>
      <c r="R50" s="9"/>
      <c r="S50" s="720" t="str">
        <f>+IF(ENERO!S50=0,"",ENERO!S50)</f>
        <v>1010302-1</v>
      </c>
      <c r="T50" s="738" t="str">
        <f>+IF(ENERO!T50=0,"",ENERO!T50)</f>
        <v>Aportes a E.P.S.- Con sit. Fondos</v>
      </c>
      <c r="U50" s="29">
        <f>+ENERO!U50</f>
        <v>0</v>
      </c>
      <c r="V50" s="15">
        <f>ENERO!V50+FEBRERO!AL50</f>
        <v>0</v>
      </c>
      <c r="W50" s="15">
        <f>ENERO!W50+FEBRERO!AM50</f>
        <v>0</v>
      </c>
      <c r="X50" s="16">
        <f t="shared" ref="X50:X55" si="53">SUM(U50:W50)</f>
        <v>0</v>
      </c>
      <c r="Y50" s="19">
        <f>ENERO!AA50</f>
        <v>0</v>
      </c>
      <c r="Z50" s="377">
        <v>0</v>
      </c>
      <c r="AA50" s="18">
        <f t="shared" ref="AA50:AA55" si="54">SUM(Y50:Z50)</f>
        <v>0</v>
      </c>
      <c r="AB50" s="19">
        <f>ENERO!AD50</f>
        <v>0</v>
      </c>
      <c r="AC50" s="377">
        <v>0</v>
      </c>
      <c r="AD50" s="16">
        <f t="shared" ref="AD50:AD55" si="55">SUM(AB50:AC50)</f>
        <v>0</v>
      </c>
      <c r="AE50" s="19">
        <f>ENERO!AG50</f>
        <v>0</v>
      </c>
      <c r="AF50" s="377">
        <v>0</v>
      </c>
      <c r="AG50" s="16">
        <f t="shared" ref="AG50:AG55" si="56">SUM(AE50:AF50)</f>
        <v>0</v>
      </c>
      <c r="AH50" s="19">
        <f t="shared" ref="AH50:AH55" si="57">X50-AA50</f>
        <v>0</v>
      </c>
      <c r="AI50" s="15">
        <f t="shared" ref="AI50:AI55" si="58">X50-AD50</f>
        <v>0</v>
      </c>
      <c r="AJ50" s="16">
        <f t="shared" ref="AJ50:AJ55" si="59">X50-AG50</f>
        <v>0</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+IF(ENERO!A51=0,"",ENERO!A51)</f>
        <v>1130109</v>
      </c>
      <c r="B51" s="653" t="str">
        <f>+IF(ENERO!B51=0,"",ENERO!B51)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+IF(ENERO!S51=0,"",ENERO!S51)</f>
        <v>1010302-2</v>
      </c>
      <c r="T51" s="738" t="str">
        <f>+IF(ENERO!T51=0,"",ENERO!T51)</f>
        <v>Aportes Fondos Pensionales - Con Sit. Fondos</v>
      </c>
      <c r="U51" s="29">
        <f>+ENERO!U51</f>
        <v>0</v>
      </c>
      <c r="V51" s="15">
        <f>ENERO!V51+FEBRERO!AL51</f>
        <v>0</v>
      </c>
      <c r="W51" s="15">
        <f>ENERO!W51+FEBRERO!AM51</f>
        <v>0</v>
      </c>
      <c r="X51" s="16">
        <f t="shared" si="53"/>
        <v>0</v>
      </c>
      <c r="Y51" s="19">
        <f>ENERO!AA51</f>
        <v>0</v>
      </c>
      <c r="Z51" s="377">
        <v>0</v>
      </c>
      <c r="AA51" s="18">
        <f t="shared" si="54"/>
        <v>0</v>
      </c>
      <c r="AB51" s="19">
        <f>ENERO!AD51</f>
        <v>0</v>
      </c>
      <c r="AC51" s="377">
        <v>0</v>
      </c>
      <c r="AD51" s="16">
        <f t="shared" si="55"/>
        <v>0</v>
      </c>
      <c r="AE51" s="19">
        <f>ENERO!AG51</f>
        <v>0</v>
      </c>
      <c r="AF51" s="377">
        <v>0</v>
      </c>
      <c r="AG51" s="16">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c r="BR51" s="425"/>
    </row>
    <row r="52" spans="1:70" s="425" customFormat="1" ht="24.95" customHeight="1" x14ac:dyDescent="0.2">
      <c r="A52" s="618" t="str">
        <f>+IF(ENERO!A52=0,"",ENERO!A52)</f>
        <v>1130109-1</v>
      </c>
      <c r="B52" s="654" t="str">
        <f>+CONCATENATE("Vigencia ",INSTRUCCIONES!$F$3)</f>
        <v>Vigencia 2015</v>
      </c>
      <c r="C52" s="375">
        <f>+ENERO!C52</f>
        <v>0</v>
      </c>
      <c r="D52" s="376">
        <f>ENERO!D52+FEBRERO!P52</f>
        <v>0</v>
      </c>
      <c r="E52" s="376">
        <f>ENERO!E52+FEBRERO!Q52</f>
        <v>0</v>
      </c>
      <c r="F52" s="376">
        <f>SUM(C52:E52)</f>
        <v>0</v>
      </c>
      <c r="G52" s="376">
        <f>ENERO!I52</f>
        <v>0</v>
      </c>
      <c r="H52" s="377">
        <v>0</v>
      </c>
      <c r="I52" s="376">
        <f>SUM(G52:H52)</f>
        <v>0</v>
      </c>
      <c r="J52" s="376">
        <f>ENERO!L52</f>
        <v>0</v>
      </c>
      <c r="K52" s="377">
        <v>0</v>
      </c>
      <c r="L52" s="376">
        <f>SUM(J52:K52)</f>
        <v>0</v>
      </c>
      <c r="M52" s="376">
        <f>F52-I52</f>
        <v>0</v>
      </c>
      <c r="N52" s="146">
        <f>F52-L52</f>
        <v>0</v>
      </c>
      <c r="O52" s="385"/>
      <c r="P52" s="375">
        <v>0</v>
      </c>
      <c r="Q52" s="378">
        <v>0</v>
      </c>
      <c r="R52" s="9"/>
      <c r="S52" s="720" t="str">
        <f>+IF(ENERO!S52=0,"",ENERO!S52)</f>
        <v>1010302-3</v>
      </c>
      <c r="T52" s="738" t="str">
        <f>+IF(ENERO!T52=0,"",ENERO!T52)</f>
        <v xml:space="preserve">Aportes a Fondos de Cesantia - Con Sit. de Fondos </v>
      </c>
      <c r="U52" s="29">
        <f>+ENERO!U52</f>
        <v>0</v>
      </c>
      <c r="V52" s="15">
        <f>ENERO!V52+FEBRERO!AL52</f>
        <v>0</v>
      </c>
      <c r="W52" s="15">
        <f>ENERO!W52+FEBRERO!AM52</f>
        <v>0</v>
      </c>
      <c r="X52" s="16">
        <f t="shared" si="53"/>
        <v>0</v>
      </c>
      <c r="Y52" s="19">
        <f>ENERO!AA52</f>
        <v>0</v>
      </c>
      <c r="Z52" s="377">
        <v>0</v>
      </c>
      <c r="AA52" s="18">
        <f t="shared" si="54"/>
        <v>0</v>
      </c>
      <c r="AB52" s="19">
        <f>ENERO!AD52</f>
        <v>0</v>
      </c>
      <c r="AC52" s="377">
        <v>0</v>
      </c>
      <c r="AD52" s="16">
        <f t="shared" si="55"/>
        <v>0</v>
      </c>
      <c r="AE52" s="19">
        <f>ENERO!AG52</f>
        <v>0</v>
      </c>
      <c r="AF52" s="377">
        <v>0</v>
      </c>
      <c r="AG52" s="16">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row>
    <row r="53" spans="1:70" s="425" customFormat="1" ht="24.95" customHeight="1" x14ac:dyDescent="0.2">
      <c r="A53" s="618" t="str">
        <f>+IF(ENERO!A53=0,"",ENERO!A53)</f>
        <v>1130109-2</v>
      </c>
      <c r="B53" s="654" t="str">
        <f>+IF(ENERO!B53=0,"",ENERO!B53)</f>
        <v>Vigencia Anterior</v>
      </c>
      <c r="C53" s="375">
        <f>+ENERO!C53</f>
        <v>0</v>
      </c>
      <c r="D53" s="376">
        <f>ENERO!D53+FEBRERO!P53</f>
        <v>0</v>
      </c>
      <c r="E53" s="376">
        <f>ENERO!E53+FEBRERO!Q53</f>
        <v>0</v>
      </c>
      <c r="F53" s="376">
        <f>SUM(C53:E53)</f>
        <v>0</v>
      </c>
      <c r="G53" s="376">
        <f>ENERO!I53</f>
        <v>0</v>
      </c>
      <c r="H53" s="377">
        <v>0</v>
      </c>
      <c r="I53" s="376">
        <f>SUM(G53:H53)</f>
        <v>0</v>
      </c>
      <c r="J53" s="376">
        <f>ENERO!L53</f>
        <v>0</v>
      </c>
      <c r="K53" s="377">
        <v>0</v>
      </c>
      <c r="L53" s="376">
        <f>SUM(J53:K53)</f>
        <v>0</v>
      </c>
      <c r="M53" s="376">
        <f>F53-I53</f>
        <v>0</v>
      </c>
      <c r="N53" s="146">
        <f>F53-L53</f>
        <v>0</v>
      </c>
      <c r="O53" s="385"/>
      <c r="P53" s="375">
        <v>0</v>
      </c>
      <c r="Q53" s="378">
        <v>0</v>
      </c>
      <c r="R53" s="9"/>
      <c r="S53" s="720" t="str">
        <f>+IF(ENERO!S53=0,"",ENERO!S53)</f>
        <v>1010302-4</v>
      </c>
      <c r="T53" s="738" t="str">
        <f>+IF(ENERO!T53=0,"",ENERO!T53)</f>
        <v>Aporte a ARL. - Con Sit. de Fondos</v>
      </c>
      <c r="U53" s="29">
        <f>+ENERO!U53</f>
        <v>0</v>
      </c>
      <c r="V53" s="15">
        <f>ENERO!V53+FEBRERO!AL53</f>
        <v>0</v>
      </c>
      <c r="W53" s="15">
        <f>ENERO!W53+FEBRERO!AM53</f>
        <v>0</v>
      </c>
      <c r="X53" s="16">
        <f t="shared" si="53"/>
        <v>0</v>
      </c>
      <c r="Y53" s="19">
        <f>ENERO!AA53</f>
        <v>0</v>
      </c>
      <c r="Z53" s="377">
        <v>0</v>
      </c>
      <c r="AA53" s="18">
        <f t="shared" si="54"/>
        <v>0</v>
      </c>
      <c r="AB53" s="19">
        <f>ENERO!AD53</f>
        <v>0</v>
      </c>
      <c r="AC53" s="377">
        <v>0</v>
      </c>
      <c r="AD53" s="16">
        <f t="shared" si="55"/>
        <v>0</v>
      </c>
      <c r="AE53" s="19">
        <f>ENERO!AG53</f>
        <v>0</v>
      </c>
      <c r="AF53" s="377">
        <v>0</v>
      </c>
      <c r="AG53" s="16">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+IF(ENERO!A54=0,"",ENERO!A54)</f>
        <v>1130110</v>
      </c>
      <c r="B54" s="653" t="str">
        <f>+IF(ENERO!B54=0,"",ENERO!B54)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+IF(ENERO!S54=0,"",ENERO!S54)</f>
        <v>1010302-5</v>
      </c>
      <c r="T54" s="738" t="str">
        <f>+IF(ENERO!T54=0,"",ENERO!T54)</f>
        <v>Aporte a Caja Compensación Familiar</v>
      </c>
      <c r="U54" s="29">
        <f>+ENERO!U54</f>
        <v>14791923</v>
      </c>
      <c r="V54" s="15">
        <f>ENERO!V54+FEBRERO!AL54</f>
        <v>0</v>
      </c>
      <c r="W54" s="15">
        <f>ENERO!W54+FEBRERO!AM54</f>
        <v>0</v>
      </c>
      <c r="X54" s="16">
        <f t="shared" si="53"/>
        <v>14791923</v>
      </c>
      <c r="Y54" s="19">
        <f>ENERO!AA54</f>
        <v>1019800</v>
      </c>
      <c r="Z54" s="377">
        <v>1096800</v>
      </c>
      <c r="AA54" s="18">
        <f t="shared" si="54"/>
        <v>2116600</v>
      </c>
      <c r="AB54" s="19">
        <f>ENERO!AD54</f>
        <v>1019800</v>
      </c>
      <c r="AC54" s="377">
        <v>1096800</v>
      </c>
      <c r="AD54" s="16">
        <f t="shared" si="55"/>
        <v>2116600</v>
      </c>
      <c r="AE54" s="19">
        <f>ENERO!AG54</f>
        <v>0</v>
      </c>
      <c r="AF54" s="377">
        <v>1039200</v>
      </c>
      <c r="AG54" s="16">
        <f t="shared" si="56"/>
        <v>1039200</v>
      </c>
      <c r="AH54" s="19">
        <f t="shared" si="57"/>
        <v>12675323</v>
      </c>
      <c r="AI54" s="15">
        <f t="shared" si="58"/>
        <v>12675323</v>
      </c>
      <c r="AJ54" s="16">
        <f t="shared" si="59"/>
        <v>13752723</v>
      </c>
      <c r="AK54" s="9"/>
      <c r="AL54" s="375">
        <v>0</v>
      </c>
      <c r="AM54" s="378">
        <v>0</v>
      </c>
      <c r="AN54" s="9"/>
      <c r="AO54" s="297"/>
      <c r="AP54" s="297"/>
      <c r="AQ54" s="297"/>
      <c r="AR54" s="297"/>
      <c r="AS54" s="297"/>
      <c r="AT54" s="297"/>
      <c r="AU54" s="297"/>
      <c r="AV54" s="297"/>
      <c r="AW54" s="297"/>
      <c r="AX54" s="297"/>
      <c r="AY54" s="297"/>
      <c r="AZ54" s="297"/>
      <c r="BR54" s="425"/>
    </row>
    <row r="55" spans="1:70" s="425" customFormat="1" ht="24.95" customHeight="1" x14ac:dyDescent="0.2">
      <c r="A55" s="618" t="str">
        <f>+IF(ENERO!A55=0,"",ENERO!A55)</f>
        <v>1130110-1</v>
      </c>
      <c r="B55" s="654" t="str">
        <f>+CONCATENATE("Vigencia ",INSTRUCCIONES!$F$3)</f>
        <v>Vigencia 2015</v>
      </c>
      <c r="C55" s="375">
        <f>+ENERO!C55</f>
        <v>0</v>
      </c>
      <c r="D55" s="376">
        <f>ENERO!D55+FEBRERO!P55</f>
        <v>0</v>
      </c>
      <c r="E55" s="376">
        <f>ENERO!E55+FEBRERO!Q55</f>
        <v>0</v>
      </c>
      <c r="F55" s="376">
        <f>SUM(C55:E55)</f>
        <v>0</v>
      </c>
      <c r="G55" s="376">
        <f>ENERO!I55</f>
        <v>0</v>
      </c>
      <c r="H55" s="377">
        <v>0</v>
      </c>
      <c r="I55" s="376">
        <f>SUM(G55:H55)</f>
        <v>0</v>
      </c>
      <c r="J55" s="376">
        <f>ENERO!L55</f>
        <v>0</v>
      </c>
      <c r="K55" s="377">
        <v>0</v>
      </c>
      <c r="L55" s="376">
        <f>SUM(J55:K55)</f>
        <v>0</v>
      </c>
      <c r="M55" s="376">
        <f>F55-I55</f>
        <v>0</v>
      </c>
      <c r="N55" s="146">
        <f>F55-L55</f>
        <v>0</v>
      </c>
      <c r="O55" s="385"/>
      <c r="P55" s="375">
        <v>0</v>
      </c>
      <c r="Q55" s="378">
        <v>0</v>
      </c>
      <c r="R55" s="9"/>
      <c r="S55" s="719">
        <f>+IF(ENERO!S55=0,"",ENERO!S55)</f>
        <v>1010399</v>
      </c>
      <c r="T55" s="737" t="str">
        <f>+IF(ENERO!T55=0,"",ENERO!T55)</f>
        <v>Vigencias Anteriores</v>
      </c>
      <c r="U55" s="29">
        <f>+ENERO!U55</f>
        <v>0</v>
      </c>
      <c r="V55" s="15">
        <f>ENERO!V55+FEBRERO!AL55</f>
        <v>0</v>
      </c>
      <c r="W55" s="15">
        <f>ENERO!W55+FEBRERO!AM55</f>
        <v>29964174</v>
      </c>
      <c r="X55" s="16">
        <f t="shared" si="53"/>
        <v>29964174</v>
      </c>
      <c r="Y55" s="19">
        <f>ENERO!AA55</f>
        <v>29964174</v>
      </c>
      <c r="Z55" s="377">
        <v>0</v>
      </c>
      <c r="AA55" s="18">
        <f t="shared" si="54"/>
        <v>29964174</v>
      </c>
      <c r="AB55" s="19">
        <f>ENERO!AD55</f>
        <v>29964174</v>
      </c>
      <c r="AC55" s="377">
        <v>0</v>
      </c>
      <c r="AD55" s="16">
        <f t="shared" si="55"/>
        <v>29964174</v>
      </c>
      <c r="AE55" s="19">
        <f>ENERO!AG55</f>
        <v>0</v>
      </c>
      <c r="AF55" s="377">
        <v>29598035</v>
      </c>
      <c r="AG55" s="16">
        <f t="shared" si="56"/>
        <v>29598035</v>
      </c>
      <c r="AH55" s="19">
        <f t="shared" si="57"/>
        <v>0</v>
      </c>
      <c r="AI55" s="15">
        <f t="shared" si="58"/>
        <v>0</v>
      </c>
      <c r="AJ55" s="16">
        <f t="shared" si="59"/>
        <v>366139</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row>
    <row r="56" spans="1:70" s="425" customFormat="1" ht="24.95" customHeight="1" x14ac:dyDescent="0.2">
      <c r="A56" s="618" t="str">
        <f>+IF(ENERO!A56=0,"",ENERO!A56)</f>
        <v>1130110-2</v>
      </c>
      <c r="B56" s="654" t="str">
        <f>+IF(ENERO!B56=0,"",ENERO!B56)</f>
        <v>Vigencia Anterior</v>
      </c>
      <c r="C56" s="375">
        <f>+ENERO!C56</f>
        <v>0</v>
      </c>
      <c r="D56" s="376">
        <f>ENERO!D56+FEBRERO!P56</f>
        <v>0</v>
      </c>
      <c r="E56" s="376">
        <f>ENERO!E56+FEBRERO!Q56</f>
        <v>0</v>
      </c>
      <c r="F56" s="376">
        <f>SUM(C56:E56)</f>
        <v>0</v>
      </c>
      <c r="G56" s="376">
        <f>ENERO!I56</f>
        <v>0</v>
      </c>
      <c r="H56" s="377">
        <v>0</v>
      </c>
      <c r="I56" s="376">
        <f>SUM(G56:H56)</f>
        <v>0</v>
      </c>
      <c r="J56" s="376">
        <f>ENERO!L56</f>
        <v>0</v>
      </c>
      <c r="K56" s="377">
        <v>0</v>
      </c>
      <c r="L56" s="376">
        <f>SUM(J56:K56)</f>
        <v>0</v>
      </c>
      <c r="M56" s="376">
        <f>F56-I56</f>
        <v>0</v>
      </c>
      <c r="N56" s="146">
        <f>F56-L56</f>
        <v>0</v>
      </c>
      <c r="O56" s="385"/>
      <c r="P56" s="375">
        <v>0</v>
      </c>
      <c r="Q56" s="378">
        <v>0</v>
      </c>
      <c r="R56" s="9"/>
      <c r="S56" s="369" t="str">
        <f>+IF(ENERO!S56=0,"",ENERO!S56)</f>
        <v/>
      </c>
      <c r="T56" s="708" t="str">
        <f>+IF(ENERO!T56=0,"",ENERO!T56)</f>
        <v/>
      </c>
      <c r="U56" s="370"/>
      <c r="V56" s="164"/>
      <c r="W56" s="164"/>
      <c r="X56" s="169"/>
      <c r="Y56" s="370"/>
      <c r="Z56" s="164"/>
      <c r="AA56" s="164"/>
      <c r="AB56" s="370"/>
      <c r="AC56" s="164"/>
      <c r="AD56" s="169"/>
      <c r="AE56" s="370"/>
      <c r="AF56" s="164"/>
      <c r="AG56" s="169"/>
      <c r="AH56" s="370"/>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+IF(ENERO!A57=0,"",ENERO!A57)</f>
        <v>1130111</v>
      </c>
      <c r="B57" s="653" t="str">
        <f>+IF(ENERO!B57=0,"",ENERO!B57)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+IF(ENERO!S57=0,"",ENERO!S57)</f>
        <v>1010400</v>
      </c>
      <c r="T57" s="736" t="str">
        <f>+IF(ENERO!T57=0,"",ENERO!T57)</f>
        <v>Contribuciones Inherentes nómina del Sector Publico</v>
      </c>
      <c r="U57" s="131">
        <f t="shared" ref="U57:AJ57" si="63">U58+U61</f>
        <v>18489903</v>
      </c>
      <c r="V57" s="124">
        <f t="shared" si="63"/>
        <v>0</v>
      </c>
      <c r="W57" s="124">
        <f t="shared" si="63"/>
        <v>1280600</v>
      </c>
      <c r="X57" s="133">
        <f t="shared" si="63"/>
        <v>19770503</v>
      </c>
      <c r="Y57" s="131">
        <f t="shared" si="63"/>
        <v>2538700</v>
      </c>
      <c r="Z57" s="124">
        <f t="shared" si="63"/>
        <v>1371200</v>
      </c>
      <c r="AA57" s="132">
        <f t="shared" si="63"/>
        <v>3909900</v>
      </c>
      <c r="AB57" s="131">
        <f t="shared" si="63"/>
        <v>2538700</v>
      </c>
      <c r="AC57" s="124">
        <f t="shared" si="63"/>
        <v>1371200</v>
      </c>
      <c r="AD57" s="133">
        <f t="shared" si="63"/>
        <v>3909900</v>
      </c>
      <c r="AE57" s="131">
        <f t="shared" si="63"/>
        <v>0</v>
      </c>
      <c r="AF57" s="124">
        <f t="shared" si="63"/>
        <v>2562900</v>
      </c>
      <c r="AG57" s="133">
        <f t="shared" si="63"/>
        <v>2562900</v>
      </c>
      <c r="AH57" s="131">
        <f t="shared" si="63"/>
        <v>15860603</v>
      </c>
      <c r="AI57" s="124">
        <f t="shared" si="63"/>
        <v>15860603</v>
      </c>
      <c r="AJ57" s="133">
        <f t="shared" si="63"/>
        <v>17207603</v>
      </c>
      <c r="AK57" s="9"/>
      <c r="AL57" s="131">
        <f>AL58+AL61</f>
        <v>0</v>
      </c>
      <c r="AM57" s="133">
        <f>AM58+AM61</f>
        <v>0</v>
      </c>
      <c r="AN57" s="9"/>
      <c r="AO57" s="297"/>
      <c r="AP57" s="297"/>
      <c r="AQ57" s="297"/>
      <c r="AR57" s="297"/>
      <c r="AS57" s="297"/>
      <c r="AT57" s="297"/>
      <c r="AU57" s="297"/>
      <c r="AV57" s="297"/>
      <c r="AW57" s="297"/>
      <c r="AX57" s="297"/>
      <c r="AY57" s="297"/>
      <c r="AZ57" s="297"/>
      <c r="BR57" s="425"/>
    </row>
    <row r="58" spans="1:70" s="425" customFormat="1" ht="24.95" customHeight="1" x14ac:dyDescent="0.2">
      <c r="A58" s="618" t="str">
        <f>+IF(ENERO!A58=0,"",ENERO!A58)</f>
        <v>1130111-1</v>
      </c>
      <c r="B58" s="654" t="str">
        <f>+CONCATENATE("Vigencia ",INSTRUCCIONES!$F$3)</f>
        <v>Vigencia 2015</v>
      </c>
      <c r="C58" s="375">
        <f>+ENERO!C58</f>
        <v>0</v>
      </c>
      <c r="D58" s="376">
        <f>ENERO!D58+FEBRERO!P58</f>
        <v>0</v>
      </c>
      <c r="E58" s="376">
        <f>ENERO!E58+FEBRERO!Q58</f>
        <v>0</v>
      </c>
      <c r="F58" s="376">
        <f>SUM(C58:E58)</f>
        <v>0</v>
      </c>
      <c r="G58" s="376">
        <f>ENERO!I58</f>
        <v>0</v>
      </c>
      <c r="H58" s="377">
        <v>0</v>
      </c>
      <c r="I58" s="376">
        <f>SUM(G58:H58)</f>
        <v>0</v>
      </c>
      <c r="J58" s="376">
        <f>ENERO!L58</f>
        <v>0</v>
      </c>
      <c r="K58" s="377">
        <v>0</v>
      </c>
      <c r="L58" s="376">
        <f>SUM(J58:K58)</f>
        <v>0</v>
      </c>
      <c r="M58" s="376">
        <f>F58-I58</f>
        <v>0</v>
      </c>
      <c r="N58" s="146">
        <f>F58-L58</f>
        <v>0</v>
      </c>
      <c r="O58" s="385"/>
      <c r="P58" s="375">
        <v>0</v>
      </c>
      <c r="Q58" s="378">
        <v>0</v>
      </c>
      <c r="R58" s="9"/>
      <c r="S58" s="719">
        <f>+IF(ENERO!S58=0,"",ENERO!S58)</f>
        <v>1010402</v>
      </c>
      <c r="T58" s="737" t="str">
        <f>+IF(ENERO!T58=0,"",ENERO!T58)</f>
        <v>Contribuciones - Otros</v>
      </c>
      <c r="U58" s="29">
        <f t="shared" ref="U58:AJ58" si="64">SUM(U59:U60)</f>
        <v>18489903</v>
      </c>
      <c r="V58" s="15">
        <f t="shared" si="64"/>
        <v>0</v>
      </c>
      <c r="W58" s="15">
        <f t="shared" si="64"/>
        <v>0</v>
      </c>
      <c r="X58" s="16">
        <f t="shared" si="64"/>
        <v>18489903</v>
      </c>
      <c r="Y58" s="19">
        <f t="shared" si="64"/>
        <v>1258100</v>
      </c>
      <c r="Z58" s="145">
        <f t="shared" si="64"/>
        <v>1371200</v>
      </c>
      <c r="AA58" s="18">
        <f t="shared" si="64"/>
        <v>2629300</v>
      </c>
      <c r="AB58" s="19">
        <f t="shared" si="64"/>
        <v>1258100</v>
      </c>
      <c r="AC58" s="145">
        <f t="shared" si="64"/>
        <v>1371200</v>
      </c>
      <c r="AD58" s="16">
        <f t="shared" si="64"/>
        <v>2629300</v>
      </c>
      <c r="AE58" s="19">
        <f t="shared" si="64"/>
        <v>0</v>
      </c>
      <c r="AF58" s="145">
        <f t="shared" si="64"/>
        <v>1282300</v>
      </c>
      <c r="AG58" s="16">
        <f t="shared" si="64"/>
        <v>1282300</v>
      </c>
      <c r="AH58" s="19">
        <f t="shared" si="64"/>
        <v>15860603</v>
      </c>
      <c r="AI58" s="15">
        <f t="shared" si="64"/>
        <v>15860603</v>
      </c>
      <c r="AJ58" s="16">
        <f t="shared" si="64"/>
        <v>17207603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row>
    <row r="59" spans="1:70" s="425" customFormat="1" ht="24.95" customHeight="1" x14ac:dyDescent="0.2">
      <c r="A59" s="618" t="str">
        <f>+IF(ENERO!A59=0,"",ENERO!A59)</f>
        <v>1130111-2</v>
      </c>
      <c r="B59" s="654" t="str">
        <f>+IF(ENERO!B59=0,"",ENERO!B59)</f>
        <v>Vigencia Anterior</v>
      </c>
      <c r="C59" s="375">
        <f>+ENERO!C59</f>
        <v>0</v>
      </c>
      <c r="D59" s="376">
        <f>ENERO!D59+FEBRERO!P59</f>
        <v>0</v>
      </c>
      <c r="E59" s="376">
        <f>ENERO!E59+FEBRERO!Q59</f>
        <v>0</v>
      </c>
      <c r="F59" s="376">
        <f>SUM(C59:E59)</f>
        <v>0</v>
      </c>
      <c r="G59" s="376">
        <f>ENERO!I59</f>
        <v>0</v>
      </c>
      <c r="H59" s="377">
        <v>0</v>
      </c>
      <c r="I59" s="376">
        <f>SUM(G59:H59)</f>
        <v>0</v>
      </c>
      <c r="J59" s="376">
        <f>ENERO!L59</f>
        <v>0</v>
      </c>
      <c r="K59" s="377">
        <v>0</v>
      </c>
      <c r="L59" s="376">
        <f>SUM(J59:K59)</f>
        <v>0</v>
      </c>
      <c r="M59" s="376">
        <f>F59-I59</f>
        <v>0</v>
      </c>
      <c r="N59" s="146">
        <f>F59-L59</f>
        <v>0</v>
      </c>
      <c r="O59" s="385"/>
      <c r="P59" s="375">
        <v>0</v>
      </c>
      <c r="Q59" s="378">
        <v>0</v>
      </c>
      <c r="R59" s="9"/>
      <c r="S59" s="720" t="str">
        <f>+IF(ENERO!S59=0,"",ENERO!S59)</f>
        <v>1010402-1</v>
      </c>
      <c r="T59" s="737" t="str">
        <f>+IF(ENERO!T59=0,"",ENERO!T59)</f>
        <v>S.E.N.A.</v>
      </c>
      <c r="U59" s="29">
        <f>+ENERO!U59</f>
        <v>7395961</v>
      </c>
      <c r="V59" s="15">
        <f>ENERO!V59+FEBRERO!AL59</f>
        <v>0</v>
      </c>
      <c r="W59" s="15">
        <f>ENERO!W59+FEBRERO!AM59</f>
        <v>0</v>
      </c>
      <c r="X59" s="16">
        <f>SUM(U59:W59)</f>
        <v>7395961</v>
      </c>
      <c r="Y59" s="19">
        <f>ENERO!AA59</f>
        <v>493500</v>
      </c>
      <c r="Z59" s="377">
        <v>548200</v>
      </c>
      <c r="AA59" s="18">
        <f>SUM(Y59:Z59)</f>
        <v>1041700</v>
      </c>
      <c r="AB59" s="19">
        <f>ENERO!AD59</f>
        <v>493500</v>
      </c>
      <c r="AC59" s="377">
        <v>548200</v>
      </c>
      <c r="AD59" s="16">
        <f>SUM(AB59:AC59)</f>
        <v>1041700</v>
      </c>
      <c r="AE59" s="19">
        <f>ENERO!AG59</f>
        <v>0</v>
      </c>
      <c r="AF59" s="377">
        <v>503200</v>
      </c>
      <c r="AG59" s="16">
        <f>SUM(AE59:AF59)</f>
        <v>503200</v>
      </c>
      <c r="AH59" s="19">
        <f>X59-AA59</f>
        <v>6354261</v>
      </c>
      <c r="AI59" s="15">
        <f>X59-AD59</f>
        <v>6354261</v>
      </c>
      <c r="AJ59" s="16">
        <f>X59-AG59</f>
        <v>6892761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+IF(ENERO!A60=0,"",ENERO!A60)</f>
        <v>1130112</v>
      </c>
      <c r="B60" s="653" t="str">
        <f>+IF(ENERO!B60=0,"",ENERO!B60)</f>
        <v>IPS PUBLICAS</v>
      </c>
      <c r="C60" s="43">
        <f t="shared" ref="C60:N60" si="65">SUM(C61:C62)</f>
        <v>3473660</v>
      </c>
      <c r="D60" s="44">
        <f t="shared" si="65"/>
        <v>0</v>
      </c>
      <c r="E60" s="44">
        <f t="shared" si="65"/>
        <v>0</v>
      </c>
      <c r="F60" s="44">
        <f t="shared" si="65"/>
        <v>3473660</v>
      </c>
      <c r="G60" s="44">
        <f t="shared" si="65"/>
        <v>341708</v>
      </c>
      <c r="H60" s="44">
        <f t="shared" si="65"/>
        <v>628823</v>
      </c>
      <c r="I60" s="44">
        <f t="shared" si="65"/>
        <v>970531</v>
      </c>
      <c r="J60" s="44">
        <f t="shared" si="65"/>
        <v>0</v>
      </c>
      <c r="K60" s="44">
        <f t="shared" si="65"/>
        <v>0</v>
      </c>
      <c r="L60" s="44">
        <f t="shared" si="65"/>
        <v>0</v>
      </c>
      <c r="M60" s="44">
        <f t="shared" si="65"/>
        <v>2503129</v>
      </c>
      <c r="N60" s="45">
        <f t="shared" si="65"/>
        <v>3473660</v>
      </c>
      <c r="P60" s="43">
        <f>SUM(P61:P62)</f>
        <v>0</v>
      </c>
      <c r="Q60" s="45">
        <f>SUM(Q61:Q62)</f>
        <v>0</v>
      </c>
      <c r="R60" s="9"/>
      <c r="S60" s="720" t="str">
        <f>+IF(ENERO!S60=0,"",ENERO!S60)</f>
        <v>1010402-2</v>
      </c>
      <c r="T60" s="737" t="str">
        <f>+IF(ENERO!T60=0,"",ENERO!T60)</f>
        <v>I.C.B.F.</v>
      </c>
      <c r="U60" s="29">
        <f>+ENERO!U60</f>
        <v>11093942</v>
      </c>
      <c r="V60" s="15">
        <f>ENERO!V60+FEBRERO!AL60</f>
        <v>0</v>
      </c>
      <c r="W60" s="15">
        <f>ENERO!W60+FEBRERO!AM60</f>
        <v>0</v>
      </c>
      <c r="X60" s="16">
        <f>SUM(U60:W60)</f>
        <v>11093942</v>
      </c>
      <c r="Y60" s="19">
        <f>ENERO!AA60</f>
        <v>764600</v>
      </c>
      <c r="Z60" s="377">
        <v>823000</v>
      </c>
      <c r="AA60" s="18">
        <f>SUM(Y60:Z60)</f>
        <v>1587600</v>
      </c>
      <c r="AB60" s="19">
        <f>ENERO!AD60</f>
        <v>764600</v>
      </c>
      <c r="AC60" s="377">
        <v>823000</v>
      </c>
      <c r="AD60" s="16">
        <f>SUM(AB60:AC60)</f>
        <v>1587600</v>
      </c>
      <c r="AE60" s="19">
        <f>ENERO!AG60</f>
        <v>0</v>
      </c>
      <c r="AF60" s="377">
        <v>779100</v>
      </c>
      <c r="AG60" s="16">
        <f>SUM(AE60:AF60)</f>
        <v>779100</v>
      </c>
      <c r="AH60" s="19">
        <f>X60-AA60</f>
        <v>9506342</v>
      </c>
      <c r="AI60" s="15">
        <f>X60-AD60</f>
        <v>9506342</v>
      </c>
      <c r="AJ60" s="16">
        <f>X60-AG60</f>
        <v>10314842</v>
      </c>
      <c r="AK60" s="9"/>
      <c r="AL60" s="375">
        <v>0</v>
      </c>
      <c r="AM60" s="378">
        <v>0</v>
      </c>
      <c r="AN60" s="9"/>
      <c r="AO60" s="297"/>
      <c r="AP60" s="297"/>
      <c r="AQ60" s="297"/>
      <c r="AR60" s="297"/>
      <c r="AS60" s="297"/>
      <c r="AT60" s="297"/>
      <c r="AU60" s="297"/>
      <c r="AV60" s="297"/>
      <c r="AW60" s="297"/>
      <c r="AX60" s="297"/>
      <c r="AY60" s="297"/>
      <c r="AZ60" s="297"/>
      <c r="BR60" s="425"/>
    </row>
    <row r="61" spans="1:70" s="425" customFormat="1" ht="24.95" customHeight="1" x14ac:dyDescent="0.2">
      <c r="A61" s="618" t="str">
        <f>+IF(ENERO!A61=0,"",ENERO!A61)</f>
        <v>1130112-1</v>
      </c>
      <c r="B61" s="654" t="str">
        <f>+CONCATENATE("Vigencia ",INSTRUCCIONES!$F$3)</f>
        <v>Vigencia 2015</v>
      </c>
      <c r="C61" s="375">
        <f>+ENERO!C61</f>
        <v>3473660</v>
      </c>
      <c r="D61" s="376">
        <f>ENERO!D61+FEBRERO!P61</f>
        <v>0</v>
      </c>
      <c r="E61" s="376">
        <f>ENERO!E61+FEBRERO!Q61</f>
        <v>0</v>
      </c>
      <c r="F61" s="376">
        <f>SUM(C61:E61)</f>
        <v>3473660</v>
      </c>
      <c r="G61" s="376">
        <f>ENERO!I61</f>
        <v>341708</v>
      </c>
      <c r="H61" s="377">
        <v>628823</v>
      </c>
      <c r="I61" s="376">
        <f>SUM(G61:H61)</f>
        <v>970531</v>
      </c>
      <c r="J61" s="376">
        <f>ENERO!L61</f>
        <v>0</v>
      </c>
      <c r="K61" s="377">
        <v>0</v>
      </c>
      <c r="L61" s="376">
        <f>SUM(J61:K61)</f>
        <v>0</v>
      </c>
      <c r="M61" s="376">
        <f>F61-I61</f>
        <v>2503129</v>
      </c>
      <c r="N61" s="146">
        <f>F61-L61</f>
        <v>3473660</v>
      </c>
      <c r="O61" s="385"/>
      <c r="P61" s="375">
        <v>0</v>
      </c>
      <c r="Q61" s="378">
        <v>0</v>
      </c>
      <c r="R61" s="9"/>
      <c r="S61" s="719">
        <f>+IF(ENERO!S61=0,"",ENERO!S61)</f>
        <v>1010499</v>
      </c>
      <c r="T61" s="737" t="str">
        <f>+IF(ENERO!T61=0,"",ENERO!T61)</f>
        <v>Vigencias Anteriores</v>
      </c>
      <c r="U61" s="29">
        <f>+ENERO!U61</f>
        <v>0</v>
      </c>
      <c r="V61" s="15">
        <f>ENERO!V61+FEBRERO!AL61</f>
        <v>0</v>
      </c>
      <c r="W61" s="15">
        <f>ENERO!W61+FEBRERO!AM61</f>
        <v>1280600</v>
      </c>
      <c r="X61" s="16">
        <f>SUM(U61:W61)</f>
        <v>1280600</v>
      </c>
      <c r="Y61" s="19">
        <f>ENERO!AA61</f>
        <v>1280600</v>
      </c>
      <c r="Z61" s="377">
        <v>0</v>
      </c>
      <c r="AA61" s="18">
        <f>SUM(Y61:Z61)</f>
        <v>1280600</v>
      </c>
      <c r="AB61" s="19">
        <f>ENERO!AD61</f>
        <v>1280600</v>
      </c>
      <c r="AC61" s="377">
        <v>0</v>
      </c>
      <c r="AD61" s="16">
        <f>SUM(AB61:AC61)</f>
        <v>1280600</v>
      </c>
      <c r="AE61" s="19">
        <f>ENERO!AG61</f>
        <v>0</v>
      </c>
      <c r="AF61" s="377">
        <v>1280600</v>
      </c>
      <c r="AG61" s="16">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row>
    <row r="62" spans="1:70" s="425" customFormat="1" ht="24.95" customHeight="1" x14ac:dyDescent="0.2">
      <c r="A62" s="618" t="str">
        <f>+IF(ENERO!A62=0,"",ENERO!A62)</f>
        <v>1130112-2</v>
      </c>
      <c r="B62" s="654" t="str">
        <f>+IF(ENERO!B62=0,"",ENERO!B62)</f>
        <v>Vigencia Anterior</v>
      </c>
      <c r="C62" s="375">
        <f>+ENERO!C62</f>
        <v>0</v>
      </c>
      <c r="D62" s="376">
        <f>ENERO!D62+FEBRERO!P62</f>
        <v>0</v>
      </c>
      <c r="E62" s="376">
        <f>ENERO!E62+FEBRERO!Q62</f>
        <v>0</v>
      </c>
      <c r="F62" s="376">
        <f>SUM(C62:E62)</f>
        <v>0</v>
      </c>
      <c r="G62" s="376">
        <f>ENERO!I62</f>
        <v>0</v>
      </c>
      <c r="H62" s="377">
        <v>0</v>
      </c>
      <c r="I62" s="376">
        <f>SUM(G62:H62)</f>
        <v>0</v>
      </c>
      <c r="J62" s="376">
        <f>ENERO!L62</f>
        <v>0</v>
      </c>
      <c r="K62" s="377">
        <v>0</v>
      </c>
      <c r="L62" s="376">
        <f>SUM(J62:K62)</f>
        <v>0</v>
      </c>
      <c r="M62" s="376">
        <f>F62-I62</f>
        <v>0</v>
      </c>
      <c r="N62" s="146">
        <f>F62-L62</f>
        <v>0</v>
      </c>
      <c r="O62" s="385"/>
      <c r="P62" s="375">
        <v>0</v>
      </c>
      <c r="Q62" s="378">
        <v>0</v>
      </c>
      <c r="R62" s="9"/>
      <c r="S62" s="369" t="str">
        <f>+IF(ENERO!S62=0,"",ENERO!S62)</f>
        <v/>
      </c>
      <c r="T62" s="708" t="str">
        <f>+IF(ENERO!T62=0,"",ENERO!T62)</f>
        <v/>
      </c>
      <c r="U62" s="370"/>
      <c r="V62" s="164"/>
      <c r="W62" s="164"/>
      <c r="X62" s="169"/>
      <c r="Y62" s="370"/>
      <c r="Z62" s="164"/>
      <c r="AA62" s="164"/>
      <c r="AB62" s="370"/>
      <c r="AC62" s="164"/>
      <c r="AD62" s="169"/>
      <c r="AE62" s="370"/>
      <c r="AF62" s="164"/>
      <c r="AG62" s="169"/>
      <c r="AH62" s="370"/>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+IF(ENERO!A63=0,"",ENERO!A63)</f>
        <v>1130113</v>
      </c>
      <c r="B63" s="653" t="str">
        <f>+IF(ENERO!B63=0,"",ENERO!B63)</f>
        <v>COMPAÑIAS DE SEGUROS  - ACCIDENTES DE TRANSITO (SOAT)</v>
      </c>
      <c r="C63" s="43">
        <f t="shared" ref="C63:N63" si="66">SUM(C64:C65)</f>
        <v>22951026</v>
      </c>
      <c r="D63" s="44">
        <f t="shared" si="66"/>
        <v>0</v>
      </c>
      <c r="E63" s="44">
        <f t="shared" si="66"/>
        <v>2940835</v>
      </c>
      <c r="F63" s="44">
        <f t="shared" si="66"/>
        <v>25891861</v>
      </c>
      <c r="G63" s="44">
        <f t="shared" si="66"/>
        <v>4903738</v>
      </c>
      <c r="H63" s="44">
        <f t="shared" si="66"/>
        <v>1346046</v>
      </c>
      <c r="I63" s="44">
        <f t="shared" si="66"/>
        <v>6249784</v>
      </c>
      <c r="J63" s="44">
        <f t="shared" si="66"/>
        <v>1132851</v>
      </c>
      <c r="K63" s="44">
        <f t="shared" si="66"/>
        <v>662710</v>
      </c>
      <c r="L63" s="44">
        <f t="shared" si="66"/>
        <v>1795561</v>
      </c>
      <c r="M63" s="44">
        <f t="shared" si="66"/>
        <v>19642077</v>
      </c>
      <c r="N63" s="45">
        <f t="shared" si="66"/>
        <v>24096300</v>
      </c>
      <c r="P63" s="43">
        <f>SUM(P64:P65)</f>
        <v>0</v>
      </c>
      <c r="Q63" s="45">
        <f>SUM(Q64:Q65)</f>
        <v>0</v>
      </c>
      <c r="R63" s="9"/>
      <c r="S63" s="717">
        <f>+IF(ENERO!S63=0,"",ENERO!S63)</f>
        <v>1020010</v>
      </c>
      <c r="T63" s="735" t="str">
        <f>+IF(ENERO!T63=0,"",ENERO!T63)</f>
        <v>Gastos de Operación</v>
      </c>
      <c r="U63" s="131">
        <f t="shared" ref="U63:AJ63" si="67">U65+U83+U90+U104</f>
        <v>1276921669</v>
      </c>
      <c r="V63" s="124">
        <f t="shared" si="67"/>
        <v>20000000</v>
      </c>
      <c r="W63" s="124">
        <f t="shared" si="67"/>
        <v>78294418</v>
      </c>
      <c r="X63" s="133">
        <f t="shared" si="67"/>
        <v>1375216087</v>
      </c>
      <c r="Y63" s="131">
        <f t="shared" si="67"/>
        <v>171463127</v>
      </c>
      <c r="Z63" s="124">
        <f t="shared" si="67"/>
        <v>134586129</v>
      </c>
      <c r="AA63" s="132">
        <f t="shared" si="67"/>
        <v>306049256</v>
      </c>
      <c r="AB63" s="131">
        <f t="shared" si="67"/>
        <v>167007127</v>
      </c>
      <c r="AC63" s="124">
        <f t="shared" si="67"/>
        <v>98518129</v>
      </c>
      <c r="AD63" s="133">
        <f t="shared" si="67"/>
        <v>265525256</v>
      </c>
      <c r="AE63" s="131">
        <f t="shared" si="67"/>
        <v>81042957</v>
      </c>
      <c r="AF63" s="124">
        <f t="shared" si="67"/>
        <v>150649106</v>
      </c>
      <c r="AG63" s="133">
        <f t="shared" si="67"/>
        <v>231692063</v>
      </c>
      <c r="AH63" s="131">
        <f t="shared" si="67"/>
        <v>1069166831</v>
      </c>
      <c r="AI63" s="124">
        <f t="shared" si="67"/>
        <v>1109690831</v>
      </c>
      <c r="AJ63" s="133">
        <f t="shared" si="67"/>
        <v>1143524024</v>
      </c>
      <c r="AK63" s="9"/>
      <c r="AL63" s="131">
        <f>AL65+AL83+AL90+AL104</f>
        <v>20000000</v>
      </c>
      <c r="AM63" s="133">
        <f>AM65+AM83+AM90+AM104</f>
        <v>0</v>
      </c>
      <c r="AN63" s="9"/>
      <c r="AO63" s="297"/>
      <c r="AP63" s="297"/>
      <c r="AQ63" s="297"/>
      <c r="AR63" s="297"/>
      <c r="AS63" s="297"/>
      <c r="AT63" s="297"/>
      <c r="AU63" s="297"/>
      <c r="AV63" s="297"/>
      <c r="AW63" s="297"/>
      <c r="AX63" s="297"/>
      <c r="AY63" s="297"/>
      <c r="AZ63" s="297"/>
      <c r="BR63" s="425"/>
    </row>
    <row r="64" spans="1:70" s="425" customFormat="1" ht="24.95" customHeight="1" x14ac:dyDescent="0.2">
      <c r="A64" s="618" t="str">
        <f>+IF(ENERO!A64=0,"",ENERO!A64)</f>
        <v>1130113-1</v>
      </c>
      <c r="B64" s="654" t="str">
        <f>+CONCATENATE("Vigencia ",INSTRUCCIONES!$F$3)</f>
        <v>Vigencia 2015</v>
      </c>
      <c r="C64" s="375">
        <f>+ENERO!C64</f>
        <v>22951026</v>
      </c>
      <c r="D64" s="376">
        <f>ENERO!D64+FEBRERO!P64</f>
        <v>0</v>
      </c>
      <c r="E64" s="376">
        <f>ENERO!E64+FEBRERO!Q64</f>
        <v>0</v>
      </c>
      <c r="F64" s="376">
        <f>SUM(C64:E64)</f>
        <v>22951026</v>
      </c>
      <c r="G64" s="376">
        <f>ENERO!I64</f>
        <v>3770887</v>
      </c>
      <c r="H64" s="377">
        <v>683336</v>
      </c>
      <c r="I64" s="376">
        <f>SUM(G64:H64)</f>
        <v>4454223</v>
      </c>
      <c r="J64" s="376">
        <f>ENERO!L64</f>
        <v>0</v>
      </c>
      <c r="K64" s="377">
        <v>0</v>
      </c>
      <c r="L64" s="376">
        <f>SUM(J64:K64)</f>
        <v>0</v>
      </c>
      <c r="M64" s="376">
        <f>F64-I64</f>
        <v>18496803</v>
      </c>
      <c r="N64" s="146">
        <f>F64-L64</f>
        <v>22951026</v>
      </c>
      <c r="O64" s="385"/>
      <c r="P64" s="375">
        <v>0</v>
      </c>
      <c r="Q64" s="378">
        <v>0</v>
      </c>
      <c r="R64" s="9"/>
      <c r="S64" s="369" t="str">
        <f>+IF(ENERO!S64=0,"",ENERO!S64)</f>
        <v/>
      </c>
      <c r="T64" s="708" t="str">
        <f>+IF(ENERO!T64=0,"",ENERO!T64)</f>
        <v/>
      </c>
      <c r="U64" s="370"/>
      <c r="V64" s="164"/>
      <c r="W64" s="164"/>
      <c r="X64" s="169"/>
      <c r="Y64" s="370"/>
      <c r="Z64" s="164"/>
      <c r="AA64" s="164"/>
      <c r="AB64" s="370"/>
      <c r="AC64" s="164"/>
      <c r="AD64" s="169"/>
      <c r="AE64" s="370"/>
      <c r="AF64" s="164"/>
      <c r="AG64" s="169"/>
      <c r="AH64" s="370"/>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row>
    <row r="65" spans="1:70" s="425" customFormat="1" ht="24.95" customHeight="1" x14ac:dyDescent="0.2">
      <c r="A65" s="618" t="str">
        <f>+IF(ENERO!A65=0,"",ENERO!A65)</f>
        <v>1130113-2</v>
      </c>
      <c r="B65" s="654" t="str">
        <f>+IF(ENERO!B65=0,"",ENERO!B65)</f>
        <v>Vigencia Anterior</v>
      </c>
      <c r="C65" s="375">
        <f>+ENERO!C65</f>
        <v>0</v>
      </c>
      <c r="D65" s="376">
        <f>ENERO!D65+FEBRERO!P65</f>
        <v>0</v>
      </c>
      <c r="E65" s="376">
        <f>ENERO!E65+FEBRERO!Q65</f>
        <v>2940835</v>
      </c>
      <c r="F65" s="376">
        <f>SUM(C65:E65)</f>
        <v>2940835</v>
      </c>
      <c r="G65" s="376">
        <f>ENERO!I65</f>
        <v>1132851</v>
      </c>
      <c r="H65" s="377">
        <v>662710</v>
      </c>
      <c r="I65" s="376">
        <f>SUM(G65:H65)</f>
        <v>1795561</v>
      </c>
      <c r="J65" s="376">
        <f>ENERO!L65</f>
        <v>1132851</v>
      </c>
      <c r="K65" s="377">
        <v>662710</v>
      </c>
      <c r="L65" s="376">
        <f>SUM(J65:K65)</f>
        <v>1795561</v>
      </c>
      <c r="M65" s="376">
        <f>F65-I65</f>
        <v>1145274</v>
      </c>
      <c r="N65" s="146">
        <f>F65-L65</f>
        <v>1145274</v>
      </c>
      <c r="O65" s="385"/>
      <c r="P65" s="375">
        <v>0</v>
      </c>
      <c r="Q65" s="378">
        <v>0</v>
      </c>
      <c r="R65" s="9"/>
      <c r="S65" s="718">
        <f>+IF(ENERO!S65=0,"",ENERO!S65)</f>
        <v>1020100</v>
      </c>
      <c r="T65" s="736" t="str">
        <f>+IF(ENERO!T65=0,"",ENERO!T65)</f>
        <v>Servicios Personales Asociados a Nómina</v>
      </c>
      <c r="U65" s="131">
        <f t="shared" ref="U65:AJ65" si="68">SUM(U66:U69)+U81</f>
        <v>815343813</v>
      </c>
      <c r="V65" s="124">
        <f t="shared" si="68"/>
        <v>20000000</v>
      </c>
      <c r="W65" s="124">
        <f t="shared" si="68"/>
        <v>13655677</v>
      </c>
      <c r="X65" s="133">
        <f t="shared" si="68"/>
        <v>848999490</v>
      </c>
      <c r="Y65" s="131">
        <f t="shared" si="68"/>
        <v>77793795</v>
      </c>
      <c r="Z65" s="124">
        <f t="shared" si="68"/>
        <v>64432694</v>
      </c>
      <c r="AA65" s="132">
        <f t="shared" si="68"/>
        <v>142226489</v>
      </c>
      <c r="AB65" s="131">
        <f t="shared" si="68"/>
        <v>77793795</v>
      </c>
      <c r="AC65" s="124">
        <f t="shared" si="68"/>
        <v>64432694</v>
      </c>
      <c r="AD65" s="133">
        <f t="shared" si="68"/>
        <v>142226489</v>
      </c>
      <c r="AE65" s="131">
        <f t="shared" si="68"/>
        <v>64606566</v>
      </c>
      <c r="AF65" s="124">
        <f t="shared" si="68"/>
        <v>59407235</v>
      </c>
      <c r="AG65" s="133">
        <f t="shared" si="68"/>
        <v>124013801</v>
      </c>
      <c r="AH65" s="131">
        <f t="shared" si="68"/>
        <v>706773001</v>
      </c>
      <c r="AI65" s="124">
        <f t="shared" si="68"/>
        <v>706773001</v>
      </c>
      <c r="AJ65" s="133">
        <f t="shared" si="68"/>
        <v>724985689</v>
      </c>
      <c r="AK65" s="9"/>
      <c r="AL65" s="131">
        <f>SUM(AL66:AL69)+AL81</f>
        <v>20000000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+IF(ENERO!A66=0,"",ENERO!A66)</f>
        <v>1130114</v>
      </c>
      <c r="B66" s="653" t="str">
        <f>+IF(ENERO!B66=0,"",ENERO!B66)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+IF(ENERO!S66=0,"",ENERO!S66)</f>
        <v>1020101</v>
      </c>
      <c r="T66" s="737" t="str">
        <f>+IF(ENERO!T66=0,"",ENERO!T66)</f>
        <v>Sueldos del Personal de nómina</v>
      </c>
      <c r="U66" s="29">
        <f>+ENERO!U66</f>
        <v>641065344</v>
      </c>
      <c r="V66" s="15">
        <f>ENERO!V66+FEBRERO!AL66</f>
        <v>0</v>
      </c>
      <c r="W66" s="15">
        <f>ENERO!W66+FEBRERO!AM66</f>
        <v>0</v>
      </c>
      <c r="X66" s="16">
        <f>SUM(U66:W66)</f>
        <v>641065344</v>
      </c>
      <c r="Y66" s="19">
        <f>ENERO!AA66</f>
        <v>51615563</v>
      </c>
      <c r="Z66" s="377">
        <v>55228661</v>
      </c>
      <c r="AA66" s="18">
        <f>SUM(Y66:Z66)</f>
        <v>106844224</v>
      </c>
      <c r="AB66" s="19">
        <f>ENERO!AD66</f>
        <v>51615563</v>
      </c>
      <c r="AC66" s="377">
        <v>55228661</v>
      </c>
      <c r="AD66" s="16">
        <f>SUM(AB66:AC66)</f>
        <v>106844224</v>
      </c>
      <c r="AE66" s="19">
        <f>ENERO!AG66</f>
        <v>46254235</v>
      </c>
      <c r="AF66" s="377">
        <v>50921075</v>
      </c>
      <c r="AG66" s="16">
        <f>SUM(AE66:AF66)</f>
        <v>97175310</v>
      </c>
      <c r="AH66" s="19">
        <f>X66-AA66</f>
        <v>534221120</v>
      </c>
      <c r="AI66" s="15">
        <f>X66-AD66</f>
        <v>534221120</v>
      </c>
      <c r="AJ66" s="16">
        <f>X66-AG66</f>
        <v>543890034</v>
      </c>
      <c r="AK66" s="9"/>
      <c r="AL66" s="375">
        <v>0</v>
      </c>
      <c r="AM66" s="378">
        <v>0</v>
      </c>
      <c r="AN66" s="9"/>
      <c r="AO66" s="297"/>
      <c r="AP66" s="297"/>
      <c r="AQ66" s="297"/>
      <c r="AR66" s="297"/>
      <c r="AS66" s="297"/>
      <c r="AT66" s="297"/>
      <c r="AU66" s="297"/>
      <c r="AV66" s="297"/>
      <c r="AW66" s="297"/>
      <c r="AX66" s="297"/>
      <c r="AY66" s="297"/>
      <c r="AZ66" s="297"/>
      <c r="BR66" s="425"/>
    </row>
    <row r="67" spans="1:70" s="425" customFormat="1" ht="24.95" customHeight="1" x14ac:dyDescent="0.2">
      <c r="A67" s="618" t="str">
        <f>+IF(ENERO!A67=0,"",ENERO!A67)</f>
        <v>1130114-1</v>
      </c>
      <c r="B67" s="654" t="str">
        <f>+CONCATENATE("Vigencia ",INSTRUCCIONES!$F$3)</f>
        <v>Vigencia 2015</v>
      </c>
      <c r="C67" s="375">
        <f>+ENERO!C67</f>
        <v>338898</v>
      </c>
      <c r="D67" s="376">
        <f>ENERO!D67+FEBRERO!P67</f>
        <v>0</v>
      </c>
      <c r="E67" s="376">
        <f>ENERO!E67+FEBRERO!Q67</f>
        <v>0</v>
      </c>
      <c r="F67" s="376">
        <f>SUM(C67:E67)</f>
        <v>338898</v>
      </c>
      <c r="G67" s="376">
        <f>ENERO!I67</f>
        <v>0</v>
      </c>
      <c r="H67" s="377">
        <v>0</v>
      </c>
      <c r="I67" s="376">
        <f>SUM(G67:H67)</f>
        <v>0</v>
      </c>
      <c r="J67" s="376">
        <f>ENERO!L67</f>
        <v>0</v>
      </c>
      <c r="K67" s="377">
        <v>0</v>
      </c>
      <c r="L67" s="376">
        <f>SUM(J67:K67)</f>
        <v>0</v>
      </c>
      <c r="M67" s="376">
        <f>F67-I67</f>
        <v>338898</v>
      </c>
      <c r="N67" s="146">
        <f>F67-L67</f>
        <v>338898</v>
      </c>
      <c r="O67" s="385"/>
      <c r="P67" s="375">
        <v>0</v>
      </c>
      <c r="Q67" s="378">
        <v>0</v>
      </c>
      <c r="R67" s="9"/>
      <c r="S67" s="719">
        <f>+IF(ENERO!S67=0,"",ENERO!S67)</f>
        <v>1020102</v>
      </c>
      <c r="T67" s="737" t="str">
        <f>+IF(ENERO!T67=0,"",ENERO!T67)</f>
        <v>Horas Extras,Dominic.,Festivos y Rec. Nocturnos</v>
      </c>
      <c r="U67" s="29">
        <f>+ENERO!U67</f>
        <v>57949728</v>
      </c>
      <c r="V67" s="15">
        <f>ENERO!V67+FEBRERO!AL67</f>
        <v>20000000</v>
      </c>
      <c r="W67" s="15">
        <f>ENERO!W67+FEBRERO!AM67</f>
        <v>0</v>
      </c>
      <c r="X67" s="16">
        <f>SUM(U67:W67)</f>
        <v>77949728</v>
      </c>
      <c r="Y67" s="19">
        <f>ENERO!AA67</f>
        <v>12450555</v>
      </c>
      <c r="Z67" s="377">
        <v>9130033</v>
      </c>
      <c r="AA67" s="18">
        <f>SUM(Y67:Z67)</f>
        <v>21580588</v>
      </c>
      <c r="AB67" s="19">
        <f>ENERO!AD67</f>
        <v>12450555</v>
      </c>
      <c r="AC67" s="377">
        <v>9130033</v>
      </c>
      <c r="AD67" s="16">
        <f>SUM(AB67:AC67)</f>
        <v>21580588</v>
      </c>
      <c r="AE67" s="19">
        <f>ENERO!AG67</f>
        <v>11157312</v>
      </c>
      <c r="AF67" s="377">
        <v>8417932</v>
      </c>
      <c r="AG67" s="16">
        <f>SUM(AE67:AF67)</f>
        <v>19575244</v>
      </c>
      <c r="AH67" s="19">
        <f>X67-AA67</f>
        <v>56369140</v>
      </c>
      <c r="AI67" s="15">
        <f>X67-AD67</f>
        <v>56369140</v>
      </c>
      <c r="AJ67" s="16">
        <f>X67-AG67</f>
        <v>58374484</v>
      </c>
      <c r="AK67" s="9"/>
      <c r="AL67" s="375">
        <v>20000000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row>
    <row r="68" spans="1:70" s="425" customFormat="1" ht="24.95" customHeight="1" x14ac:dyDescent="0.2">
      <c r="A68" s="618" t="str">
        <f>+IF(ENERO!A68=0,"",ENERO!A68)</f>
        <v>1130114-2</v>
      </c>
      <c r="B68" s="654" t="str">
        <f>+IF(ENERO!B68=0,"",ENERO!B68)</f>
        <v>Vigencia Anterior</v>
      </c>
      <c r="C68" s="375">
        <f>+ENERO!C68</f>
        <v>0</v>
      </c>
      <c r="D68" s="376">
        <f>ENERO!D68+FEBRERO!P68</f>
        <v>0</v>
      </c>
      <c r="E68" s="376">
        <f>ENERO!E68+FEBRERO!Q68</f>
        <v>0</v>
      </c>
      <c r="F68" s="376">
        <f>SUM(C68:E68)</f>
        <v>0</v>
      </c>
      <c r="G68" s="376">
        <f>ENERO!I68</f>
        <v>78500</v>
      </c>
      <c r="H68" s="377">
        <v>0</v>
      </c>
      <c r="I68" s="376">
        <f>SUM(G68:H68)</f>
        <v>78500</v>
      </c>
      <c r="J68" s="376">
        <f>ENERO!L68</f>
        <v>78500</v>
      </c>
      <c r="K68" s="377">
        <v>0</v>
      </c>
      <c r="L68" s="376">
        <f>SUM(J68:K68)</f>
        <v>78500</v>
      </c>
      <c r="M68" s="376">
        <f>F68-I68</f>
        <v>-78500</v>
      </c>
      <c r="N68" s="146">
        <f>F68-L68</f>
        <v>-78500</v>
      </c>
      <c r="O68" s="385"/>
      <c r="P68" s="375">
        <v>0</v>
      </c>
      <c r="Q68" s="378">
        <v>0</v>
      </c>
      <c r="R68" s="9"/>
      <c r="S68" s="719">
        <f>+IF(ENERO!S68=0,"",ENERO!S68)</f>
        <v>1020103</v>
      </c>
      <c r="T68" s="737" t="str">
        <f>+IF(ENERO!T68=0,"",ENERO!T68)</f>
        <v>Prima Técnica</v>
      </c>
      <c r="U68" s="29">
        <f>+ENERO!U68</f>
        <v>0</v>
      </c>
      <c r="V68" s="15">
        <f>ENERO!V68+FEBRERO!AL68</f>
        <v>0</v>
      </c>
      <c r="W68" s="15">
        <f>ENERO!W68+FEBRERO!AM68</f>
        <v>0</v>
      </c>
      <c r="X68" s="16">
        <f>SUM(U68:W68)</f>
        <v>0</v>
      </c>
      <c r="Y68" s="19">
        <f>ENERO!AA68</f>
        <v>0</v>
      </c>
      <c r="Z68" s="377">
        <v>0</v>
      </c>
      <c r="AA68" s="18">
        <f>SUM(Y68:Z68)</f>
        <v>0</v>
      </c>
      <c r="AB68" s="19">
        <f>ENERO!AD68</f>
        <v>0</v>
      </c>
      <c r="AC68" s="377">
        <v>0</v>
      </c>
      <c r="AD68" s="16">
        <f>SUM(AB68:AC68)</f>
        <v>0</v>
      </c>
      <c r="AE68" s="19">
        <f>ENERO!AG68</f>
        <v>0</v>
      </c>
      <c r="AF68" s="377">
        <v>0</v>
      </c>
      <c r="AG68" s="16">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+IF(ENERO!A69=0,"",ENERO!A69)</f>
        <v>1130115</v>
      </c>
      <c r="B69" s="653" t="str">
        <f>+IF(ENERO!B69=0,"",ENERO!B69)</f>
        <v>ENTIDADES DE REGIMEN ESPECIAL (Magisterio, Fuerza Pca.)</v>
      </c>
      <c r="C69" s="43">
        <f t="shared" ref="C69:N69" si="70">SUM(C70:C71)</f>
        <v>53468516</v>
      </c>
      <c r="D69" s="44">
        <f t="shared" si="70"/>
        <v>0</v>
      </c>
      <c r="E69" s="44">
        <f t="shared" si="70"/>
        <v>27541841</v>
      </c>
      <c r="F69" s="44">
        <f t="shared" si="70"/>
        <v>81010357</v>
      </c>
      <c r="G69" s="44">
        <f t="shared" si="70"/>
        <v>4002155</v>
      </c>
      <c r="H69" s="44">
        <f t="shared" si="70"/>
        <v>16547091</v>
      </c>
      <c r="I69" s="44">
        <f t="shared" si="70"/>
        <v>20549246</v>
      </c>
      <c r="J69" s="44">
        <f t="shared" si="70"/>
        <v>0</v>
      </c>
      <c r="K69" s="44">
        <f t="shared" si="70"/>
        <v>13644902</v>
      </c>
      <c r="L69" s="44">
        <f t="shared" si="70"/>
        <v>13644902</v>
      </c>
      <c r="M69" s="44">
        <f t="shared" si="70"/>
        <v>60461111</v>
      </c>
      <c r="N69" s="45">
        <f t="shared" si="70"/>
        <v>67365455</v>
      </c>
      <c r="P69" s="43">
        <f>SUM(P70:P71)</f>
        <v>0</v>
      </c>
      <c r="Q69" s="45">
        <f>SUM(Q70:Q71)</f>
        <v>0</v>
      </c>
      <c r="R69" s="9"/>
      <c r="S69" s="719">
        <f>+IF(ENERO!S69=0,"",ENERO!S69)</f>
        <v>1020104</v>
      </c>
      <c r="T69" s="737" t="str">
        <f>+IF(ENERO!T69=0,"",ENERO!T69)</f>
        <v>Otros</v>
      </c>
      <c r="U69" s="29">
        <f t="shared" ref="U69:AJ69" si="71">SUM(U70:U80)</f>
        <v>116328741</v>
      </c>
      <c r="V69" s="15">
        <f t="shared" si="71"/>
        <v>0</v>
      </c>
      <c r="W69" s="15">
        <f t="shared" si="71"/>
        <v>0</v>
      </c>
      <c r="X69" s="16">
        <f t="shared" si="71"/>
        <v>116328741</v>
      </c>
      <c r="Y69" s="19">
        <f t="shared" si="71"/>
        <v>72000</v>
      </c>
      <c r="Z69" s="145">
        <f t="shared" si="71"/>
        <v>74000</v>
      </c>
      <c r="AA69" s="18">
        <f t="shared" si="71"/>
        <v>146000</v>
      </c>
      <c r="AB69" s="19">
        <f t="shared" si="71"/>
        <v>72000</v>
      </c>
      <c r="AC69" s="145">
        <f t="shared" si="71"/>
        <v>74000</v>
      </c>
      <c r="AD69" s="16">
        <f t="shared" si="71"/>
        <v>146000</v>
      </c>
      <c r="AE69" s="19">
        <f t="shared" si="71"/>
        <v>64521</v>
      </c>
      <c r="AF69" s="145">
        <f t="shared" si="71"/>
        <v>68228</v>
      </c>
      <c r="AG69" s="16">
        <f t="shared" si="71"/>
        <v>132749</v>
      </c>
      <c r="AH69" s="19">
        <f t="shared" si="71"/>
        <v>116182741</v>
      </c>
      <c r="AI69" s="15">
        <f t="shared" si="71"/>
        <v>116182741</v>
      </c>
      <c r="AJ69" s="16">
        <f t="shared" si="71"/>
        <v>116195992</v>
      </c>
      <c r="AK69" s="9"/>
      <c r="AL69" s="29">
        <f>SUM(AL70:AL80)</f>
        <v>0</v>
      </c>
      <c r="AM69" s="26">
        <f>SUM(AM70:AM80)</f>
        <v>0</v>
      </c>
      <c r="AN69" s="9"/>
      <c r="AO69" s="297"/>
      <c r="AP69" s="297"/>
      <c r="AQ69" s="297"/>
      <c r="AR69" s="297"/>
      <c r="AS69" s="297"/>
      <c r="AT69" s="297"/>
      <c r="AU69" s="297"/>
      <c r="AV69" s="297"/>
      <c r="AW69" s="297"/>
      <c r="AX69" s="297"/>
      <c r="AY69" s="297"/>
      <c r="AZ69" s="297"/>
      <c r="BR69" s="425"/>
    </row>
    <row r="70" spans="1:70" s="425" customFormat="1" ht="24.95" customHeight="1" x14ac:dyDescent="0.2">
      <c r="A70" s="618" t="str">
        <f>+IF(ENERO!A70=0,"",ENERO!A70)</f>
        <v>1130115-1</v>
      </c>
      <c r="B70" s="654" t="str">
        <f>+CONCATENATE("Vigencia ",INSTRUCCIONES!$F$3)</f>
        <v>Vigencia 2015</v>
      </c>
      <c r="C70" s="375">
        <f>+ENERO!C70</f>
        <v>53468516</v>
      </c>
      <c r="D70" s="376">
        <f>ENERO!D70+FEBRERO!P70</f>
        <v>0</v>
      </c>
      <c r="E70" s="376">
        <f>ENERO!E70+FEBRERO!Q70</f>
        <v>0</v>
      </c>
      <c r="F70" s="376">
        <f>SUM(C70:E70)</f>
        <v>53468516</v>
      </c>
      <c r="G70" s="376">
        <f>ENERO!I70</f>
        <v>4002155</v>
      </c>
      <c r="H70" s="377">
        <v>2902189</v>
      </c>
      <c r="I70" s="376">
        <f>SUM(G70:H70)</f>
        <v>6904344</v>
      </c>
      <c r="J70" s="376">
        <f>ENERO!L70</f>
        <v>0</v>
      </c>
      <c r="K70" s="377">
        <v>0</v>
      </c>
      <c r="L70" s="376">
        <f>SUM(J70:K70)</f>
        <v>0</v>
      </c>
      <c r="M70" s="376">
        <f>F70-I70</f>
        <v>46564172</v>
      </c>
      <c r="N70" s="146">
        <f>F70-L70</f>
        <v>53468516</v>
      </c>
      <c r="O70" s="385"/>
      <c r="P70" s="375">
        <v>0</v>
      </c>
      <c r="Q70" s="378">
        <v>0</v>
      </c>
      <c r="R70" s="9"/>
      <c r="S70" s="720" t="str">
        <f>+IF(ENERO!S70=0,"",ENERO!S70)</f>
        <v>1020104-1</v>
      </c>
      <c r="T70" s="738" t="str">
        <f>+IF(ENERO!T70=0,"",ENERO!T70)</f>
        <v xml:space="preserve">Prima de Navidad </v>
      </c>
      <c r="U70" s="29">
        <f>+ENERO!U70</f>
        <v>57873955</v>
      </c>
      <c r="V70" s="15">
        <f>ENERO!V70+FEBRERO!AL70</f>
        <v>0</v>
      </c>
      <c r="W70" s="15">
        <f>ENERO!W70+FEBRERO!AM70</f>
        <v>0</v>
      </c>
      <c r="X70" s="16">
        <f t="shared" ref="X70:X81" si="72">SUM(U70:W70)</f>
        <v>57873955</v>
      </c>
      <c r="Y70" s="19">
        <f>ENERO!AA70</f>
        <v>0</v>
      </c>
      <c r="Z70" s="377">
        <v>0</v>
      </c>
      <c r="AA70" s="18">
        <f t="shared" ref="AA70:AA81" si="73">SUM(Y70:Z70)</f>
        <v>0</v>
      </c>
      <c r="AB70" s="19">
        <f>ENERO!AD70</f>
        <v>0</v>
      </c>
      <c r="AC70" s="377">
        <v>0</v>
      </c>
      <c r="AD70" s="16">
        <f t="shared" ref="AD70:AD81" si="74">SUM(AB70:AC70)</f>
        <v>0</v>
      </c>
      <c r="AE70" s="19">
        <f>ENERO!AG70</f>
        <v>0</v>
      </c>
      <c r="AF70" s="377">
        <v>0</v>
      </c>
      <c r="AG70" s="16">
        <f t="shared" ref="AG70:AG81" si="75">SUM(AE70:AF70)</f>
        <v>0</v>
      </c>
      <c r="AH70" s="19">
        <f t="shared" ref="AH70:AH81" si="76">X70-AA70</f>
        <v>57873955</v>
      </c>
      <c r="AI70" s="15">
        <f t="shared" ref="AI70:AI81" si="77">X70-AD70</f>
        <v>57873955</v>
      </c>
      <c r="AJ70" s="16">
        <f t="shared" ref="AJ70:AJ81" si="78">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row>
    <row r="71" spans="1:70" s="425" customFormat="1" ht="24.95" customHeight="1" x14ac:dyDescent="0.2">
      <c r="A71" s="618" t="str">
        <f>+IF(ENERO!A71=0,"",ENERO!A71)</f>
        <v>1130115-2</v>
      </c>
      <c r="B71" s="654" t="str">
        <f>+IF(ENERO!B71=0,"",ENERO!B71)</f>
        <v>Vigencia Anterior</v>
      </c>
      <c r="C71" s="375">
        <f>+ENERO!C71</f>
        <v>0</v>
      </c>
      <c r="D71" s="376">
        <f>ENERO!D71+FEBRERO!P71</f>
        <v>0</v>
      </c>
      <c r="E71" s="376">
        <f>ENERO!E71+FEBRERO!Q71</f>
        <v>27541841</v>
      </c>
      <c r="F71" s="376">
        <f>SUM(C71:E71)</f>
        <v>27541841</v>
      </c>
      <c r="G71" s="376">
        <f>ENERO!I71</f>
        <v>0</v>
      </c>
      <c r="H71" s="377">
        <v>13644902</v>
      </c>
      <c r="I71" s="376">
        <f>SUM(G71:H71)</f>
        <v>13644902</v>
      </c>
      <c r="J71" s="376">
        <f>ENERO!L71</f>
        <v>0</v>
      </c>
      <c r="K71" s="377">
        <v>13644902</v>
      </c>
      <c r="L71" s="376">
        <f>SUM(J71:K71)</f>
        <v>13644902</v>
      </c>
      <c r="M71" s="376">
        <f>F71-I71</f>
        <v>13896939</v>
      </c>
      <c r="N71" s="146">
        <f>F71-L71</f>
        <v>13896939</v>
      </c>
      <c r="O71" s="385"/>
      <c r="P71" s="375">
        <v>0</v>
      </c>
      <c r="Q71" s="378">
        <v>0</v>
      </c>
      <c r="R71" s="9"/>
      <c r="S71" s="720" t="str">
        <f>+IF(ENERO!S71=0,"",ENERO!S71)</f>
        <v>1020104-2</v>
      </c>
      <c r="T71" s="738" t="str">
        <f>+IF(ENERO!T71=0,"",ENERO!T71)</f>
        <v>Prima Vida Cara</v>
      </c>
      <c r="U71" s="29">
        <f>+ENERO!U71</f>
        <v>0</v>
      </c>
      <c r="V71" s="15">
        <f>ENERO!V71+FEBRERO!AL71</f>
        <v>0</v>
      </c>
      <c r="W71" s="15">
        <f>ENERO!W71+FEBRERO!AM71</f>
        <v>0</v>
      </c>
      <c r="X71" s="16">
        <f t="shared" si="72"/>
        <v>0</v>
      </c>
      <c r="Y71" s="19">
        <f>ENERO!AA71</f>
        <v>0</v>
      </c>
      <c r="Z71" s="377">
        <v>0</v>
      </c>
      <c r="AA71" s="18">
        <f t="shared" si="73"/>
        <v>0</v>
      </c>
      <c r="AB71" s="19">
        <f>ENERO!AD71</f>
        <v>0</v>
      </c>
      <c r="AC71" s="377">
        <v>0</v>
      </c>
      <c r="AD71" s="16">
        <f t="shared" si="74"/>
        <v>0</v>
      </c>
      <c r="AE71" s="19">
        <f>ENERO!AG71</f>
        <v>0</v>
      </c>
      <c r="AF71" s="377">
        <v>0</v>
      </c>
      <c r="AG71" s="16">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+IF(ENERO!A72=0,"",ENERO!A72)</f>
        <v>1130116</v>
      </c>
      <c r="B72" s="653" t="str">
        <f>+IF(ENERO!B72=0,"",ENERO!B72)</f>
        <v>ADMINISTRADORAS DE RIESGOS PROFESIONALES</v>
      </c>
      <c r="C72" s="43">
        <f t="shared" ref="C72:N72" si="79">SUM(C73:C74)</f>
        <v>47982534</v>
      </c>
      <c r="D72" s="44">
        <f t="shared" si="79"/>
        <v>0</v>
      </c>
      <c r="E72" s="44">
        <f t="shared" si="79"/>
        <v>7739704</v>
      </c>
      <c r="F72" s="44">
        <f t="shared" si="79"/>
        <v>55722238</v>
      </c>
      <c r="G72" s="44">
        <f t="shared" si="79"/>
        <v>4067151</v>
      </c>
      <c r="H72" s="44">
        <f t="shared" si="79"/>
        <v>9251964</v>
      </c>
      <c r="I72" s="44">
        <f t="shared" si="79"/>
        <v>13319115</v>
      </c>
      <c r="J72" s="44">
        <f t="shared" si="79"/>
        <v>1002472</v>
      </c>
      <c r="K72" s="44">
        <f t="shared" si="79"/>
        <v>5140946</v>
      </c>
      <c r="L72" s="44">
        <f t="shared" si="79"/>
        <v>6143418</v>
      </c>
      <c r="M72" s="44">
        <f t="shared" si="79"/>
        <v>42403123</v>
      </c>
      <c r="N72" s="45">
        <f t="shared" si="79"/>
        <v>49578820</v>
      </c>
      <c r="P72" s="43">
        <f>SUM(P73:P74)</f>
        <v>0</v>
      </c>
      <c r="Q72" s="45">
        <f>SUM(Q73:Q74)</f>
        <v>0</v>
      </c>
      <c r="R72" s="9"/>
      <c r="S72" s="720" t="str">
        <f>+IF(ENERO!S72=0,"",ENERO!S72)</f>
        <v>1020104-3</v>
      </c>
      <c r="T72" s="738" t="str">
        <f>+IF(ENERO!T72=0,"",ENERO!T72)</f>
        <v>Prima de Vacaciones</v>
      </c>
      <c r="U72" s="29">
        <f>+ENERO!U72</f>
        <v>26711056</v>
      </c>
      <c r="V72" s="15">
        <f>ENERO!V72+FEBRERO!AL72</f>
        <v>0</v>
      </c>
      <c r="W72" s="15">
        <f>ENERO!W72+FEBRERO!AM72</f>
        <v>0</v>
      </c>
      <c r="X72" s="16">
        <f t="shared" si="72"/>
        <v>26711056</v>
      </c>
      <c r="Y72" s="19">
        <f>ENERO!AA72</f>
        <v>0</v>
      </c>
      <c r="Z72" s="377">
        <v>0</v>
      </c>
      <c r="AA72" s="18">
        <f t="shared" si="73"/>
        <v>0</v>
      </c>
      <c r="AB72" s="19">
        <f>ENERO!AD72</f>
        <v>0</v>
      </c>
      <c r="AC72" s="377">
        <v>0</v>
      </c>
      <c r="AD72" s="16">
        <f t="shared" si="74"/>
        <v>0</v>
      </c>
      <c r="AE72" s="19">
        <f>ENERO!AG72</f>
        <v>0</v>
      </c>
      <c r="AF72" s="377">
        <v>0</v>
      </c>
      <c r="AG72" s="16">
        <f t="shared" si="75"/>
        <v>0</v>
      </c>
      <c r="AH72" s="19">
        <f t="shared" si="76"/>
        <v>26711056</v>
      </c>
      <c r="AI72" s="15">
        <f t="shared" si="77"/>
        <v>26711056</v>
      </c>
      <c r="AJ72" s="16">
        <f t="shared" si="78"/>
        <v>26711056</v>
      </c>
      <c r="AK72" s="9"/>
      <c r="AL72" s="375">
        <v>0</v>
      </c>
      <c r="AM72" s="378">
        <v>0</v>
      </c>
      <c r="AN72" s="9"/>
      <c r="AO72" s="297"/>
      <c r="AP72" s="297"/>
      <c r="AQ72" s="297"/>
      <c r="AR72" s="297"/>
      <c r="AS72" s="297"/>
      <c r="AT72" s="297"/>
      <c r="AU72" s="297"/>
      <c r="AV72" s="297"/>
      <c r="AW72" s="297"/>
      <c r="AX72" s="297"/>
      <c r="AY72" s="297"/>
      <c r="AZ72" s="297"/>
      <c r="BR72" s="425"/>
    </row>
    <row r="73" spans="1:70" s="425" customFormat="1" ht="24.95" customHeight="1" x14ac:dyDescent="0.2">
      <c r="A73" s="618" t="str">
        <f>+IF(ENERO!A73=0,"",ENERO!A73)</f>
        <v>1130116-1</v>
      </c>
      <c r="B73" s="654" t="str">
        <f>+CONCATENATE("Vigencia ",INSTRUCCIONES!$F$3)</f>
        <v>Vigencia 2015</v>
      </c>
      <c r="C73" s="375">
        <f>+ENERO!C73</f>
        <v>47982534</v>
      </c>
      <c r="D73" s="376">
        <f>ENERO!D73+FEBRERO!P73</f>
        <v>0</v>
      </c>
      <c r="E73" s="376">
        <f>ENERO!E73+FEBRERO!Q73</f>
        <v>0</v>
      </c>
      <c r="F73" s="376">
        <f>SUM(C73:E73)</f>
        <v>47982534</v>
      </c>
      <c r="G73" s="376">
        <f>ENERO!I73</f>
        <v>3064679</v>
      </c>
      <c r="H73" s="377">
        <v>4111018</v>
      </c>
      <c r="I73" s="376">
        <f>SUM(G73:H73)</f>
        <v>7175697</v>
      </c>
      <c r="J73" s="376">
        <f>ENERO!L73</f>
        <v>0</v>
      </c>
      <c r="K73" s="377">
        <v>0</v>
      </c>
      <c r="L73" s="376">
        <f>SUM(J73:K73)</f>
        <v>0</v>
      </c>
      <c r="M73" s="376">
        <f>F73-I73</f>
        <v>40806837</v>
      </c>
      <c r="N73" s="146">
        <f>F73-L73</f>
        <v>47982534</v>
      </c>
      <c r="O73" s="385"/>
      <c r="P73" s="375">
        <v>0</v>
      </c>
      <c r="Q73" s="378">
        <v>0</v>
      </c>
      <c r="R73" s="9"/>
      <c r="S73" s="720" t="str">
        <f>+IF(ENERO!S73=0,"",ENERO!S73)</f>
        <v>1020104-4</v>
      </c>
      <c r="T73" s="738" t="str">
        <f>+IF(ENERO!T73=0,"",ENERO!T73)</f>
        <v>Prima Clima</v>
      </c>
      <c r="U73" s="29">
        <f>+ENERO!U73</f>
        <v>0</v>
      </c>
      <c r="V73" s="15">
        <f>ENERO!V73+FEBRERO!AL73</f>
        <v>0</v>
      </c>
      <c r="W73" s="15">
        <f>ENERO!W73+FEBRERO!AM73</f>
        <v>0</v>
      </c>
      <c r="X73" s="16">
        <f t="shared" si="72"/>
        <v>0</v>
      </c>
      <c r="Y73" s="19">
        <f>ENERO!AA73</f>
        <v>0</v>
      </c>
      <c r="Z73" s="377">
        <v>0</v>
      </c>
      <c r="AA73" s="18">
        <f t="shared" si="73"/>
        <v>0</v>
      </c>
      <c r="AB73" s="19">
        <f>ENERO!AD73</f>
        <v>0</v>
      </c>
      <c r="AC73" s="377">
        <v>0</v>
      </c>
      <c r="AD73" s="16">
        <f t="shared" si="74"/>
        <v>0</v>
      </c>
      <c r="AE73" s="19">
        <f>ENERO!AG73</f>
        <v>0</v>
      </c>
      <c r="AF73" s="377">
        <v>0</v>
      </c>
      <c r="AG73" s="16">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row>
    <row r="74" spans="1:70" s="425" customFormat="1" ht="24.95" customHeight="1" x14ac:dyDescent="0.2">
      <c r="A74" s="618" t="str">
        <f>+IF(ENERO!A74=0,"",ENERO!A74)</f>
        <v>1130116-2</v>
      </c>
      <c r="B74" s="654" t="str">
        <f>+IF(ENERO!B74=0,"",ENERO!B74)</f>
        <v>Vigencia Anterior</v>
      </c>
      <c r="C74" s="375">
        <f>+ENERO!C74</f>
        <v>0</v>
      </c>
      <c r="D74" s="376">
        <f>ENERO!D74+FEBRERO!P74</f>
        <v>0</v>
      </c>
      <c r="E74" s="376">
        <f>ENERO!E74+FEBRERO!Q74</f>
        <v>7739704</v>
      </c>
      <c r="F74" s="376">
        <f>SUM(C74:E74)</f>
        <v>7739704</v>
      </c>
      <c r="G74" s="376">
        <f>ENERO!I74</f>
        <v>1002472</v>
      </c>
      <c r="H74" s="377">
        <v>5140946</v>
      </c>
      <c r="I74" s="376">
        <f>SUM(G74:H74)</f>
        <v>6143418</v>
      </c>
      <c r="J74" s="376">
        <f>ENERO!L74</f>
        <v>1002472</v>
      </c>
      <c r="K74" s="377">
        <v>5140946</v>
      </c>
      <c r="L74" s="376">
        <f>SUM(J74:K74)</f>
        <v>6143418</v>
      </c>
      <c r="M74" s="376">
        <f>F74-I74</f>
        <v>1596286</v>
      </c>
      <c r="N74" s="146">
        <f>F74-L74</f>
        <v>1596286</v>
      </c>
      <c r="O74" s="385"/>
      <c r="P74" s="375">
        <v>0</v>
      </c>
      <c r="Q74" s="378">
        <v>0</v>
      </c>
      <c r="R74" s="9"/>
      <c r="S74" s="720" t="str">
        <f>+IF(ENERO!S74=0,"",ENERO!S74)</f>
        <v>1020104-5</v>
      </c>
      <c r="T74" s="738" t="str">
        <f>+IF(ENERO!T74=0,"",ENERO!T74)</f>
        <v>Prima de Servicios</v>
      </c>
      <c r="U74" s="29">
        <f>+ENERO!U74</f>
        <v>26711056</v>
      </c>
      <c r="V74" s="15">
        <f>ENERO!V74+FEBRERO!AL74</f>
        <v>0</v>
      </c>
      <c r="W74" s="15">
        <f>ENERO!W74+FEBRERO!AM74</f>
        <v>0</v>
      </c>
      <c r="X74" s="16">
        <f t="shared" si="72"/>
        <v>26711056</v>
      </c>
      <c r="Y74" s="19">
        <f>ENERO!AA74</f>
        <v>0</v>
      </c>
      <c r="Z74" s="377">
        <v>0</v>
      </c>
      <c r="AA74" s="18">
        <f t="shared" si="73"/>
        <v>0</v>
      </c>
      <c r="AB74" s="19">
        <f>ENERO!AD74</f>
        <v>0</v>
      </c>
      <c r="AC74" s="377">
        <v>0</v>
      </c>
      <c r="AD74" s="16">
        <f t="shared" si="74"/>
        <v>0</v>
      </c>
      <c r="AE74" s="19">
        <f>ENERO!AG74</f>
        <v>0</v>
      </c>
      <c r="AF74" s="377">
        <v>0</v>
      </c>
      <c r="AG74" s="16">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+IF(ENERO!A75=0,"",ENERO!A75)</f>
        <v>1130117</v>
      </c>
      <c r="B75" s="653" t="str">
        <f>+IF(ENERO!B75=0,"",ENERO!B75)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+IF(ENERO!S75=0,"",ENERO!S75)</f>
        <v>1020104-8</v>
      </c>
      <c r="T75" s="738" t="str">
        <f>+IF(ENERO!T75=0,"",ENERO!T75)</f>
        <v>Bonific. por Servicios Prestados (Convencional)</v>
      </c>
      <c r="U75" s="29">
        <f>+ENERO!U75</f>
        <v>0</v>
      </c>
      <c r="V75" s="15">
        <f>ENERO!V75+FEBRERO!AL75</f>
        <v>0</v>
      </c>
      <c r="W75" s="15">
        <f>ENERO!W75+FEBRERO!AM75</f>
        <v>0</v>
      </c>
      <c r="X75" s="16">
        <f t="shared" si="72"/>
        <v>0</v>
      </c>
      <c r="Y75" s="19">
        <f>ENERO!AA75</f>
        <v>0</v>
      </c>
      <c r="Z75" s="377">
        <v>0</v>
      </c>
      <c r="AA75" s="18">
        <f t="shared" si="73"/>
        <v>0</v>
      </c>
      <c r="AB75" s="19">
        <f>ENERO!AD75</f>
        <v>0</v>
      </c>
      <c r="AC75" s="377">
        <v>0</v>
      </c>
      <c r="AD75" s="16">
        <f t="shared" si="74"/>
        <v>0</v>
      </c>
      <c r="AE75" s="19">
        <f>ENERO!AG75</f>
        <v>0</v>
      </c>
      <c r="AF75" s="377">
        <v>0</v>
      </c>
      <c r="AG75" s="16">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c r="BR75" s="425"/>
    </row>
    <row r="76" spans="1:70" s="425" customFormat="1" ht="24.95" customHeight="1" x14ac:dyDescent="0.2">
      <c r="A76" s="618" t="str">
        <f>+IF(ENERO!A76=0,"",ENERO!A76)</f>
        <v>1130117-1</v>
      </c>
      <c r="B76" s="654" t="str">
        <f>+CONCATENATE("Vigencia ",INSTRUCCIONES!$F$3)</f>
        <v>Vigencia 2015</v>
      </c>
      <c r="C76" s="375">
        <f>+ENERO!C76</f>
        <v>0</v>
      </c>
      <c r="D76" s="376">
        <f>ENERO!D76+FEBRERO!P76</f>
        <v>0</v>
      </c>
      <c r="E76" s="376">
        <f>ENERO!E76+FEBRERO!Q76</f>
        <v>0</v>
      </c>
      <c r="F76" s="376">
        <f t="shared" ref="F76:F83" si="81">SUM(C76:E76)</f>
        <v>0</v>
      </c>
      <c r="G76" s="376">
        <f>ENERO!I76</f>
        <v>0</v>
      </c>
      <c r="H76" s="377">
        <v>0</v>
      </c>
      <c r="I76" s="376">
        <f t="shared" ref="I76:I83" si="82">SUM(G76:H76)</f>
        <v>0</v>
      </c>
      <c r="J76" s="376">
        <f>ENERO!L76</f>
        <v>0</v>
      </c>
      <c r="K76" s="377">
        <v>0</v>
      </c>
      <c r="L76" s="376">
        <f t="shared" ref="L76:L83" si="83">SUM(J76:K76)</f>
        <v>0</v>
      </c>
      <c r="M76" s="376">
        <f t="shared" ref="M76:M83" si="84">F76-I76</f>
        <v>0</v>
      </c>
      <c r="N76" s="146">
        <f t="shared" ref="N76:N83" si="85">F76-L76</f>
        <v>0</v>
      </c>
      <c r="O76" s="385"/>
      <c r="P76" s="375">
        <v>0</v>
      </c>
      <c r="Q76" s="378">
        <v>0</v>
      </c>
      <c r="R76" s="9"/>
      <c r="S76" s="720" t="str">
        <f>+IF(ENERO!S76=0,"",ENERO!S76)</f>
        <v>1020104-9</v>
      </c>
      <c r="T76" s="738" t="str">
        <f>+IF(ENERO!T76=0,"",ENERO!T76)</f>
        <v>Auxilio de Transporte</v>
      </c>
      <c r="U76" s="29">
        <f>+ENERO!U76</f>
        <v>1471200</v>
      </c>
      <c r="V76" s="15">
        <f>ENERO!V76+FEBRERO!AL76</f>
        <v>0</v>
      </c>
      <c r="W76" s="15">
        <f>ENERO!W76+FEBRERO!AM76</f>
        <v>0</v>
      </c>
      <c r="X76" s="16">
        <f t="shared" si="72"/>
        <v>1471200</v>
      </c>
      <c r="Y76" s="19">
        <f>ENERO!AA76</f>
        <v>72000</v>
      </c>
      <c r="Z76" s="377">
        <v>74000</v>
      </c>
      <c r="AA76" s="18">
        <f t="shared" si="73"/>
        <v>146000</v>
      </c>
      <c r="AB76" s="19">
        <f>ENERO!AD76</f>
        <v>72000</v>
      </c>
      <c r="AC76" s="377">
        <v>74000</v>
      </c>
      <c r="AD76" s="16">
        <f t="shared" si="74"/>
        <v>146000</v>
      </c>
      <c r="AE76" s="19">
        <f>ENERO!AG76</f>
        <v>64521</v>
      </c>
      <c r="AF76" s="377">
        <v>68228</v>
      </c>
      <c r="AG76" s="16">
        <f t="shared" si="75"/>
        <v>132749</v>
      </c>
      <c r="AH76" s="19">
        <f t="shared" si="76"/>
        <v>1325200</v>
      </c>
      <c r="AI76" s="15">
        <f t="shared" si="77"/>
        <v>1325200</v>
      </c>
      <c r="AJ76" s="16">
        <f t="shared" si="78"/>
        <v>1338451</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row>
    <row r="77" spans="1:70" s="425" customFormat="1" ht="24.95" customHeight="1" x14ac:dyDescent="0.2">
      <c r="A77" s="618" t="str">
        <f>+IF(ENERO!A77=0,"",ENERO!A77)</f>
        <v>1130117-2</v>
      </c>
      <c r="B77" s="654" t="str">
        <f>+IF(ENERO!B77=0,"",ENERO!B77)</f>
        <v>Vigencia Anterior</v>
      </c>
      <c r="C77" s="375">
        <f>+ENERO!C77</f>
        <v>0</v>
      </c>
      <c r="D77" s="376">
        <f>ENERO!D77+FEBRERO!P77</f>
        <v>0</v>
      </c>
      <c r="E77" s="376">
        <f>ENERO!E77+FEBRERO!Q77</f>
        <v>0</v>
      </c>
      <c r="F77" s="376">
        <f t="shared" si="81"/>
        <v>0</v>
      </c>
      <c r="G77" s="376">
        <f>ENERO!I77</f>
        <v>0</v>
      </c>
      <c r="H77" s="377">
        <v>0</v>
      </c>
      <c r="I77" s="376">
        <f t="shared" si="82"/>
        <v>0</v>
      </c>
      <c r="J77" s="376">
        <f>ENERO!L77</f>
        <v>0</v>
      </c>
      <c r="K77" s="377">
        <v>0</v>
      </c>
      <c r="L77" s="376">
        <f t="shared" si="83"/>
        <v>0</v>
      </c>
      <c r="M77" s="376">
        <f t="shared" si="84"/>
        <v>0</v>
      </c>
      <c r="N77" s="146">
        <f t="shared" si="85"/>
        <v>0</v>
      </c>
      <c r="O77" s="385"/>
      <c r="P77" s="375">
        <v>0</v>
      </c>
      <c r="Q77" s="378">
        <v>0</v>
      </c>
      <c r="R77" s="9"/>
      <c r="S77" s="720" t="str">
        <f>+IF(ENERO!S77=0,"",ENERO!S77)</f>
        <v>1020104-10</v>
      </c>
      <c r="T77" s="738" t="str">
        <f>+IF(ENERO!T77=0,"",ENERO!T77)</f>
        <v>Subsidio de Alimentación</v>
      </c>
      <c r="U77" s="29">
        <f>+ENERO!U77</f>
        <v>0</v>
      </c>
      <c r="V77" s="15">
        <f>ENERO!V77+FEBRERO!AL77</f>
        <v>0</v>
      </c>
      <c r="W77" s="15">
        <f>ENERO!W77+FEBRERO!AM77</f>
        <v>0</v>
      </c>
      <c r="X77" s="16">
        <f t="shared" si="72"/>
        <v>0</v>
      </c>
      <c r="Y77" s="19">
        <f>ENERO!AA77</f>
        <v>0</v>
      </c>
      <c r="Z77" s="377">
        <v>0</v>
      </c>
      <c r="AA77" s="18">
        <f t="shared" si="73"/>
        <v>0</v>
      </c>
      <c r="AB77" s="19">
        <f>ENERO!AD77</f>
        <v>0</v>
      </c>
      <c r="AC77" s="377">
        <v>0</v>
      </c>
      <c r="AD77" s="16">
        <f t="shared" si="74"/>
        <v>0</v>
      </c>
      <c r="AE77" s="19">
        <f>ENERO!AG77</f>
        <v>0</v>
      </c>
      <c r="AF77" s="377">
        <v>0</v>
      </c>
      <c r="AG77" s="16">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+IF(ENERO!A78=0,"",ENERO!A78)</f>
        <v>1130118</v>
      </c>
      <c r="B78" s="653" t="str">
        <f>+IF(ENERO!B78=0,"",ENERO!B78)</f>
        <v>PARTICULARES   (Venta de Contado)</v>
      </c>
      <c r="C78" s="43">
        <f>SUM(C79:C80)</f>
        <v>151788162</v>
      </c>
      <c r="D78" s="44">
        <f>SUM(D79:D80)</f>
        <v>0</v>
      </c>
      <c r="E78" s="44">
        <f>SUM(E79:E80)</f>
        <v>0</v>
      </c>
      <c r="F78" s="44">
        <f t="shared" si="81"/>
        <v>151788162</v>
      </c>
      <c r="G78" s="44">
        <f>SUM(G79:G80)</f>
        <v>11749775</v>
      </c>
      <c r="H78" s="44">
        <f>SUM(H79:H80)</f>
        <v>10513150</v>
      </c>
      <c r="I78" s="44">
        <f t="shared" si="82"/>
        <v>22262925</v>
      </c>
      <c r="J78" s="44">
        <f>SUM(J79:J80)</f>
        <v>11749775</v>
      </c>
      <c r="K78" s="44">
        <f>SUM(K79:K80)</f>
        <v>10513150</v>
      </c>
      <c r="L78" s="44">
        <f t="shared" si="83"/>
        <v>22262925</v>
      </c>
      <c r="M78" s="44">
        <f t="shared" si="84"/>
        <v>129525237</v>
      </c>
      <c r="N78" s="45">
        <f t="shared" si="85"/>
        <v>129525237</v>
      </c>
      <c r="O78" s="385"/>
      <c r="P78" s="43">
        <f>SUM(P79:P80)</f>
        <v>0</v>
      </c>
      <c r="Q78" s="45">
        <f>SUM(Q79:Q80)</f>
        <v>0</v>
      </c>
      <c r="R78" s="9"/>
      <c r="S78" s="720" t="str">
        <f>+IF(ENERO!S78=0,"",ENERO!S78)</f>
        <v>1020104-12</v>
      </c>
      <c r="T78" s="738" t="str">
        <f>+IF(ENERO!T78=0,"",ENERO!T78)</f>
        <v>Indemnizaciones por Vacaciones o Supresión de Cargos por Reestructuración</v>
      </c>
      <c r="U78" s="29">
        <f>+ENERO!U78</f>
        <v>0</v>
      </c>
      <c r="V78" s="15">
        <f>ENERO!V78+FEBRERO!AL78</f>
        <v>0</v>
      </c>
      <c r="W78" s="15">
        <f>ENERO!W78+FEBRERO!AM78</f>
        <v>0</v>
      </c>
      <c r="X78" s="16">
        <f t="shared" si="72"/>
        <v>0</v>
      </c>
      <c r="Y78" s="19">
        <f>ENERO!AA78</f>
        <v>0</v>
      </c>
      <c r="Z78" s="377">
        <v>0</v>
      </c>
      <c r="AA78" s="18">
        <f t="shared" si="73"/>
        <v>0</v>
      </c>
      <c r="AB78" s="19">
        <f>ENERO!AD78</f>
        <v>0</v>
      </c>
      <c r="AC78" s="377">
        <v>0</v>
      </c>
      <c r="AD78" s="16">
        <f t="shared" si="74"/>
        <v>0</v>
      </c>
      <c r="AE78" s="19">
        <f>ENERO!AG78</f>
        <v>0</v>
      </c>
      <c r="AF78" s="377">
        <v>0</v>
      </c>
      <c r="AG78" s="16">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row>
    <row r="79" spans="1:70" s="385" customFormat="1" ht="24.95" customHeight="1" x14ac:dyDescent="0.2">
      <c r="A79" s="618" t="str">
        <f>+IF(ENERO!A79=0,"",ENERO!A79)</f>
        <v>1130118-1</v>
      </c>
      <c r="B79" s="654" t="str">
        <f>+CONCATENATE("Vigencia ",INSTRUCCIONES!$F$3)</f>
        <v>Vigencia 2015</v>
      </c>
      <c r="C79" s="375">
        <f>+ENERO!C79</f>
        <v>151788162</v>
      </c>
      <c r="D79" s="376">
        <f>ENERO!D79+FEBRERO!P79</f>
        <v>0</v>
      </c>
      <c r="E79" s="376">
        <f>ENERO!E79+FEBRERO!Q79</f>
        <v>0</v>
      </c>
      <c r="F79" s="376">
        <f t="shared" si="81"/>
        <v>151788162</v>
      </c>
      <c r="G79" s="376">
        <f>ENERO!I79</f>
        <v>11749775</v>
      </c>
      <c r="H79" s="377">
        <v>10513150</v>
      </c>
      <c r="I79" s="376">
        <f t="shared" si="82"/>
        <v>22262925</v>
      </c>
      <c r="J79" s="376">
        <f>ENERO!L79</f>
        <v>11749775</v>
      </c>
      <c r="K79" s="377">
        <v>10513150</v>
      </c>
      <c r="L79" s="376">
        <f t="shared" si="83"/>
        <v>22262925</v>
      </c>
      <c r="M79" s="376">
        <f t="shared" si="84"/>
        <v>129525237</v>
      </c>
      <c r="N79" s="146">
        <f t="shared" si="85"/>
        <v>129525237</v>
      </c>
      <c r="P79" s="375">
        <v>0</v>
      </c>
      <c r="Q79" s="378">
        <v>0</v>
      </c>
      <c r="R79" s="9"/>
      <c r="S79" s="720" t="str">
        <f>+IF(ENERO!S79=0,"",ENERO!S79)</f>
        <v>1020104-13</v>
      </c>
      <c r="T79" s="738" t="str">
        <f>+IF(ENERO!T79=0,"",ENERO!T79)</f>
        <v>Bonificación Especial por Recreación</v>
      </c>
      <c r="U79" s="29">
        <f>+ENERO!U79</f>
        <v>3561474</v>
      </c>
      <c r="V79" s="15">
        <f>ENERO!V79+FEBRERO!AL79</f>
        <v>0</v>
      </c>
      <c r="W79" s="15">
        <f>ENERO!W79+FEBRERO!AM79</f>
        <v>0</v>
      </c>
      <c r="X79" s="16">
        <f t="shared" si="72"/>
        <v>3561474</v>
      </c>
      <c r="Y79" s="19">
        <f>ENERO!AA79</f>
        <v>0</v>
      </c>
      <c r="Z79" s="377">
        <v>0</v>
      </c>
      <c r="AA79" s="18">
        <f t="shared" si="73"/>
        <v>0</v>
      </c>
      <c r="AB79" s="19">
        <f>ENERO!AD79</f>
        <v>0</v>
      </c>
      <c r="AC79" s="377">
        <v>0</v>
      </c>
      <c r="AD79" s="16">
        <f t="shared" si="74"/>
        <v>0</v>
      </c>
      <c r="AE79" s="19">
        <f>ENERO!AG79</f>
        <v>0</v>
      </c>
      <c r="AF79" s="377">
        <v>0</v>
      </c>
      <c r="AG79" s="16">
        <f t="shared" si="75"/>
        <v>0</v>
      </c>
      <c r="AH79" s="19">
        <f t="shared" si="76"/>
        <v>3561474</v>
      </c>
      <c r="AI79" s="15">
        <f t="shared" si="77"/>
        <v>3561474</v>
      </c>
      <c r="AJ79" s="16">
        <f t="shared" si="78"/>
        <v>3561474</v>
      </c>
      <c r="AK79" s="9"/>
      <c r="AL79" s="375">
        <v>0</v>
      </c>
      <c r="AM79" s="378">
        <v>0</v>
      </c>
      <c r="AN79" s="9"/>
      <c r="AO79" s="297"/>
      <c r="AP79" s="297"/>
      <c r="AQ79" s="297"/>
      <c r="AR79" s="297"/>
      <c r="AS79" s="297"/>
      <c r="AT79" s="297"/>
      <c r="AU79" s="297"/>
      <c r="AV79" s="297"/>
      <c r="AW79" s="297"/>
      <c r="AX79" s="297"/>
      <c r="AY79" s="297"/>
      <c r="AZ79" s="297"/>
      <c r="BL79" s="9"/>
      <c r="BR79" s="425"/>
    </row>
    <row r="80" spans="1:70" s="9" customFormat="1" ht="24.95" customHeight="1" x14ac:dyDescent="0.2">
      <c r="A80" s="618" t="str">
        <f>+IF(ENERO!A80=0,"",ENERO!A80)</f>
        <v>1130118-2</v>
      </c>
      <c r="B80" s="654" t="str">
        <f>+IF(ENERO!B80=0,"",ENERO!B80)</f>
        <v>Vigencia Anterior</v>
      </c>
      <c r="C80" s="375">
        <f>+ENERO!C80</f>
        <v>0</v>
      </c>
      <c r="D80" s="376">
        <f>ENERO!D80+FEBRERO!P80</f>
        <v>0</v>
      </c>
      <c r="E80" s="376">
        <f>ENERO!E80+FEBRERO!Q80</f>
        <v>0</v>
      </c>
      <c r="F80" s="376">
        <f t="shared" si="81"/>
        <v>0</v>
      </c>
      <c r="G80" s="376">
        <f>ENERO!I80</f>
        <v>0</v>
      </c>
      <c r="H80" s="377">
        <v>0</v>
      </c>
      <c r="I80" s="376">
        <f t="shared" si="82"/>
        <v>0</v>
      </c>
      <c r="J80" s="376">
        <f>ENERO!L80</f>
        <v>0</v>
      </c>
      <c r="K80" s="377">
        <v>0</v>
      </c>
      <c r="L80" s="376">
        <f t="shared" si="83"/>
        <v>0</v>
      </c>
      <c r="M80" s="376">
        <f t="shared" si="84"/>
        <v>0</v>
      </c>
      <c r="N80" s="146">
        <f t="shared" si="85"/>
        <v>0</v>
      </c>
      <c r="O80" s="385"/>
      <c r="P80" s="375">
        <v>0</v>
      </c>
      <c r="Q80" s="378">
        <v>0</v>
      </c>
      <c r="S80" s="720" t="str">
        <f>+IF(ENERO!S80=0,"",ENERO!S80)</f>
        <v>1020104-14</v>
      </c>
      <c r="T80" s="738" t="str">
        <f>+IF(ENERO!T80=0,"",ENERO!T80)</f>
        <v/>
      </c>
      <c r="U80" s="29">
        <f>+ENERO!U80</f>
        <v>0</v>
      </c>
      <c r="V80" s="15">
        <f>ENERO!V80+FEBRERO!AL80</f>
        <v>0</v>
      </c>
      <c r="W80" s="15">
        <f>ENERO!W80+FEBRERO!AM80</f>
        <v>0</v>
      </c>
      <c r="X80" s="16">
        <f t="shared" si="72"/>
        <v>0</v>
      </c>
      <c r="Y80" s="19">
        <f>ENERO!AA80</f>
        <v>0</v>
      </c>
      <c r="Z80" s="377">
        <v>0</v>
      </c>
      <c r="AA80" s="18">
        <f t="shared" si="73"/>
        <v>0</v>
      </c>
      <c r="AB80" s="19">
        <f>ENERO!AD80</f>
        <v>0</v>
      </c>
      <c r="AC80" s="377">
        <v>0</v>
      </c>
      <c r="AD80" s="16">
        <f t="shared" si="74"/>
        <v>0</v>
      </c>
      <c r="AE80" s="19">
        <f>ENERO!AG80</f>
        <v>0</v>
      </c>
      <c r="AF80" s="377">
        <v>0</v>
      </c>
      <c r="AG80" s="16">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425"/>
    </row>
    <row r="81" spans="1:70" s="385" customFormat="1" ht="24.95" customHeight="1" x14ac:dyDescent="0.2">
      <c r="A81" s="747">
        <f>+IF(ENERO!A81=0,"",ENERO!A81)</f>
        <v>1130119</v>
      </c>
      <c r="B81" s="657" t="str">
        <f>+IF(ENERO!B81=0,"",ENERO!B81)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+IF(ENERO!S81=0,"",ENERO!S81)</f>
        <v>1020199</v>
      </c>
      <c r="T81" s="737" t="str">
        <f>+IF(ENERO!T81=0,"",ENERO!T81)</f>
        <v>Vigencias Anteriores</v>
      </c>
      <c r="U81" s="29">
        <f>+ENERO!U81</f>
        <v>0</v>
      </c>
      <c r="V81" s="15">
        <f>ENERO!V81+FEBRERO!AL81</f>
        <v>0</v>
      </c>
      <c r="W81" s="15">
        <f>ENERO!W81+FEBRERO!AM81</f>
        <v>13655677</v>
      </c>
      <c r="X81" s="16">
        <f t="shared" si="72"/>
        <v>13655677</v>
      </c>
      <c r="Y81" s="19">
        <f>ENERO!AA81</f>
        <v>13655677</v>
      </c>
      <c r="Z81" s="377">
        <v>0</v>
      </c>
      <c r="AA81" s="18">
        <f t="shared" si="73"/>
        <v>13655677</v>
      </c>
      <c r="AB81" s="19">
        <f>ENERO!AD81</f>
        <v>13655677</v>
      </c>
      <c r="AC81" s="377">
        <v>0</v>
      </c>
      <c r="AD81" s="16">
        <f t="shared" si="74"/>
        <v>13655677</v>
      </c>
      <c r="AE81" s="19">
        <f>ENERO!AG81</f>
        <v>7130498</v>
      </c>
      <c r="AF81" s="377">
        <v>0</v>
      </c>
      <c r="AG81" s="16">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+IF(ENERO!A82=0,"",ENERO!A82)</f>
        <v>1130119-1</v>
      </c>
      <c r="B82" s="654" t="str">
        <f>+CONCATENATE("Vigencia ",INSTRUCCIONES!$F$3)</f>
        <v>Vigencia 2015</v>
      </c>
      <c r="C82" s="375">
        <f>+ENERO!C82</f>
        <v>0</v>
      </c>
      <c r="D82" s="376">
        <f>ENERO!D82+FEBRERO!P82</f>
        <v>0</v>
      </c>
      <c r="E82" s="376">
        <f>ENERO!E82+FEBRERO!Q82</f>
        <v>0</v>
      </c>
      <c r="F82" s="376">
        <f t="shared" si="81"/>
        <v>0</v>
      </c>
      <c r="G82" s="376">
        <f>ENERO!I82</f>
        <v>0</v>
      </c>
      <c r="H82" s="377">
        <v>0</v>
      </c>
      <c r="I82" s="376">
        <f t="shared" si="82"/>
        <v>0</v>
      </c>
      <c r="J82" s="376">
        <f>ENERO!L82</f>
        <v>0</v>
      </c>
      <c r="K82" s="377">
        <v>0</v>
      </c>
      <c r="L82" s="376">
        <f t="shared" si="83"/>
        <v>0</v>
      </c>
      <c r="M82" s="376">
        <f t="shared" si="84"/>
        <v>0</v>
      </c>
      <c r="N82" s="146">
        <f t="shared" si="85"/>
        <v>0</v>
      </c>
      <c r="P82" s="375">
        <v>0</v>
      </c>
      <c r="Q82" s="378">
        <v>0</v>
      </c>
      <c r="R82" s="9"/>
      <c r="S82" s="369" t="str">
        <f>+IF(ENERO!S82=0,"",ENERO!S82)</f>
        <v/>
      </c>
      <c r="T82" s="708" t="str">
        <f>+IF(ENERO!T82=0,"",ENERO!T82)</f>
        <v/>
      </c>
      <c r="U82" s="370"/>
      <c r="V82" s="164"/>
      <c r="W82" s="164"/>
      <c r="X82" s="169"/>
      <c r="Y82" s="370"/>
      <c r="Z82" s="164"/>
      <c r="AA82" s="164"/>
      <c r="AB82" s="370"/>
      <c r="AC82" s="164"/>
      <c r="AD82" s="169"/>
      <c r="AE82" s="370"/>
      <c r="AF82" s="164"/>
      <c r="AG82" s="169"/>
      <c r="AH82" s="370"/>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+IF(ENERO!A83=0,"",ENERO!A83)</f>
        <v>1130119-2</v>
      </c>
      <c r="B83" s="658" t="str">
        <f>+IF(ENERO!B83=0,"",ENERO!B83)</f>
        <v>Vigencia Anterior</v>
      </c>
      <c r="C83" s="387">
        <f>+ENERO!C83</f>
        <v>0</v>
      </c>
      <c r="D83" s="388">
        <f>ENERO!D83+FEBRERO!P83</f>
        <v>0</v>
      </c>
      <c r="E83" s="388">
        <f>ENERO!E83+FEBRERO!Q83</f>
        <v>0</v>
      </c>
      <c r="F83" s="388">
        <f t="shared" si="81"/>
        <v>0</v>
      </c>
      <c r="G83" s="388">
        <f>ENERO!I83</f>
        <v>0</v>
      </c>
      <c r="H83" s="391">
        <v>0</v>
      </c>
      <c r="I83" s="388">
        <f t="shared" si="82"/>
        <v>0</v>
      </c>
      <c r="J83" s="388">
        <f>ENERO!L83</f>
        <v>0</v>
      </c>
      <c r="K83" s="391">
        <v>0</v>
      </c>
      <c r="L83" s="388">
        <f t="shared" si="83"/>
        <v>0</v>
      </c>
      <c r="M83" s="388">
        <f t="shared" si="84"/>
        <v>0</v>
      </c>
      <c r="N83" s="389">
        <f t="shared" si="85"/>
        <v>0</v>
      </c>
      <c r="P83" s="375">
        <v>0</v>
      </c>
      <c r="Q83" s="378">
        <v>0</v>
      </c>
      <c r="R83" s="9"/>
      <c r="S83" s="718">
        <f>+IF(ENERO!S83=0,"",ENERO!S83)</f>
        <v>1020200</v>
      </c>
      <c r="T83" s="736" t="str">
        <f>+IF(ENERO!T83=0,"",ENERO!T83)</f>
        <v>Servicios Personales Indirectos</v>
      </c>
      <c r="U83" s="131">
        <f t="shared" ref="U83:AJ83" si="87">SUM(U84:U88)</f>
        <v>151257124</v>
      </c>
      <c r="V83" s="124">
        <f t="shared" si="87"/>
        <v>0</v>
      </c>
      <c r="W83" s="124">
        <f t="shared" si="87"/>
        <v>6884000</v>
      </c>
      <c r="X83" s="133">
        <f t="shared" si="87"/>
        <v>158141124</v>
      </c>
      <c r="Y83" s="131">
        <f t="shared" si="87"/>
        <v>15860000</v>
      </c>
      <c r="Z83" s="124">
        <f t="shared" si="87"/>
        <v>49562000</v>
      </c>
      <c r="AA83" s="132">
        <f t="shared" si="87"/>
        <v>65422000</v>
      </c>
      <c r="AB83" s="131">
        <f t="shared" si="87"/>
        <v>11404000</v>
      </c>
      <c r="AC83" s="124">
        <f t="shared" si="87"/>
        <v>13494000</v>
      </c>
      <c r="AD83" s="133">
        <f t="shared" si="87"/>
        <v>24898000</v>
      </c>
      <c r="AE83" s="131">
        <f t="shared" si="87"/>
        <v>1844000</v>
      </c>
      <c r="AF83" s="124">
        <f t="shared" si="87"/>
        <v>15006000</v>
      </c>
      <c r="AG83" s="133">
        <f t="shared" si="87"/>
        <v>16850000</v>
      </c>
      <c r="AH83" s="131">
        <f t="shared" si="87"/>
        <v>92719124</v>
      </c>
      <c r="AI83" s="124">
        <f t="shared" si="87"/>
        <v>133243124</v>
      </c>
      <c r="AJ83" s="133">
        <f t="shared" si="87"/>
        <v>141291124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+IF(ENERO!A84=0,"",ENERO!A84)</f>
        <v/>
      </c>
      <c r="B84" s="659" t="str">
        <f>+IF(ENERO!B84=0,"",ENERO!B84)</f>
        <v/>
      </c>
      <c r="C84" s="297"/>
      <c r="D84" s="297"/>
      <c r="E84" s="297"/>
      <c r="F84" s="297"/>
      <c r="G84" s="297"/>
      <c r="H84" s="297"/>
      <c r="I84" s="297"/>
      <c r="J84" s="297"/>
      <c r="K84" s="297"/>
      <c r="L84" s="297"/>
      <c r="M84" s="297"/>
      <c r="N84" s="466"/>
      <c r="O84" s="464"/>
      <c r="P84" s="470"/>
      <c r="Q84" s="394"/>
      <c r="R84" s="9"/>
      <c r="S84" s="719" t="str">
        <f>+IF(ENERO!S84=0,"",ENERO!S84)</f>
        <v>1020200-1</v>
      </c>
      <c r="T84" s="737" t="str">
        <f>+IF(ENERO!T84=0,"",ENERO!T84)</f>
        <v>Remuneración y Honorarios por Servicios Técnicos y Profesionales</v>
      </c>
      <c r="U84" s="29">
        <f>+ENERO!U84</f>
        <v>151257124</v>
      </c>
      <c r="V84" s="15">
        <f>ENERO!V84+FEBRERO!AL84</f>
        <v>0</v>
      </c>
      <c r="W84" s="15">
        <f>ENERO!W84+FEBRERO!AM84</f>
        <v>0</v>
      </c>
      <c r="X84" s="16">
        <f>SUM(U84:W84)</f>
        <v>151257124</v>
      </c>
      <c r="Y84" s="19">
        <f>ENERO!AA84</f>
        <v>8976000</v>
      </c>
      <c r="Z84" s="377">
        <v>49562000</v>
      </c>
      <c r="AA84" s="18">
        <f>SUM(Y84:Z84)</f>
        <v>58538000</v>
      </c>
      <c r="AB84" s="19">
        <f>ENERO!AD84</f>
        <v>4520000</v>
      </c>
      <c r="AC84" s="377">
        <v>13494000</v>
      </c>
      <c r="AD84" s="16">
        <f>SUM(AB84:AC84)</f>
        <v>18014000</v>
      </c>
      <c r="AE84" s="19">
        <f>ENERO!AG84</f>
        <v>0</v>
      </c>
      <c r="AF84" s="377">
        <v>9966000</v>
      </c>
      <c r="AG84" s="16">
        <f>SUM(AE84:AF84)</f>
        <v>9966000</v>
      </c>
      <c r="AH84" s="19">
        <f>X84-AA84</f>
        <v>92719124</v>
      </c>
      <c r="AI84" s="15">
        <f>X84-AD84</f>
        <v>133243124</v>
      </c>
      <c r="AJ84" s="16">
        <f>X84-AG84</f>
        <v>141291124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+IF(ENERO!A85=0,"",ENERO!A85)</f>
        <v>11302</v>
      </c>
      <c r="B85" s="660" t="str">
        <f>+IF(ENERO!B85=0,"",ENERO!B85)</f>
        <v>Otras Ventas de Servicios de Salud</v>
      </c>
      <c r="C85" s="625">
        <f t="shared" ref="C85:N85" si="88">SUM(C86:C92)</f>
        <v>74000000</v>
      </c>
      <c r="D85" s="623">
        <f t="shared" si="88"/>
        <v>0</v>
      </c>
      <c r="E85" s="623">
        <f t="shared" si="88"/>
        <v>0</v>
      </c>
      <c r="F85" s="623">
        <f t="shared" si="88"/>
        <v>74000000</v>
      </c>
      <c r="G85" s="623">
        <f t="shared" si="88"/>
        <v>0</v>
      </c>
      <c r="H85" s="623">
        <f t="shared" si="88"/>
        <v>2400000</v>
      </c>
      <c r="I85" s="623">
        <f t="shared" si="88"/>
        <v>2400000</v>
      </c>
      <c r="J85" s="623">
        <f t="shared" si="88"/>
        <v>0</v>
      </c>
      <c r="K85" s="623">
        <f t="shared" si="88"/>
        <v>0</v>
      </c>
      <c r="L85" s="623">
        <f t="shared" si="88"/>
        <v>0</v>
      </c>
      <c r="M85" s="623">
        <f t="shared" si="88"/>
        <v>71600000</v>
      </c>
      <c r="N85" s="624">
        <f t="shared" si="88"/>
        <v>74000000</v>
      </c>
      <c r="P85" s="43">
        <f>SUM(P86:P92)</f>
        <v>0</v>
      </c>
      <c r="Q85" s="45">
        <f>SUM(Q86:Q92)</f>
        <v>0</v>
      </c>
      <c r="R85" s="9"/>
      <c r="S85" s="719" t="str">
        <f>+IF(ENERO!S85=0,"",ENERO!S85)</f>
        <v>1020200-2</v>
      </c>
      <c r="T85" s="737" t="str">
        <f>+IF(ENERO!T85=0,"",ENERO!T85)</f>
        <v>Personal Supernumerario</v>
      </c>
      <c r="U85" s="29">
        <f>+ENERO!U85</f>
        <v>0</v>
      </c>
      <c r="V85" s="15">
        <f>ENERO!V85+FEBRERO!AL85</f>
        <v>0</v>
      </c>
      <c r="W85" s="15">
        <f>ENERO!W85+FEBRERO!AM85</f>
        <v>0</v>
      </c>
      <c r="X85" s="16">
        <f>SUM(U85:W85)</f>
        <v>0</v>
      </c>
      <c r="Y85" s="19">
        <f>ENERO!AA85</f>
        <v>0</v>
      </c>
      <c r="Z85" s="377">
        <v>0</v>
      </c>
      <c r="AA85" s="18">
        <f>SUM(Y85:Z85)</f>
        <v>0</v>
      </c>
      <c r="AB85" s="19">
        <f>ENERO!AD85</f>
        <v>0</v>
      </c>
      <c r="AC85" s="377">
        <v>0</v>
      </c>
      <c r="AD85" s="16">
        <f>SUM(AB85:AC85)</f>
        <v>0</v>
      </c>
      <c r="AE85" s="19">
        <f>ENERO!AG85</f>
        <v>0</v>
      </c>
      <c r="AF85" s="377">
        <v>0</v>
      </c>
      <c r="AG85" s="16">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+IF(ENERO!A86=0,"",ENERO!A86)</f>
        <v>1130201</v>
      </c>
      <c r="B86" s="634" t="str">
        <f>+IF(ENERO!B86=0,"",ENERO!B86)</f>
        <v/>
      </c>
      <c r="C86" s="401">
        <f>+ENERO!C86</f>
        <v>0</v>
      </c>
      <c r="D86" s="376">
        <f>ENERO!D86+FEBRERO!P86</f>
        <v>0</v>
      </c>
      <c r="E86" s="376">
        <f>ENERO!E86+FEBRERO!Q86</f>
        <v>0</v>
      </c>
      <c r="F86" s="376">
        <f t="shared" ref="F86:F92" si="89">SUM(C86:E86)</f>
        <v>0</v>
      </c>
      <c r="G86" s="376">
        <f>ENERO!I86</f>
        <v>0</v>
      </c>
      <c r="H86" s="377">
        <v>0</v>
      </c>
      <c r="I86" s="376">
        <f t="shared" ref="I86:I92" si="90">SUM(G86:H86)</f>
        <v>0</v>
      </c>
      <c r="J86" s="376">
        <f>ENERO!L86</f>
        <v>0</v>
      </c>
      <c r="K86" s="377">
        <v>0</v>
      </c>
      <c r="L86" s="376">
        <f t="shared" ref="L86:L92" si="91">SUM(J86:K86)</f>
        <v>0</v>
      </c>
      <c r="M86" s="376">
        <f t="shared" ref="M86:M92" si="92">F86-I86</f>
        <v>0</v>
      </c>
      <c r="N86" s="146">
        <f t="shared" ref="N86:N92" si="93">F86-L86</f>
        <v>0</v>
      </c>
      <c r="O86" s="385"/>
      <c r="P86" s="375">
        <v>0</v>
      </c>
      <c r="Q86" s="378">
        <v>0</v>
      </c>
      <c r="S86" s="719" t="str">
        <f>+IF(ENERO!S86=0,"",ENERO!S86)</f>
        <v>1020200-4</v>
      </c>
      <c r="T86" s="737" t="str">
        <f>+IF(ENERO!T86=0,"",ENERO!T86)</f>
        <v>Otros Honorarios (Servicios de Cooperativa)</v>
      </c>
      <c r="U86" s="29">
        <f>+ENERO!U86</f>
        <v>0</v>
      </c>
      <c r="V86" s="15">
        <f>ENERO!V86+FEBRERO!AL86</f>
        <v>0</v>
      </c>
      <c r="W86" s="15">
        <f>ENERO!W86+FEBRERO!AM86</f>
        <v>0</v>
      </c>
      <c r="X86" s="16">
        <f>SUM(U86:W86)</f>
        <v>0</v>
      </c>
      <c r="Y86" s="19">
        <f>ENERO!AA86</f>
        <v>0</v>
      </c>
      <c r="Z86" s="377">
        <v>0</v>
      </c>
      <c r="AA86" s="18">
        <f>SUM(Y86:Z86)</f>
        <v>0</v>
      </c>
      <c r="AB86" s="19">
        <f>ENERO!AD86</f>
        <v>0</v>
      </c>
      <c r="AC86" s="377">
        <v>0</v>
      </c>
      <c r="AD86" s="16">
        <f>SUM(AB86:AC86)</f>
        <v>0</v>
      </c>
      <c r="AE86" s="19">
        <f>ENERO!AG86</f>
        <v>0</v>
      </c>
      <c r="AF86" s="377">
        <v>0</v>
      </c>
      <c r="AG86" s="16">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+IF(ENERO!A87=0,"",ENERO!A87)</f>
        <v>1130202</v>
      </c>
      <c r="B87" s="634" t="str">
        <f>+IF(ENERO!B87=0,"",ENERO!B87)</f>
        <v/>
      </c>
      <c r="C87" s="401">
        <f>+ENERO!C87</f>
        <v>0</v>
      </c>
      <c r="D87" s="376">
        <f>ENERO!D87+FEBRERO!P87</f>
        <v>0</v>
      </c>
      <c r="E87" s="376">
        <f>ENERO!E87+FEBRERO!Q87</f>
        <v>0</v>
      </c>
      <c r="F87" s="376">
        <f t="shared" si="89"/>
        <v>0</v>
      </c>
      <c r="G87" s="376">
        <f>ENERO!I87</f>
        <v>0</v>
      </c>
      <c r="H87" s="377">
        <v>0</v>
      </c>
      <c r="I87" s="376">
        <f t="shared" si="90"/>
        <v>0</v>
      </c>
      <c r="J87" s="376">
        <f>ENERO!L87</f>
        <v>0</v>
      </c>
      <c r="K87" s="377">
        <v>0</v>
      </c>
      <c r="L87" s="376">
        <f t="shared" si="91"/>
        <v>0</v>
      </c>
      <c r="M87" s="376">
        <f t="shared" si="92"/>
        <v>0</v>
      </c>
      <c r="N87" s="146">
        <f t="shared" si="93"/>
        <v>0</v>
      </c>
      <c r="P87" s="375">
        <v>0</v>
      </c>
      <c r="Q87" s="378">
        <v>0</v>
      </c>
      <c r="R87" s="9"/>
      <c r="S87" s="719" t="str">
        <f>+IF(ENERO!S87=0,"",ENERO!S87)</f>
        <v/>
      </c>
      <c r="T87" s="737" t="str">
        <f>+IF(ENERO!T87=0,"",ENERO!T87)</f>
        <v/>
      </c>
      <c r="U87" s="29">
        <f>+ENERO!U87</f>
        <v>0</v>
      </c>
      <c r="V87" s="15">
        <f>ENERO!V87+FEBRERO!AL87</f>
        <v>0</v>
      </c>
      <c r="W87" s="15">
        <f>ENERO!W87+FEBRERO!AM87</f>
        <v>0</v>
      </c>
      <c r="X87" s="16">
        <f>SUM(U87:W87)</f>
        <v>0</v>
      </c>
      <c r="Y87" s="19">
        <f>ENERO!AA87</f>
        <v>0</v>
      </c>
      <c r="Z87" s="377">
        <v>0</v>
      </c>
      <c r="AA87" s="18">
        <f>SUM(Y87:Z87)</f>
        <v>0</v>
      </c>
      <c r="AB87" s="19">
        <f>ENERO!AD87</f>
        <v>0</v>
      </c>
      <c r="AC87" s="377">
        <v>0</v>
      </c>
      <c r="AD87" s="16">
        <f>SUM(AB87:AC87)</f>
        <v>0</v>
      </c>
      <c r="AE87" s="19">
        <f>ENERO!AG87</f>
        <v>0</v>
      </c>
      <c r="AF87" s="377">
        <v>0</v>
      </c>
      <c r="AG87" s="16">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+IF(ENERO!A88=0,"",ENERO!A88)</f>
        <v>1130203</v>
      </c>
      <c r="B88" s="635" t="str">
        <f>+IF(ENERO!B88=0,"",ENERO!B88)</f>
        <v>CONVENIOS CON LA NACION LIGADOS A LA VENTA DE SERVICIOS</v>
      </c>
      <c r="C88" s="401">
        <f>+ENERO!C88</f>
        <v>0</v>
      </c>
      <c r="D88" s="376">
        <f>ENERO!D88+FEBRERO!P88</f>
        <v>0</v>
      </c>
      <c r="E88" s="376">
        <f>ENERO!E88+FEBRERO!Q88</f>
        <v>0</v>
      </c>
      <c r="F88" s="376">
        <f t="shared" si="89"/>
        <v>0</v>
      </c>
      <c r="G88" s="376">
        <f>ENERO!I88</f>
        <v>0</v>
      </c>
      <c r="H88" s="377">
        <v>0</v>
      </c>
      <c r="I88" s="376">
        <f t="shared" si="90"/>
        <v>0</v>
      </c>
      <c r="J88" s="376">
        <f>ENERO!L88</f>
        <v>0</v>
      </c>
      <c r="K88" s="377">
        <v>0</v>
      </c>
      <c r="L88" s="376">
        <f t="shared" si="91"/>
        <v>0</v>
      </c>
      <c r="M88" s="376">
        <f t="shared" si="92"/>
        <v>0</v>
      </c>
      <c r="N88" s="146">
        <f t="shared" si="93"/>
        <v>0</v>
      </c>
      <c r="P88" s="375">
        <v>0</v>
      </c>
      <c r="Q88" s="378">
        <v>0</v>
      </c>
      <c r="R88" s="9"/>
      <c r="S88" s="719">
        <f>+IF(ENERO!S88=0,"",ENERO!S88)</f>
        <v>1020299</v>
      </c>
      <c r="T88" s="737" t="str">
        <f>+IF(ENERO!T88=0,"",ENERO!T88)</f>
        <v>Vigencias Anteriores</v>
      </c>
      <c r="U88" s="29">
        <f>+ENERO!U88</f>
        <v>0</v>
      </c>
      <c r="V88" s="15">
        <f>ENERO!V88+FEBRERO!AL88</f>
        <v>0</v>
      </c>
      <c r="W88" s="15">
        <f>ENERO!W88+FEBRERO!AM88</f>
        <v>6884000</v>
      </c>
      <c r="X88" s="16">
        <f>SUM(U88:W88)</f>
        <v>6884000</v>
      </c>
      <c r="Y88" s="19">
        <f>ENERO!AA88</f>
        <v>6884000</v>
      </c>
      <c r="Z88" s="377">
        <v>0</v>
      </c>
      <c r="AA88" s="18">
        <f>SUM(Y88:Z88)</f>
        <v>6884000</v>
      </c>
      <c r="AB88" s="19">
        <f>ENERO!AD88</f>
        <v>6884000</v>
      </c>
      <c r="AC88" s="377">
        <v>0</v>
      </c>
      <c r="AD88" s="16">
        <f>SUM(AB88:AC88)</f>
        <v>6884000</v>
      </c>
      <c r="AE88" s="19">
        <f>ENERO!AG88</f>
        <v>1844000</v>
      </c>
      <c r="AF88" s="377">
        <v>5040000</v>
      </c>
      <c r="AG88" s="16">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+IF(ENERO!A89=0,"",ENERO!A89)</f>
        <v>1130204</v>
      </c>
      <c r="B89" s="635" t="str">
        <f>+IF(ENERO!B89=0,"",ENERO!B89)</f>
        <v>CONVENIOS CON EL DEPARTAMENTO LIGADOS A LA VENTA SERVICIOS</v>
      </c>
      <c r="C89" s="401">
        <f>+ENERO!C89</f>
        <v>50000000</v>
      </c>
      <c r="D89" s="376">
        <f>ENERO!D89+FEBRERO!P89</f>
        <v>0</v>
      </c>
      <c r="E89" s="376">
        <f>ENERO!E89+FEBRERO!Q89</f>
        <v>0</v>
      </c>
      <c r="F89" s="376">
        <f t="shared" si="89"/>
        <v>50000000</v>
      </c>
      <c r="G89" s="376">
        <f>ENERO!I89</f>
        <v>0</v>
      </c>
      <c r="H89" s="377">
        <v>0</v>
      </c>
      <c r="I89" s="376">
        <f t="shared" si="90"/>
        <v>0</v>
      </c>
      <c r="J89" s="376">
        <f>ENERO!L89</f>
        <v>0</v>
      </c>
      <c r="K89" s="377">
        <v>0</v>
      </c>
      <c r="L89" s="376">
        <f t="shared" si="91"/>
        <v>0</v>
      </c>
      <c r="M89" s="376">
        <f t="shared" si="92"/>
        <v>50000000</v>
      </c>
      <c r="N89" s="146">
        <f t="shared" si="93"/>
        <v>50000000</v>
      </c>
      <c r="P89" s="375">
        <v>0</v>
      </c>
      <c r="Q89" s="378">
        <v>0</v>
      </c>
      <c r="R89" s="9"/>
      <c r="S89" s="369" t="str">
        <f>+IF(ENERO!S89=0,"",ENERO!S89)</f>
        <v/>
      </c>
      <c r="T89" s="708" t="str">
        <f>+IF(ENERO!T89=0,"",ENERO!T89)</f>
        <v/>
      </c>
      <c r="U89" s="370"/>
      <c r="V89" s="164"/>
      <c r="W89" s="164"/>
      <c r="X89" s="169"/>
      <c r="Y89" s="370"/>
      <c r="Z89" s="164"/>
      <c r="AA89" s="164"/>
      <c r="AB89" s="370"/>
      <c r="AC89" s="164"/>
      <c r="AD89" s="169"/>
      <c r="AE89" s="370"/>
      <c r="AF89" s="164"/>
      <c r="AG89" s="169"/>
      <c r="AH89" s="370"/>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+IF(ENERO!A90=0,"",ENERO!A90)</f>
        <v>1130205</v>
      </c>
      <c r="B90" s="635" t="str">
        <f>+IF(ENERO!B90=0,"",ENERO!B90)</f>
        <v>CONVENIOS CON EL MUNICIPIO LIGADOS A LA VENTA DE SERVICIOS</v>
      </c>
      <c r="C90" s="401">
        <f>+ENERO!C90</f>
        <v>24000000</v>
      </c>
      <c r="D90" s="376">
        <f>ENERO!D90+FEBRERO!P90</f>
        <v>0</v>
      </c>
      <c r="E90" s="376">
        <f>ENERO!E90+FEBRERO!Q90</f>
        <v>0</v>
      </c>
      <c r="F90" s="376">
        <f t="shared" si="89"/>
        <v>24000000</v>
      </c>
      <c r="G90" s="376">
        <f>ENERO!I90</f>
        <v>0</v>
      </c>
      <c r="H90" s="377">
        <v>2400000</v>
      </c>
      <c r="I90" s="376">
        <f t="shared" si="90"/>
        <v>2400000</v>
      </c>
      <c r="J90" s="376">
        <f>ENERO!L90</f>
        <v>0</v>
      </c>
      <c r="K90" s="377">
        <v>0</v>
      </c>
      <c r="L90" s="376">
        <f t="shared" si="91"/>
        <v>0</v>
      </c>
      <c r="M90" s="376">
        <f t="shared" si="92"/>
        <v>21600000</v>
      </c>
      <c r="N90" s="146">
        <f t="shared" si="93"/>
        <v>24000000</v>
      </c>
      <c r="O90" s="385"/>
      <c r="P90" s="375">
        <v>0</v>
      </c>
      <c r="Q90" s="378">
        <v>0</v>
      </c>
      <c r="R90" s="30"/>
      <c r="S90" s="718">
        <f>+IF(ENERO!S90=0,"",ENERO!S90)</f>
        <v>1020300</v>
      </c>
      <c r="T90" s="736" t="str">
        <f>+IF(ENERO!T90=0,"",ENERO!T90)</f>
        <v>Contribuciones Inherentes nómina al Sector Privado</v>
      </c>
      <c r="U90" s="131">
        <f t="shared" ref="U90:AJ90" si="94">U91+U96+U102</f>
        <v>269700847</v>
      </c>
      <c r="V90" s="124">
        <f t="shared" si="94"/>
        <v>0</v>
      </c>
      <c r="W90" s="124">
        <f t="shared" si="94"/>
        <v>54740941</v>
      </c>
      <c r="X90" s="133">
        <f t="shared" si="94"/>
        <v>324441788</v>
      </c>
      <c r="Y90" s="131">
        <f t="shared" si="94"/>
        <v>71761032</v>
      </c>
      <c r="Z90" s="124">
        <f t="shared" si="94"/>
        <v>17316335</v>
      </c>
      <c r="AA90" s="132">
        <f t="shared" si="94"/>
        <v>89077367</v>
      </c>
      <c r="AB90" s="131">
        <f t="shared" si="94"/>
        <v>71761032</v>
      </c>
      <c r="AC90" s="124">
        <f t="shared" si="94"/>
        <v>17316335</v>
      </c>
      <c r="AD90" s="133">
        <f t="shared" si="94"/>
        <v>89077367</v>
      </c>
      <c r="AE90" s="131">
        <f t="shared" si="94"/>
        <v>14592391</v>
      </c>
      <c r="AF90" s="124">
        <f t="shared" si="94"/>
        <v>70130571</v>
      </c>
      <c r="AG90" s="133">
        <f t="shared" si="94"/>
        <v>84722962</v>
      </c>
      <c r="AH90" s="131">
        <f t="shared" si="94"/>
        <v>235364421</v>
      </c>
      <c r="AI90" s="124">
        <f t="shared" si="94"/>
        <v>235364421</v>
      </c>
      <c r="AJ90" s="133">
        <f t="shared" si="94"/>
        <v>239718826</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+IF(ENERO!A91=0,"",ENERO!A91)</f>
        <v>1130206</v>
      </c>
      <c r="B91" s="635" t="str">
        <f>+IF(ENERO!B91=0,"",ENERO!B91)</f>
        <v>OTROS CONVENIOS LIGADOS A LA VENTA DE SERVICIOS</v>
      </c>
      <c r="C91" s="401">
        <f>+ENERO!C91</f>
        <v>0</v>
      </c>
      <c r="D91" s="376">
        <f>ENERO!D91+FEBRERO!P91</f>
        <v>0</v>
      </c>
      <c r="E91" s="376">
        <f>ENERO!E91+FEBRERO!Q91</f>
        <v>0</v>
      </c>
      <c r="F91" s="376">
        <f t="shared" si="89"/>
        <v>0</v>
      </c>
      <c r="G91" s="376">
        <f>ENERO!I91</f>
        <v>0</v>
      </c>
      <c r="H91" s="377">
        <v>0</v>
      </c>
      <c r="I91" s="376">
        <f t="shared" si="90"/>
        <v>0</v>
      </c>
      <c r="J91" s="376">
        <f>ENERO!L91</f>
        <v>0</v>
      </c>
      <c r="K91" s="377">
        <v>0</v>
      </c>
      <c r="L91" s="376">
        <f t="shared" si="91"/>
        <v>0</v>
      </c>
      <c r="M91" s="376">
        <f t="shared" si="92"/>
        <v>0</v>
      </c>
      <c r="N91" s="146">
        <f t="shared" si="93"/>
        <v>0</v>
      </c>
      <c r="O91" s="385"/>
      <c r="P91" s="375">
        <v>0</v>
      </c>
      <c r="Q91" s="378">
        <v>0</v>
      </c>
      <c r="R91" s="30"/>
      <c r="S91" s="719">
        <f>+IF(ENERO!S91=0,"",ENERO!S91)</f>
        <v>1020301</v>
      </c>
      <c r="T91" s="737" t="str">
        <f>+IF(ENERO!T91=0,"",ENERO!T91)</f>
        <v>Contribuciones - Sin Situación de Fondos</v>
      </c>
      <c r="U91" s="29">
        <f t="shared" ref="U91:AJ91" si="95">SUM(U92:U95)</f>
        <v>230094736</v>
      </c>
      <c r="V91" s="15">
        <f t="shared" si="95"/>
        <v>0</v>
      </c>
      <c r="W91" s="15">
        <f t="shared" si="95"/>
        <v>0</v>
      </c>
      <c r="X91" s="16">
        <f t="shared" si="95"/>
        <v>230094736</v>
      </c>
      <c r="Y91" s="19">
        <f t="shared" si="95"/>
        <v>14592391</v>
      </c>
      <c r="Z91" s="145">
        <f t="shared" si="95"/>
        <v>14696135</v>
      </c>
      <c r="AA91" s="18">
        <f t="shared" si="95"/>
        <v>29288526</v>
      </c>
      <c r="AB91" s="19">
        <f t="shared" si="95"/>
        <v>14592391</v>
      </c>
      <c r="AC91" s="145">
        <f t="shared" si="95"/>
        <v>14696135</v>
      </c>
      <c r="AD91" s="16">
        <f t="shared" si="95"/>
        <v>29288526</v>
      </c>
      <c r="AE91" s="19">
        <f t="shared" si="95"/>
        <v>14592391</v>
      </c>
      <c r="AF91" s="145">
        <f t="shared" si="95"/>
        <v>14696135</v>
      </c>
      <c r="AG91" s="16">
        <f t="shared" si="95"/>
        <v>29288526</v>
      </c>
      <c r="AH91" s="19">
        <f t="shared" si="95"/>
        <v>200806210</v>
      </c>
      <c r="AI91" s="15">
        <f t="shared" si="95"/>
        <v>200806210</v>
      </c>
      <c r="AJ91" s="16">
        <f t="shared" si="95"/>
        <v>200806210</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+IF(ENERO!A92=0,"",ENERO!A92)</f>
        <v>1130207</v>
      </c>
      <c r="B92" s="636" t="str">
        <f>+IF(ENERO!B92=0,"",ENERO!B92)</f>
        <v>Vigencia Anterior</v>
      </c>
      <c r="C92" s="491">
        <f>+ENERO!C92</f>
        <v>0</v>
      </c>
      <c r="D92" s="388">
        <f>ENERO!D92+FEBRERO!P92</f>
        <v>0</v>
      </c>
      <c r="E92" s="388">
        <f>ENERO!E92+FEBRERO!Q92</f>
        <v>0</v>
      </c>
      <c r="F92" s="388">
        <f t="shared" si="89"/>
        <v>0</v>
      </c>
      <c r="G92" s="388">
        <f>ENERO!I92</f>
        <v>0</v>
      </c>
      <c r="H92" s="391">
        <v>0</v>
      </c>
      <c r="I92" s="388">
        <f t="shared" si="90"/>
        <v>0</v>
      </c>
      <c r="J92" s="388">
        <f>ENERO!L92</f>
        <v>0</v>
      </c>
      <c r="K92" s="391">
        <v>0</v>
      </c>
      <c r="L92" s="388">
        <f t="shared" si="91"/>
        <v>0</v>
      </c>
      <c r="M92" s="388">
        <f t="shared" si="92"/>
        <v>0</v>
      </c>
      <c r="N92" s="389">
        <f t="shared" si="93"/>
        <v>0</v>
      </c>
      <c r="O92" s="385"/>
      <c r="P92" s="375">
        <v>0</v>
      </c>
      <c r="Q92" s="378">
        <v>0</v>
      </c>
      <c r="R92" s="30"/>
      <c r="S92" s="720" t="str">
        <f>+IF(ENERO!S92=0,"",ENERO!S92)</f>
        <v>1020301-1</v>
      </c>
      <c r="T92" s="738" t="str">
        <f>+IF(ENERO!T92=0,"",ENERO!T92)</f>
        <v>Aportes a E.P.S.- Sin sit. Fondos</v>
      </c>
      <c r="U92" s="29">
        <f>+ENERO!U92</f>
        <v>59416260</v>
      </c>
      <c r="V92" s="15">
        <f>ENERO!V92+FEBRERO!AL92</f>
        <v>0</v>
      </c>
      <c r="W92" s="15">
        <f>ENERO!W92+FEBRERO!AM92</f>
        <v>0</v>
      </c>
      <c r="X92" s="16">
        <f>SUM(U92:W92)</f>
        <v>59416260</v>
      </c>
      <c r="Y92" s="19">
        <f>ENERO!AA92</f>
        <v>5445618</v>
      </c>
      <c r="Z92" s="377">
        <v>5470487</v>
      </c>
      <c r="AA92" s="18">
        <f>SUM(Y92:Z92)</f>
        <v>10916105</v>
      </c>
      <c r="AB92" s="19">
        <f>ENERO!AD92</f>
        <v>5445618</v>
      </c>
      <c r="AC92" s="377">
        <v>5470487</v>
      </c>
      <c r="AD92" s="16">
        <f>SUM(AB92:AC92)</f>
        <v>10916105</v>
      </c>
      <c r="AE92" s="19">
        <f>ENERO!AG92</f>
        <v>5445618</v>
      </c>
      <c r="AF92" s="377">
        <v>5470487</v>
      </c>
      <c r="AG92" s="16">
        <f>SUM(AE92:AF92)</f>
        <v>10916105</v>
      </c>
      <c r="AH92" s="19">
        <f>X92-AA92</f>
        <v>48500155</v>
      </c>
      <c r="AI92" s="15">
        <f>X92-AD92</f>
        <v>48500155</v>
      </c>
      <c r="AJ92" s="16">
        <f>X92-AG92</f>
        <v>48500155</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+IF(ENERO!A93=0,"",ENERO!A93)</f>
        <v/>
      </c>
      <c r="B93" s="659" t="str">
        <f>+IF(ENERO!B93=0,"",ENERO!B93)</f>
        <v/>
      </c>
      <c r="C93" s="297"/>
      <c r="D93" s="297"/>
      <c r="E93" s="297"/>
      <c r="F93" s="297"/>
      <c r="G93" s="297"/>
      <c r="H93" s="297"/>
      <c r="I93" s="297"/>
      <c r="J93" s="297"/>
      <c r="K93" s="297"/>
      <c r="L93" s="297"/>
      <c r="M93" s="297"/>
      <c r="N93" s="466"/>
      <c r="P93" s="470"/>
      <c r="Q93" s="394"/>
      <c r="R93" s="30"/>
      <c r="S93" s="720" t="str">
        <f>+IF(ENERO!S93=0,"",ENERO!S93)</f>
        <v>1020301-2</v>
      </c>
      <c r="T93" s="738" t="str">
        <f>+IF(ENERO!T93=0,"",ENERO!T93)</f>
        <v>Aportes Fondos Pensionales - Sin Sit. Fondos</v>
      </c>
      <c r="U93" s="29">
        <f>+ENERO!U93</f>
        <v>81857136</v>
      </c>
      <c r="V93" s="15">
        <f>ENERO!V93+FEBRERO!AL93</f>
        <v>0</v>
      </c>
      <c r="W93" s="15">
        <f>ENERO!W93+FEBRERO!AM93</f>
        <v>0</v>
      </c>
      <c r="X93" s="16">
        <f>SUM(U93:W93)</f>
        <v>81857136</v>
      </c>
      <c r="Y93" s="19">
        <f>ENERO!AA93</f>
        <v>7687932</v>
      </c>
      <c r="Z93" s="377">
        <v>7723042</v>
      </c>
      <c r="AA93" s="18">
        <f>SUM(Y93:Z93)</f>
        <v>15410974</v>
      </c>
      <c r="AB93" s="19">
        <f>ENERO!AD93</f>
        <v>7687932</v>
      </c>
      <c r="AC93" s="377">
        <v>7723042</v>
      </c>
      <c r="AD93" s="16">
        <f>SUM(AB93:AC93)</f>
        <v>15410974</v>
      </c>
      <c r="AE93" s="19">
        <f>ENERO!AG93</f>
        <v>7687932</v>
      </c>
      <c r="AF93" s="377">
        <v>7723042</v>
      </c>
      <c r="AG93" s="16">
        <f>SUM(AE93:AF93)</f>
        <v>15410974</v>
      </c>
      <c r="AH93" s="19">
        <f>X93-AA93</f>
        <v>66446162</v>
      </c>
      <c r="AI93" s="15">
        <f>X93-AD93</f>
        <v>66446162</v>
      </c>
      <c r="AJ93" s="16">
        <f>X93-AG93</f>
        <v>66446162</v>
      </c>
      <c r="AK93" s="9"/>
      <c r="AL93" s="375">
        <v>0</v>
      </c>
      <c r="AM93" s="378">
        <v>0</v>
      </c>
      <c r="AN93" s="30"/>
      <c r="AO93" s="463"/>
      <c r="AP93" s="463"/>
      <c r="AQ93" s="463"/>
      <c r="AR93" s="463"/>
      <c r="AS93" s="463"/>
      <c r="AT93" s="463"/>
      <c r="AU93" s="463"/>
      <c r="AV93" s="463"/>
      <c r="AW93" s="463"/>
      <c r="AX93" s="463"/>
      <c r="AY93" s="463"/>
      <c r="AZ93" s="463"/>
      <c r="BL93" s="30"/>
    </row>
    <row r="94" spans="1:70" s="464" customFormat="1" ht="42" customHeight="1" x14ac:dyDescent="0.2">
      <c r="A94" s="753">
        <f>+IF(ENERO!A94=0,"",ENERO!A94)</f>
        <v>11303</v>
      </c>
      <c r="B94" s="626" t="str">
        <f>+IF(ENERO!B94=0,"",ENERO!B94)</f>
        <v>Aportes (No ligados a la venta de servicios de salud)</v>
      </c>
      <c r="C94" s="625">
        <f>SUM(C95:C102)</f>
        <v>0</v>
      </c>
      <c r="D94" s="623">
        <f t="shared" ref="D94:N94" si="96">SUM(D95:D102)</f>
        <v>0</v>
      </c>
      <c r="E94" s="623">
        <f t="shared" si="96"/>
        <v>0</v>
      </c>
      <c r="F94" s="623">
        <f t="shared" si="96"/>
        <v>0</v>
      </c>
      <c r="G94" s="623">
        <f t="shared" si="96"/>
        <v>0</v>
      </c>
      <c r="H94" s="623">
        <f t="shared" si="96"/>
        <v>0</v>
      </c>
      <c r="I94" s="623">
        <f t="shared" si="96"/>
        <v>0</v>
      </c>
      <c r="J94" s="623">
        <f t="shared" si="96"/>
        <v>0</v>
      </c>
      <c r="K94" s="623">
        <f t="shared" si="96"/>
        <v>0</v>
      </c>
      <c r="L94" s="623">
        <f t="shared" si="96"/>
        <v>0</v>
      </c>
      <c r="M94" s="623">
        <f t="shared" si="96"/>
        <v>0</v>
      </c>
      <c r="N94" s="624">
        <f t="shared" si="96"/>
        <v>0</v>
      </c>
      <c r="O94" s="385"/>
      <c r="P94" s="43">
        <f>SUM(P95:P102)</f>
        <v>0</v>
      </c>
      <c r="Q94" s="45">
        <f>SUM(Q95:Q102)</f>
        <v>0</v>
      </c>
      <c r="R94" s="30"/>
      <c r="S94" s="720" t="str">
        <f>+IF(ENERO!S94=0,"",ENERO!S94)</f>
        <v>1020301-3</v>
      </c>
      <c r="T94" s="738" t="str">
        <f>+IF(ENERO!T94=0,"",ENERO!T94)</f>
        <v xml:space="preserve">Aportes a Fondos de Cesantia - Sin Sit. de Fondos </v>
      </c>
      <c r="U94" s="29">
        <f>+ENERO!U94</f>
        <v>71793333</v>
      </c>
      <c r="V94" s="15">
        <f>ENERO!V94+FEBRERO!AL94</f>
        <v>0</v>
      </c>
      <c r="W94" s="15">
        <f>ENERO!W94+FEBRERO!AM94</f>
        <v>0</v>
      </c>
      <c r="X94" s="16">
        <f>SUM(U94:W94)</f>
        <v>71793333</v>
      </c>
      <c r="Y94" s="19">
        <f>ENERO!AA94</f>
        <v>0</v>
      </c>
      <c r="Z94" s="377">
        <v>0</v>
      </c>
      <c r="AA94" s="18">
        <f>SUM(Y94:Z94)</f>
        <v>0</v>
      </c>
      <c r="AB94" s="19">
        <f>ENERO!AD94</f>
        <v>0</v>
      </c>
      <c r="AC94" s="377">
        <v>0</v>
      </c>
      <c r="AD94" s="16">
        <f>SUM(AB94:AC94)</f>
        <v>0</v>
      </c>
      <c r="AE94" s="19">
        <f>ENERO!AG94</f>
        <v>0</v>
      </c>
      <c r="AF94" s="377">
        <v>0</v>
      </c>
      <c r="AG94" s="16">
        <f>SUM(AE94:AF94)</f>
        <v>0</v>
      </c>
      <c r="AH94" s="19">
        <f>X94-AA94</f>
        <v>71793333</v>
      </c>
      <c r="AI94" s="15">
        <f>X94-AD94</f>
        <v>71793333</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+IF(ENERO!A95=0,"",ENERO!A95)</f>
        <v>11303-1</v>
      </c>
      <c r="B95" s="627" t="str">
        <f>+IF(ENERO!B95=0,"",ENERO!B95)</f>
        <v>NACION</v>
      </c>
      <c r="C95" s="401">
        <f>+ENERO!C95</f>
        <v>0</v>
      </c>
      <c r="D95" s="376">
        <f>ENERO!D95+FEBRERO!P95</f>
        <v>0</v>
      </c>
      <c r="E95" s="376">
        <f>ENERO!E95+FEBRERO!Q95</f>
        <v>0</v>
      </c>
      <c r="F95" s="376">
        <f t="shared" ref="F95:F102" si="97">SUM(C95:E95)</f>
        <v>0</v>
      </c>
      <c r="G95" s="376">
        <f>ENERO!I95</f>
        <v>0</v>
      </c>
      <c r="H95" s="377">
        <v>0</v>
      </c>
      <c r="I95" s="376">
        <f t="shared" ref="I95:I102" si="98">SUM(G95:H95)</f>
        <v>0</v>
      </c>
      <c r="J95" s="376">
        <f>ENERO!L95</f>
        <v>0</v>
      </c>
      <c r="K95" s="377">
        <v>0</v>
      </c>
      <c r="L95" s="376">
        <f t="shared" ref="L95:L102" si="99">SUM(J95:K95)</f>
        <v>0</v>
      </c>
      <c r="M95" s="376">
        <f t="shared" ref="M95:M102" si="100">F95-I95</f>
        <v>0</v>
      </c>
      <c r="N95" s="146">
        <f t="shared" ref="N95:N102" si="101">F95-L95</f>
        <v>0</v>
      </c>
      <c r="O95" s="385"/>
      <c r="P95" s="375">
        <v>0</v>
      </c>
      <c r="Q95" s="378">
        <v>0</v>
      </c>
      <c r="R95" s="30"/>
      <c r="S95" s="720" t="str">
        <f>+IF(ENERO!S95=0,"",ENERO!S95)</f>
        <v>1020301-4</v>
      </c>
      <c r="T95" s="738" t="str">
        <f>+IF(ENERO!T95=0,"",ENERO!T95)</f>
        <v>Aporte a ARL. - Sin Sit. de Fondos</v>
      </c>
      <c r="U95" s="29">
        <f>+ENERO!U95</f>
        <v>17028007</v>
      </c>
      <c r="V95" s="15">
        <f>ENERO!V95+FEBRERO!AL95</f>
        <v>0</v>
      </c>
      <c r="W95" s="15">
        <f>ENERO!W95+FEBRERO!AM95</f>
        <v>0</v>
      </c>
      <c r="X95" s="16">
        <f>SUM(U95:W95)</f>
        <v>17028007</v>
      </c>
      <c r="Y95" s="19">
        <f>ENERO!AA95</f>
        <v>1458841</v>
      </c>
      <c r="Z95" s="377">
        <v>1502606</v>
      </c>
      <c r="AA95" s="18">
        <f>SUM(Y95:Z95)</f>
        <v>2961447</v>
      </c>
      <c r="AB95" s="19">
        <f>ENERO!AD95</f>
        <v>1458841</v>
      </c>
      <c r="AC95" s="377">
        <v>1502606</v>
      </c>
      <c r="AD95" s="16">
        <f>SUM(AB95:AC95)</f>
        <v>2961447</v>
      </c>
      <c r="AE95" s="19">
        <f>ENERO!AG95</f>
        <v>1458841</v>
      </c>
      <c r="AF95" s="377">
        <v>1502606</v>
      </c>
      <c r="AG95" s="16">
        <f>SUM(AE95:AF95)</f>
        <v>2961447</v>
      </c>
      <c r="AH95" s="19">
        <f>X95-AA95</f>
        <v>14066560</v>
      </c>
      <c r="AI95" s="15">
        <f>X95-AD95</f>
        <v>14066560</v>
      </c>
      <c r="AJ95" s="16">
        <f>X95-AG95</f>
        <v>14066560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+IF(ENERO!A96=0,"",ENERO!A96)</f>
        <v>11303-2</v>
      </c>
      <c r="B96" s="627" t="str">
        <f>+IF(ENERO!B96=0,"",ENERO!B96)</f>
        <v>DEPARTAMENTO</v>
      </c>
      <c r="C96" s="401">
        <f>+ENERO!C96</f>
        <v>0</v>
      </c>
      <c r="D96" s="376">
        <f>ENERO!D96+FEBRERO!P96</f>
        <v>0</v>
      </c>
      <c r="E96" s="376">
        <f>ENERO!E96+FEBRERO!Q96</f>
        <v>0</v>
      </c>
      <c r="F96" s="376">
        <f t="shared" si="97"/>
        <v>0</v>
      </c>
      <c r="G96" s="376">
        <f>ENERO!I96</f>
        <v>0</v>
      </c>
      <c r="H96" s="377">
        <v>0</v>
      </c>
      <c r="I96" s="376">
        <f t="shared" si="98"/>
        <v>0</v>
      </c>
      <c r="J96" s="376">
        <f>ENERO!L96</f>
        <v>0</v>
      </c>
      <c r="K96" s="377">
        <v>0</v>
      </c>
      <c r="L96" s="376">
        <f t="shared" si="99"/>
        <v>0</v>
      </c>
      <c r="M96" s="376">
        <f t="shared" si="100"/>
        <v>0</v>
      </c>
      <c r="N96" s="146">
        <f t="shared" si="101"/>
        <v>0</v>
      </c>
      <c r="O96" s="385"/>
      <c r="P96" s="375">
        <v>0</v>
      </c>
      <c r="Q96" s="378">
        <v>0</v>
      </c>
      <c r="S96" s="719">
        <f>+IF(ENERO!S96=0,"",ENERO!S96)</f>
        <v>1020302</v>
      </c>
      <c r="T96" s="737" t="str">
        <f>+IF(ENERO!T96=0,"",ENERO!T96)</f>
        <v>Contribuciones - Otros</v>
      </c>
      <c r="U96" s="29">
        <f t="shared" ref="U96:AJ96" si="102">SUM(U97:U101)</f>
        <v>39606111</v>
      </c>
      <c r="V96" s="15">
        <f t="shared" si="102"/>
        <v>0</v>
      </c>
      <c r="W96" s="15">
        <f t="shared" si="102"/>
        <v>0</v>
      </c>
      <c r="X96" s="16">
        <f t="shared" si="102"/>
        <v>39606111</v>
      </c>
      <c r="Y96" s="19">
        <f t="shared" si="102"/>
        <v>2427700</v>
      </c>
      <c r="Z96" s="145">
        <f t="shared" si="102"/>
        <v>2620200</v>
      </c>
      <c r="AA96" s="18">
        <f t="shared" si="102"/>
        <v>5047900</v>
      </c>
      <c r="AB96" s="19">
        <f t="shared" si="102"/>
        <v>2427700</v>
      </c>
      <c r="AC96" s="145">
        <f t="shared" si="102"/>
        <v>2620200</v>
      </c>
      <c r="AD96" s="16">
        <f t="shared" si="102"/>
        <v>5047900</v>
      </c>
      <c r="AE96" s="19">
        <f t="shared" si="102"/>
        <v>0</v>
      </c>
      <c r="AF96" s="145">
        <f t="shared" si="102"/>
        <v>2473300</v>
      </c>
      <c r="AG96" s="16">
        <f t="shared" si="102"/>
        <v>2473300</v>
      </c>
      <c r="AH96" s="19">
        <f t="shared" si="102"/>
        <v>34558211</v>
      </c>
      <c r="AI96" s="15">
        <f t="shared" si="102"/>
        <v>34558211</v>
      </c>
      <c r="AJ96" s="16">
        <f t="shared" si="102"/>
        <v>37132811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+IF(ENERO!A97=0,"",ENERO!A97)</f>
        <v>11303-3</v>
      </c>
      <c r="B97" s="627" t="str">
        <f>+IF(ENERO!B97=0,"",ENERO!B97)</f>
        <v>MUNICIPIO</v>
      </c>
      <c r="C97" s="401">
        <f>+ENERO!C97</f>
        <v>0</v>
      </c>
      <c r="D97" s="376">
        <f>ENERO!D97+FEBRERO!P97</f>
        <v>0</v>
      </c>
      <c r="E97" s="376">
        <f>ENERO!E97+FEBRERO!Q97</f>
        <v>0</v>
      </c>
      <c r="F97" s="376">
        <f t="shared" si="97"/>
        <v>0</v>
      </c>
      <c r="G97" s="376">
        <f>ENERO!I97</f>
        <v>0</v>
      </c>
      <c r="H97" s="377">
        <v>0</v>
      </c>
      <c r="I97" s="376">
        <f t="shared" si="98"/>
        <v>0</v>
      </c>
      <c r="J97" s="376">
        <f>ENERO!L97</f>
        <v>0</v>
      </c>
      <c r="K97" s="377">
        <v>0</v>
      </c>
      <c r="L97" s="376">
        <f t="shared" si="99"/>
        <v>0</v>
      </c>
      <c r="M97" s="376">
        <f t="shared" si="100"/>
        <v>0</v>
      </c>
      <c r="N97" s="146">
        <f t="shared" si="101"/>
        <v>0</v>
      </c>
      <c r="O97" s="385"/>
      <c r="P97" s="375">
        <v>0</v>
      </c>
      <c r="Q97" s="378">
        <v>0</v>
      </c>
      <c r="R97" s="30"/>
      <c r="S97" s="720" t="str">
        <f>+IF(ENERO!S97=0,"",ENERO!S97)</f>
        <v>1020302-1</v>
      </c>
      <c r="T97" s="738" t="str">
        <f>+IF(ENERO!T97=0,"",ENERO!T97)</f>
        <v>Aportes a E.P.S.- Con sit. Fondos</v>
      </c>
      <c r="U97" s="29">
        <f>+ENERO!U97</f>
        <v>1005165</v>
      </c>
      <c r="V97" s="15">
        <f>ENERO!V97+FEBRERO!AL97</f>
        <v>0</v>
      </c>
      <c r="W97" s="15">
        <f>ENERO!W97+FEBRERO!AM97</f>
        <v>0</v>
      </c>
      <c r="X97" s="16">
        <f t="shared" ref="X97:X102" si="103">SUM(U97:W97)</f>
        <v>1005165</v>
      </c>
      <c r="Y97" s="19">
        <f>ENERO!AA97</f>
        <v>0</v>
      </c>
      <c r="Z97" s="377">
        <v>0</v>
      </c>
      <c r="AA97" s="18">
        <f t="shared" ref="AA97:AA102" si="104">SUM(Y97:Z97)</f>
        <v>0</v>
      </c>
      <c r="AB97" s="19">
        <f>ENERO!AD97</f>
        <v>0</v>
      </c>
      <c r="AC97" s="377">
        <v>0</v>
      </c>
      <c r="AD97" s="16">
        <f t="shared" ref="AD97:AD102" si="105">SUM(AB97:AC97)</f>
        <v>0</v>
      </c>
      <c r="AE97" s="19">
        <f>ENERO!AG97</f>
        <v>0</v>
      </c>
      <c r="AF97" s="377">
        <v>0</v>
      </c>
      <c r="AG97" s="16">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+IF(ENERO!A98=0,"",ENERO!A98)</f>
        <v>11303-4</v>
      </c>
      <c r="B98" s="627" t="str">
        <f>+IF(ENERO!B98=0,"",ENERO!B98)</f>
        <v>CONVENIOS (EMPRESTITO)</v>
      </c>
      <c r="C98" s="401">
        <f>+ENERO!C98</f>
        <v>0</v>
      </c>
      <c r="D98" s="376">
        <f>ENERO!D98+FEBRERO!P98</f>
        <v>0</v>
      </c>
      <c r="E98" s="376">
        <f>ENERO!E98+FEBRERO!Q98</f>
        <v>0</v>
      </c>
      <c r="F98" s="376">
        <f t="shared" si="97"/>
        <v>0</v>
      </c>
      <c r="G98" s="376">
        <f>ENERO!I98</f>
        <v>0</v>
      </c>
      <c r="H98" s="377">
        <v>0</v>
      </c>
      <c r="I98" s="376">
        <f t="shared" si="98"/>
        <v>0</v>
      </c>
      <c r="J98" s="376">
        <f>ENERO!L98</f>
        <v>0</v>
      </c>
      <c r="K98" s="377">
        <v>0</v>
      </c>
      <c r="L98" s="376">
        <f t="shared" si="99"/>
        <v>0</v>
      </c>
      <c r="M98" s="376">
        <f t="shared" si="100"/>
        <v>0</v>
      </c>
      <c r="N98" s="146">
        <f t="shared" si="101"/>
        <v>0</v>
      </c>
      <c r="O98" s="385"/>
      <c r="P98" s="375">
        <v>0</v>
      </c>
      <c r="Q98" s="378">
        <v>0</v>
      </c>
      <c r="R98" s="30"/>
      <c r="S98" s="720" t="str">
        <f>+IF(ENERO!S98=0,"",ENERO!S98)</f>
        <v>1020302-2</v>
      </c>
      <c r="T98" s="738" t="str">
        <f>+IF(ENERO!T98=0,"",ENERO!T98)</f>
        <v>Aportes Fondos Pensionales - Con Sit. Fondos</v>
      </c>
      <c r="U98" s="29">
        <f>+ENERO!U98</f>
        <v>3635130</v>
      </c>
      <c r="V98" s="15">
        <f>ENERO!V98+FEBRERO!AL98</f>
        <v>0</v>
      </c>
      <c r="W98" s="15">
        <f>ENERO!W98+FEBRERO!AM98</f>
        <v>0</v>
      </c>
      <c r="X98" s="16">
        <f t="shared" si="103"/>
        <v>3635130</v>
      </c>
      <c r="Y98" s="19">
        <f>ENERO!AA98</f>
        <v>0</v>
      </c>
      <c r="Z98" s="377">
        <v>0</v>
      </c>
      <c r="AA98" s="18">
        <f t="shared" si="104"/>
        <v>0</v>
      </c>
      <c r="AB98" s="19">
        <f>ENERO!AD98</f>
        <v>0</v>
      </c>
      <c r="AC98" s="377">
        <v>0</v>
      </c>
      <c r="AD98" s="16">
        <f t="shared" si="105"/>
        <v>0</v>
      </c>
      <c r="AE98" s="19">
        <f>ENERO!AG98</f>
        <v>0</v>
      </c>
      <c r="AF98" s="377">
        <v>0</v>
      </c>
      <c r="AG98" s="16">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+IF(ENERO!A99=0,"",ENERO!A99)</f>
        <v>11303-5</v>
      </c>
      <c r="B99" s="627" t="str">
        <f>+IF(ENERO!B99=0,"",ENERO!B99)</f>
        <v>APORTES PATRONALES - MUNICIPIO / DEPARTAMENTO</v>
      </c>
      <c r="C99" s="681">
        <f>+ENERO!C99</f>
        <v>0</v>
      </c>
      <c r="D99" s="376">
        <f>ENERO!D99+FEBRERO!P99</f>
        <v>0</v>
      </c>
      <c r="E99" s="376">
        <f>ENERO!E99+FEBRERO!Q99</f>
        <v>0</v>
      </c>
      <c r="F99" s="376">
        <f t="shared" si="97"/>
        <v>0</v>
      </c>
      <c r="G99" s="376">
        <f>ENERO!I99</f>
        <v>0</v>
      </c>
      <c r="H99" s="682">
        <v>0</v>
      </c>
      <c r="I99" s="376">
        <f t="shared" si="98"/>
        <v>0</v>
      </c>
      <c r="J99" s="376">
        <f>ENERO!L99</f>
        <v>0</v>
      </c>
      <c r="K99" s="682">
        <v>0</v>
      </c>
      <c r="L99" s="376">
        <f t="shared" si="99"/>
        <v>0</v>
      </c>
      <c r="M99" s="376">
        <f t="shared" si="100"/>
        <v>0</v>
      </c>
      <c r="N99" s="146">
        <f t="shared" si="101"/>
        <v>0</v>
      </c>
      <c r="O99" s="385"/>
      <c r="P99" s="683">
        <v>0</v>
      </c>
      <c r="Q99" s="684">
        <v>0</v>
      </c>
      <c r="R99" s="30"/>
      <c r="S99" s="720" t="str">
        <f>+IF(ENERO!S99=0,"",ENERO!S99)</f>
        <v>1020302-3</v>
      </c>
      <c r="T99" s="738" t="str">
        <f>+IF(ENERO!T99=0,"",ENERO!T99)</f>
        <v xml:space="preserve">Aportes a Fondos de Cesantia - Con Sit. de Fondos </v>
      </c>
      <c r="U99" s="29">
        <f>+ENERO!U99</f>
        <v>2469908</v>
      </c>
      <c r="V99" s="15">
        <f>ENERO!V99+FEBRERO!AL99</f>
        <v>0</v>
      </c>
      <c r="W99" s="15">
        <f>ENERO!W99+FEBRERO!AM99</f>
        <v>0</v>
      </c>
      <c r="X99" s="16">
        <f t="shared" si="103"/>
        <v>2469908</v>
      </c>
      <c r="Y99" s="19">
        <f>ENERO!AA99</f>
        <v>0</v>
      </c>
      <c r="Z99" s="377">
        <v>0</v>
      </c>
      <c r="AA99" s="18">
        <f t="shared" si="104"/>
        <v>0</v>
      </c>
      <c r="AB99" s="19">
        <f>ENERO!AD99</f>
        <v>0</v>
      </c>
      <c r="AC99" s="377">
        <v>0</v>
      </c>
      <c r="AD99" s="16">
        <f t="shared" si="105"/>
        <v>0</v>
      </c>
      <c r="AE99" s="19">
        <f>ENERO!AG99</f>
        <v>0</v>
      </c>
      <c r="AF99" s="377">
        <v>0</v>
      </c>
      <c r="AG99" s="16">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+IF(ENERO!A100=0,"",ENERO!A100)</f>
        <v>11303-6</v>
      </c>
      <c r="B100" s="627" t="str">
        <f>+IF(ENERO!B100=0,"",ENERO!B100)</f>
        <v>RECURSOS PARA PROGRAMA DE SANEAMIENTO FINANCIERO</v>
      </c>
      <c r="C100" s="401">
        <f>+ENERO!C100</f>
        <v>0</v>
      </c>
      <c r="D100" s="376">
        <f>ENERO!D100+FEBRERO!P100</f>
        <v>0</v>
      </c>
      <c r="E100" s="376">
        <f>ENERO!E100+FEBRERO!Q100</f>
        <v>0</v>
      </c>
      <c r="F100" s="376">
        <f t="shared" si="97"/>
        <v>0</v>
      </c>
      <c r="G100" s="376">
        <f>ENERO!I100</f>
        <v>0</v>
      </c>
      <c r="H100" s="377">
        <v>0</v>
      </c>
      <c r="I100" s="376">
        <f t="shared" si="98"/>
        <v>0</v>
      </c>
      <c r="J100" s="376">
        <f>ENERO!L100</f>
        <v>0</v>
      </c>
      <c r="K100" s="377">
        <v>0</v>
      </c>
      <c r="L100" s="376">
        <f t="shared" si="99"/>
        <v>0</v>
      </c>
      <c r="M100" s="376">
        <f t="shared" si="100"/>
        <v>0</v>
      </c>
      <c r="N100" s="146">
        <f t="shared" si="101"/>
        <v>0</v>
      </c>
      <c r="P100" s="375">
        <v>0</v>
      </c>
      <c r="Q100" s="378">
        <v>0</v>
      </c>
      <c r="R100" s="9"/>
      <c r="S100" s="720" t="str">
        <f>+IF(ENERO!S100=0,"",ENERO!S100)</f>
        <v>1020302-4</v>
      </c>
      <c r="T100" s="738" t="str">
        <f>+IF(ENERO!T100=0,"",ENERO!T100)</f>
        <v>Aporte a ARL. - Con Sit. de Fondos</v>
      </c>
      <c r="U100" s="29">
        <f>+ENERO!U100</f>
        <v>0</v>
      </c>
      <c r="V100" s="15">
        <f>ENERO!V100+FEBRERO!AL100</f>
        <v>0</v>
      </c>
      <c r="W100" s="15">
        <f>ENERO!W100+FEBRERO!AM100</f>
        <v>0</v>
      </c>
      <c r="X100" s="16">
        <f t="shared" si="103"/>
        <v>0</v>
      </c>
      <c r="Y100" s="19">
        <f>ENERO!AA100</f>
        <v>0</v>
      </c>
      <c r="Z100" s="377">
        <v>0</v>
      </c>
      <c r="AA100" s="18">
        <f t="shared" si="104"/>
        <v>0</v>
      </c>
      <c r="AB100" s="19">
        <f>ENERO!AD100</f>
        <v>0</v>
      </c>
      <c r="AC100" s="377">
        <v>0</v>
      </c>
      <c r="AD100" s="16">
        <f t="shared" si="105"/>
        <v>0</v>
      </c>
      <c r="AE100" s="19">
        <f>ENERO!AG100</f>
        <v>0</v>
      </c>
      <c r="AF100" s="377">
        <v>0</v>
      </c>
      <c r="AG100" s="16">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+IF(ENERO!A101=0,"",ENERO!A101)</f>
        <v>11303-7</v>
      </c>
      <c r="B101" s="627" t="str">
        <f>+IF(ENERO!B101=0,"",ENERO!B101)</f>
        <v xml:space="preserve">SANEAMIENTO APORTES PATRONALES </v>
      </c>
      <c r="C101" s="401">
        <f>+ENERO!C101</f>
        <v>0</v>
      </c>
      <c r="D101" s="376">
        <f>ENERO!D101+FEBRERO!P101</f>
        <v>0</v>
      </c>
      <c r="E101" s="376">
        <f>ENERO!E101+FEBRERO!Q101</f>
        <v>0</v>
      </c>
      <c r="F101" s="376">
        <f t="shared" si="97"/>
        <v>0</v>
      </c>
      <c r="G101" s="376">
        <f>ENERO!I101</f>
        <v>0</v>
      </c>
      <c r="H101" s="377">
        <v>0</v>
      </c>
      <c r="I101" s="376">
        <f t="shared" si="98"/>
        <v>0</v>
      </c>
      <c r="J101" s="376">
        <f>ENERO!L101</f>
        <v>0</v>
      </c>
      <c r="K101" s="377">
        <v>0</v>
      </c>
      <c r="L101" s="376">
        <f t="shared" si="99"/>
        <v>0</v>
      </c>
      <c r="M101" s="376">
        <f t="shared" si="100"/>
        <v>0</v>
      </c>
      <c r="N101" s="146">
        <f t="shared" si="101"/>
        <v>0</v>
      </c>
      <c r="P101" s="375">
        <v>0</v>
      </c>
      <c r="Q101" s="378">
        <v>0</v>
      </c>
      <c r="R101" s="9"/>
      <c r="S101" s="720" t="str">
        <f>+IF(ENERO!S101=0,"",ENERO!S101)</f>
        <v>1020302-5</v>
      </c>
      <c r="T101" s="738" t="str">
        <f>+IF(ENERO!T101=0,"",ENERO!T101)</f>
        <v>Aporte a Caja Compensación Familiar</v>
      </c>
      <c r="U101" s="29">
        <f>+ENERO!U101</f>
        <v>32495908</v>
      </c>
      <c r="V101" s="15">
        <f>ENERO!V101+FEBRERO!AL101</f>
        <v>0</v>
      </c>
      <c r="W101" s="15">
        <f>ENERO!W101+FEBRERO!AM101</f>
        <v>0</v>
      </c>
      <c r="X101" s="16">
        <f t="shared" si="103"/>
        <v>32495908</v>
      </c>
      <c r="Y101" s="19">
        <f>ENERO!AA101</f>
        <v>2427700</v>
      </c>
      <c r="Z101" s="377">
        <v>2620200</v>
      </c>
      <c r="AA101" s="18">
        <f t="shared" si="104"/>
        <v>5047900</v>
      </c>
      <c r="AB101" s="19">
        <f>ENERO!AD101</f>
        <v>2427700</v>
      </c>
      <c r="AC101" s="377">
        <v>2620200</v>
      </c>
      <c r="AD101" s="16">
        <f t="shared" si="105"/>
        <v>5047900</v>
      </c>
      <c r="AE101" s="19">
        <f>ENERO!AG101</f>
        <v>0</v>
      </c>
      <c r="AF101" s="377">
        <v>2473300</v>
      </c>
      <c r="AG101" s="16">
        <f t="shared" si="106"/>
        <v>2473300</v>
      </c>
      <c r="AH101" s="19">
        <f t="shared" si="107"/>
        <v>27448008</v>
      </c>
      <c r="AI101" s="15">
        <f t="shared" si="108"/>
        <v>27448008</v>
      </c>
      <c r="AJ101" s="16">
        <f t="shared" si="109"/>
        <v>30022608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+IF(ENERO!A102=0,"",ENERO!A102)</f>
        <v>11303-8</v>
      </c>
      <c r="B102" s="636" t="str">
        <f>+IF(ENERO!B102=0,"",ENERO!B102)</f>
        <v>Vigencia Anterior</v>
      </c>
      <c r="C102" s="491">
        <f>+ENERO!C102</f>
        <v>0</v>
      </c>
      <c r="D102" s="388">
        <f>ENERO!D102+FEBRERO!P102</f>
        <v>0</v>
      </c>
      <c r="E102" s="388">
        <f>ENERO!E102+FEBRERO!Q102</f>
        <v>0</v>
      </c>
      <c r="F102" s="388">
        <f t="shared" si="97"/>
        <v>0</v>
      </c>
      <c r="G102" s="388">
        <f>ENERO!I102</f>
        <v>0</v>
      </c>
      <c r="H102" s="391">
        <v>0</v>
      </c>
      <c r="I102" s="388">
        <f t="shared" si="98"/>
        <v>0</v>
      </c>
      <c r="J102" s="388">
        <f>ENERO!L102</f>
        <v>0</v>
      </c>
      <c r="K102" s="391">
        <v>0</v>
      </c>
      <c r="L102" s="388">
        <f t="shared" si="99"/>
        <v>0</v>
      </c>
      <c r="M102" s="388">
        <f t="shared" si="100"/>
        <v>0</v>
      </c>
      <c r="N102" s="389">
        <f t="shared" si="101"/>
        <v>0</v>
      </c>
      <c r="P102" s="375">
        <v>0</v>
      </c>
      <c r="Q102" s="378">
        <v>0</v>
      </c>
      <c r="R102" s="9"/>
      <c r="S102" s="719">
        <f>+IF(ENERO!S102=0,"",ENERO!S102)</f>
        <v>1020399</v>
      </c>
      <c r="T102" s="737" t="str">
        <f>+IF(ENERO!T102=0,"",ENERO!T102)</f>
        <v>Vigencias Anteriores</v>
      </c>
      <c r="U102" s="29">
        <f>+ENERO!U102</f>
        <v>0</v>
      </c>
      <c r="V102" s="15">
        <f>ENERO!V102+FEBRERO!AL102</f>
        <v>0</v>
      </c>
      <c r="W102" s="15">
        <f>ENERO!W102+FEBRERO!AM102</f>
        <v>54740941</v>
      </c>
      <c r="X102" s="16">
        <f t="shared" si="103"/>
        <v>54740941</v>
      </c>
      <c r="Y102" s="19">
        <f>ENERO!AA102</f>
        <v>54740941</v>
      </c>
      <c r="Z102" s="377">
        <v>0</v>
      </c>
      <c r="AA102" s="18">
        <f t="shared" si="104"/>
        <v>54740941</v>
      </c>
      <c r="AB102" s="19">
        <f>ENERO!AD102</f>
        <v>54740941</v>
      </c>
      <c r="AC102" s="377">
        <v>0</v>
      </c>
      <c r="AD102" s="16">
        <f t="shared" si="105"/>
        <v>54740941</v>
      </c>
      <c r="AE102" s="19">
        <f>ENERO!AG102</f>
        <v>0</v>
      </c>
      <c r="AF102" s="377">
        <v>52961136</v>
      </c>
      <c r="AG102" s="16">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+IF(ENERO!A103=0,"",ENERO!A103)</f>
        <v/>
      </c>
      <c r="B103" s="661" t="str">
        <f>+IF(ENERO!B103=0,"",ENERO!B103)</f>
        <v/>
      </c>
      <c r="C103" s="483"/>
      <c r="D103" s="483"/>
      <c r="E103" s="483"/>
      <c r="F103" s="483"/>
      <c r="G103" s="483"/>
      <c r="H103" s="483"/>
      <c r="I103" s="483"/>
      <c r="J103" s="483"/>
      <c r="K103" s="483"/>
      <c r="L103" s="483"/>
      <c r="M103" s="483"/>
      <c r="N103" s="484"/>
      <c r="P103" s="485"/>
      <c r="Q103" s="484"/>
      <c r="R103" s="9"/>
      <c r="S103" s="369" t="str">
        <f>+IF(ENERO!S103=0,"",ENERO!S103)</f>
        <v/>
      </c>
      <c r="T103" s="708" t="str">
        <f>+IF(ENERO!T103=0,"",ENERO!T103)</f>
        <v/>
      </c>
      <c r="U103" s="370"/>
      <c r="V103" s="164"/>
      <c r="W103" s="164"/>
      <c r="X103" s="169"/>
      <c r="Y103" s="370"/>
      <c r="Z103" s="164"/>
      <c r="AA103" s="164"/>
      <c r="AB103" s="370"/>
      <c r="AC103" s="164"/>
      <c r="AD103" s="169"/>
      <c r="AE103" s="370"/>
      <c r="AF103" s="164"/>
      <c r="AG103" s="169"/>
      <c r="AH103" s="370"/>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+IF(ENERO!A104=0,"",ENERO!A104)</f>
        <v>11304</v>
      </c>
      <c r="B104" s="626" t="str">
        <f>+IF(ENERO!B104=0,"",ENERO!B104)</f>
        <v>Otros ingresos corrientes</v>
      </c>
      <c r="C104" s="625">
        <f>SUM(C105:C111)</f>
        <v>107181679</v>
      </c>
      <c r="D104" s="623">
        <f t="shared" ref="D104:N104" si="110">SUM(D105:D111)</f>
        <v>0</v>
      </c>
      <c r="E104" s="623">
        <f t="shared" si="110"/>
        <v>0</v>
      </c>
      <c r="F104" s="623">
        <f t="shared" si="110"/>
        <v>107181679</v>
      </c>
      <c r="G104" s="623">
        <f t="shared" si="110"/>
        <v>10559124</v>
      </c>
      <c r="H104" s="623">
        <f t="shared" si="110"/>
        <v>8458108</v>
      </c>
      <c r="I104" s="623">
        <f t="shared" si="110"/>
        <v>19017232</v>
      </c>
      <c r="J104" s="623">
        <f t="shared" si="110"/>
        <v>10559124</v>
      </c>
      <c r="K104" s="623">
        <f t="shared" si="110"/>
        <v>8458108</v>
      </c>
      <c r="L104" s="623">
        <f t="shared" si="110"/>
        <v>19017232</v>
      </c>
      <c r="M104" s="623">
        <f t="shared" si="110"/>
        <v>88164447</v>
      </c>
      <c r="N104" s="624">
        <f t="shared" si="110"/>
        <v>88164447</v>
      </c>
      <c r="P104" s="43">
        <f>SUM(P105:P111)</f>
        <v>0</v>
      </c>
      <c r="Q104" s="45">
        <f>SUM(Q105:Q111)</f>
        <v>0</v>
      </c>
      <c r="R104" s="9"/>
      <c r="S104" s="718">
        <f>+IF(ENERO!S104=0,"",ENERO!S104)</f>
        <v>1020400</v>
      </c>
      <c r="T104" s="736" t="str">
        <f>+IF(ENERO!T104=0,"",ENERO!T104)</f>
        <v>Contribuciones Inherentes nómina del Sector Publico</v>
      </c>
      <c r="U104" s="131">
        <f t="shared" ref="U104:AJ104" si="111">U105+U108</f>
        <v>40619885</v>
      </c>
      <c r="V104" s="124">
        <f t="shared" si="111"/>
        <v>0</v>
      </c>
      <c r="W104" s="124">
        <f t="shared" si="111"/>
        <v>3013800</v>
      </c>
      <c r="X104" s="133">
        <f t="shared" si="111"/>
        <v>43633685</v>
      </c>
      <c r="Y104" s="131">
        <f t="shared" si="111"/>
        <v>6048300</v>
      </c>
      <c r="Z104" s="124">
        <f t="shared" si="111"/>
        <v>3275100</v>
      </c>
      <c r="AA104" s="132">
        <f t="shared" si="111"/>
        <v>9323400</v>
      </c>
      <c r="AB104" s="131">
        <f t="shared" si="111"/>
        <v>6048300</v>
      </c>
      <c r="AC104" s="124">
        <f t="shared" si="111"/>
        <v>3275100</v>
      </c>
      <c r="AD104" s="133">
        <f t="shared" si="111"/>
        <v>9323400</v>
      </c>
      <c r="AE104" s="131">
        <f t="shared" si="111"/>
        <v>0</v>
      </c>
      <c r="AF104" s="124">
        <f t="shared" si="111"/>
        <v>6105300</v>
      </c>
      <c r="AG104" s="133">
        <f t="shared" si="111"/>
        <v>6105300</v>
      </c>
      <c r="AH104" s="131">
        <f t="shared" si="111"/>
        <v>34310285</v>
      </c>
      <c r="AI104" s="124">
        <f t="shared" si="111"/>
        <v>34310285</v>
      </c>
      <c r="AJ104" s="133">
        <f t="shared" si="111"/>
        <v>37528385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+IF(ENERO!A105=0,"",ENERO!A105)</f>
        <v>11304-1</v>
      </c>
      <c r="B105" s="627" t="str">
        <f>+IF(ENERO!B105=0,"",ENERO!B105)</f>
        <v>ARRENDAMIENTO Y ALQUILER DE BIENES MUEBLES E INMUEBLES</v>
      </c>
      <c r="C105" s="401">
        <f>+ENERO!C105</f>
        <v>916364</v>
      </c>
      <c r="D105" s="376">
        <f>ENERO!D105+FEBRERO!P105</f>
        <v>0</v>
      </c>
      <c r="E105" s="376">
        <f>ENERO!E105+FEBRERO!Q105</f>
        <v>0</v>
      </c>
      <c r="F105" s="376">
        <f t="shared" ref="F105:F111" si="112">SUM(C105:E105)</f>
        <v>916364</v>
      </c>
      <c r="G105" s="376">
        <f>ENERO!I105</f>
        <v>0</v>
      </c>
      <c r="H105" s="377">
        <v>80000</v>
      </c>
      <c r="I105" s="376">
        <f t="shared" ref="I105:I111" si="113">SUM(G105:H105)</f>
        <v>80000</v>
      </c>
      <c r="J105" s="376">
        <f>ENERO!L105</f>
        <v>0</v>
      </c>
      <c r="K105" s="377">
        <v>80000</v>
      </c>
      <c r="L105" s="376">
        <f t="shared" ref="L105:L111" si="114">SUM(J105:K105)</f>
        <v>80000</v>
      </c>
      <c r="M105" s="376">
        <f t="shared" ref="M105:M111" si="115">F105-I105</f>
        <v>836364</v>
      </c>
      <c r="N105" s="146">
        <f t="shared" ref="N105:N111" si="116">F105-L105</f>
        <v>836364</v>
      </c>
      <c r="P105" s="375">
        <v>0</v>
      </c>
      <c r="Q105" s="378">
        <v>0</v>
      </c>
      <c r="R105" s="9"/>
      <c r="S105" s="719">
        <f>+IF(ENERO!S105=0,"",ENERO!S105)</f>
        <v>1020402</v>
      </c>
      <c r="T105" s="737" t="str">
        <f>+IF(ENERO!T105=0,"",ENERO!T105)</f>
        <v>Contribuciones - Otros</v>
      </c>
      <c r="U105" s="29">
        <f t="shared" ref="U105:AJ105" si="117">SUM(U106:U107)</f>
        <v>40619885</v>
      </c>
      <c r="V105" s="15">
        <f t="shared" si="117"/>
        <v>0</v>
      </c>
      <c r="W105" s="15">
        <f t="shared" si="117"/>
        <v>0</v>
      </c>
      <c r="X105" s="16">
        <f t="shared" si="117"/>
        <v>40619885</v>
      </c>
      <c r="Y105" s="19">
        <f t="shared" si="117"/>
        <v>3034500</v>
      </c>
      <c r="Z105" s="145">
        <f t="shared" si="117"/>
        <v>3275100</v>
      </c>
      <c r="AA105" s="18">
        <f t="shared" si="117"/>
        <v>6309600</v>
      </c>
      <c r="AB105" s="19">
        <f t="shared" si="117"/>
        <v>3034500</v>
      </c>
      <c r="AC105" s="145">
        <f t="shared" si="117"/>
        <v>3275100</v>
      </c>
      <c r="AD105" s="16">
        <f t="shared" si="117"/>
        <v>6309600</v>
      </c>
      <c r="AE105" s="19">
        <f t="shared" si="117"/>
        <v>0</v>
      </c>
      <c r="AF105" s="145">
        <f t="shared" si="117"/>
        <v>3091500</v>
      </c>
      <c r="AG105" s="16">
        <f t="shared" si="117"/>
        <v>3091500</v>
      </c>
      <c r="AH105" s="19">
        <f t="shared" si="117"/>
        <v>34310285</v>
      </c>
      <c r="AI105" s="15">
        <f t="shared" si="117"/>
        <v>34310285</v>
      </c>
      <c r="AJ105" s="16">
        <f t="shared" si="117"/>
        <v>37528385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+IF(ENERO!A106=0,"",ENERO!A106)</f>
        <v>11304-2</v>
      </c>
      <c r="B106" s="628" t="str">
        <f>+IF(ENERO!B106=0,"",ENERO!B106)</f>
        <v>COMERCIALIZACIÓN DE MERCANCÍAS</v>
      </c>
      <c r="C106" s="401">
        <f>+ENERO!C106</f>
        <v>105119431</v>
      </c>
      <c r="D106" s="376">
        <f>ENERO!D106+FEBRERO!P106</f>
        <v>0</v>
      </c>
      <c r="E106" s="376">
        <f>ENERO!E106+FEBRERO!Q106</f>
        <v>0</v>
      </c>
      <c r="F106" s="376">
        <f t="shared" si="112"/>
        <v>105119431</v>
      </c>
      <c r="G106" s="376">
        <f>ENERO!I106</f>
        <v>8510450</v>
      </c>
      <c r="H106" s="377">
        <v>8288750</v>
      </c>
      <c r="I106" s="376">
        <f t="shared" si="113"/>
        <v>16799200</v>
      </c>
      <c r="J106" s="376">
        <f>ENERO!L106</f>
        <v>8510450</v>
      </c>
      <c r="K106" s="377">
        <v>8288750</v>
      </c>
      <c r="L106" s="376">
        <f t="shared" si="114"/>
        <v>16799200</v>
      </c>
      <c r="M106" s="376">
        <f t="shared" si="115"/>
        <v>88320231</v>
      </c>
      <c r="N106" s="146">
        <f t="shared" si="116"/>
        <v>88320231</v>
      </c>
      <c r="P106" s="375">
        <v>0</v>
      </c>
      <c r="Q106" s="378">
        <v>0</v>
      </c>
      <c r="R106" s="9"/>
      <c r="S106" s="720" t="str">
        <f>+IF(ENERO!S106=0,"",ENERO!S106)</f>
        <v>1020402-1</v>
      </c>
      <c r="T106" s="737" t="str">
        <f>+IF(ENERO!T106=0,"",ENERO!T106)</f>
        <v>S.E.N.A.</v>
      </c>
      <c r="U106" s="29">
        <f>+ENERO!U106</f>
        <v>16247954</v>
      </c>
      <c r="V106" s="15">
        <f>ENERO!V106+FEBRERO!AL106</f>
        <v>0</v>
      </c>
      <c r="W106" s="15">
        <f>ENERO!W106+FEBRERO!AM106</f>
        <v>0</v>
      </c>
      <c r="X106" s="16">
        <f>SUM(U106:W106)</f>
        <v>16247954</v>
      </c>
      <c r="Y106" s="19">
        <f>ENERO!AA106</f>
        <v>1214100</v>
      </c>
      <c r="Z106" s="377">
        <v>1310000</v>
      </c>
      <c r="AA106" s="18">
        <f>SUM(Y106:Z106)</f>
        <v>2524100</v>
      </c>
      <c r="AB106" s="19">
        <f>ENERO!AD106</f>
        <v>1214100</v>
      </c>
      <c r="AC106" s="377">
        <v>1310000</v>
      </c>
      <c r="AD106" s="16">
        <f>SUM(AB106:AC106)</f>
        <v>2524100</v>
      </c>
      <c r="AE106" s="19">
        <f>ENERO!AG106</f>
        <v>0</v>
      </c>
      <c r="AF106" s="377">
        <v>1236900</v>
      </c>
      <c r="AG106" s="16">
        <f>SUM(AE106:AF106)</f>
        <v>1236900</v>
      </c>
      <c r="AH106" s="19">
        <f>X106-AA106</f>
        <v>13723854</v>
      </c>
      <c r="AI106" s="15">
        <f>X106-AD106</f>
        <v>13723854</v>
      </c>
      <c r="AJ106" s="16">
        <f>X106-AG106</f>
        <v>15011054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+IF(ENERO!A107=0,"",ENERO!A107)</f>
        <v>11304-3</v>
      </c>
      <c r="B107" s="627" t="str">
        <f>+IF(ENERO!B107=0,"",ENERO!B107)</f>
        <v>Bienestar Social</v>
      </c>
      <c r="C107" s="401">
        <f>+ENERO!C107</f>
        <v>0</v>
      </c>
      <c r="D107" s="376">
        <f>ENERO!D107+FEBRERO!P107</f>
        <v>0</v>
      </c>
      <c r="E107" s="376">
        <f>ENERO!E107+FEBRERO!Q107</f>
        <v>0</v>
      </c>
      <c r="F107" s="376">
        <f t="shared" si="112"/>
        <v>0</v>
      </c>
      <c r="G107" s="376">
        <f>ENERO!I107</f>
        <v>0</v>
      </c>
      <c r="H107" s="377">
        <v>0</v>
      </c>
      <c r="I107" s="376">
        <f t="shared" si="113"/>
        <v>0</v>
      </c>
      <c r="J107" s="376">
        <f>ENERO!L107</f>
        <v>0</v>
      </c>
      <c r="K107" s="377">
        <v>0</v>
      </c>
      <c r="L107" s="376">
        <f t="shared" si="114"/>
        <v>0</v>
      </c>
      <c r="M107" s="376">
        <f t="shared" si="115"/>
        <v>0</v>
      </c>
      <c r="N107" s="146">
        <f t="shared" si="116"/>
        <v>0</v>
      </c>
      <c r="P107" s="375">
        <v>0</v>
      </c>
      <c r="Q107" s="378">
        <v>0</v>
      </c>
      <c r="R107" s="9"/>
      <c r="S107" s="720" t="str">
        <f>+IF(ENERO!S107=0,"",ENERO!S107)</f>
        <v>1020402-2</v>
      </c>
      <c r="T107" s="737" t="str">
        <f>+IF(ENERO!T107=0,"",ENERO!T107)</f>
        <v>I.C.B.F.</v>
      </c>
      <c r="U107" s="29">
        <f>+ENERO!U107</f>
        <v>24371931</v>
      </c>
      <c r="V107" s="15">
        <f>ENERO!V107+FEBRERO!AL107</f>
        <v>0</v>
      </c>
      <c r="W107" s="15">
        <f>ENERO!W107+FEBRERO!AM107</f>
        <v>0</v>
      </c>
      <c r="X107" s="16">
        <f>SUM(U107:W107)</f>
        <v>24371931</v>
      </c>
      <c r="Y107" s="19">
        <f>ENERO!AA107</f>
        <v>1820400</v>
      </c>
      <c r="Z107" s="377">
        <v>1965100</v>
      </c>
      <c r="AA107" s="18">
        <f>SUM(Y107:Z107)</f>
        <v>3785500</v>
      </c>
      <c r="AB107" s="19">
        <f>ENERO!AD107</f>
        <v>1820400</v>
      </c>
      <c r="AC107" s="377">
        <v>1965100</v>
      </c>
      <c r="AD107" s="16">
        <f>SUM(AB107:AC107)</f>
        <v>3785500</v>
      </c>
      <c r="AE107" s="19">
        <f>ENERO!AG107</f>
        <v>0</v>
      </c>
      <c r="AF107" s="377">
        <v>1854600</v>
      </c>
      <c r="AG107" s="16">
        <f>SUM(AE107:AF107)</f>
        <v>1854600</v>
      </c>
      <c r="AH107" s="19">
        <f>X107-AA107</f>
        <v>20586431</v>
      </c>
      <c r="AI107" s="15">
        <f>X107-AD107</f>
        <v>20586431</v>
      </c>
      <c r="AJ107" s="16">
        <f>X107-AG107</f>
        <v>22517331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+IF(ENERO!A108=0,"",ENERO!A108)</f>
        <v>11304-4</v>
      </c>
      <c r="B108" s="627" t="str">
        <f>+IF(ENERO!B108=0,"",ENERO!B108)</f>
        <v>Fondo de la Vivienda</v>
      </c>
      <c r="C108" s="401">
        <f>+ENERO!C108</f>
        <v>0</v>
      </c>
      <c r="D108" s="376">
        <f>ENERO!D108+FEBRERO!P108</f>
        <v>0</v>
      </c>
      <c r="E108" s="376">
        <f>ENERO!E108+FEBRERO!Q108</f>
        <v>0</v>
      </c>
      <c r="F108" s="376">
        <f t="shared" si="112"/>
        <v>0</v>
      </c>
      <c r="G108" s="376">
        <f>ENERO!I108</f>
        <v>0</v>
      </c>
      <c r="H108" s="377">
        <v>0</v>
      </c>
      <c r="I108" s="376">
        <f t="shared" si="113"/>
        <v>0</v>
      </c>
      <c r="J108" s="376">
        <f>ENERO!L108</f>
        <v>0</v>
      </c>
      <c r="K108" s="377">
        <v>0</v>
      </c>
      <c r="L108" s="376">
        <f t="shared" si="114"/>
        <v>0</v>
      </c>
      <c r="M108" s="376">
        <f t="shared" si="115"/>
        <v>0</v>
      </c>
      <c r="N108" s="146">
        <f t="shared" si="116"/>
        <v>0</v>
      </c>
      <c r="P108" s="375">
        <v>0</v>
      </c>
      <c r="Q108" s="378">
        <v>0</v>
      </c>
      <c r="R108" s="9"/>
      <c r="S108" s="719">
        <f>+IF(ENERO!S108=0,"",ENERO!S108)</f>
        <v>1020499</v>
      </c>
      <c r="T108" s="737" t="str">
        <f>+IF(ENERO!T108=0,"",ENERO!T108)</f>
        <v>Vigencias Anteriores</v>
      </c>
      <c r="U108" s="29">
        <f>+ENERO!U108</f>
        <v>0</v>
      </c>
      <c r="V108" s="15">
        <f>ENERO!V108+FEBRERO!AL108</f>
        <v>0</v>
      </c>
      <c r="W108" s="15">
        <f>ENERO!W108+FEBRERO!AM108</f>
        <v>3013800</v>
      </c>
      <c r="X108" s="16">
        <f>SUM(U108:W108)</f>
        <v>3013800</v>
      </c>
      <c r="Y108" s="19">
        <f>ENERO!AA108</f>
        <v>3013800</v>
      </c>
      <c r="Z108" s="377">
        <v>0</v>
      </c>
      <c r="AA108" s="18">
        <f>SUM(Y108:Z108)</f>
        <v>3013800</v>
      </c>
      <c r="AB108" s="19">
        <f>ENERO!AD108</f>
        <v>3013800</v>
      </c>
      <c r="AC108" s="377">
        <v>0</v>
      </c>
      <c r="AD108" s="16">
        <f>SUM(AB108:AC108)</f>
        <v>3013800</v>
      </c>
      <c r="AE108" s="19">
        <f>ENERO!AG108</f>
        <v>0</v>
      </c>
      <c r="AF108" s="377">
        <v>3013800</v>
      </c>
      <c r="AG108" s="16">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+IF(ENERO!A109=0,"",ENERO!A109)</f>
        <v>11304-5</v>
      </c>
      <c r="B109" s="627" t="str">
        <f>+IF(ENERO!B109=0,"",ENERO!B109)</f>
        <v xml:space="preserve">Aprovechamientos </v>
      </c>
      <c r="C109" s="401">
        <f>+ENERO!C109</f>
        <v>1145884</v>
      </c>
      <c r="D109" s="376">
        <f>ENERO!D109+FEBRERO!P109</f>
        <v>0</v>
      </c>
      <c r="E109" s="376">
        <f>ENERO!E109+FEBRERO!Q109</f>
        <v>0</v>
      </c>
      <c r="F109" s="376">
        <f t="shared" si="112"/>
        <v>1145884</v>
      </c>
      <c r="G109" s="376">
        <f>ENERO!I109</f>
        <v>1940339</v>
      </c>
      <c r="H109" s="377">
        <v>89358</v>
      </c>
      <c r="I109" s="376">
        <f t="shared" si="113"/>
        <v>2029697</v>
      </c>
      <c r="J109" s="376">
        <f>ENERO!L109</f>
        <v>1940339</v>
      </c>
      <c r="K109" s="377">
        <v>89358</v>
      </c>
      <c r="L109" s="376">
        <f t="shared" si="114"/>
        <v>2029697</v>
      </c>
      <c r="M109" s="376">
        <f t="shared" si="115"/>
        <v>-883813</v>
      </c>
      <c r="N109" s="146">
        <f t="shared" si="116"/>
        <v>-883813</v>
      </c>
      <c r="P109" s="375">
        <v>0</v>
      </c>
      <c r="Q109" s="378">
        <v>0</v>
      </c>
      <c r="R109" s="9"/>
      <c r="S109" s="369" t="str">
        <f>+IF(ENERO!S109=0,"",ENERO!S109)</f>
        <v/>
      </c>
      <c r="T109" s="708" t="str">
        <f>+IF(ENERO!T109=0,"",ENERO!T109)</f>
        <v/>
      </c>
      <c r="U109" s="370"/>
      <c r="V109" s="164"/>
      <c r="W109" s="164"/>
      <c r="X109" s="169"/>
      <c r="Y109" s="370"/>
      <c r="Z109" s="164"/>
      <c r="AA109" s="164"/>
      <c r="AB109" s="370"/>
      <c r="AC109" s="164"/>
      <c r="AD109" s="169"/>
      <c r="AE109" s="370"/>
      <c r="AF109" s="164"/>
      <c r="AG109" s="169"/>
      <c r="AH109" s="370"/>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+IF(ENERO!A110=0,"",ENERO!A110)</f>
        <v>11304-6</v>
      </c>
      <c r="B110" s="627" t="str">
        <f>+IF(ENERO!B110=0,"",ENERO!B110)</f>
        <v>Otros</v>
      </c>
      <c r="C110" s="401">
        <f>+ENERO!C110</f>
        <v>0</v>
      </c>
      <c r="D110" s="376">
        <f>ENERO!D110+FEBRERO!P110</f>
        <v>0</v>
      </c>
      <c r="E110" s="376">
        <f>ENERO!E110+FEBRERO!Q110</f>
        <v>0</v>
      </c>
      <c r="F110" s="376">
        <f t="shared" si="112"/>
        <v>0</v>
      </c>
      <c r="G110" s="376">
        <f>ENERO!I110</f>
        <v>28335</v>
      </c>
      <c r="H110" s="377">
        <v>0</v>
      </c>
      <c r="I110" s="376">
        <f t="shared" si="113"/>
        <v>28335</v>
      </c>
      <c r="J110" s="376">
        <f>ENERO!L110</f>
        <v>28335</v>
      </c>
      <c r="K110" s="377">
        <v>0</v>
      </c>
      <c r="L110" s="376">
        <f t="shared" si="114"/>
        <v>28335</v>
      </c>
      <c r="M110" s="376">
        <f t="shared" si="115"/>
        <v>-28335</v>
      </c>
      <c r="N110" s="146">
        <f t="shared" si="116"/>
        <v>-28335</v>
      </c>
      <c r="P110" s="375">
        <v>0</v>
      </c>
      <c r="Q110" s="378">
        <v>0</v>
      </c>
      <c r="R110" s="9"/>
      <c r="S110" s="717">
        <f>+IF(ENERO!S110=0,"",ENERO!S110)</f>
        <v>2000000</v>
      </c>
      <c r="T110" s="739" t="str">
        <f>+IF(ENERO!T110=0,"",ENERO!T110)</f>
        <v>GASTOS GENERALES</v>
      </c>
      <c r="U110" s="382">
        <f t="shared" ref="U110:AJ110" si="118">U112+U145</f>
        <v>505626661</v>
      </c>
      <c r="V110" s="474">
        <f t="shared" si="118"/>
        <v>25000000</v>
      </c>
      <c r="W110" s="474">
        <f t="shared" si="118"/>
        <v>186156240</v>
      </c>
      <c r="X110" s="383">
        <f t="shared" si="118"/>
        <v>716782901</v>
      </c>
      <c r="Y110" s="382">
        <f t="shared" si="118"/>
        <v>139663058</v>
      </c>
      <c r="Z110" s="474">
        <f t="shared" si="118"/>
        <v>168833376</v>
      </c>
      <c r="AA110" s="475">
        <f t="shared" si="118"/>
        <v>308496434</v>
      </c>
      <c r="AB110" s="382">
        <f t="shared" si="118"/>
        <v>136695058</v>
      </c>
      <c r="AC110" s="474">
        <f t="shared" si="118"/>
        <v>83125948</v>
      </c>
      <c r="AD110" s="383">
        <f t="shared" si="118"/>
        <v>219821006</v>
      </c>
      <c r="AE110" s="382">
        <f t="shared" si="118"/>
        <v>19349925</v>
      </c>
      <c r="AF110" s="474">
        <f t="shared" si="118"/>
        <v>43986981</v>
      </c>
      <c r="AG110" s="383">
        <f t="shared" si="118"/>
        <v>63336906</v>
      </c>
      <c r="AH110" s="382">
        <f t="shared" si="118"/>
        <v>408286467</v>
      </c>
      <c r="AI110" s="474">
        <f t="shared" si="118"/>
        <v>496961895</v>
      </c>
      <c r="AJ110" s="383">
        <f t="shared" si="118"/>
        <v>653445995</v>
      </c>
      <c r="AK110" s="10"/>
      <c r="AL110" s="131">
        <f>AL112+AL145</f>
        <v>25000000</v>
      </c>
      <c r="AM110" s="133">
        <f>AM112+AM145</f>
        <v>11780673</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+IF(ENERO!A111=0,"",ENERO!A111)</f>
        <v>11304-7</v>
      </c>
      <c r="B111" s="662" t="str">
        <f>+IF(ENERO!B111=0,"",ENERO!B111)</f>
        <v>Vigencia Anterior</v>
      </c>
      <c r="C111" s="491">
        <f>+ENERO!C111</f>
        <v>0</v>
      </c>
      <c r="D111" s="388">
        <f>ENERO!D111+FEBRERO!P111</f>
        <v>0</v>
      </c>
      <c r="E111" s="388">
        <f>ENERO!E111+FEBRERO!Q111</f>
        <v>0</v>
      </c>
      <c r="F111" s="388">
        <f t="shared" si="112"/>
        <v>0</v>
      </c>
      <c r="G111" s="388">
        <f>ENERO!I111</f>
        <v>80000</v>
      </c>
      <c r="H111" s="391">
        <v>0</v>
      </c>
      <c r="I111" s="388">
        <f t="shared" si="113"/>
        <v>80000</v>
      </c>
      <c r="J111" s="388">
        <f>ENERO!L111</f>
        <v>80000</v>
      </c>
      <c r="K111" s="391">
        <v>0</v>
      </c>
      <c r="L111" s="388">
        <f t="shared" si="114"/>
        <v>80000</v>
      </c>
      <c r="M111" s="388">
        <f t="shared" si="115"/>
        <v>-80000</v>
      </c>
      <c r="N111" s="389">
        <f t="shared" si="116"/>
        <v>-80000</v>
      </c>
      <c r="P111" s="375">
        <v>0</v>
      </c>
      <c r="Q111" s="378">
        <v>0</v>
      </c>
      <c r="R111" s="9"/>
      <c r="S111" s="369" t="str">
        <f>+IF(ENERO!S111=0,"",ENERO!S111)</f>
        <v/>
      </c>
      <c r="T111" s="708" t="str">
        <f>+IF(ENERO!T111=0,"",ENERO!T111)</f>
        <v/>
      </c>
      <c r="U111" s="370"/>
      <c r="V111" s="164"/>
      <c r="W111" s="164"/>
      <c r="X111" s="169"/>
      <c r="Y111" s="370"/>
      <c r="Z111" s="164"/>
      <c r="AA111" s="164"/>
      <c r="AB111" s="370"/>
      <c r="AC111" s="164"/>
      <c r="AD111" s="169"/>
      <c r="AE111" s="370"/>
      <c r="AF111" s="164"/>
      <c r="AG111" s="169"/>
      <c r="AH111" s="370"/>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+IF(ENERO!A112=0,"",ENERO!A112)</f>
        <v/>
      </c>
      <c r="B112" s="661" t="str">
        <f>+IF(ENERO!B112=0,"",ENERO!B112)</f>
        <v/>
      </c>
      <c r="C112" s="483"/>
      <c r="D112" s="483"/>
      <c r="E112" s="483"/>
      <c r="F112" s="483"/>
      <c r="G112" s="483"/>
      <c r="H112" s="483"/>
      <c r="I112" s="483"/>
      <c r="J112" s="483"/>
      <c r="K112" s="483"/>
      <c r="L112" s="483"/>
      <c r="M112" s="483"/>
      <c r="N112" s="484"/>
      <c r="P112" s="485"/>
      <c r="Q112" s="484"/>
      <c r="R112" s="9"/>
      <c r="S112" s="717">
        <f>+IF(ENERO!S112=0,"",ENERO!S112)</f>
        <v>2010000</v>
      </c>
      <c r="T112" s="735" t="str">
        <f>+IF(ENERO!T112=0,"",ENERO!T112)</f>
        <v>Gastos de Administración</v>
      </c>
      <c r="U112" s="131">
        <f t="shared" ref="U112:AJ112" si="119">U114+U123+U141</f>
        <v>181650786</v>
      </c>
      <c r="V112" s="124">
        <f t="shared" si="119"/>
        <v>0</v>
      </c>
      <c r="W112" s="124">
        <f t="shared" si="119"/>
        <v>75057052</v>
      </c>
      <c r="X112" s="133">
        <f t="shared" si="119"/>
        <v>256707838</v>
      </c>
      <c r="Y112" s="131">
        <f t="shared" si="119"/>
        <v>48594805</v>
      </c>
      <c r="Z112" s="124">
        <f t="shared" si="119"/>
        <v>31584786</v>
      </c>
      <c r="AA112" s="132">
        <f t="shared" si="119"/>
        <v>80179591</v>
      </c>
      <c r="AB112" s="131">
        <f t="shared" si="119"/>
        <v>48594805</v>
      </c>
      <c r="AC112" s="124">
        <f t="shared" si="119"/>
        <v>29694548</v>
      </c>
      <c r="AD112" s="133">
        <f t="shared" si="119"/>
        <v>78289353</v>
      </c>
      <c r="AE112" s="131">
        <f t="shared" si="119"/>
        <v>8214661</v>
      </c>
      <c r="AF112" s="124">
        <f t="shared" si="119"/>
        <v>10351330</v>
      </c>
      <c r="AG112" s="133">
        <f t="shared" si="119"/>
        <v>18565991</v>
      </c>
      <c r="AH112" s="131">
        <f t="shared" si="119"/>
        <v>176528247</v>
      </c>
      <c r="AI112" s="124">
        <f t="shared" si="119"/>
        <v>178418485</v>
      </c>
      <c r="AJ112" s="133">
        <f t="shared" si="119"/>
        <v>238141847</v>
      </c>
      <c r="AK112" s="9"/>
      <c r="AL112" s="131">
        <f>AL114+AL123+AL141</f>
        <v>0</v>
      </c>
      <c r="AM112" s="133">
        <f>AM114+AM123+AM141</f>
        <v>5000000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+IF(ENERO!A113=0,"",ENERO!A113)</f>
        <v>2000</v>
      </c>
      <c r="B113" s="648" t="str">
        <f>+IF(ENERO!B113=0,"",ENERO!B113)</f>
        <v>INGRESOS DE CAPITAL</v>
      </c>
      <c r="C113" s="631">
        <f>SUM(C115:C124)</f>
        <v>32659146</v>
      </c>
      <c r="D113" s="632">
        <f>SUM(D115:D124)</f>
        <v>0</v>
      </c>
      <c r="E113" s="632">
        <f t="shared" ref="E113:N113" si="120">SUM(E115:E124)</f>
        <v>0</v>
      </c>
      <c r="F113" s="632">
        <f t="shared" si="120"/>
        <v>32659146</v>
      </c>
      <c r="G113" s="632">
        <f t="shared" si="120"/>
        <v>413</v>
      </c>
      <c r="H113" s="632">
        <f t="shared" si="120"/>
        <v>347114</v>
      </c>
      <c r="I113" s="632">
        <f t="shared" si="120"/>
        <v>347527</v>
      </c>
      <c r="J113" s="632">
        <f t="shared" si="120"/>
        <v>413</v>
      </c>
      <c r="K113" s="632">
        <f t="shared" si="120"/>
        <v>347114</v>
      </c>
      <c r="L113" s="632">
        <f t="shared" si="120"/>
        <v>347527</v>
      </c>
      <c r="M113" s="632">
        <f t="shared" si="120"/>
        <v>32311619</v>
      </c>
      <c r="N113" s="633">
        <f t="shared" si="120"/>
        <v>32311619</v>
      </c>
      <c r="O113" s="464"/>
      <c r="P113" s="177">
        <f>SUM(P115:P124)</f>
        <v>0</v>
      </c>
      <c r="Q113" s="178">
        <f>SUM(Q115:Q124)</f>
        <v>0</v>
      </c>
      <c r="R113" s="9"/>
      <c r="S113" s="369" t="str">
        <f>+IF(ENERO!S113=0,"",ENERO!S113)</f>
        <v/>
      </c>
      <c r="T113" s="708" t="str">
        <f>+IF(ENERO!T113=0,"",ENERO!T113)</f>
        <v/>
      </c>
      <c r="U113" s="370"/>
      <c r="V113" s="164"/>
      <c r="W113" s="164"/>
      <c r="X113" s="169"/>
      <c r="Y113" s="370"/>
      <c r="Z113" s="164"/>
      <c r="AA113" s="164"/>
      <c r="AB113" s="370"/>
      <c r="AC113" s="164"/>
      <c r="AD113" s="169"/>
      <c r="AE113" s="370"/>
      <c r="AF113" s="164"/>
      <c r="AG113" s="169"/>
      <c r="AH113" s="370"/>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+IF(ENERO!A114=0,"",ENERO!A114)</f>
        <v/>
      </c>
      <c r="B114" s="661" t="str">
        <f>+IF(ENERO!B114=0,"",ENERO!B114)</f>
        <v/>
      </c>
      <c r="C114" s="483"/>
      <c r="D114" s="483"/>
      <c r="E114" s="483"/>
      <c r="F114" s="483"/>
      <c r="G114" s="483"/>
      <c r="H114" s="483"/>
      <c r="I114" s="483"/>
      <c r="J114" s="483"/>
      <c r="K114" s="483"/>
      <c r="L114" s="483"/>
      <c r="M114" s="483"/>
      <c r="N114" s="484"/>
      <c r="P114" s="485"/>
      <c r="Q114" s="484"/>
      <c r="R114" s="9"/>
      <c r="S114" s="718">
        <f>+IF(ENERO!S114=0,"",ENERO!S114)</f>
        <v>2010100</v>
      </c>
      <c r="T114" s="736" t="str">
        <f>+IF(ENERO!T114=0,"",ENERO!T114)</f>
        <v>Adquisición de bienes</v>
      </c>
      <c r="U114" s="131">
        <f t="shared" ref="U114:AJ114" si="121">SUM(U115:U121)</f>
        <v>29771433</v>
      </c>
      <c r="V114" s="124">
        <f t="shared" si="121"/>
        <v>0</v>
      </c>
      <c r="W114" s="124">
        <f t="shared" si="121"/>
        <v>42179864</v>
      </c>
      <c r="X114" s="133">
        <f t="shared" si="121"/>
        <v>71951297</v>
      </c>
      <c r="Y114" s="131">
        <f t="shared" si="121"/>
        <v>13964591</v>
      </c>
      <c r="Z114" s="124">
        <f t="shared" si="121"/>
        <v>5398594</v>
      </c>
      <c r="AA114" s="132">
        <f t="shared" si="121"/>
        <v>19363185</v>
      </c>
      <c r="AB114" s="131">
        <f t="shared" si="121"/>
        <v>13964591</v>
      </c>
      <c r="AC114" s="124">
        <f t="shared" si="121"/>
        <v>5398594</v>
      </c>
      <c r="AD114" s="133">
        <f t="shared" si="121"/>
        <v>19363185</v>
      </c>
      <c r="AE114" s="131">
        <f t="shared" si="121"/>
        <v>2621096</v>
      </c>
      <c r="AF114" s="124">
        <f t="shared" si="121"/>
        <v>1104246</v>
      </c>
      <c r="AG114" s="133">
        <f t="shared" si="121"/>
        <v>3725342</v>
      </c>
      <c r="AH114" s="131">
        <f t="shared" si="121"/>
        <v>52588112</v>
      </c>
      <c r="AI114" s="124">
        <f t="shared" si="121"/>
        <v>52588112</v>
      </c>
      <c r="AJ114" s="133">
        <f t="shared" si="121"/>
        <v>68225955</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+IF(ENERO!A115=0,"",ENERO!A115)</f>
        <v>2100</v>
      </c>
      <c r="B115" s="634" t="str">
        <f>+IF(ENERO!B115=0,"",ENERO!B115)</f>
        <v>CREDITO INTERNO</v>
      </c>
      <c r="C115" s="375">
        <f>+ENERO!C115</f>
        <v>0</v>
      </c>
      <c r="D115" s="467">
        <f>ENERO!D115+FEBRERO!P115</f>
        <v>0</v>
      </c>
      <c r="E115" s="467">
        <f>ENERO!E115+FEBRERO!Q115</f>
        <v>0</v>
      </c>
      <c r="F115" s="471">
        <f t="shared" ref="F115:F124" si="122">SUM(C115:E115)</f>
        <v>0</v>
      </c>
      <c r="G115" s="469">
        <f>ENERO!I115</f>
        <v>0</v>
      </c>
      <c r="H115" s="377">
        <v>0</v>
      </c>
      <c r="I115" s="471">
        <f t="shared" ref="I115:I124" si="123">SUM(G115:H115)</f>
        <v>0</v>
      </c>
      <c r="J115" s="469">
        <f>ENERO!L115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+IF(ENERO!S115=0,"",ENERO!S115)</f>
        <v>2010100-1</v>
      </c>
      <c r="T115" s="737" t="str">
        <f>+IF(ENERO!T115=0,"",ENERO!T115)</f>
        <v>Compra de Equipos</v>
      </c>
      <c r="U115" s="29">
        <f>+ENERO!U115</f>
        <v>0</v>
      </c>
      <c r="V115" s="15">
        <f>ENERO!V115+FEBRERO!AL115</f>
        <v>0</v>
      </c>
      <c r="W115" s="15">
        <f>ENERO!W115+FEBRERO!AM115</f>
        <v>30000000</v>
      </c>
      <c r="X115" s="16">
        <f t="shared" ref="X115:X121" si="127">SUM(U115:W115)</f>
        <v>30000000</v>
      </c>
      <c r="Y115" s="19">
        <f>ENERO!AA115</f>
        <v>0</v>
      </c>
      <c r="Z115" s="377">
        <v>0</v>
      </c>
      <c r="AA115" s="18">
        <f t="shared" ref="AA115:AA121" si="128">SUM(Y115:Z115)</f>
        <v>0</v>
      </c>
      <c r="AB115" s="19">
        <f>ENERO!AD115</f>
        <v>0</v>
      </c>
      <c r="AC115" s="377">
        <v>0</v>
      </c>
      <c r="AD115" s="16">
        <f t="shared" ref="AD115:AD121" si="129">SUM(AB115:AC115)</f>
        <v>0</v>
      </c>
      <c r="AE115" s="19">
        <f>ENERO!AG115</f>
        <v>0</v>
      </c>
      <c r="AF115" s="377">
        <v>0</v>
      </c>
      <c r="AG115" s="16">
        <f t="shared" ref="AG115:AG121" si="130">SUM(AE115:AF115)</f>
        <v>0</v>
      </c>
      <c r="AH115" s="19">
        <f t="shared" ref="AH115:AH121" si="131">X115-AA115</f>
        <v>30000000</v>
      </c>
      <c r="AI115" s="15">
        <f t="shared" ref="AI115:AI121" si="132">X115-AD115</f>
        <v>30000000</v>
      </c>
      <c r="AJ115" s="16">
        <f t="shared" ref="AJ115:AJ121" si="133">X115-AG115</f>
        <v>30000000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+IF(ENERO!A116=0,"",ENERO!A116)</f>
        <v>2100-1</v>
      </c>
      <c r="B116" s="635" t="str">
        <f>+IF(ENERO!B116=0,"",ENERO!B116)</f>
        <v>Vigencia Anterior</v>
      </c>
      <c r="C116" s="375">
        <f>+ENERO!C116</f>
        <v>0</v>
      </c>
      <c r="D116" s="467">
        <f>ENERO!D116+FEBRERO!P116</f>
        <v>0</v>
      </c>
      <c r="E116" s="467">
        <f>ENERO!E116+FEBRERO!Q116</f>
        <v>0</v>
      </c>
      <c r="F116" s="471">
        <f t="shared" si="122"/>
        <v>0</v>
      </c>
      <c r="G116" s="469">
        <f>ENERO!I116</f>
        <v>0</v>
      </c>
      <c r="H116" s="377">
        <v>0</v>
      </c>
      <c r="I116" s="471">
        <f t="shared" si="123"/>
        <v>0</v>
      </c>
      <c r="J116" s="469">
        <f>ENERO!L116</f>
        <v>0</v>
      </c>
      <c r="K116" s="377">
        <v>0</v>
      </c>
      <c r="L116" s="468">
        <f t="shared" si="124"/>
        <v>0</v>
      </c>
      <c r="M116" s="472">
        <f t="shared" si="125"/>
        <v>0</v>
      </c>
      <c r="N116" s="468">
        <f t="shared" si="126"/>
        <v>0</v>
      </c>
      <c r="O116" s="464"/>
      <c r="P116" s="375">
        <v>0</v>
      </c>
      <c r="Q116" s="378">
        <v>0</v>
      </c>
      <c r="R116" s="9"/>
      <c r="S116" s="719" t="str">
        <f>+IF(ENERO!S116=0,"",ENERO!S116)</f>
        <v>2010100-2</v>
      </c>
      <c r="T116" s="737" t="str">
        <f>+IF(ENERO!T116=0,"",ENERO!T116)</f>
        <v>Materiales</v>
      </c>
      <c r="U116" s="29">
        <f>+ENERO!U116</f>
        <v>29771433</v>
      </c>
      <c r="V116" s="15">
        <f>ENERO!V116+FEBRERO!AL116</f>
        <v>0</v>
      </c>
      <c r="W116" s="15">
        <f>ENERO!W116+FEBRERO!AM116</f>
        <v>0</v>
      </c>
      <c r="X116" s="16">
        <f t="shared" si="127"/>
        <v>29771433</v>
      </c>
      <c r="Y116" s="19">
        <f>ENERO!AA116</f>
        <v>1784727</v>
      </c>
      <c r="Z116" s="377">
        <v>5398594</v>
      </c>
      <c r="AA116" s="18">
        <f t="shared" si="128"/>
        <v>7183321</v>
      </c>
      <c r="AB116" s="19">
        <f>ENERO!AD116</f>
        <v>1784727</v>
      </c>
      <c r="AC116" s="377">
        <v>5398594</v>
      </c>
      <c r="AD116" s="16">
        <f t="shared" si="129"/>
        <v>7183321</v>
      </c>
      <c r="AE116" s="19">
        <f>ENERO!AG116</f>
        <v>0</v>
      </c>
      <c r="AF116" s="377">
        <v>0</v>
      </c>
      <c r="AG116" s="16">
        <f t="shared" si="130"/>
        <v>0</v>
      </c>
      <c r="AH116" s="19">
        <f t="shared" si="131"/>
        <v>22588112</v>
      </c>
      <c r="AI116" s="15">
        <f t="shared" si="132"/>
        <v>22588112</v>
      </c>
      <c r="AJ116" s="16">
        <f t="shared" si="133"/>
        <v>29771433</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+IF(ENERO!A117=0,"",ENERO!A117)</f>
        <v>2200</v>
      </c>
      <c r="B117" s="634" t="str">
        <f>+IF(ENERO!B117=0,"",ENERO!B117)</f>
        <v>CREDITO EXTERNO</v>
      </c>
      <c r="C117" s="375">
        <f>+ENERO!C117</f>
        <v>0</v>
      </c>
      <c r="D117" s="467">
        <f>ENERO!D117+FEBRERO!P117</f>
        <v>0</v>
      </c>
      <c r="E117" s="467">
        <f>ENERO!E117+FEBRERO!Q117</f>
        <v>0</v>
      </c>
      <c r="F117" s="471">
        <f t="shared" si="122"/>
        <v>0</v>
      </c>
      <c r="G117" s="469">
        <f>ENERO!I117</f>
        <v>0</v>
      </c>
      <c r="H117" s="377">
        <v>0</v>
      </c>
      <c r="I117" s="471">
        <f t="shared" si="123"/>
        <v>0</v>
      </c>
      <c r="J117" s="469">
        <f>ENERO!L117</f>
        <v>0</v>
      </c>
      <c r="K117" s="377">
        <v>0</v>
      </c>
      <c r="L117" s="468">
        <f t="shared" si="124"/>
        <v>0</v>
      </c>
      <c r="M117" s="472">
        <f t="shared" si="125"/>
        <v>0</v>
      </c>
      <c r="N117" s="468">
        <f t="shared" si="126"/>
        <v>0</v>
      </c>
      <c r="O117" s="464"/>
      <c r="P117" s="375">
        <v>0</v>
      </c>
      <c r="Q117" s="378">
        <v>0</v>
      </c>
      <c r="R117" s="9"/>
      <c r="S117" s="719" t="str">
        <f>+IF(ENERO!S117=0,"",ENERO!S117)</f>
        <v>2010100-3</v>
      </c>
      <c r="T117" s="737" t="str">
        <f>+IF(ENERO!T117=0,"",ENERO!T117)</f>
        <v>Salud Ocupacional</v>
      </c>
      <c r="U117" s="29">
        <f>+ENERO!U117</f>
        <v>0</v>
      </c>
      <c r="V117" s="15">
        <f>ENERO!V117+FEBRERO!AL117</f>
        <v>0</v>
      </c>
      <c r="W117" s="15">
        <f>ENERO!W117+FEBRERO!AM117</f>
        <v>0</v>
      </c>
      <c r="X117" s="16">
        <f t="shared" si="127"/>
        <v>0</v>
      </c>
      <c r="Y117" s="19">
        <f>ENERO!AA117</f>
        <v>0</v>
      </c>
      <c r="Z117" s="377">
        <v>0</v>
      </c>
      <c r="AA117" s="18">
        <f t="shared" si="128"/>
        <v>0</v>
      </c>
      <c r="AB117" s="19">
        <f>ENERO!AD117</f>
        <v>0</v>
      </c>
      <c r="AC117" s="377">
        <v>0</v>
      </c>
      <c r="AD117" s="16">
        <f t="shared" si="129"/>
        <v>0</v>
      </c>
      <c r="AE117" s="19">
        <f>ENERO!AG117</f>
        <v>0</v>
      </c>
      <c r="AF117" s="377">
        <v>0</v>
      </c>
      <c r="AG117" s="16">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+IF(ENERO!A118=0,"",ENERO!A118)</f>
        <v>2200-1</v>
      </c>
      <c r="B118" s="635" t="str">
        <f>+IF(ENERO!B118=0,"",ENERO!B118)</f>
        <v>Vigencia Anterior</v>
      </c>
      <c r="C118" s="375">
        <f>+ENERO!C118</f>
        <v>0</v>
      </c>
      <c r="D118" s="467">
        <f>ENERO!D118+FEBRERO!P118</f>
        <v>0</v>
      </c>
      <c r="E118" s="467">
        <f>ENERO!E118+FEBRERO!Q118</f>
        <v>0</v>
      </c>
      <c r="F118" s="471">
        <f t="shared" si="122"/>
        <v>0</v>
      </c>
      <c r="G118" s="469">
        <f>ENERO!I118</f>
        <v>0</v>
      </c>
      <c r="H118" s="377">
        <v>0</v>
      </c>
      <c r="I118" s="471">
        <f t="shared" si="123"/>
        <v>0</v>
      </c>
      <c r="J118" s="469">
        <f>ENERO!L118</f>
        <v>0</v>
      </c>
      <c r="K118" s="377">
        <v>0</v>
      </c>
      <c r="L118" s="468">
        <f t="shared" si="124"/>
        <v>0</v>
      </c>
      <c r="M118" s="472">
        <f t="shared" si="125"/>
        <v>0</v>
      </c>
      <c r="N118" s="468">
        <f t="shared" si="126"/>
        <v>0</v>
      </c>
      <c r="O118" s="464"/>
      <c r="P118" s="375">
        <v>0</v>
      </c>
      <c r="Q118" s="378">
        <v>0</v>
      </c>
      <c r="R118" s="9"/>
      <c r="S118" s="719" t="str">
        <f>+IF(ENERO!S118=0,"",ENERO!S118)</f>
        <v>2010100-4</v>
      </c>
      <c r="T118" s="737" t="str">
        <f>+IF(ENERO!T118=0,"",ENERO!T118)</f>
        <v/>
      </c>
      <c r="U118" s="29">
        <f>+ENERO!U118</f>
        <v>0</v>
      </c>
      <c r="V118" s="15">
        <f>ENERO!V118+FEBRERO!AL118</f>
        <v>0</v>
      </c>
      <c r="W118" s="15">
        <f>ENERO!W118+FEBRERO!AM118</f>
        <v>0</v>
      </c>
      <c r="X118" s="16">
        <f t="shared" si="127"/>
        <v>0</v>
      </c>
      <c r="Y118" s="19">
        <f>ENERO!AA118</f>
        <v>0</v>
      </c>
      <c r="Z118" s="377">
        <v>0</v>
      </c>
      <c r="AA118" s="18">
        <f t="shared" si="128"/>
        <v>0</v>
      </c>
      <c r="AB118" s="19">
        <f>ENERO!AD118</f>
        <v>0</v>
      </c>
      <c r="AC118" s="377">
        <v>0</v>
      </c>
      <c r="AD118" s="16">
        <f t="shared" si="129"/>
        <v>0</v>
      </c>
      <c r="AE118" s="19">
        <f>ENERO!AG118</f>
        <v>0</v>
      </c>
      <c r="AF118" s="377">
        <v>0</v>
      </c>
      <c r="AG118" s="16">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+IF(ENERO!A119=0,"",ENERO!A119)</f>
        <v>2300</v>
      </c>
      <c r="B119" s="634" t="str">
        <f>+IF(ENERO!B119=0,"",ENERO!B119)</f>
        <v>RENDIMIENTOS FINANCIEROS</v>
      </c>
      <c r="C119" s="375">
        <f>+ENERO!C119</f>
        <v>594347</v>
      </c>
      <c r="D119" s="467">
        <f>ENERO!D119+FEBRERO!P119</f>
        <v>0</v>
      </c>
      <c r="E119" s="467">
        <f>ENERO!E119+FEBRERO!Q119</f>
        <v>0</v>
      </c>
      <c r="F119" s="471">
        <f t="shared" si="122"/>
        <v>594347</v>
      </c>
      <c r="G119" s="222">
        <f>ENERO!I119</f>
        <v>413</v>
      </c>
      <c r="H119" s="377">
        <v>27973</v>
      </c>
      <c r="I119" s="476">
        <f t="shared" si="123"/>
        <v>28386</v>
      </c>
      <c r="J119" s="222">
        <f>ENERO!L119</f>
        <v>413</v>
      </c>
      <c r="K119" s="377">
        <v>27973</v>
      </c>
      <c r="L119" s="146">
        <f t="shared" si="124"/>
        <v>28386</v>
      </c>
      <c r="M119" s="441">
        <f t="shared" si="125"/>
        <v>565961</v>
      </c>
      <c r="N119" s="146">
        <f t="shared" si="126"/>
        <v>565961</v>
      </c>
      <c r="O119" s="464"/>
      <c r="P119" s="375">
        <v>0</v>
      </c>
      <c r="Q119" s="378">
        <v>0</v>
      </c>
      <c r="R119" s="9"/>
      <c r="S119" s="719" t="str">
        <f>+IF(ENERO!S119=0,"",ENERO!S119)</f>
        <v>2010100-5</v>
      </c>
      <c r="T119" s="737" t="str">
        <f>+IF(ENERO!T119=0,"",ENERO!T119)</f>
        <v/>
      </c>
      <c r="U119" s="29">
        <f>+ENERO!U119</f>
        <v>0</v>
      </c>
      <c r="V119" s="15">
        <f>ENERO!V119+FEBRERO!AL119</f>
        <v>0</v>
      </c>
      <c r="W119" s="15">
        <f>ENERO!W119+FEBRERO!AM119</f>
        <v>0</v>
      </c>
      <c r="X119" s="16">
        <f t="shared" si="127"/>
        <v>0</v>
      </c>
      <c r="Y119" s="19">
        <f>ENERO!AA119</f>
        <v>0</v>
      </c>
      <c r="Z119" s="377">
        <v>0</v>
      </c>
      <c r="AA119" s="18">
        <f t="shared" si="128"/>
        <v>0</v>
      </c>
      <c r="AB119" s="19">
        <f>ENERO!AD119</f>
        <v>0</v>
      </c>
      <c r="AC119" s="377">
        <v>0</v>
      </c>
      <c r="AD119" s="16">
        <f t="shared" si="129"/>
        <v>0</v>
      </c>
      <c r="AE119" s="19">
        <f>ENERO!AG119</f>
        <v>0</v>
      </c>
      <c r="AF119" s="377">
        <v>0</v>
      </c>
      <c r="AG119" s="16">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+IF(ENERO!A120=0,"",ENERO!A120)</f>
        <v>2400</v>
      </c>
      <c r="B120" s="635" t="str">
        <f>+IF(ENERO!B120=0,"",ENERO!B120)</f>
        <v>VENTA DE ACTIVOS</v>
      </c>
      <c r="C120" s="375">
        <f>+ENERO!C120</f>
        <v>0</v>
      </c>
      <c r="D120" s="467">
        <f>ENERO!D120+FEBRERO!P120</f>
        <v>0</v>
      </c>
      <c r="E120" s="467">
        <f>ENERO!E120+FEBRERO!Q120</f>
        <v>0</v>
      </c>
      <c r="F120" s="471">
        <f t="shared" si="122"/>
        <v>0</v>
      </c>
      <c r="G120" s="222">
        <f>ENERO!I120</f>
        <v>0</v>
      </c>
      <c r="H120" s="377">
        <v>0</v>
      </c>
      <c r="I120" s="476">
        <f t="shared" si="123"/>
        <v>0</v>
      </c>
      <c r="J120" s="222">
        <f>ENERO!L120</f>
        <v>0</v>
      </c>
      <c r="K120" s="377">
        <v>0</v>
      </c>
      <c r="L120" s="146">
        <f t="shared" si="124"/>
        <v>0</v>
      </c>
      <c r="M120" s="441">
        <f t="shared" si="125"/>
        <v>0</v>
      </c>
      <c r="N120" s="146">
        <f t="shared" si="126"/>
        <v>0</v>
      </c>
      <c r="P120" s="375">
        <v>0</v>
      </c>
      <c r="Q120" s="378">
        <v>0</v>
      </c>
      <c r="R120" s="9"/>
      <c r="S120" s="719" t="str">
        <f>+IF(ENERO!S120=0,"",ENERO!S120)</f>
        <v>2010100-6</v>
      </c>
      <c r="T120" s="737" t="str">
        <f>+IF(ENERO!T120=0,"",ENERO!T120)</f>
        <v/>
      </c>
      <c r="U120" s="29">
        <f>+ENERO!U120</f>
        <v>0</v>
      </c>
      <c r="V120" s="15">
        <f>ENERO!V120+FEBRERO!AL120</f>
        <v>0</v>
      </c>
      <c r="W120" s="15">
        <f>ENERO!W120+FEBRERO!AM120</f>
        <v>0</v>
      </c>
      <c r="X120" s="16">
        <f t="shared" si="127"/>
        <v>0</v>
      </c>
      <c r="Y120" s="19">
        <f>ENERO!AA120</f>
        <v>0</v>
      </c>
      <c r="Z120" s="377">
        <v>0</v>
      </c>
      <c r="AA120" s="18">
        <f t="shared" si="128"/>
        <v>0</v>
      </c>
      <c r="AB120" s="19">
        <f>ENERO!AD120</f>
        <v>0</v>
      </c>
      <c r="AC120" s="377">
        <v>0</v>
      </c>
      <c r="AD120" s="16">
        <f t="shared" si="129"/>
        <v>0</v>
      </c>
      <c r="AE120" s="19">
        <f>ENERO!AG120</f>
        <v>0</v>
      </c>
      <c r="AF120" s="377">
        <v>0</v>
      </c>
      <c r="AG120" s="16">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+IF(ENERO!A121=0,"",ENERO!A121)</f>
        <v>2500</v>
      </c>
      <c r="B121" s="635" t="str">
        <f>+IF(ENERO!B121=0,"",ENERO!B121)</f>
        <v>DONACIONES</v>
      </c>
      <c r="C121" s="375">
        <f>+ENERO!C121</f>
        <v>0</v>
      </c>
      <c r="D121" s="467">
        <f>ENERO!D121+FEBRERO!P121</f>
        <v>0</v>
      </c>
      <c r="E121" s="467">
        <f>ENERO!E121+FEBRERO!Q121</f>
        <v>0</v>
      </c>
      <c r="F121" s="471">
        <f t="shared" si="122"/>
        <v>0</v>
      </c>
      <c r="G121" s="222">
        <f>ENERO!I121</f>
        <v>0</v>
      </c>
      <c r="H121" s="377">
        <v>0</v>
      </c>
      <c r="I121" s="476">
        <f t="shared" si="123"/>
        <v>0</v>
      </c>
      <c r="J121" s="222">
        <f>ENERO!L121</f>
        <v>0</v>
      </c>
      <c r="K121" s="377">
        <v>0</v>
      </c>
      <c r="L121" s="146">
        <f t="shared" si="124"/>
        <v>0</v>
      </c>
      <c r="M121" s="441">
        <f t="shared" si="125"/>
        <v>0</v>
      </c>
      <c r="N121" s="146">
        <f t="shared" si="126"/>
        <v>0</v>
      </c>
      <c r="P121" s="375">
        <v>0</v>
      </c>
      <c r="Q121" s="378">
        <v>0</v>
      </c>
      <c r="R121" s="9"/>
      <c r="S121" s="719">
        <f>+IF(ENERO!S121=0,"",ENERO!S121)</f>
        <v>2010199</v>
      </c>
      <c r="T121" s="737" t="str">
        <f>+IF(ENERO!T121=0,"",ENERO!T121)</f>
        <v>Vigencias Anteriores</v>
      </c>
      <c r="U121" s="29">
        <f>+ENERO!U121</f>
        <v>0</v>
      </c>
      <c r="V121" s="15">
        <f>ENERO!V121+FEBRERO!AL121</f>
        <v>0</v>
      </c>
      <c r="W121" s="15">
        <f>ENERO!W121+FEBRERO!AM121</f>
        <v>12179864</v>
      </c>
      <c r="X121" s="16">
        <f t="shared" si="127"/>
        <v>12179864</v>
      </c>
      <c r="Y121" s="19">
        <f>ENERO!AA121</f>
        <v>12179864</v>
      </c>
      <c r="Z121" s="377">
        <v>0</v>
      </c>
      <c r="AA121" s="18">
        <f t="shared" si="128"/>
        <v>12179864</v>
      </c>
      <c r="AB121" s="19">
        <f>ENERO!AD121</f>
        <v>12179864</v>
      </c>
      <c r="AC121" s="377">
        <v>0</v>
      </c>
      <c r="AD121" s="16">
        <f t="shared" si="129"/>
        <v>12179864</v>
      </c>
      <c r="AE121" s="19">
        <f>ENERO!AG121</f>
        <v>2621096</v>
      </c>
      <c r="AF121" s="377">
        <v>1104246</v>
      </c>
      <c r="AG121" s="16">
        <f t="shared" si="130"/>
        <v>3725342</v>
      </c>
      <c r="AH121" s="19">
        <f t="shared" si="131"/>
        <v>0</v>
      </c>
      <c r="AI121" s="15">
        <f t="shared" si="132"/>
        <v>0</v>
      </c>
      <c r="AJ121" s="16">
        <f t="shared" si="133"/>
        <v>8454522</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+IF(ENERO!A122=0,"",ENERO!A122)</f>
        <v>2600</v>
      </c>
      <c r="B122" s="635" t="str">
        <f>+IF(ENERO!B122=0,"",ENERO!B122)</f>
        <v>RECUPERACIÓN DE CARTERA (AÑO 2013 Y ANTERIORES)</v>
      </c>
      <c r="C122" s="375">
        <f>+ENERO!C122</f>
        <v>32064799</v>
      </c>
      <c r="D122" s="467">
        <f>ENERO!D122+FEBRERO!P122</f>
        <v>0</v>
      </c>
      <c r="E122" s="467">
        <f>ENERO!E122+FEBRERO!Q122</f>
        <v>0</v>
      </c>
      <c r="F122" s="471">
        <f t="shared" si="122"/>
        <v>32064799</v>
      </c>
      <c r="G122" s="222">
        <f>ENERO!I122</f>
        <v>0</v>
      </c>
      <c r="H122" s="377">
        <v>319141</v>
      </c>
      <c r="I122" s="476">
        <f t="shared" si="123"/>
        <v>319141</v>
      </c>
      <c r="J122" s="222">
        <f>ENERO!L122</f>
        <v>0</v>
      </c>
      <c r="K122" s="377">
        <v>319141</v>
      </c>
      <c r="L122" s="146">
        <f t="shared" si="124"/>
        <v>319141</v>
      </c>
      <c r="M122" s="441">
        <f t="shared" si="125"/>
        <v>31745658</v>
      </c>
      <c r="N122" s="146">
        <f t="shared" si="126"/>
        <v>31745658</v>
      </c>
      <c r="P122" s="375">
        <v>0</v>
      </c>
      <c r="Q122" s="378">
        <v>0</v>
      </c>
      <c r="R122" s="9"/>
      <c r="S122" s="369" t="str">
        <f>+IF(ENERO!S122=0,"",ENERO!S122)</f>
        <v/>
      </c>
      <c r="T122" s="708" t="str">
        <f>+IF(ENERO!T122=0,"",ENERO!T122)</f>
        <v/>
      </c>
      <c r="U122" s="370"/>
      <c r="V122" s="164"/>
      <c r="W122" s="164"/>
      <c r="X122" s="169"/>
      <c r="Y122" s="370"/>
      <c r="Z122" s="164"/>
      <c r="AA122" s="164"/>
      <c r="AB122" s="370"/>
      <c r="AC122" s="164"/>
      <c r="AD122" s="169"/>
      <c r="AE122" s="370"/>
      <c r="AF122" s="164"/>
      <c r="AG122" s="169"/>
      <c r="AH122" s="370"/>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+IF(ENERO!A123=0,"",ENERO!A123)</f>
        <v>2700</v>
      </c>
      <c r="B123" s="635" t="str">
        <f>+IF(ENERO!B123=0,"",ENERO!B123)</f>
        <v>OTROS INGRESOS DE CAPITAL</v>
      </c>
      <c r="C123" s="375">
        <f>+ENERO!C123</f>
        <v>0</v>
      </c>
      <c r="D123" s="467">
        <f>ENERO!D123+FEBRERO!P123</f>
        <v>0</v>
      </c>
      <c r="E123" s="467">
        <f>ENERO!E123+FEBRERO!Q123</f>
        <v>0</v>
      </c>
      <c r="F123" s="471">
        <f t="shared" si="122"/>
        <v>0</v>
      </c>
      <c r="G123" s="222">
        <f>ENERO!I123</f>
        <v>0</v>
      </c>
      <c r="H123" s="377">
        <v>0</v>
      </c>
      <c r="I123" s="476">
        <f t="shared" si="123"/>
        <v>0</v>
      </c>
      <c r="J123" s="222">
        <f>ENERO!L123</f>
        <v>0</v>
      </c>
      <c r="K123" s="377">
        <v>0</v>
      </c>
      <c r="L123" s="146">
        <f t="shared" si="124"/>
        <v>0</v>
      </c>
      <c r="M123" s="441">
        <f t="shared" si="125"/>
        <v>0</v>
      </c>
      <c r="N123" s="146">
        <f t="shared" si="126"/>
        <v>0</v>
      </c>
      <c r="P123" s="375">
        <v>0</v>
      </c>
      <c r="Q123" s="378">
        <v>0</v>
      </c>
      <c r="R123" s="9"/>
      <c r="S123" s="718">
        <f>+IF(ENERO!S123=0,"",ENERO!S123)</f>
        <v>2010200</v>
      </c>
      <c r="T123" s="736" t="str">
        <f>+IF(ENERO!T123=0,"",ENERO!T123)</f>
        <v>Adquisición de Servicios</v>
      </c>
      <c r="U123" s="131">
        <f t="shared" ref="U123:AJ123" si="134">SUM(U124:U139)</f>
        <v>141098390</v>
      </c>
      <c r="V123" s="124">
        <f t="shared" si="134"/>
        <v>0</v>
      </c>
      <c r="W123" s="124">
        <f t="shared" si="134"/>
        <v>31389245</v>
      </c>
      <c r="X123" s="133">
        <f t="shared" si="134"/>
        <v>172487635</v>
      </c>
      <c r="Y123" s="131">
        <f t="shared" si="134"/>
        <v>33142271</v>
      </c>
      <c r="Z123" s="124">
        <f t="shared" si="134"/>
        <v>26186192</v>
      </c>
      <c r="AA123" s="132">
        <f t="shared" si="134"/>
        <v>59328463</v>
      </c>
      <c r="AB123" s="131">
        <f t="shared" si="134"/>
        <v>33142271</v>
      </c>
      <c r="AC123" s="124">
        <f t="shared" si="134"/>
        <v>24295954</v>
      </c>
      <c r="AD123" s="133">
        <f t="shared" si="134"/>
        <v>57438225</v>
      </c>
      <c r="AE123" s="131">
        <f t="shared" si="134"/>
        <v>5593565</v>
      </c>
      <c r="AF123" s="124">
        <f t="shared" si="134"/>
        <v>9247084</v>
      </c>
      <c r="AG123" s="133">
        <f t="shared" si="134"/>
        <v>14840649</v>
      </c>
      <c r="AH123" s="131">
        <f t="shared" si="134"/>
        <v>113159172</v>
      </c>
      <c r="AI123" s="124">
        <f t="shared" si="134"/>
        <v>115049410</v>
      </c>
      <c r="AJ123" s="133">
        <f t="shared" si="134"/>
        <v>157646986</v>
      </c>
      <c r="AK123" s="9"/>
      <c r="AL123" s="131">
        <f>SUM(AL124:AL139)</f>
        <v>0</v>
      </c>
      <c r="AM123" s="133">
        <f>SUM(AM124:AM139)</f>
        <v>5000000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+IF(ENERO!A124=0,"",ENERO!A124)</f>
        <v>2800</v>
      </c>
      <c r="B124" s="663" t="str">
        <f>+IF(ENERO!B124=0,"",ENERO!B124)</f>
        <v/>
      </c>
      <c r="C124" s="387">
        <f>+ENERO!C124</f>
        <v>0</v>
      </c>
      <c r="D124" s="465">
        <f>ENERO!D124+FEBRERO!P124</f>
        <v>0</v>
      </c>
      <c r="E124" s="465">
        <f>ENERO!E124+FEBRERO!Q124</f>
        <v>0</v>
      </c>
      <c r="F124" s="477">
        <f t="shared" si="122"/>
        <v>0</v>
      </c>
      <c r="G124" s="390">
        <f>ENERO!I124</f>
        <v>0</v>
      </c>
      <c r="H124" s="391">
        <v>0</v>
      </c>
      <c r="I124" s="478">
        <f t="shared" si="123"/>
        <v>0</v>
      </c>
      <c r="J124" s="390">
        <f>ENERO!L124</f>
        <v>0</v>
      </c>
      <c r="K124" s="391">
        <v>0</v>
      </c>
      <c r="L124" s="389">
        <f t="shared" si="124"/>
        <v>0</v>
      </c>
      <c r="M124" s="479">
        <f t="shared" si="125"/>
        <v>0</v>
      </c>
      <c r="N124" s="389">
        <f t="shared" si="126"/>
        <v>0</v>
      </c>
      <c r="P124" s="387">
        <v>0</v>
      </c>
      <c r="Q124" s="392">
        <v>0</v>
      </c>
      <c r="R124" s="9"/>
      <c r="S124" s="719" t="str">
        <f>+IF(ENERO!S124=0,"",ENERO!S124)</f>
        <v>2010200-1</v>
      </c>
      <c r="T124" s="737" t="str">
        <f>+IF(ENERO!T124=0,"",ENERO!T124)</f>
        <v>Seguros</v>
      </c>
      <c r="U124" s="29">
        <f>+ENERO!U124</f>
        <v>17953987</v>
      </c>
      <c r="V124" s="15">
        <f>ENERO!V124+FEBRERO!AL124</f>
        <v>0</v>
      </c>
      <c r="W124" s="15">
        <f>ENERO!W124+FEBRERO!AM124</f>
        <v>5000000</v>
      </c>
      <c r="X124" s="16">
        <f t="shared" ref="X124:X139" si="135">SUM(U124:W124)</f>
        <v>22953987</v>
      </c>
      <c r="Y124" s="19">
        <f>ENERO!AA124</f>
        <v>0</v>
      </c>
      <c r="Z124" s="377">
        <v>17953987</v>
      </c>
      <c r="AA124" s="18">
        <f t="shared" ref="AA124:AA139" si="136">SUM(Y124:Z124)</f>
        <v>17953987</v>
      </c>
      <c r="AB124" s="19">
        <f>ENERO!AD124</f>
        <v>0</v>
      </c>
      <c r="AC124" s="377">
        <v>17953987</v>
      </c>
      <c r="AD124" s="16">
        <f t="shared" ref="AD124:AD139" si="137">SUM(AB124:AC124)</f>
        <v>17953987</v>
      </c>
      <c r="AE124" s="19">
        <f>ENERO!AG124</f>
        <v>0</v>
      </c>
      <c r="AF124" s="377">
        <v>0</v>
      </c>
      <c r="AG124" s="16">
        <f t="shared" ref="AG124:AG139" si="138">SUM(AE124:AF124)</f>
        <v>0</v>
      </c>
      <c r="AH124" s="19">
        <f t="shared" ref="AH124:AH139" si="139">X124-AA124</f>
        <v>5000000</v>
      </c>
      <c r="AI124" s="15">
        <f t="shared" ref="AI124:AI139" si="140">X124-AD124</f>
        <v>5000000</v>
      </c>
      <c r="AJ124" s="16">
        <f t="shared" ref="AJ124:AJ139" si="141">X124-AG124</f>
        <v>22953987</v>
      </c>
      <c r="AK124" s="9"/>
      <c r="AL124" s="375">
        <v>0</v>
      </c>
      <c r="AM124" s="378">
        <v>5000000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+IF(ENERO!S125=0,"",ENERO!S125)</f>
        <v>2010200-2</v>
      </c>
      <c r="T125" s="737" t="str">
        <f>+IF(ENERO!T125=0,"",ENERO!T125)</f>
        <v>Impresos y Publicaciones</v>
      </c>
      <c r="U125" s="29">
        <f>+ENERO!U125</f>
        <v>3151827</v>
      </c>
      <c r="V125" s="15">
        <f>ENERO!V125+FEBRERO!AL125</f>
        <v>0</v>
      </c>
      <c r="W125" s="15">
        <f>ENERO!W125+FEBRERO!AM125</f>
        <v>0</v>
      </c>
      <c r="X125" s="16">
        <f t="shared" si="135"/>
        <v>3151827</v>
      </c>
      <c r="Y125" s="19">
        <f>ENERO!AA125</f>
        <v>0</v>
      </c>
      <c r="Z125" s="377">
        <v>0</v>
      </c>
      <c r="AA125" s="18">
        <f t="shared" si="136"/>
        <v>0</v>
      </c>
      <c r="AB125" s="19">
        <f>ENERO!AD125</f>
        <v>0</v>
      </c>
      <c r="AC125" s="377">
        <v>0</v>
      </c>
      <c r="AD125" s="16">
        <f t="shared" si="137"/>
        <v>0</v>
      </c>
      <c r="AE125" s="19">
        <f>ENERO!AG125</f>
        <v>0</v>
      </c>
      <c r="AF125" s="377">
        <v>0</v>
      </c>
      <c r="AG125" s="16">
        <f t="shared" si="138"/>
        <v>0</v>
      </c>
      <c r="AH125" s="19">
        <f t="shared" si="139"/>
        <v>3151827</v>
      </c>
      <c r="AI125" s="15">
        <f t="shared" si="140"/>
        <v>3151827</v>
      </c>
      <c r="AJ125" s="16">
        <f t="shared" si="141"/>
        <v>3151827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107622734</v>
      </c>
      <c r="F126" s="480">
        <f t="shared" si="142"/>
        <v>3211258949</v>
      </c>
      <c r="G126" s="480">
        <f t="shared" si="142"/>
        <v>307939765</v>
      </c>
      <c r="H126" s="480">
        <f t="shared" si="142"/>
        <v>211026934</v>
      </c>
      <c r="I126" s="480">
        <f t="shared" si="142"/>
        <v>518966699</v>
      </c>
      <c r="J126" s="480">
        <f t="shared" si="142"/>
        <v>175777270</v>
      </c>
      <c r="K126" s="480">
        <f t="shared" si="142"/>
        <v>83340042</v>
      </c>
      <c r="L126" s="480">
        <f t="shared" si="142"/>
        <v>259117312</v>
      </c>
      <c r="M126" s="480">
        <f t="shared" si="142"/>
        <v>2724037908</v>
      </c>
      <c r="N126" s="621">
        <f t="shared" si="142"/>
        <v>2952141637</v>
      </c>
      <c r="P126" s="481">
        <f>P8-P128</f>
        <v>0</v>
      </c>
      <c r="Q126" s="482">
        <f>Q8-Q128</f>
        <v>17280673</v>
      </c>
      <c r="R126" s="9"/>
      <c r="S126" s="719" t="str">
        <f>+IF(ENERO!S126=0,"",ENERO!S126)</f>
        <v>2010200-3</v>
      </c>
      <c r="T126" s="737" t="str">
        <f>+IF(ENERO!T126=0,"",ENERO!T126)</f>
        <v xml:space="preserve">Servicios Públicos </v>
      </c>
      <c r="U126" s="29">
        <f>+ENERO!U126</f>
        <v>55492147</v>
      </c>
      <c r="V126" s="15">
        <f>ENERO!V126+FEBRERO!AL126</f>
        <v>0</v>
      </c>
      <c r="W126" s="15">
        <f>ENERO!W126+FEBRERO!AM126</f>
        <v>0</v>
      </c>
      <c r="X126" s="16">
        <f t="shared" si="135"/>
        <v>55492147</v>
      </c>
      <c r="Y126" s="19">
        <f>ENERO!AA126</f>
        <v>2833709</v>
      </c>
      <c r="Z126" s="377">
        <v>4338878</v>
      </c>
      <c r="AA126" s="18">
        <f t="shared" si="136"/>
        <v>7172587</v>
      </c>
      <c r="AB126" s="19">
        <f>ENERO!AD126</f>
        <v>2833709</v>
      </c>
      <c r="AC126" s="377">
        <v>4338878</v>
      </c>
      <c r="AD126" s="16">
        <f t="shared" si="137"/>
        <v>7172587</v>
      </c>
      <c r="AE126" s="19">
        <f>ENERO!AG126</f>
        <v>0</v>
      </c>
      <c r="AF126" s="377">
        <v>4328036</v>
      </c>
      <c r="AG126" s="16">
        <f t="shared" si="138"/>
        <v>4328036</v>
      </c>
      <c r="AH126" s="19">
        <f t="shared" si="139"/>
        <v>48319560</v>
      </c>
      <c r="AI126" s="15">
        <f t="shared" si="140"/>
        <v>48319560</v>
      </c>
      <c r="AJ126" s="16">
        <f t="shared" si="141"/>
        <v>51164111</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55"/>
      <c r="B127" s="661"/>
      <c r="C127" s="483"/>
      <c r="D127" s="483"/>
      <c r="E127" s="483"/>
      <c r="F127" s="483"/>
      <c r="G127" s="483"/>
      <c r="H127" s="483"/>
      <c r="I127" s="483"/>
      <c r="J127" s="483"/>
      <c r="K127" s="483"/>
      <c r="L127" s="483"/>
      <c r="M127" s="483"/>
      <c r="N127" s="484"/>
      <c r="P127" s="485"/>
      <c r="Q127" s="484"/>
      <c r="R127" s="9"/>
      <c r="S127" s="719" t="str">
        <f>+IF(ENERO!S127=0,"",ENERO!S127)</f>
        <v>2010200-4</v>
      </c>
      <c r="T127" s="737" t="str">
        <f>+IF(ENERO!T127=0,"",ENERO!T127)</f>
        <v>Comunicaciones y Transportes</v>
      </c>
      <c r="U127" s="29">
        <f>+ENERO!U127</f>
        <v>14481572</v>
      </c>
      <c r="V127" s="15">
        <f>ENERO!V127+FEBRERO!AL127</f>
        <v>0</v>
      </c>
      <c r="W127" s="15">
        <f>ENERO!W127+FEBRERO!AM127</f>
        <v>0</v>
      </c>
      <c r="X127" s="16">
        <f t="shared" si="135"/>
        <v>14481572</v>
      </c>
      <c r="Y127" s="19">
        <f>ENERO!AA127</f>
        <v>275000</v>
      </c>
      <c r="Z127" s="377">
        <v>4587618</v>
      </c>
      <c r="AA127" s="18">
        <f t="shared" si="136"/>
        <v>4862618</v>
      </c>
      <c r="AB127" s="19">
        <f>ENERO!AD127</f>
        <v>275000</v>
      </c>
      <c r="AC127" s="377">
        <v>823600</v>
      </c>
      <c r="AD127" s="16">
        <f t="shared" si="137"/>
        <v>1098600</v>
      </c>
      <c r="AE127" s="19">
        <f>ENERO!AG127</f>
        <v>0</v>
      </c>
      <c r="AF127" s="377">
        <v>253600</v>
      </c>
      <c r="AG127" s="16">
        <f t="shared" si="138"/>
        <v>253600</v>
      </c>
      <c r="AH127" s="19">
        <f t="shared" si="139"/>
        <v>9618954</v>
      </c>
      <c r="AI127" s="15">
        <f t="shared" si="140"/>
        <v>13382972</v>
      </c>
      <c r="AJ127" s="16">
        <f t="shared" si="141"/>
        <v>14227972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98263834</v>
      </c>
      <c r="H128" s="486">
        <f>SUMIF($B8:$B$122,$B$24,H8:H122)+H122</f>
        <v>87928530</v>
      </c>
      <c r="I128" s="486">
        <f>SUMIF($B8:$B$122,$B$24,I8:I122)+I122</f>
        <v>186192364</v>
      </c>
      <c r="J128" s="486">
        <f>SUMIF($B8:$B$122,$B$24,J8:J122)+J1212</f>
        <v>98263834</v>
      </c>
      <c r="K128" s="486">
        <f>SUMIF($B8:$B$122,$B$24,K8:K122)+K122</f>
        <v>87928530</v>
      </c>
      <c r="L128" s="486">
        <f>SUMIF($B8:$B$122,$B$24,L8:L122)+L122</f>
        <v>186192364</v>
      </c>
      <c r="M128" s="486">
        <f>SUMIF($B8:$B$122,$B$24,M8:M122)+M12</f>
        <v>359513205</v>
      </c>
      <c r="N128" s="622">
        <f>SUMIF($B8:$B$122,$B$24,N8:N122)+N122</f>
        <v>391258863</v>
      </c>
      <c r="O128" s="464"/>
      <c r="P128" s="486">
        <f>SUMIF($B8:$B$122,$B$24,P8:P122)+P122</f>
        <v>0</v>
      </c>
      <c r="Q128" s="487">
        <f>SUMIF($B8:$B$122,$B$24,Q8:Q122)+Q122</f>
        <v>0</v>
      </c>
      <c r="R128" s="9"/>
      <c r="S128" s="719" t="str">
        <f>+IF(ENERO!S128=0,"",ENERO!S128)</f>
        <v>2010200-5</v>
      </c>
      <c r="T128" s="737" t="str">
        <f>+IF(ENERO!T128=0,"",ENERO!T128)</f>
        <v>Viáticos y Gastos de Viaje</v>
      </c>
      <c r="U128" s="29">
        <f>+ENERO!U128</f>
        <v>12695514</v>
      </c>
      <c r="V128" s="15">
        <f>ENERO!V128+FEBRERO!AL128</f>
        <v>0</v>
      </c>
      <c r="W128" s="15">
        <f>ENERO!W128+FEBRERO!AM128</f>
        <v>0</v>
      </c>
      <c r="X128" s="16">
        <f t="shared" si="135"/>
        <v>12695514</v>
      </c>
      <c r="Y128" s="19">
        <f>ENERO!AA128</f>
        <v>1045407</v>
      </c>
      <c r="Z128" s="377">
        <v>819909</v>
      </c>
      <c r="AA128" s="18">
        <f t="shared" si="136"/>
        <v>1865316</v>
      </c>
      <c r="AB128" s="19">
        <f>ENERO!AD128</f>
        <v>1045407</v>
      </c>
      <c r="AC128" s="377">
        <v>819909</v>
      </c>
      <c r="AD128" s="16">
        <f t="shared" si="137"/>
        <v>1865316</v>
      </c>
      <c r="AE128" s="19">
        <f>ENERO!AG128</f>
        <v>1045407</v>
      </c>
      <c r="AF128" s="377">
        <v>762657</v>
      </c>
      <c r="AG128" s="16">
        <f t="shared" si="138"/>
        <v>1808064</v>
      </c>
      <c r="AH128" s="19">
        <f t="shared" si="139"/>
        <v>10830198</v>
      </c>
      <c r="AI128" s="15">
        <f t="shared" si="140"/>
        <v>10830198</v>
      </c>
      <c r="AJ128" s="16">
        <f t="shared" si="141"/>
        <v>10887450</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55"/>
      <c r="B129" s="661"/>
      <c r="C129" s="483"/>
      <c r="D129" s="483"/>
      <c r="E129" s="483"/>
      <c r="F129" s="483"/>
      <c r="G129" s="483"/>
      <c r="H129" s="483"/>
      <c r="I129" s="483"/>
      <c r="J129" s="483"/>
      <c r="K129" s="483"/>
      <c r="L129" s="483"/>
      <c r="M129" s="483"/>
      <c r="N129" s="484"/>
      <c r="P129" s="485"/>
      <c r="Q129" s="484"/>
      <c r="R129" s="9"/>
      <c r="S129" s="719" t="str">
        <f>+IF(ENERO!S129=0,"",ENERO!S129)</f>
        <v>2010200-6</v>
      </c>
      <c r="T129" s="737" t="str">
        <f>+IF(ENERO!T129=0,"",ENERO!T129)</f>
        <v>Arrendamientos</v>
      </c>
      <c r="U129" s="29">
        <f>+ENERO!U129</f>
        <v>0</v>
      </c>
      <c r="V129" s="15">
        <f>ENERO!V129+FEBRERO!AL129</f>
        <v>0</v>
      </c>
      <c r="W129" s="15">
        <f>ENERO!W129+FEBRERO!AM129</f>
        <v>0</v>
      </c>
      <c r="X129" s="16">
        <f t="shared" si="135"/>
        <v>0</v>
      </c>
      <c r="Y129" s="19">
        <f>ENERO!AA129</f>
        <v>0</v>
      </c>
      <c r="Z129" s="377">
        <v>0</v>
      </c>
      <c r="AA129" s="18">
        <f t="shared" si="136"/>
        <v>0</v>
      </c>
      <c r="AB129" s="19">
        <f>ENERO!AD129</f>
        <v>0</v>
      </c>
      <c r="AC129" s="377">
        <v>0</v>
      </c>
      <c r="AD129" s="16">
        <f t="shared" si="137"/>
        <v>0</v>
      </c>
      <c r="AE129" s="19">
        <f>ENERO!AG129</f>
        <v>0</v>
      </c>
      <c r="AF129" s="377">
        <v>0</v>
      </c>
      <c r="AG129" s="16">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653009162</v>
      </c>
      <c r="F130" s="490">
        <f t="shared" si="143"/>
        <v>3788710176</v>
      </c>
      <c r="G130" s="488">
        <f t="shared" si="143"/>
        <v>406203599</v>
      </c>
      <c r="H130" s="489">
        <f t="shared" si="143"/>
        <v>298955464</v>
      </c>
      <c r="I130" s="490">
        <f t="shared" si="143"/>
        <v>705159063</v>
      </c>
      <c r="J130" s="488">
        <f t="shared" si="143"/>
        <v>274041104</v>
      </c>
      <c r="K130" s="489">
        <f t="shared" si="143"/>
        <v>171268572</v>
      </c>
      <c r="L130" s="490">
        <f t="shared" si="143"/>
        <v>445309676</v>
      </c>
      <c r="M130" s="488">
        <f t="shared" si="143"/>
        <v>3083551113</v>
      </c>
      <c r="N130" s="490">
        <f t="shared" si="143"/>
        <v>3343400500</v>
      </c>
      <c r="P130" s="481">
        <f>P128+P126</f>
        <v>0</v>
      </c>
      <c r="Q130" s="482">
        <f>Q128+Q126</f>
        <v>17280673</v>
      </c>
      <c r="R130" s="9"/>
      <c r="S130" s="719" t="str">
        <f>+IF(ENERO!S130=0,"",ENERO!S130)</f>
        <v>2010200-7</v>
      </c>
      <c r="T130" s="737" t="str">
        <f>+IF(ENERO!T130=0,"",ENERO!T130)</f>
        <v>Vigilancia y Aseo</v>
      </c>
      <c r="U130" s="29">
        <f>+ENERO!U130</f>
        <v>0</v>
      </c>
      <c r="V130" s="15">
        <f>ENERO!V130+FEBRERO!AL130</f>
        <v>0</v>
      </c>
      <c r="W130" s="15">
        <f>ENERO!W130+FEBRERO!AM130</f>
        <v>0</v>
      </c>
      <c r="X130" s="16">
        <f t="shared" si="135"/>
        <v>0</v>
      </c>
      <c r="Y130" s="19">
        <f>ENERO!AA130</f>
        <v>0</v>
      </c>
      <c r="Z130" s="377">
        <v>0</v>
      </c>
      <c r="AA130" s="18">
        <f t="shared" si="136"/>
        <v>0</v>
      </c>
      <c r="AB130" s="19">
        <f>ENERO!AD130</f>
        <v>0</v>
      </c>
      <c r="AC130" s="377">
        <v>0</v>
      </c>
      <c r="AD130" s="16">
        <f t="shared" si="137"/>
        <v>0</v>
      </c>
      <c r="AE130" s="19">
        <f>ENERO!AG130</f>
        <v>0</v>
      </c>
      <c r="AF130" s="377">
        <v>0</v>
      </c>
      <c r="AG130" s="16">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+IF(ENERO!S131=0,"",ENERO!S131)</f>
        <v>2010200-8</v>
      </c>
      <c r="T131" s="737" t="str">
        <f>+IF(ENERO!T131=0,"",ENERO!T131)</f>
        <v>Bienestar Social</v>
      </c>
      <c r="U131" s="29">
        <f>+ENERO!U131</f>
        <v>28364135</v>
      </c>
      <c r="V131" s="15">
        <f>ENERO!V131+FEBRERO!AL131</f>
        <v>0</v>
      </c>
      <c r="W131" s="15">
        <f>ENERO!W131+FEBRERO!AM131</f>
        <v>81553</v>
      </c>
      <c r="X131" s="16">
        <f t="shared" si="135"/>
        <v>28445688</v>
      </c>
      <c r="Y131" s="19">
        <f>ENERO!AA131</f>
        <v>2127650</v>
      </c>
      <c r="Z131" s="377">
        <v>0</v>
      </c>
      <c r="AA131" s="18">
        <f t="shared" si="136"/>
        <v>2127650</v>
      </c>
      <c r="AB131" s="19">
        <f>ENERO!AD131</f>
        <v>2127650</v>
      </c>
      <c r="AC131" s="377">
        <v>0</v>
      </c>
      <c r="AD131" s="16">
        <f t="shared" si="137"/>
        <v>2127650</v>
      </c>
      <c r="AE131" s="19">
        <f>ENERO!AG131</f>
        <v>0</v>
      </c>
      <c r="AF131" s="377">
        <v>0</v>
      </c>
      <c r="AG131" s="16">
        <f t="shared" si="138"/>
        <v>0</v>
      </c>
      <c r="AH131" s="19">
        <f t="shared" si="139"/>
        <v>26318038</v>
      </c>
      <c r="AI131" s="15">
        <f t="shared" si="140"/>
        <v>26318038</v>
      </c>
      <c r="AJ131" s="16">
        <f t="shared" si="141"/>
        <v>28445688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+IF(ENERO!S132=0,"",ENERO!S132)</f>
        <v>2010200-9</v>
      </c>
      <c r="T132" s="737" t="str">
        <f>+IF(ENERO!T132=0,"",ENERO!T132)</f>
        <v>Capacitación, estimulos, incentivos, programa de calidad</v>
      </c>
      <c r="U132" s="29">
        <f>+ENERO!U132</f>
        <v>3982443</v>
      </c>
      <c r="V132" s="15">
        <f>ENERO!V132+FEBRERO!AL132</f>
        <v>0</v>
      </c>
      <c r="W132" s="15">
        <f>ENERO!W132+FEBRERO!AM132</f>
        <v>0</v>
      </c>
      <c r="X132" s="16">
        <f t="shared" si="135"/>
        <v>3982443</v>
      </c>
      <c r="Y132" s="19">
        <f>ENERO!AA132</f>
        <v>0</v>
      </c>
      <c r="Z132" s="377">
        <v>0</v>
      </c>
      <c r="AA132" s="18">
        <f t="shared" si="136"/>
        <v>0</v>
      </c>
      <c r="AB132" s="19">
        <f>ENERO!AD132</f>
        <v>0</v>
      </c>
      <c r="AC132" s="377">
        <v>0</v>
      </c>
      <c r="AD132" s="16">
        <f t="shared" si="137"/>
        <v>0</v>
      </c>
      <c r="AE132" s="19">
        <f>ENERO!AG132</f>
        <v>0</v>
      </c>
      <c r="AF132" s="377">
        <v>0</v>
      </c>
      <c r="AG132" s="16">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+IF(ENERO!S133=0,"",ENERO!S133)</f>
        <v>2010200-10</v>
      </c>
      <c r="T133" s="737" t="str">
        <f>+IF(ENERO!T133=0,"",ENERO!T133)</f>
        <v>Pagos otras IPS</v>
      </c>
      <c r="U133" s="29">
        <f>+ENERO!U133</f>
        <v>0</v>
      </c>
      <c r="V133" s="15">
        <f>ENERO!V133+FEBRERO!AL133</f>
        <v>0</v>
      </c>
      <c r="W133" s="15">
        <f>ENERO!W133+FEBRERO!AM133</f>
        <v>0</v>
      </c>
      <c r="X133" s="16">
        <f t="shared" si="135"/>
        <v>0</v>
      </c>
      <c r="Y133" s="19">
        <f>ENERO!AA133</f>
        <v>0</v>
      </c>
      <c r="Z133" s="377">
        <v>0</v>
      </c>
      <c r="AA133" s="18">
        <f t="shared" si="136"/>
        <v>0</v>
      </c>
      <c r="AB133" s="19">
        <f>ENERO!AD133</f>
        <v>0</v>
      </c>
      <c r="AC133" s="377">
        <v>0</v>
      </c>
      <c r="AD133" s="16">
        <f t="shared" si="137"/>
        <v>0</v>
      </c>
      <c r="AE133" s="19">
        <f>ENERO!AG133</f>
        <v>0</v>
      </c>
      <c r="AF133" s="377">
        <v>0</v>
      </c>
      <c r="AG133" s="16">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+IF(ENERO!S134=0,"",ENERO!S134)</f>
        <v>2010200-11</v>
      </c>
      <c r="T134" s="737" t="str">
        <f>+IF(ENERO!T134=0,"",ENERO!T134)</f>
        <v>Gastos financieros</v>
      </c>
      <c r="U134" s="29">
        <f>+ENERO!U134</f>
        <v>4976765</v>
      </c>
      <c r="V134" s="15">
        <f>ENERO!V134+FEBRERO!AL134</f>
        <v>0</v>
      </c>
      <c r="W134" s="15">
        <f>ENERO!W134+FEBRERO!AM134</f>
        <v>0</v>
      </c>
      <c r="X134" s="16">
        <f t="shared" si="135"/>
        <v>4976765</v>
      </c>
      <c r="Y134" s="19">
        <f>ENERO!AA134</f>
        <v>552813</v>
      </c>
      <c r="Z134" s="377">
        <v>359580</v>
      </c>
      <c r="AA134" s="18">
        <f t="shared" si="136"/>
        <v>912393</v>
      </c>
      <c r="AB134" s="19">
        <f>ENERO!AD134</f>
        <v>552813</v>
      </c>
      <c r="AC134" s="377">
        <v>359580</v>
      </c>
      <c r="AD134" s="16">
        <f t="shared" si="137"/>
        <v>912393</v>
      </c>
      <c r="AE134" s="19">
        <f>ENERO!AG134</f>
        <v>552813</v>
      </c>
      <c r="AF134" s="377">
        <v>359580</v>
      </c>
      <c r="AG134" s="16">
        <f t="shared" si="138"/>
        <v>912393</v>
      </c>
      <c r="AH134" s="19">
        <f t="shared" si="139"/>
        <v>4064372</v>
      </c>
      <c r="AI134" s="15">
        <f t="shared" si="140"/>
        <v>4064372</v>
      </c>
      <c r="AJ134" s="16">
        <f t="shared" si="141"/>
        <v>4064372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+IF(ENERO!S135=0,"",ENERO!S135)</f>
        <v>2010200-12</v>
      </c>
      <c r="T135" s="737" t="str">
        <f>+IF(ENERO!T135=0,"",ENERO!T135)</f>
        <v/>
      </c>
      <c r="U135" s="29">
        <f>+ENERO!U135</f>
        <v>0</v>
      </c>
      <c r="V135" s="15">
        <f>ENERO!V135+FEBRERO!AL135</f>
        <v>0</v>
      </c>
      <c r="W135" s="15">
        <f>ENERO!W135+FEBRERO!AM135</f>
        <v>0</v>
      </c>
      <c r="X135" s="16">
        <f t="shared" si="135"/>
        <v>0</v>
      </c>
      <c r="Y135" s="19">
        <f>ENERO!AA135</f>
        <v>0</v>
      </c>
      <c r="Z135" s="377">
        <v>0</v>
      </c>
      <c r="AA135" s="18">
        <f t="shared" si="136"/>
        <v>0</v>
      </c>
      <c r="AB135" s="19">
        <f>ENERO!AD135</f>
        <v>0</v>
      </c>
      <c r="AC135" s="377">
        <v>0</v>
      </c>
      <c r="AD135" s="16">
        <f t="shared" si="137"/>
        <v>0</v>
      </c>
      <c r="AE135" s="19">
        <f>ENERO!AG135</f>
        <v>0</v>
      </c>
      <c r="AF135" s="377">
        <v>0</v>
      </c>
      <c r="AG135" s="16">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+IF(ENERO!S136=0,"",ENERO!S136)</f>
        <v>2010200-13</v>
      </c>
      <c r="T136" s="737" t="str">
        <f>+IF(ENERO!T136=0,"",ENERO!T136)</f>
        <v/>
      </c>
      <c r="U136" s="29">
        <f>+ENERO!U136</f>
        <v>0</v>
      </c>
      <c r="V136" s="15">
        <f>ENERO!V136+FEBRERO!AL136</f>
        <v>0</v>
      </c>
      <c r="W136" s="15">
        <f>ENERO!W136+FEBRERO!AM136</f>
        <v>0</v>
      </c>
      <c r="X136" s="16">
        <f t="shared" si="135"/>
        <v>0</v>
      </c>
      <c r="Y136" s="19">
        <f>ENERO!AA136</f>
        <v>0</v>
      </c>
      <c r="Z136" s="377">
        <v>0</v>
      </c>
      <c r="AA136" s="18">
        <f t="shared" si="136"/>
        <v>0</v>
      </c>
      <c r="AB136" s="19">
        <f>ENERO!AD136</f>
        <v>0</v>
      </c>
      <c r="AC136" s="377">
        <v>0</v>
      </c>
      <c r="AD136" s="16">
        <f t="shared" si="137"/>
        <v>0</v>
      </c>
      <c r="AE136" s="19">
        <f>ENERO!AG136</f>
        <v>0</v>
      </c>
      <c r="AF136" s="377">
        <v>0</v>
      </c>
      <c r="AG136" s="16">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+IF(ENERO!S137=0,"",ENERO!S137)</f>
        <v>2010020-14</v>
      </c>
      <c r="T137" s="737" t="str">
        <f>+IF(ENERO!T137=0,"",ENERO!T137)</f>
        <v/>
      </c>
      <c r="U137" s="29">
        <f>+ENERO!U137</f>
        <v>0</v>
      </c>
      <c r="V137" s="15">
        <f>ENERO!V137+FEBRERO!AL137</f>
        <v>0</v>
      </c>
      <c r="W137" s="15">
        <f>ENERO!W137+FEBRERO!AM137</f>
        <v>0</v>
      </c>
      <c r="X137" s="16">
        <f t="shared" si="135"/>
        <v>0</v>
      </c>
      <c r="Y137" s="19">
        <f>ENERO!AA137</f>
        <v>0</v>
      </c>
      <c r="Z137" s="377">
        <v>0</v>
      </c>
      <c r="AA137" s="18">
        <f t="shared" si="136"/>
        <v>0</v>
      </c>
      <c r="AB137" s="19">
        <f>ENERO!AD137</f>
        <v>0</v>
      </c>
      <c r="AC137" s="377">
        <v>0</v>
      </c>
      <c r="AD137" s="16">
        <f t="shared" si="137"/>
        <v>0</v>
      </c>
      <c r="AE137" s="19">
        <f>ENERO!AG137</f>
        <v>0</v>
      </c>
      <c r="AF137" s="377">
        <v>0</v>
      </c>
      <c r="AG137" s="16">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+IF(ENERO!S138=0,"",ENERO!S138)</f>
        <v>2010200-15</v>
      </c>
      <c r="T138" s="737" t="str">
        <f>+IF(ENERO!T138=0,"",ENERO!T138)</f>
        <v/>
      </c>
      <c r="U138" s="29">
        <f>+ENERO!U138</f>
        <v>0</v>
      </c>
      <c r="V138" s="15">
        <f>ENERO!V138+FEBRERO!AL138</f>
        <v>0</v>
      </c>
      <c r="W138" s="15">
        <f>ENERO!W138+FEBRERO!AM138</f>
        <v>0</v>
      </c>
      <c r="X138" s="16">
        <f t="shared" si="135"/>
        <v>0</v>
      </c>
      <c r="Y138" s="19">
        <f>ENERO!AA138</f>
        <v>0</v>
      </c>
      <c r="Z138" s="377">
        <v>0</v>
      </c>
      <c r="AA138" s="18">
        <f t="shared" si="136"/>
        <v>0</v>
      </c>
      <c r="AB138" s="19">
        <f>ENERO!AD138</f>
        <v>0</v>
      </c>
      <c r="AC138" s="377">
        <v>0</v>
      </c>
      <c r="AD138" s="16">
        <f t="shared" si="137"/>
        <v>0</v>
      </c>
      <c r="AE138" s="19">
        <f>ENERO!AG138</f>
        <v>0</v>
      </c>
      <c r="AF138" s="377">
        <v>0</v>
      </c>
      <c r="AG138" s="16">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+IF(ENERO!S139=0,"",ENERO!S139)</f>
        <v>2010299</v>
      </c>
      <c r="T139" s="737" t="str">
        <f>+IF(ENERO!T139=0,"",ENERO!T139)</f>
        <v>Vigencias Anteriores</v>
      </c>
      <c r="U139" s="29">
        <f>+ENERO!U139</f>
        <v>0</v>
      </c>
      <c r="V139" s="15">
        <f>ENERO!V139+FEBRERO!AL139</f>
        <v>0</v>
      </c>
      <c r="W139" s="15">
        <f>ENERO!W139+FEBRERO!AM139</f>
        <v>26307692</v>
      </c>
      <c r="X139" s="16">
        <f t="shared" si="135"/>
        <v>26307692</v>
      </c>
      <c r="Y139" s="19">
        <f>ENERO!AA139</f>
        <v>26307692</v>
      </c>
      <c r="Z139" s="377">
        <v>-1873780</v>
      </c>
      <c r="AA139" s="18">
        <f t="shared" si="136"/>
        <v>24433912</v>
      </c>
      <c r="AB139" s="19">
        <f>ENERO!AD139</f>
        <v>26307692</v>
      </c>
      <c r="AC139" s="377">
        <v>0</v>
      </c>
      <c r="AD139" s="16">
        <f t="shared" si="137"/>
        <v>26307692</v>
      </c>
      <c r="AE139" s="19">
        <f>ENERO!AG139</f>
        <v>3995345</v>
      </c>
      <c r="AF139" s="377">
        <v>3543211</v>
      </c>
      <c r="AG139" s="16">
        <f t="shared" si="138"/>
        <v>7538556</v>
      </c>
      <c r="AH139" s="19">
        <f t="shared" si="139"/>
        <v>1873780</v>
      </c>
      <c r="AI139" s="15">
        <f t="shared" si="140"/>
        <v>0</v>
      </c>
      <c r="AJ139" s="16">
        <f t="shared" si="141"/>
        <v>18769136</v>
      </c>
      <c r="AK139" s="9"/>
      <c r="AL139" s="375">
        <v>0</v>
      </c>
      <c r="AM139" s="378">
        <v>0</v>
      </c>
      <c r="AN139" s="9"/>
      <c r="AO139" s="297"/>
      <c r="AP139" s="297"/>
      <c r="AQ139" s="297"/>
    </row>
    <row r="140" spans="1:52" s="385" customFormat="1" ht="24.95" customHeight="1" x14ac:dyDescent="0.2">
      <c r="A140" s="767"/>
      <c r="B140" s="668"/>
      <c r="N140" s="9"/>
      <c r="R140" s="9"/>
      <c r="S140" s="369" t="str">
        <f>+IF(ENERO!S140=0,"",ENERO!S140)</f>
        <v/>
      </c>
      <c r="T140" s="708" t="str">
        <f>+IF(ENERO!T140=0,"",ENERO!T140)</f>
        <v/>
      </c>
      <c r="U140" s="370"/>
      <c r="V140" s="164"/>
      <c r="W140" s="164"/>
      <c r="X140" s="169"/>
      <c r="Y140" s="370"/>
      <c r="Z140" s="164"/>
      <c r="AA140" s="164"/>
      <c r="AB140" s="370"/>
      <c r="AC140" s="164"/>
      <c r="AD140" s="169"/>
      <c r="AE140" s="370"/>
      <c r="AF140" s="164"/>
      <c r="AG140" s="169"/>
      <c r="AH140" s="370"/>
      <c r="AI140" s="164"/>
      <c r="AJ140" s="169"/>
      <c r="AK140" s="10"/>
      <c r="AL140" s="175"/>
      <c r="AM140" s="176"/>
      <c r="AN140" s="9"/>
    </row>
    <row r="141" spans="1:52" s="385" customFormat="1" ht="24.95" customHeight="1" x14ac:dyDescent="0.2">
      <c r="A141" s="767"/>
      <c r="B141" s="668"/>
      <c r="N141" s="9"/>
      <c r="R141" s="9"/>
      <c r="S141" s="718">
        <f>+IF(ENERO!S141=0,"",ENERO!S141)</f>
        <v>2010300</v>
      </c>
      <c r="T141" s="736" t="str">
        <f>+IF(ENERO!T141=0,"",ENERO!T141)</f>
        <v>Impuestos y Multas</v>
      </c>
      <c r="U141" s="131">
        <f t="shared" ref="U141:AJ141" si="144">U142+U143</f>
        <v>10780963</v>
      </c>
      <c r="V141" s="124">
        <f t="shared" si="144"/>
        <v>0</v>
      </c>
      <c r="W141" s="124">
        <f t="shared" si="144"/>
        <v>1487943</v>
      </c>
      <c r="X141" s="133">
        <f t="shared" si="144"/>
        <v>12268906</v>
      </c>
      <c r="Y141" s="131">
        <f t="shared" si="144"/>
        <v>1487943</v>
      </c>
      <c r="Z141" s="124">
        <f t="shared" si="144"/>
        <v>0</v>
      </c>
      <c r="AA141" s="132">
        <f t="shared" si="144"/>
        <v>1487943</v>
      </c>
      <c r="AB141" s="131">
        <f t="shared" si="144"/>
        <v>1487943</v>
      </c>
      <c r="AC141" s="124">
        <f t="shared" si="144"/>
        <v>0</v>
      </c>
      <c r="AD141" s="133">
        <f t="shared" si="144"/>
        <v>1487943</v>
      </c>
      <c r="AE141" s="131">
        <f t="shared" si="144"/>
        <v>0</v>
      </c>
      <c r="AF141" s="124">
        <f t="shared" si="144"/>
        <v>0</v>
      </c>
      <c r="AG141" s="133">
        <f t="shared" si="144"/>
        <v>0</v>
      </c>
      <c r="AH141" s="131">
        <f t="shared" si="144"/>
        <v>10780963</v>
      </c>
      <c r="AI141" s="124">
        <f t="shared" si="144"/>
        <v>10780963</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+IF(ENERO!S142=0,"",ENERO!S142)</f>
        <v>2010300-1</v>
      </c>
      <c r="T142" s="737" t="str">
        <f>+IF(ENERO!T142=0,"",ENERO!T142)</f>
        <v>Impuestos (Predial, Vehiculos, Otros)</v>
      </c>
      <c r="U142" s="29">
        <f>+ENERO!U142</f>
        <v>10780963</v>
      </c>
      <c r="V142" s="15">
        <f>ENERO!V142+FEBRERO!AL142</f>
        <v>0</v>
      </c>
      <c r="W142" s="15">
        <f>ENERO!W142+FEBRERO!AM142</f>
        <v>0</v>
      </c>
      <c r="X142" s="16">
        <f>SUM(U142:W142)</f>
        <v>10780963</v>
      </c>
      <c r="Y142" s="19">
        <f>ENERO!AA142</f>
        <v>0</v>
      </c>
      <c r="Z142" s="377">
        <v>0</v>
      </c>
      <c r="AA142" s="18">
        <f>SUM(Y142:Z142)</f>
        <v>0</v>
      </c>
      <c r="AB142" s="19">
        <f>ENERO!AD142</f>
        <v>0</v>
      </c>
      <c r="AC142" s="377">
        <v>0</v>
      </c>
      <c r="AD142" s="16">
        <f>SUM(AB142:AC142)</f>
        <v>0</v>
      </c>
      <c r="AE142" s="19">
        <f>ENERO!AG142</f>
        <v>0</v>
      </c>
      <c r="AF142" s="377">
        <v>0</v>
      </c>
      <c r="AG142" s="16">
        <f>SUM(AE142:AF142)</f>
        <v>0</v>
      </c>
      <c r="AH142" s="19">
        <f>X142-AA142</f>
        <v>10780963</v>
      </c>
      <c r="AI142" s="15">
        <f>X142-AD142</f>
        <v>10780963</v>
      </c>
      <c r="AJ142" s="16">
        <f>X142-AG142</f>
        <v>10780963</v>
      </c>
      <c r="AK142" s="9"/>
      <c r="AL142" s="375">
        <v>0</v>
      </c>
      <c r="AM142" s="378">
        <v>0</v>
      </c>
      <c r="AN142" s="9"/>
    </row>
    <row r="143" spans="1:52" s="385" customFormat="1" ht="24.95" customHeight="1" x14ac:dyDescent="0.2">
      <c r="A143" s="767"/>
      <c r="B143" s="668"/>
      <c r="N143" s="9"/>
      <c r="R143" s="9"/>
      <c r="S143" s="719">
        <f>+IF(ENERO!S143=0,"",ENERO!S143)</f>
        <v>2010399</v>
      </c>
      <c r="T143" s="737" t="str">
        <f>+IF(ENERO!T143=0,"",ENERO!T143)</f>
        <v>Vigencias Anteriores</v>
      </c>
      <c r="U143" s="29">
        <f>+ENERO!U143</f>
        <v>0</v>
      </c>
      <c r="V143" s="15">
        <f>ENERO!V143+FEBRERO!AL143</f>
        <v>0</v>
      </c>
      <c r="W143" s="15">
        <f>ENERO!W143+FEBRERO!AM143</f>
        <v>1487943</v>
      </c>
      <c r="X143" s="16">
        <f>SUM(U143:W143)</f>
        <v>1487943</v>
      </c>
      <c r="Y143" s="19">
        <f>ENERO!AA143</f>
        <v>1487943</v>
      </c>
      <c r="Z143" s="377">
        <v>0</v>
      </c>
      <c r="AA143" s="18">
        <f>SUM(Y143:Z143)</f>
        <v>1487943</v>
      </c>
      <c r="AB143" s="19">
        <f>ENERO!AD143</f>
        <v>1487943</v>
      </c>
      <c r="AC143" s="377">
        <v>0</v>
      </c>
      <c r="AD143" s="16">
        <f>SUM(AB143:AC143)</f>
        <v>1487943</v>
      </c>
      <c r="AE143" s="19">
        <f>ENERO!AG143</f>
        <v>0</v>
      </c>
      <c r="AF143" s="377">
        <v>0</v>
      </c>
      <c r="AG143" s="16">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+IF(ENERO!S144=0,"",ENERO!S144)</f>
        <v/>
      </c>
      <c r="T144" s="708" t="str">
        <f>+IF(ENERO!T144=0,"",ENERO!T144)</f>
        <v/>
      </c>
      <c r="U144" s="370"/>
      <c r="V144" s="164"/>
      <c r="W144" s="164"/>
      <c r="X144" s="169"/>
      <c r="Y144" s="370"/>
      <c r="Z144" s="164"/>
      <c r="AA144" s="164"/>
      <c r="AB144" s="370"/>
      <c r="AC144" s="164"/>
      <c r="AD144" s="169"/>
      <c r="AE144" s="370"/>
      <c r="AF144" s="164"/>
      <c r="AG144" s="169"/>
      <c r="AH144" s="370"/>
      <c r="AI144" s="164"/>
      <c r="AJ144" s="169"/>
      <c r="AK144" s="9"/>
      <c r="AL144" s="175"/>
      <c r="AM144" s="176"/>
      <c r="AN144" s="9"/>
    </row>
    <row r="145" spans="1:40" s="385" customFormat="1" ht="24.95" customHeight="1" x14ac:dyDescent="0.2">
      <c r="A145" s="767"/>
      <c r="B145" s="668"/>
      <c r="N145" s="9"/>
      <c r="R145" s="9"/>
      <c r="S145" s="717">
        <f>+IF(ENERO!S145=0,"",ENERO!S145)</f>
        <v>2020010</v>
      </c>
      <c r="T145" s="735" t="str">
        <f>+IF(ENERO!T145=0,"",ENERO!T145)</f>
        <v>Gastos de Operación</v>
      </c>
      <c r="U145" s="131">
        <f t="shared" ref="U145:AJ145" si="145">U147+U155</f>
        <v>323975875</v>
      </c>
      <c r="V145" s="124">
        <f t="shared" si="145"/>
        <v>25000000</v>
      </c>
      <c r="W145" s="124">
        <f t="shared" si="145"/>
        <v>111099188</v>
      </c>
      <c r="X145" s="133">
        <f t="shared" si="145"/>
        <v>460075063</v>
      </c>
      <c r="Y145" s="131">
        <f t="shared" si="145"/>
        <v>91068253</v>
      </c>
      <c r="Z145" s="124">
        <f t="shared" si="145"/>
        <v>137248590</v>
      </c>
      <c r="AA145" s="132">
        <f t="shared" si="145"/>
        <v>228316843</v>
      </c>
      <c r="AB145" s="131">
        <f t="shared" si="145"/>
        <v>88100253</v>
      </c>
      <c r="AC145" s="124">
        <f t="shared" si="145"/>
        <v>53431400</v>
      </c>
      <c r="AD145" s="133">
        <f t="shared" si="145"/>
        <v>141531653</v>
      </c>
      <c r="AE145" s="131">
        <f t="shared" si="145"/>
        <v>11135264</v>
      </c>
      <c r="AF145" s="124">
        <f t="shared" si="145"/>
        <v>33635651</v>
      </c>
      <c r="AG145" s="133">
        <f t="shared" si="145"/>
        <v>44770915</v>
      </c>
      <c r="AH145" s="131">
        <f t="shared" si="145"/>
        <v>231758220</v>
      </c>
      <c r="AI145" s="124">
        <f t="shared" si="145"/>
        <v>318543410</v>
      </c>
      <c r="AJ145" s="133">
        <f t="shared" si="145"/>
        <v>415304148</v>
      </c>
      <c r="AK145" s="10"/>
      <c r="AL145" s="131">
        <f>AL147+AL155</f>
        <v>25000000</v>
      </c>
      <c r="AM145" s="133">
        <f>AM147+AM155</f>
        <v>6780673</v>
      </c>
      <c r="AN145" s="9"/>
    </row>
    <row r="146" spans="1:40" s="385" customFormat="1" ht="24.95" customHeight="1" x14ac:dyDescent="0.2">
      <c r="A146" s="767"/>
      <c r="B146" s="668"/>
      <c r="N146" s="9"/>
      <c r="R146" s="9"/>
      <c r="S146" s="720" t="str">
        <f>+IF(ENERO!S146=0,"",ENERO!S146)</f>
        <v/>
      </c>
      <c r="T146" s="738" t="str">
        <f>+IF(ENERO!T146=0,"",ENERO!T146)</f>
        <v/>
      </c>
      <c r="U146" s="19"/>
      <c r="V146" s="15"/>
      <c r="W146" s="15"/>
      <c r="X146" s="16"/>
      <c r="Y146" s="19"/>
      <c r="Z146" s="15"/>
      <c r="AA146" s="18"/>
      <c r="AB146" s="19"/>
      <c r="AC146" s="15"/>
      <c r="AD146" s="16"/>
      <c r="AE146" s="19"/>
      <c r="AF146" s="15"/>
      <c r="AG146" s="16"/>
      <c r="AH146" s="19"/>
      <c r="AI146" s="15"/>
      <c r="AJ146" s="16"/>
      <c r="AK146" s="9"/>
      <c r="AL146" s="175"/>
      <c r="AM146" s="176"/>
      <c r="AN146" s="9"/>
    </row>
    <row r="147" spans="1:40" s="385" customFormat="1" ht="24.95" customHeight="1" x14ac:dyDescent="0.2">
      <c r="A147" s="767"/>
      <c r="B147" s="668"/>
      <c r="N147" s="9"/>
      <c r="R147" s="9"/>
      <c r="S147" s="718">
        <f>+IF(ENERO!S147=0,"",ENERO!S147)</f>
        <v>2020100</v>
      </c>
      <c r="T147" s="736" t="str">
        <f>+IF(ENERO!T147=0,"",ENERO!T147)</f>
        <v>Adquisición de bienes</v>
      </c>
      <c r="U147" s="131">
        <f t="shared" ref="U147:AJ147" si="146">SUM(U148:U149)+U153</f>
        <v>113248636</v>
      </c>
      <c r="V147" s="124">
        <f t="shared" si="146"/>
        <v>2000000</v>
      </c>
      <c r="W147" s="124">
        <f t="shared" si="146"/>
        <v>75561517</v>
      </c>
      <c r="X147" s="133">
        <f t="shared" si="146"/>
        <v>190810153</v>
      </c>
      <c r="Y147" s="131">
        <f t="shared" si="146"/>
        <v>47221675</v>
      </c>
      <c r="Z147" s="124">
        <f t="shared" si="146"/>
        <v>9430403</v>
      </c>
      <c r="AA147" s="132">
        <f t="shared" si="146"/>
        <v>56652078</v>
      </c>
      <c r="AB147" s="131">
        <f t="shared" si="146"/>
        <v>47221675</v>
      </c>
      <c r="AC147" s="124">
        <f t="shared" si="146"/>
        <v>9430403</v>
      </c>
      <c r="AD147" s="133">
        <f t="shared" si="146"/>
        <v>56652078</v>
      </c>
      <c r="AE147" s="131">
        <f t="shared" si="146"/>
        <v>3076179</v>
      </c>
      <c r="AF147" s="124">
        <f t="shared" si="146"/>
        <v>14766957</v>
      </c>
      <c r="AG147" s="133">
        <f t="shared" si="146"/>
        <v>17843136</v>
      </c>
      <c r="AH147" s="131">
        <f t="shared" si="146"/>
        <v>134158075</v>
      </c>
      <c r="AI147" s="124">
        <f t="shared" si="146"/>
        <v>134158075</v>
      </c>
      <c r="AJ147" s="133">
        <f t="shared" si="146"/>
        <v>172967017</v>
      </c>
      <c r="AK147" s="9"/>
      <c r="AL147" s="131">
        <f>SUM(AL148:AL149)+AL153</f>
        <v>2000000</v>
      </c>
      <c r="AM147" s="133">
        <f>SUM(AM148:AM149)+AM153</f>
        <v>1780673</v>
      </c>
      <c r="AN147" s="9"/>
    </row>
    <row r="148" spans="1:40" s="385" customFormat="1" ht="24.95" customHeight="1" x14ac:dyDescent="0.2">
      <c r="A148" s="767"/>
      <c r="B148" s="668"/>
      <c r="N148" s="9"/>
      <c r="R148" s="9"/>
      <c r="S148" s="719">
        <f>+IF(ENERO!S148=0,"",ENERO!S148)</f>
        <v>2020101</v>
      </c>
      <c r="T148" s="737" t="str">
        <f>+IF(ENERO!T148=0,"",ENERO!T148)</f>
        <v>Mantenimiento Hospitalario</v>
      </c>
      <c r="U148" s="29">
        <f>+ENERO!U148</f>
        <v>74533223</v>
      </c>
      <c r="V148" s="15">
        <f>ENERO!V148+FEBRERO!AL148</f>
        <v>0</v>
      </c>
      <c r="W148" s="15">
        <f>ENERO!W148+FEBRERO!AM148</f>
        <v>0</v>
      </c>
      <c r="X148" s="16">
        <f>SUM(U148:W148)</f>
        <v>74533223</v>
      </c>
      <c r="Y148" s="19">
        <f>ENERO!AA148</f>
        <v>10277315</v>
      </c>
      <c r="Z148" s="377">
        <v>6850925</v>
      </c>
      <c r="AA148" s="18">
        <f>SUM(Y148:Z148)</f>
        <v>17128240</v>
      </c>
      <c r="AB148" s="19">
        <f>ENERO!AD148</f>
        <v>10277315</v>
      </c>
      <c r="AC148" s="377">
        <v>6850925</v>
      </c>
      <c r="AD148" s="16">
        <f>SUM(AB148:AC148)</f>
        <v>17128240</v>
      </c>
      <c r="AE148" s="19">
        <f>ENERO!AG148</f>
        <v>1639779</v>
      </c>
      <c r="AF148" s="377">
        <v>1619400</v>
      </c>
      <c r="AG148" s="16">
        <f>SUM(AE148:AF148)</f>
        <v>3259179</v>
      </c>
      <c r="AH148" s="19">
        <f>X148-AA148</f>
        <v>57404983</v>
      </c>
      <c r="AI148" s="15">
        <f>X148-AD148</f>
        <v>57404983</v>
      </c>
      <c r="AJ148" s="16">
        <f>X148-AG148</f>
        <v>71274044</v>
      </c>
      <c r="AK148" s="9"/>
      <c r="AL148" s="375">
        <v>0</v>
      </c>
      <c r="AM148" s="378">
        <v>0</v>
      </c>
      <c r="AN148" s="9"/>
    </row>
    <row r="149" spans="1:40" s="385" customFormat="1" ht="24.95" customHeight="1" x14ac:dyDescent="0.2">
      <c r="A149" s="767"/>
      <c r="B149" s="668"/>
      <c r="N149" s="9"/>
      <c r="R149" s="9"/>
      <c r="S149" s="719">
        <f>+IF(ENERO!S149=0,"",ENERO!S149)</f>
        <v>2020102</v>
      </c>
      <c r="T149" s="737" t="str">
        <f>+IF(ENERO!T149=0,"",ENERO!T149)</f>
        <v>Otros</v>
      </c>
      <c r="U149" s="29">
        <f t="shared" ref="U149:AJ149" si="147">SUM(U150:U152)</f>
        <v>38715413</v>
      </c>
      <c r="V149" s="15">
        <f t="shared" si="147"/>
        <v>2000000</v>
      </c>
      <c r="W149" s="15">
        <f t="shared" si="147"/>
        <v>41780673</v>
      </c>
      <c r="X149" s="16">
        <f t="shared" si="147"/>
        <v>82496086</v>
      </c>
      <c r="Y149" s="19">
        <f t="shared" si="147"/>
        <v>3163516</v>
      </c>
      <c r="Z149" s="145">
        <f t="shared" si="147"/>
        <v>2579478</v>
      </c>
      <c r="AA149" s="18">
        <f t="shared" si="147"/>
        <v>5742994</v>
      </c>
      <c r="AB149" s="19">
        <f t="shared" si="147"/>
        <v>3163516</v>
      </c>
      <c r="AC149" s="145">
        <f t="shared" si="147"/>
        <v>2579478</v>
      </c>
      <c r="AD149" s="16">
        <f t="shared" si="147"/>
        <v>5742994</v>
      </c>
      <c r="AE149" s="19">
        <f t="shared" si="147"/>
        <v>0</v>
      </c>
      <c r="AF149" s="145">
        <f t="shared" si="147"/>
        <v>0</v>
      </c>
      <c r="AG149" s="16">
        <f t="shared" si="147"/>
        <v>0</v>
      </c>
      <c r="AH149" s="19">
        <f t="shared" si="147"/>
        <v>76753092</v>
      </c>
      <c r="AI149" s="15">
        <f t="shared" si="147"/>
        <v>76753092</v>
      </c>
      <c r="AJ149" s="16">
        <f t="shared" si="147"/>
        <v>82496086</v>
      </c>
      <c r="AK149" s="9"/>
      <c r="AL149" s="29">
        <f>SUM(AL150:AL152)</f>
        <v>2000000</v>
      </c>
      <c r="AM149" s="26">
        <f>SUM(AM150:AM152)</f>
        <v>1780673</v>
      </c>
      <c r="AN149" s="9"/>
    </row>
    <row r="150" spans="1:40" s="385" customFormat="1" ht="24.95" customHeight="1" x14ac:dyDescent="0.2">
      <c r="A150" s="767"/>
      <c r="B150" s="668"/>
      <c r="N150" s="9"/>
      <c r="R150" s="9"/>
      <c r="S150" s="720" t="str">
        <f>+IF(ENERO!S150=0,"",ENERO!S150)</f>
        <v>2020102-1</v>
      </c>
      <c r="T150" s="737" t="str">
        <f>+IF(ENERO!T150=0,"",ENERO!T150)</f>
        <v>Compra de Equipo e Instr. Mco. y Laborat.</v>
      </c>
      <c r="U150" s="29">
        <f>+ENERO!U150</f>
        <v>0</v>
      </c>
      <c r="V150" s="15">
        <f>ENERO!V150+FEBRERO!AL150</f>
        <v>0</v>
      </c>
      <c r="W150" s="15">
        <f>ENERO!W150+FEBRERO!AM150</f>
        <v>40000000</v>
      </c>
      <c r="X150" s="16">
        <f>SUM(U150:W150)</f>
        <v>40000000</v>
      </c>
      <c r="Y150" s="19">
        <f>ENERO!AA150</f>
        <v>0</v>
      </c>
      <c r="Z150" s="377">
        <v>0</v>
      </c>
      <c r="AA150" s="18">
        <f>SUM(Y150:Z150)</f>
        <v>0</v>
      </c>
      <c r="AB150" s="19">
        <f>ENERO!AD150</f>
        <v>0</v>
      </c>
      <c r="AC150" s="377">
        <v>0</v>
      </c>
      <c r="AD150" s="16">
        <f>SUM(AB150:AC150)</f>
        <v>0</v>
      </c>
      <c r="AE150" s="19">
        <f>ENERO!AG150</f>
        <v>0</v>
      </c>
      <c r="AF150" s="377">
        <v>0</v>
      </c>
      <c r="AG150" s="16">
        <f>SUM(AE150:AF150)</f>
        <v>0</v>
      </c>
      <c r="AH150" s="19">
        <f>X150-AA150</f>
        <v>40000000</v>
      </c>
      <c r="AI150" s="15">
        <f>X150-AD150</f>
        <v>40000000</v>
      </c>
      <c r="AJ150" s="16">
        <f>X150-AG150</f>
        <v>40000000</v>
      </c>
      <c r="AK150" s="9"/>
      <c r="AL150" s="375">
        <v>0</v>
      </c>
      <c r="AM150" s="378">
        <v>0</v>
      </c>
      <c r="AN150" s="9"/>
    </row>
    <row r="151" spans="1:40" s="385" customFormat="1" ht="24.95" customHeight="1" x14ac:dyDescent="0.2">
      <c r="A151" s="767"/>
      <c r="B151" s="668"/>
      <c r="N151" s="9"/>
      <c r="R151" s="9"/>
      <c r="S151" s="720" t="str">
        <f>+IF(ENERO!S151=0,"",ENERO!S151)</f>
        <v>2020102-2</v>
      </c>
      <c r="T151" s="737" t="str">
        <f>+IF(ENERO!T151=0,"",ENERO!T151)</f>
        <v>Materiales</v>
      </c>
      <c r="U151" s="29">
        <f>+ENERO!U151</f>
        <v>15288294</v>
      </c>
      <c r="V151" s="15">
        <f>ENERO!V151+FEBRERO!AL151</f>
        <v>2000000</v>
      </c>
      <c r="W151" s="15">
        <f>ENERO!W151+FEBRERO!AM151</f>
        <v>1780673</v>
      </c>
      <c r="X151" s="16">
        <f>SUM(U151:W151)</f>
        <v>19068967</v>
      </c>
      <c r="Y151" s="19">
        <f>ENERO!AA151</f>
        <v>757480</v>
      </c>
      <c r="Z151" s="377">
        <v>1102000</v>
      </c>
      <c r="AA151" s="18">
        <f>SUM(Y151:Z151)</f>
        <v>1859480</v>
      </c>
      <c r="AB151" s="19">
        <f>ENERO!AD151</f>
        <v>757480</v>
      </c>
      <c r="AC151" s="377">
        <v>1102000</v>
      </c>
      <c r="AD151" s="16">
        <f>SUM(AB151:AC151)</f>
        <v>1859480</v>
      </c>
      <c r="AE151" s="19">
        <f>ENERO!AG151</f>
        <v>0</v>
      </c>
      <c r="AF151" s="377">
        <v>0</v>
      </c>
      <c r="AG151" s="16">
        <f>SUM(AE151:AF151)</f>
        <v>0</v>
      </c>
      <c r="AH151" s="19">
        <f>X151-AA151</f>
        <v>17209487</v>
      </c>
      <c r="AI151" s="15">
        <f>X151-AD151</f>
        <v>17209487</v>
      </c>
      <c r="AJ151" s="16">
        <f>X151-AG151</f>
        <v>19068967</v>
      </c>
      <c r="AK151" s="9"/>
      <c r="AL151" s="375">
        <v>2000000</v>
      </c>
      <c r="AM151" s="378">
        <v>1780673</v>
      </c>
      <c r="AN151" s="9"/>
    </row>
    <row r="152" spans="1:40" s="385" customFormat="1" ht="24.95" customHeight="1" x14ac:dyDescent="0.2">
      <c r="A152" s="767"/>
      <c r="B152" s="668"/>
      <c r="N152" s="9"/>
      <c r="R152" s="9"/>
      <c r="S152" s="720" t="str">
        <f>+IF(ENERO!S152=0,"",ENERO!S152)</f>
        <v>2020102-3</v>
      </c>
      <c r="T152" s="737" t="str">
        <f>+IF(ENERO!T152=0,"",ENERO!T152)</f>
        <v>Combustible</v>
      </c>
      <c r="U152" s="29">
        <f>+ENERO!U152</f>
        <v>23427119</v>
      </c>
      <c r="V152" s="15">
        <f>ENERO!V152+FEBRERO!AL152</f>
        <v>0</v>
      </c>
      <c r="W152" s="15">
        <f>ENERO!W152+FEBRERO!AM152</f>
        <v>0</v>
      </c>
      <c r="X152" s="16">
        <f>SUM(U152:W152)</f>
        <v>23427119</v>
      </c>
      <c r="Y152" s="19">
        <f>ENERO!AA152</f>
        <v>2406036</v>
      </c>
      <c r="Z152" s="377">
        <v>1477478</v>
      </c>
      <c r="AA152" s="18">
        <f>SUM(Y152:Z152)</f>
        <v>3883514</v>
      </c>
      <c r="AB152" s="19">
        <f>ENERO!AD152</f>
        <v>2406036</v>
      </c>
      <c r="AC152" s="377">
        <v>1477478</v>
      </c>
      <c r="AD152" s="16">
        <f>SUM(AB152:AC152)</f>
        <v>3883514</v>
      </c>
      <c r="AE152" s="19">
        <f>ENERO!AG152</f>
        <v>0</v>
      </c>
      <c r="AF152" s="377">
        <v>0</v>
      </c>
      <c r="AG152" s="16">
        <f>SUM(AE152:AF152)</f>
        <v>0</v>
      </c>
      <c r="AH152" s="19">
        <f>X152-AA152</f>
        <v>19543605</v>
      </c>
      <c r="AI152" s="15">
        <f>X152-AD152</f>
        <v>19543605</v>
      </c>
      <c r="AJ152" s="16">
        <f>X152-AG152</f>
        <v>23427119</v>
      </c>
      <c r="AK152" s="9"/>
      <c r="AL152" s="375">
        <v>0</v>
      </c>
      <c r="AM152" s="378">
        <v>0</v>
      </c>
      <c r="AN152" s="9"/>
    </row>
    <row r="153" spans="1:40" s="385" customFormat="1" ht="24.95" customHeight="1" x14ac:dyDescent="0.2">
      <c r="A153" s="767"/>
      <c r="B153" s="668"/>
      <c r="N153" s="9"/>
      <c r="R153" s="9"/>
      <c r="S153" s="719">
        <f>+IF(ENERO!S153=0,"",ENERO!S153)</f>
        <v>2020199</v>
      </c>
      <c r="T153" s="737" t="str">
        <f>+IF(ENERO!T153=0,"",ENERO!T153)</f>
        <v>Vigencias Anteriores</v>
      </c>
      <c r="U153" s="29">
        <f>+ENERO!U153</f>
        <v>0</v>
      </c>
      <c r="V153" s="15">
        <f>ENERO!V153+FEBRERO!AL153</f>
        <v>0</v>
      </c>
      <c r="W153" s="15">
        <f>ENERO!W153+FEBRERO!AM153</f>
        <v>33780844</v>
      </c>
      <c r="X153" s="16">
        <f>SUM(U153:W153)</f>
        <v>33780844</v>
      </c>
      <c r="Y153" s="19">
        <f>ENERO!AA153</f>
        <v>33780844</v>
      </c>
      <c r="Z153" s="377">
        <v>0</v>
      </c>
      <c r="AA153" s="18">
        <f>SUM(Y153:Z153)</f>
        <v>33780844</v>
      </c>
      <c r="AB153" s="19">
        <f>ENERO!AD153</f>
        <v>33780844</v>
      </c>
      <c r="AC153" s="377">
        <v>0</v>
      </c>
      <c r="AD153" s="16">
        <f>SUM(AB153:AC153)</f>
        <v>33780844</v>
      </c>
      <c r="AE153" s="19">
        <f>ENERO!AG153</f>
        <v>1436400</v>
      </c>
      <c r="AF153" s="377">
        <v>13147557</v>
      </c>
      <c r="AG153" s="16">
        <f>SUM(AE153:AF153)</f>
        <v>14583957</v>
      </c>
      <c r="AH153" s="19">
        <f>X153-AA153</f>
        <v>0</v>
      </c>
      <c r="AI153" s="15">
        <f>X153-AD153</f>
        <v>0</v>
      </c>
      <c r="AJ153" s="16">
        <f>X153-AG153</f>
        <v>19196887</v>
      </c>
      <c r="AK153" s="9"/>
      <c r="AL153" s="375">
        <v>0</v>
      </c>
      <c r="AM153" s="378">
        <v>0</v>
      </c>
      <c r="AN153" s="9"/>
    </row>
    <row r="154" spans="1:40" s="385" customFormat="1" ht="24.95" customHeight="1" x14ac:dyDescent="0.2">
      <c r="A154" s="767"/>
      <c r="B154" s="668"/>
      <c r="N154" s="9"/>
      <c r="R154" s="9"/>
      <c r="S154" s="369" t="str">
        <f>+IF(ENERO!S154=0,"",ENERO!S154)</f>
        <v/>
      </c>
      <c r="T154" s="708" t="str">
        <f>+IF(ENERO!T154=0,"",ENERO!T154)</f>
        <v/>
      </c>
      <c r="U154" s="370"/>
      <c r="V154" s="164"/>
      <c r="W154" s="164"/>
      <c r="X154" s="169"/>
      <c r="Y154" s="370"/>
      <c r="Z154" s="164"/>
      <c r="AA154" s="164"/>
      <c r="AB154" s="370"/>
      <c r="AC154" s="164"/>
      <c r="AD154" s="169"/>
      <c r="AE154" s="370"/>
      <c r="AF154" s="164"/>
      <c r="AG154" s="169"/>
      <c r="AH154" s="370"/>
      <c r="AI154" s="164"/>
      <c r="AJ154" s="169"/>
      <c r="AK154" s="9"/>
      <c r="AL154" s="175"/>
      <c r="AM154" s="176"/>
      <c r="AN154" s="9"/>
    </row>
    <row r="155" spans="1:40" s="385" customFormat="1" ht="24.95" customHeight="1" x14ac:dyDescent="0.2">
      <c r="A155" s="767"/>
      <c r="B155" s="668"/>
      <c r="N155" s="9"/>
      <c r="R155" s="9"/>
      <c r="S155" s="718">
        <f>+IF(ENERO!S155=0,"",ENERO!S155)</f>
        <v>2020200</v>
      </c>
      <c r="T155" s="736" t="str">
        <f>+IF(ENERO!T155=0,"",ENERO!T155)</f>
        <v>Adquisición de Servicios</v>
      </c>
      <c r="U155" s="131">
        <f t="shared" ref="U155:AJ155" si="148">SUM(U156:U157)+U168</f>
        <v>210727239</v>
      </c>
      <c r="V155" s="124">
        <f t="shared" si="148"/>
        <v>23000000</v>
      </c>
      <c r="W155" s="124">
        <f t="shared" si="148"/>
        <v>35537671</v>
      </c>
      <c r="X155" s="133">
        <f t="shared" si="148"/>
        <v>269264910</v>
      </c>
      <c r="Y155" s="131">
        <f t="shared" si="148"/>
        <v>43846578</v>
      </c>
      <c r="Z155" s="124">
        <f t="shared" si="148"/>
        <v>127818187</v>
      </c>
      <c r="AA155" s="132">
        <f t="shared" si="148"/>
        <v>171664765</v>
      </c>
      <c r="AB155" s="131">
        <f t="shared" si="148"/>
        <v>40878578</v>
      </c>
      <c r="AC155" s="124">
        <f t="shared" si="148"/>
        <v>44000997</v>
      </c>
      <c r="AD155" s="133">
        <f t="shared" si="148"/>
        <v>84879575</v>
      </c>
      <c r="AE155" s="131">
        <f t="shared" si="148"/>
        <v>8059085</v>
      </c>
      <c r="AF155" s="124">
        <f t="shared" si="148"/>
        <v>18868694</v>
      </c>
      <c r="AG155" s="133">
        <f t="shared" si="148"/>
        <v>26927779</v>
      </c>
      <c r="AH155" s="131">
        <f t="shared" si="148"/>
        <v>97600145</v>
      </c>
      <c r="AI155" s="124">
        <f t="shared" si="148"/>
        <v>184385335</v>
      </c>
      <c r="AJ155" s="133">
        <f t="shared" si="148"/>
        <v>242337131</v>
      </c>
      <c r="AK155" s="9"/>
      <c r="AL155" s="131">
        <f>SUM(AL156:AL157)+AL168</f>
        <v>23000000</v>
      </c>
      <c r="AM155" s="133">
        <f>SUM(AM156:AM157)+AM168</f>
        <v>5000000</v>
      </c>
      <c r="AN155" s="9"/>
    </row>
    <row r="156" spans="1:40" s="385" customFormat="1" ht="24.95" customHeight="1" x14ac:dyDescent="0.2">
      <c r="A156" s="767"/>
      <c r="B156" s="668"/>
      <c r="N156" s="9"/>
      <c r="P156" s="9"/>
      <c r="Q156" s="9"/>
      <c r="R156" s="9"/>
      <c r="S156" s="719">
        <f>+IF(ENERO!S156=0,"",ENERO!S156)</f>
        <v>2020201</v>
      </c>
      <c r="T156" s="737" t="str">
        <f>+IF(ENERO!T156=0,"",ENERO!T156)</f>
        <v>Mantenimiento Hospitalario</v>
      </c>
      <c r="U156" s="29">
        <f>+ENERO!U156</f>
        <v>82251828</v>
      </c>
      <c r="V156" s="15">
        <f>ENERO!V156+FEBRERO!AL156</f>
        <v>0</v>
      </c>
      <c r="W156" s="15">
        <f>ENERO!W156+FEBRERO!AM156</f>
        <v>0</v>
      </c>
      <c r="X156" s="16">
        <f>SUM(U156:W156)</f>
        <v>82251828</v>
      </c>
      <c r="Y156" s="19">
        <f>ENERO!AA156</f>
        <v>7092707</v>
      </c>
      <c r="Z156" s="377">
        <v>37987323</v>
      </c>
      <c r="AA156" s="18">
        <f>SUM(Y156:Z156)</f>
        <v>45080030</v>
      </c>
      <c r="AB156" s="19">
        <f>ENERO!AD156</f>
        <v>4124707</v>
      </c>
      <c r="AC156" s="377">
        <v>16582323</v>
      </c>
      <c r="AD156" s="16">
        <f>SUM(AB156:AC156)</f>
        <v>20707030</v>
      </c>
      <c r="AE156" s="19">
        <f>ENERO!AG156</f>
        <v>3912630</v>
      </c>
      <c r="AF156" s="377">
        <v>10055000</v>
      </c>
      <c r="AG156" s="16">
        <f>SUM(AE156:AF156)</f>
        <v>13967630</v>
      </c>
      <c r="AH156" s="19">
        <f>X156-AA156</f>
        <v>37171798</v>
      </c>
      <c r="AI156" s="15">
        <f>X156-AD156</f>
        <v>61544798</v>
      </c>
      <c r="AJ156" s="16">
        <f>X156-AG156</f>
        <v>68284198</v>
      </c>
      <c r="AK156" s="9"/>
      <c r="AL156" s="375">
        <v>0</v>
      </c>
      <c r="AM156" s="378">
        <v>0</v>
      </c>
      <c r="AN156" s="9"/>
    </row>
    <row r="157" spans="1:40" s="385" customFormat="1" ht="24.95" customHeight="1" x14ac:dyDescent="0.2">
      <c r="A157" s="767"/>
      <c r="B157" s="668"/>
      <c r="N157" s="9"/>
      <c r="P157" s="9"/>
      <c r="Q157" s="9"/>
      <c r="R157" s="9"/>
      <c r="S157" s="719">
        <f>+IF(ENERO!S157=0,"",ENERO!S157)</f>
        <v>2020202</v>
      </c>
      <c r="T157" s="737" t="str">
        <f>+IF(ENERO!T157=0,"",ENERO!T157)</f>
        <v>Otros</v>
      </c>
      <c r="U157" s="29">
        <f>SUM(U158:U167)</f>
        <v>128475411</v>
      </c>
      <c r="V157" s="15">
        <f>SUM(V158:V167)</f>
        <v>23000000</v>
      </c>
      <c r="W157" s="15">
        <f t="shared" ref="W157:AJ157" si="149">SUM(W158:W167)</f>
        <v>7000000</v>
      </c>
      <c r="X157" s="16">
        <f t="shared" si="149"/>
        <v>158475411</v>
      </c>
      <c r="Y157" s="19">
        <f t="shared" si="149"/>
        <v>8216200</v>
      </c>
      <c r="Z157" s="15">
        <f t="shared" si="149"/>
        <v>89830864</v>
      </c>
      <c r="AA157" s="18">
        <f t="shared" si="149"/>
        <v>98047064</v>
      </c>
      <c r="AB157" s="19">
        <f t="shared" si="149"/>
        <v>8216200</v>
      </c>
      <c r="AC157" s="15">
        <f t="shared" si="149"/>
        <v>27418674</v>
      </c>
      <c r="AD157" s="16">
        <f t="shared" si="149"/>
        <v>35634874</v>
      </c>
      <c r="AE157" s="19">
        <f t="shared" si="149"/>
        <v>0</v>
      </c>
      <c r="AF157" s="15">
        <f t="shared" si="149"/>
        <v>899112</v>
      </c>
      <c r="AG157" s="16">
        <f t="shared" si="149"/>
        <v>899112</v>
      </c>
      <c r="AH157" s="19">
        <f t="shared" si="149"/>
        <v>60428347</v>
      </c>
      <c r="AI157" s="15">
        <f t="shared" si="149"/>
        <v>122840537</v>
      </c>
      <c r="AJ157" s="16">
        <f t="shared" si="149"/>
        <v>157576299</v>
      </c>
      <c r="AK157" s="10"/>
      <c r="AL157" s="29">
        <f>SUM(AL158:AL167)</f>
        <v>23000000</v>
      </c>
      <c r="AM157" s="26">
        <f>SUM(AM158:AM167)</f>
        <v>5000000</v>
      </c>
      <c r="AN157" s="9"/>
    </row>
    <row r="158" spans="1:40" s="385" customFormat="1" ht="24.95" customHeight="1" x14ac:dyDescent="0.2">
      <c r="A158" s="767"/>
      <c r="B158" s="668"/>
      <c r="N158" s="9"/>
      <c r="P158" s="9"/>
      <c r="Q158" s="9"/>
      <c r="R158" s="9"/>
      <c r="S158" s="720" t="str">
        <f>+IF(ENERO!S158=0,"",ENERO!S158)</f>
        <v>2020202-1</v>
      </c>
      <c r="T158" s="738" t="str">
        <f>+IF(ENERO!T158=0,"",ENERO!T158)</f>
        <v>Seguros</v>
      </c>
      <c r="U158" s="29">
        <f>+ENERO!U158</f>
        <v>15745455</v>
      </c>
      <c r="V158" s="15">
        <f>ENERO!V158+FEBRERO!AL158</f>
        <v>0</v>
      </c>
      <c r="W158" s="15">
        <f>ENERO!W158+FEBRERO!AM158</f>
        <v>5000000</v>
      </c>
      <c r="X158" s="16">
        <f t="shared" ref="X158:X168" si="150">SUM(U158:W158)</f>
        <v>20745455</v>
      </c>
      <c r="Y158" s="19">
        <f>ENERO!AA158</f>
        <v>0</v>
      </c>
      <c r="Z158" s="377">
        <v>18029036</v>
      </c>
      <c r="AA158" s="18">
        <f t="shared" ref="AA158:AA168" si="151">SUM(Y158:Z158)</f>
        <v>18029036</v>
      </c>
      <c r="AB158" s="19">
        <f>ENERO!AD158</f>
        <v>0</v>
      </c>
      <c r="AC158" s="377">
        <v>18029036</v>
      </c>
      <c r="AD158" s="16">
        <f t="shared" ref="AD158:AD168" si="152">SUM(AB158:AC158)</f>
        <v>18029036</v>
      </c>
      <c r="AE158" s="19">
        <f>ENERO!AG158</f>
        <v>0</v>
      </c>
      <c r="AF158" s="377">
        <v>682700</v>
      </c>
      <c r="AG158" s="16">
        <f t="shared" ref="AG158:AG168" si="153">SUM(AE158:AF158)</f>
        <v>682700</v>
      </c>
      <c r="AH158" s="19">
        <f t="shared" ref="AH158:AH168" si="154">X158-AA158</f>
        <v>2716419</v>
      </c>
      <c r="AI158" s="15">
        <f t="shared" ref="AI158:AI168" si="155">X158-AD158</f>
        <v>2716419</v>
      </c>
      <c r="AJ158" s="16">
        <f t="shared" ref="AJ158:AJ168" si="156">X158-AG158</f>
        <v>20062755</v>
      </c>
      <c r="AK158" s="9"/>
      <c r="AL158" s="375">
        <v>0</v>
      </c>
      <c r="AM158" s="378">
        <v>5000000</v>
      </c>
      <c r="AN158" s="9"/>
    </row>
    <row r="159" spans="1:40" s="385" customFormat="1" ht="24.95" customHeight="1" x14ac:dyDescent="0.2">
      <c r="A159" s="767"/>
      <c r="B159" s="668"/>
      <c r="N159" s="9"/>
      <c r="P159" s="9"/>
      <c r="Q159" s="9"/>
      <c r="R159" s="9"/>
      <c r="S159" s="720" t="str">
        <f>+IF(ENERO!S159=0,"",ENERO!S159)</f>
        <v>2020202-2</v>
      </c>
      <c r="T159" s="738" t="str">
        <f>+IF(ENERO!T159=0,"",ENERO!T159)</f>
        <v>Impresos y Publicaciones</v>
      </c>
      <c r="U159" s="29">
        <f>+ENERO!U159</f>
        <v>0</v>
      </c>
      <c r="V159" s="15">
        <f>ENERO!V159+FEBRERO!AL159</f>
        <v>0</v>
      </c>
      <c r="W159" s="15">
        <f>ENERO!W159+FEBRERO!AM159</f>
        <v>0</v>
      </c>
      <c r="X159" s="16">
        <f t="shared" si="150"/>
        <v>0</v>
      </c>
      <c r="Y159" s="19">
        <f>ENERO!AA159</f>
        <v>0</v>
      </c>
      <c r="Z159" s="377">
        <v>0</v>
      </c>
      <c r="AA159" s="18">
        <f t="shared" si="151"/>
        <v>0</v>
      </c>
      <c r="AB159" s="19">
        <f>ENERO!AD159</f>
        <v>0</v>
      </c>
      <c r="AC159" s="377">
        <v>0</v>
      </c>
      <c r="AD159" s="16">
        <f t="shared" si="152"/>
        <v>0</v>
      </c>
      <c r="AE159" s="19">
        <f>ENERO!AG159</f>
        <v>0</v>
      </c>
      <c r="AF159" s="377">
        <v>0</v>
      </c>
      <c r="AG159" s="16">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+IF(ENERO!S160=0,"",ENERO!S160)</f>
        <v>2020202-3</v>
      </c>
      <c r="T160" s="738" t="str">
        <f>+IF(ENERO!T160=0,"",ENERO!T160)</f>
        <v>Pago a otras IPS</v>
      </c>
      <c r="U160" s="29">
        <f>+ENERO!U160</f>
        <v>893693</v>
      </c>
      <c r="V160" s="15">
        <f>ENERO!V160+FEBRERO!AL160</f>
        <v>23000000</v>
      </c>
      <c r="W160" s="15">
        <f>ENERO!W160+FEBRERO!AM160</f>
        <v>2000000</v>
      </c>
      <c r="X160" s="16">
        <f t="shared" si="150"/>
        <v>25893693</v>
      </c>
      <c r="Y160" s="19">
        <f>ENERO!AA160</f>
        <v>96800</v>
      </c>
      <c r="Z160" s="377">
        <v>55000</v>
      </c>
      <c r="AA160" s="18">
        <f t="shared" si="151"/>
        <v>151800</v>
      </c>
      <c r="AB160" s="19">
        <f>ENERO!AD160</f>
        <v>96800</v>
      </c>
      <c r="AC160" s="377">
        <v>55000</v>
      </c>
      <c r="AD160" s="16">
        <f t="shared" si="152"/>
        <v>151800</v>
      </c>
      <c r="AE160" s="19">
        <f>ENERO!AG160</f>
        <v>0</v>
      </c>
      <c r="AF160" s="377">
        <v>55000</v>
      </c>
      <c r="AG160" s="16">
        <f t="shared" si="153"/>
        <v>55000</v>
      </c>
      <c r="AH160" s="19">
        <f t="shared" si="154"/>
        <v>25741893</v>
      </c>
      <c r="AI160" s="15">
        <f t="shared" si="155"/>
        <v>25741893</v>
      </c>
      <c r="AJ160" s="16">
        <f t="shared" si="156"/>
        <v>25838693</v>
      </c>
      <c r="AK160" s="9"/>
      <c r="AL160" s="375">
        <v>23000000</v>
      </c>
      <c r="AM160" s="378">
        <v>0</v>
      </c>
      <c r="AN160" s="9"/>
    </row>
    <row r="161" spans="1:40" s="385" customFormat="1" ht="24.95" customHeight="1" x14ac:dyDescent="0.2">
      <c r="A161" s="767"/>
      <c r="B161" s="668"/>
      <c r="N161" s="9"/>
      <c r="P161" s="9"/>
      <c r="Q161" s="9"/>
      <c r="R161" s="9"/>
      <c r="S161" s="720" t="str">
        <f>+IF(ENERO!S161=0,"",ENERO!S161)</f>
        <v>2020202-4</v>
      </c>
      <c r="T161" s="738" t="str">
        <f>+IF(ENERO!T161=0,"",ENERO!T161)</f>
        <v>Comunicaciones y Transportes</v>
      </c>
      <c r="U161" s="29">
        <f>+ENERO!U161</f>
        <v>9528246</v>
      </c>
      <c r="V161" s="15">
        <f>ENERO!V161+FEBRERO!AL161</f>
        <v>0</v>
      </c>
      <c r="W161" s="15">
        <f>ENERO!W161+FEBRERO!AM161</f>
        <v>0</v>
      </c>
      <c r="X161" s="16">
        <f t="shared" si="150"/>
        <v>9528246</v>
      </c>
      <c r="Y161" s="19">
        <f>ENERO!AA161</f>
        <v>414812</v>
      </c>
      <c r="Z161" s="377">
        <v>428933</v>
      </c>
      <c r="AA161" s="18">
        <f t="shared" si="151"/>
        <v>843745</v>
      </c>
      <c r="AB161" s="19">
        <f>ENERO!AD161</f>
        <v>414812</v>
      </c>
      <c r="AC161" s="377">
        <v>428933</v>
      </c>
      <c r="AD161" s="16">
        <f t="shared" si="152"/>
        <v>843745</v>
      </c>
      <c r="AE161" s="19">
        <f>ENERO!AG161</f>
        <v>0</v>
      </c>
      <c r="AF161" s="377">
        <v>82200</v>
      </c>
      <c r="AG161" s="16">
        <f t="shared" si="153"/>
        <v>82200</v>
      </c>
      <c r="AH161" s="19">
        <f t="shared" si="154"/>
        <v>8684501</v>
      </c>
      <c r="AI161" s="15">
        <f t="shared" si="155"/>
        <v>8684501</v>
      </c>
      <c r="AJ161" s="16">
        <f t="shared" si="156"/>
        <v>9446046</v>
      </c>
      <c r="AK161" s="9"/>
      <c r="AL161" s="375">
        <v>0</v>
      </c>
      <c r="AM161" s="378">
        <v>0</v>
      </c>
      <c r="AN161" s="9"/>
    </row>
    <row r="162" spans="1:40" s="385" customFormat="1" ht="24.95" customHeight="1" x14ac:dyDescent="0.2">
      <c r="A162" s="767"/>
      <c r="B162" s="668"/>
      <c r="N162" s="9"/>
      <c r="P162" s="9"/>
      <c r="Q162" s="9"/>
      <c r="R162" s="9"/>
      <c r="S162" s="720" t="str">
        <f>+IF(ENERO!S162=0,"",ENERO!S162)</f>
        <v>2020202-5</v>
      </c>
      <c r="T162" s="738" t="str">
        <f>+IF(ENERO!T162=0,"",ENERO!T162)</f>
        <v>Viáticos y Gastos de Viaje</v>
      </c>
      <c r="U162" s="29">
        <f>+ENERO!U162</f>
        <v>3326745</v>
      </c>
      <c r="V162" s="15">
        <f>ENERO!V162+FEBRERO!AL162</f>
        <v>0</v>
      </c>
      <c r="W162" s="15">
        <f>ENERO!W162+FEBRERO!AM162</f>
        <v>0</v>
      </c>
      <c r="X162" s="16">
        <f t="shared" si="150"/>
        <v>3326745</v>
      </c>
      <c r="Y162" s="19">
        <f>ENERO!AA162</f>
        <v>0</v>
      </c>
      <c r="Z162" s="377">
        <v>85913</v>
      </c>
      <c r="AA162" s="18">
        <f t="shared" si="151"/>
        <v>85913</v>
      </c>
      <c r="AB162" s="19">
        <f>ENERO!AD162</f>
        <v>0</v>
      </c>
      <c r="AC162" s="377">
        <v>85913</v>
      </c>
      <c r="AD162" s="16">
        <f t="shared" si="152"/>
        <v>85913</v>
      </c>
      <c r="AE162" s="19">
        <f>ENERO!AG162</f>
        <v>0</v>
      </c>
      <c r="AF162" s="377">
        <v>79212</v>
      </c>
      <c r="AG162" s="16">
        <f t="shared" si="153"/>
        <v>79212</v>
      </c>
      <c r="AH162" s="19">
        <f t="shared" si="154"/>
        <v>3240832</v>
      </c>
      <c r="AI162" s="15">
        <f t="shared" si="155"/>
        <v>3240832</v>
      </c>
      <c r="AJ162" s="16">
        <f t="shared" si="156"/>
        <v>3247533</v>
      </c>
      <c r="AK162" s="9"/>
      <c r="AL162" s="375">
        <v>0</v>
      </c>
      <c r="AM162" s="378">
        <v>0</v>
      </c>
      <c r="AN162" s="9"/>
    </row>
    <row r="163" spans="1:40" s="385" customFormat="1" ht="24.95" customHeight="1" x14ac:dyDescent="0.2">
      <c r="A163" s="767"/>
      <c r="B163" s="668"/>
      <c r="N163" s="9"/>
      <c r="P163" s="9"/>
      <c r="Q163" s="9"/>
      <c r="R163" s="9"/>
      <c r="S163" s="720" t="str">
        <f>+IF(ENERO!S163=0,"",ENERO!S163)</f>
        <v>2020202-6</v>
      </c>
      <c r="T163" s="738" t="str">
        <f>+IF(ENERO!T163=0,"",ENERO!T163)</f>
        <v>Plan Integral de Manejo de Residuos Sólidos Hospitalarios</v>
      </c>
      <c r="U163" s="29">
        <f>+ENERO!U163</f>
        <v>10511470</v>
      </c>
      <c r="V163" s="15">
        <f>ENERO!V163+FEBRERO!AL163</f>
        <v>0</v>
      </c>
      <c r="W163" s="15">
        <f>ENERO!W163+FEBRERO!AM163</f>
        <v>0</v>
      </c>
      <c r="X163" s="16">
        <f t="shared" si="150"/>
        <v>10511470</v>
      </c>
      <c r="Y163" s="19">
        <f>ENERO!AA163</f>
        <v>470488</v>
      </c>
      <c r="Z163" s="377">
        <v>10040982</v>
      </c>
      <c r="AA163" s="18">
        <f t="shared" si="151"/>
        <v>10511470</v>
      </c>
      <c r="AB163" s="19">
        <f>ENERO!AD163</f>
        <v>470488</v>
      </c>
      <c r="AC163" s="377">
        <v>409152</v>
      </c>
      <c r="AD163" s="16">
        <f t="shared" si="152"/>
        <v>879640</v>
      </c>
      <c r="AE163" s="19">
        <f>ENERO!AG163</f>
        <v>0</v>
      </c>
      <c r="AF163" s="377">
        <v>0</v>
      </c>
      <c r="AG163" s="16">
        <f t="shared" si="153"/>
        <v>0</v>
      </c>
      <c r="AH163" s="19">
        <f t="shared" si="154"/>
        <v>0</v>
      </c>
      <c r="AI163" s="15">
        <f t="shared" si="155"/>
        <v>9631830</v>
      </c>
      <c r="AJ163" s="16">
        <f t="shared" si="156"/>
        <v>10511470</v>
      </c>
      <c r="AK163" s="9"/>
      <c r="AL163" s="375">
        <v>0</v>
      </c>
      <c r="AM163" s="378">
        <v>0</v>
      </c>
      <c r="AN163" s="9"/>
    </row>
    <row r="164" spans="1:40" s="385" customFormat="1" ht="24.95" customHeight="1" x14ac:dyDescent="0.2">
      <c r="A164" s="767"/>
      <c r="B164" s="668"/>
      <c r="N164" s="9"/>
      <c r="P164" s="9"/>
      <c r="Q164" s="9"/>
      <c r="R164" s="9"/>
      <c r="S164" s="720" t="str">
        <f>+IF(ENERO!S164=0,"",ENERO!S164)</f>
        <v>2020202-7</v>
      </c>
      <c r="T164" s="738" t="str">
        <f>+IF(ENERO!T164=0,"",ENERO!T164)</f>
        <v>Servicios de Laboratorio contratados con terceros</v>
      </c>
      <c r="U164" s="29">
        <f>+ENERO!U164</f>
        <v>21580478</v>
      </c>
      <c r="V164" s="15">
        <f>ENERO!V164+FEBRERO!AL164</f>
        <v>0</v>
      </c>
      <c r="W164" s="15">
        <f>ENERO!W164+FEBRERO!AM164</f>
        <v>0</v>
      </c>
      <c r="X164" s="16">
        <f t="shared" si="150"/>
        <v>21580478</v>
      </c>
      <c r="Y164" s="19">
        <f>ENERO!AA164</f>
        <v>1614400</v>
      </c>
      <c r="Z164" s="377">
        <v>3191000</v>
      </c>
      <c r="AA164" s="18">
        <f t="shared" si="151"/>
        <v>4805400</v>
      </c>
      <c r="AB164" s="19">
        <f>ENERO!AD164</f>
        <v>1614400</v>
      </c>
      <c r="AC164" s="377">
        <v>3191000</v>
      </c>
      <c r="AD164" s="16">
        <f t="shared" si="152"/>
        <v>4805400</v>
      </c>
      <c r="AE164" s="19">
        <f>ENERO!AG164</f>
        <v>0</v>
      </c>
      <c r="AF164" s="377">
        <v>0</v>
      </c>
      <c r="AG164" s="16">
        <f t="shared" si="153"/>
        <v>0</v>
      </c>
      <c r="AH164" s="19">
        <f t="shared" si="154"/>
        <v>16775078</v>
      </c>
      <c r="AI164" s="15">
        <f t="shared" si="155"/>
        <v>16775078</v>
      </c>
      <c r="AJ164" s="16">
        <f t="shared" si="156"/>
        <v>21580478</v>
      </c>
      <c r="AK164" s="9"/>
      <c r="AL164" s="375">
        <v>0</v>
      </c>
      <c r="AM164" s="378">
        <v>0</v>
      </c>
      <c r="AN164" s="9"/>
    </row>
    <row r="165" spans="1:40" s="385" customFormat="1" ht="24.95" customHeight="1" x14ac:dyDescent="0.2">
      <c r="A165" s="767"/>
      <c r="B165" s="668"/>
      <c r="N165" s="9"/>
      <c r="P165" s="9"/>
      <c r="Q165" s="9"/>
      <c r="R165" s="9"/>
      <c r="S165" s="720" t="str">
        <f>+IF(ENERO!S165=0,"",ENERO!S165)</f>
        <v>2020202-8</v>
      </c>
      <c r="T165" s="738" t="str">
        <f>+IF(ENERO!T165=0,"",ENERO!T165)</f>
        <v>Servicios de Rayos X e Imaginología contratado con terceros</v>
      </c>
      <c r="U165" s="29">
        <f>+ENERO!U165</f>
        <v>0</v>
      </c>
      <c r="V165" s="15">
        <f>ENERO!V165+FEBRERO!AL165</f>
        <v>0</v>
      </c>
      <c r="W165" s="15">
        <f>ENERO!W165+FEBRERO!AM165</f>
        <v>0</v>
      </c>
      <c r="X165" s="16">
        <f t="shared" si="150"/>
        <v>0</v>
      </c>
      <c r="Y165" s="19">
        <f>ENERO!AA165</f>
        <v>0</v>
      </c>
      <c r="Z165" s="377">
        <v>0</v>
      </c>
      <c r="AA165" s="18">
        <f t="shared" si="151"/>
        <v>0</v>
      </c>
      <c r="AB165" s="19">
        <f>ENERO!AD165</f>
        <v>0</v>
      </c>
      <c r="AC165" s="377">
        <v>0</v>
      </c>
      <c r="AD165" s="16">
        <f t="shared" si="152"/>
        <v>0</v>
      </c>
      <c r="AE165" s="19">
        <f>ENERO!AG165</f>
        <v>0</v>
      </c>
      <c r="AF165" s="377">
        <v>0</v>
      </c>
      <c r="AG165" s="16">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+IF(ENERO!S166=0,"",ENERO!S166)</f>
        <v>2020202-9</v>
      </c>
      <c r="T166" s="738" t="str">
        <f>+IF(ENERO!T166=0,"",ENERO!T166)</f>
        <v>Arrendamientos</v>
      </c>
      <c r="U166" s="29">
        <f>+ENERO!U166</f>
        <v>66889324</v>
      </c>
      <c r="V166" s="15">
        <f>ENERO!V166+FEBRERO!AL166</f>
        <v>0</v>
      </c>
      <c r="W166" s="15">
        <f>ENERO!W166+FEBRERO!AM166</f>
        <v>0</v>
      </c>
      <c r="X166" s="16">
        <f t="shared" si="150"/>
        <v>66889324</v>
      </c>
      <c r="Y166" s="19">
        <f>ENERO!AA166</f>
        <v>5619700</v>
      </c>
      <c r="Z166" s="377">
        <v>58000000</v>
      </c>
      <c r="AA166" s="18">
        <f t="shared" si="151"/>
        <v>63619700</v>
      </c>
      <c r="AB166" s="19">
        <f>ENERO!AD166</f>
        <v>5619700</v>
      </c>
      <c r="AC166" s="377">
        <v>5219640</v>
      </c>
      <c r="AD166" s="16">
        <f t="shared" si="152"/>
        <v>10839340</v>
      </c>
      <c r="AE166" s="19">
        <f>ENERO!AG166</f>
        <v>0</v>
      </c>
      <c r="AF166" s="377">
        <v>0</v>
      </c>
      <c r="AG166" s="16">
        <f t="shared" si="153"/>
        <v>0</v>
      </c>
      <c r="AH166" s="19">
        <f t="shared" si="154"/>
        <v>3269624</v>
      </c>
      <c r="AI166" s="15">
        <f t="shared" si="155"/>
        <v>56049984</v>
      </c>
      <c r="AJ166" s="16">
        <f t="shared" si="156"/>
        <v>66889324</v>
      </c>
      <c r="AK166" s="9"/>
      <c r="AL166" s="375">
        <v>0</v>
      </c>
      <c r="AM166" s="378">
        <v>0</v>
      </c>
      <c r="AN166" s="9"/>
    </row>
    <row r="167" spans="1:40" s="385" customFormat="1" ht="24.95" customHeight="1" x14ac:dyDescent="0.2">
      <c r="A167" s="767"/>
      <c r="B167" s="668"/>
      <c r="N167" s="9"/>
      <c r="P167" s="9"/>
      <c r="Q167" s="9"/>
      <c r="R167" s="9"/>
      <c r="S167" s="720" t="str">
        <f>+IF(ENERO!S167=0,"",ENERO!S167)</f>
        <v>2020202-10</v>
      </c>
      <c r="T167" s="738" t="str">
        <f>+IF(ENERO!T167=0,"",ENERO!T167)</f>
        <v>Servicios Públicos</v>
      </c>
      <c r="U167" s="29">
        <f>+ENERO!U167</f>
        <v>0</v>
      </c>
      <c r="V167" s="15">
        <f>ENERO!V167+FEBRERO!AL167</f>
        <v>0</v>
      </c>
      <c r="W167" s="15">
        <f>ENERO!W167+FEBRERO!AM167</f>
        <v>0</v>
      </c>
      <c r="X167" s="16">
        <f t="shared" si="150"/>
        <v>0</v>
      </c>
      <c r="Y167" s="19">
        <f>ENERO!AA167</f>
        <v>0</v>
      </c>
      <c r="Z167" s="377">
        <v>0</v>
      </c>
      <c r="AA167" s="18">
        <f t="shared" si="151"/>
        <v>0</v>
      </c>
      <c r="AB167" s="19">
        <f>ENERO!AD167</f>
        <v>0</v>
      </c>
      <c r="AC167" s="377">
        <v>0</v>
      </c>
      <c r="AD167" s="16">
        <f t="shared" si="152"/>
        <v>0</v>
      </c>
      <c r="AE167" s="19">
        <f>ENERO!AG167</f>
        <v>0</v>
      </c>
      <c r="AF167" s="377">
        <v>0</v>
      </c>
      <c r="AG167" s="16">
        <f t="shared" si="153"/>
        <v>0</v>
      </c>
      <c r="AH167" s="19">
        <f t="shared" si="154"/>
        <v>0</v>
      </c>
      <c r="AI167" s="15">
        <f t="shared" si="155"/>
        <v>0</v>
      </c>
      <c r="AJ167" s="16">
        <f t="shared" si="156"/>
        <v>0</v>
      </c>
      <c r="AK167" s="9"/>
      <c r="AL167" s="375">
        <v>0</v>
      </c>
      <c r="AM167" s="378">
        <v>0</v>
      </c>
      <c r="AN167" s="9"/>
    </row>
    <row r="168" spans="1:40" s="385" customFormat="1" ht="24.95" customHeight="1" x14ac:dyDescent="0.2">
      <c r="A168" s="767"/>
      <c r="B168" s="668"/>
      <c r="N168" s="9"/>
      <c r="P168" s="9"/>
      <c r="Q168" s="9"/>
      <c r="R168" s="9"/>
      <c r="S168" s="719">
        <f>+IF(ENERO!S168=0,"",ENERO!S168)</f>
        <v>2020299</v>
      </c>
      <c r="T168" s="737" t="str">
        <f>+IF(ENERO!T168=0,"",ENERO!T168)</f>
        <v>Vigencias Anteriores</v>
      </c>
      <c r="U168" s="29">
        <f>+ENERO!U168</f>
        <v>0</v>
      </c>
      <c r="V168" s="15">
        <f>ENERO!V168+FEBRERO!AL168</f>
        <v>0</v>
      </c>
      <c r="W168" s="15">
        <f>ENERO!W168+FEBRERO!AM168</f>
        <v>28537671</v>
      </c>
      <c r="X168" s="16">
        <f t="shared" si="150"/>
        <v>28537671</v>
      </c>
      <c r="Y168" s="19">
        <f>ENERO!AA168</f>
        <v>28537671</v>
      </c>
      <c r="Z168" s="377">
        <v>0</v>
      </c>
      <c r="AA168" s="18">
        <f t="shared" si="151"/>
        <v>28537671</v>
      </c>
      <c r="AB168" s="19">
        <f>ENERO!AD168</f>
        <v>28537671</v>
      </c>
      <c r="AC168" s="377">
        <v>0</v>
      </c>
      <c r="AD168" s="16">
        <f t="shared" si="152"/>
        <v>28537671</v>
      </c>
      <c r="AE168" s="19">
        <f>ENERO!AG168</f>
        <v>4146455</v>
      </c>
      <c r="AF168" s="377">
        <v>7914582</v>
      </c>
      <c r="AG168" s="16">
        <f t="shared" si="153"/>
        <v>12061037</v>
      </c>
      <c r="AH168" s="19">
        <f t="shared" si="154"/>
        <v>0</v>
      </c>
      <c r="AI168" s="15">
        <f t="shared" si="155"/>
        <v>0</v>
      </c>
      <c r="AJ168" s="16">
        <f t="shared" si="156"/>
        <v>16476634</v>
      </c>
      <c r="AK168" s="9"/>
      <c r="AL168" s="375">
        <v>0</v>
      </c>
      <c r="AM168" s="378">
        <v>0</v>
      </c>
      <c r="AN168" s="9"/>
    </row>
    <row r="169" spans="1:40" s="385" customFormat="1" ht="24.95" customHeight="1" x14ac:dyDescent="0.2">
      <c r="A169" s="767"/>
      <c r="B169" s="668"/>
      <c r="N169" s="9"/>
      <c r="P169" s="9"/>
      <c r="Q169" s="9"/>
      <c r="R169" s="9"/>
      <c r="S169" s="369" t="str">
        <f>+IF(ENERO!S169=0,"",ENERO!S169)</f>
        <v/>
      </c>
      <c r="T169" s="708" t="str">
        <f>+IF(ENERO!T169=0,"",ENERO!T169)</f>
        <v/>
      </c>
      <c r="U169" s="370"/>
      <c r="V169" s="164"/>
      <c r="W169" s="164"/>
      <c r="X169" s="169"/>
      <c r="Y169" s="370"/>
      <c r="Z169" s="164"/>
      <c r="AA169" s="164"/>
      <c r="AB169" s="370"/>
      <c r="AC169" s="164"/>
      <c r="AD169" s="169"/>
      <c r="AE169" s="370"/>
      <c r="AF169" s="164">
        <v>0</v>
      </c>
      <c r="AG169" s="169"/>
      <c r="AH169" s="370"/>
      <c r="AI169" s="164"/>
      <c r="AJ169" s="169"/>
      <c r="AK169" s="9"/>
      <c r="AL169" s="175"/>
      <c r="AM169" s="176"/>
      <c r="AN169" s="9"/>
    </row>
    <row r="170" spans="1:40" s="385" customFormat="1" ht="24.95" customHeight="1" x14ac:dyDescent="0.2">
      <c r="A170" s="767"/>
      <c r="B170" s="668"/>
      <c r="N170" s="9"/>
      <c r="P170" s="9"/>
      <c r="Q170" s="9"/>
      <c r="R170" s="9"/>
      <c r="S170" s="717">
        <f>+IF(ENERO!S170=0,"",ENERO!S170)</f>
        <v>3000000</v>
      </c>
      <c r="T170" s="739" t="str">
        <f>+IF(ENERO!T170=0,"",ENERO!T170)</f>
        <v>TRANSFERENCIAS CORRIENTES</v>
      </c>
      <c r="U170" s="382">
        <f t="shared" ref="U170:AJ170" si="157">U172+U176+U185</f>
        <v>60072284</v>
      </c>
      <c r="V170" s="474">
        <f t="shared" si="157"/>
        <v>0</v>
      </c>
      <c r="W170" s="474">
        <f t="shared" si="157"/>
        <v>14421810</v>
      </c>
      <c r="X170" s="383">
        <f t="shared" si="157"/>
        <v>74494094</v>
      </c>
      <c r="Y170" s="382">
        <f t="shared" si="157"/>
        <v>13957209</v>
      </c>
      <c r="Z170" s="474">
        <f t="shared" si="157"/>
        <v>5189280</v>
      </c>
      <c r="AA170" s="475">
        <f t="shared" si="157"/>
        <v>19146489</v>
      </c>
      <c r="AB170" s="382">
        <f t="shared" si="157"/>
        <v>13957209</v>
      </c>
      <c r="AC170" s="474">
        <f t="shared" si="157"/>
        <v>5189280</v>
      </c>
      <c r="AD170" s="383">
        <f t="shared" si="157"/>
        <v>19146489</v>
      </c>
      <c r="AE170" s="382">
        <f t="shared" si="157"/>
        <v>10957640</v>
      </c>
      <c r="AF170" s="474">
        <f t="shared" si="157"/>
        <v>10843</v>
      </c>
      <c r="AG170" s="383">
        <f t="shared" si="157"/>
        <v>10968483</v>
      </c>
      <c r="AH170" s="382">
        <f t="shared" si="157"/>
        <v>55347605</v>
      </c>
      <c r="AI170" s="474">
        <f t="shared" si="157"/>
        <v>55347605</v>
      </c>
      <c r="AJ170" s="383">
        <f t="shared" si="157"/>
        <v>63525611</v>
      </c>
      <c r="AK170" s="9"/>
      <c r="AL170" s="131">
        <f>AL172+AL176+AL185</f>
        <v>0</v>
      </c>
      <c r="AM170" s="133">
        <f>AM172+AM176+AM185</f>
        <v>5500000</v>
      </c>
      <c r="AN170" s="9"/>
    </row>
    <row r="171" spans="1:40" s="385" customFormat="1" ht="24.95" customHeight="1" x14ac:dyDescent="0.2">
      <c r="A171" s="767"/>
      <c r="B171" s="668"/>
      <c r="N171" s="9"/>
      <c r="P171" s="9"/>
      <c r="Q171" s="9"/>
      <c r="R171" s="9"/>
      <c r="S171" s="369" t="str">
        <f>+IF(ENERO!S171=0,"",ENERO!S171)</f>
        <v/>
      </c>
      <c r="T171" s="708" t="str">
        <f>+IF(ENERO!T171=0,"",ENERO!T171)</f>
        <v/>
      </c>
      <c r="U171" s="370"/>
      <c r="V171" s="164"/>
      <c r="W171" s="164"/>
      <c r="X171" s="169"/>
      <c r="Y171" s="370"/>
      <c r="Z171" s="164"/>
      <c r="AA171" s="164"/>
      <c r="AB171" s="370"/>
      <c r="AC171" s="164"/>
      <c r="AD171" s="169"/>
      <c r="AE171" s="370"/>
      <c r="AF171" s="164"/>
      <c r="AG171" s="169"/>
      <c r="AH171" s="370"/>
      <c r="AI171" s="164"/>
      <c r="AJ171" s="169"/>
      <c r="AK171" s="9"/>
      <c r="AL171" s="175"/>
      <c r="AM171" s="176"/>
      <c r="AN171" s="9"/>
    </row>
    <row r="172" spans="1:40" s="385" customFormat="1" ht="24.95" customHeight="1" x14ac:dyDescent="0.2">
      <c r="A172" s="767"/>
      <c r="B172" s="668"/>
      <c r="N172" s="9"/>
      <c r="P172" s="9"/>
      <c r="Q172" s="9"/>
      <c r="R172" s="9"/>
      <c r="S172" s="718">
        <f>+IF(ENERO!S172=0,"",ENERO!S172)</f>
        <v>3100000</v>
      </c>
      <c r="T172" s="736" t="str">
        <f>+IF(ENERO!T172=0,"",ENERO!T172)</f>
        <v>Transferencias al Sector Público</v>
      </c>
      <c r="U172" s="131">
        <f t="shared" ref="U172:AJ172" si="158">SUM(U173:U174)</f>
        <v>5285000</v>
      </c>
      <c r="V172" s="124">
        <f t="shared" si="158"/>
        <v>0</v>
      </c>
      <c r="W172" s="124">
        <f t="shared" si="158"/>
        <v>243136</v>
      </c>
      <c r="X172" s="133">
        <f t="shared" si="158"/>
        <v>5528136</v>
      </c>
      <c r="Y172" s="131">
        <f t="shared" si="158"/>
        <v>243136</v>
      </c>
      <c r="Z172" s="124">
        <f t="shared" si="158"/>
        <v>0</v>
      </c>
      <c r="AA172" s="132">
        <f t="shared" si="158"/>
        <v>243136</v>
      </c>
      <c r="AB172" s="131">
        <f t="shared" si="158"/>
        <v>243136</v>
      </c>
      <c r="AC172" s="124">
        <f t="shared" si="158"/>
        <v>0</v>
      </c>
      <c r="AD172" s="133">
        <f t="shared" si="158"/>
        <v>243136</v>
      </c>
      <c r="AE172" s="131">
        <f t="shared" si="158"/>
        <v>243136</v>
      </c>
      <c r="AF172" s="124">
        <f t="shared" si="158"/>
        <v>0</v>
      </c>
      <c r="AG172" s="133">
        <f t="shared" si="158"/>
        <v>243136</v>
      </c>
      <c r="AH172" s="131">
        <f t="shared" si="158"/>
        <v>5285000</v>
      </c>
      <c r="AI172" s="124">
        <f t="shared" si="158"/>
        <v>5285000</v>
      </c>
      <c r="AJ172" s="133">
        <f t="shared" si="158"/>
        <v>5285000</v>
      </c>
      <c r="AK172" s="9"/>
      <c r="AL172" s="131">
        <f>SUM(AL173:AL174)</f>
        <v>0</v>
      </c>
      <c r="AM172" s="133">
        <f>SUM(AM173:AM174)</f>
        <v>0</v>
      </c>
      <c r="AN172" s="9"/>
    </row>
    <row r="173" spans="1:40" s="385" customFormat="1" ht="24.95" customHeight="1" x14ac:dyDescent="0.2">
      <c r="A173" s="767"/>
      <c r="B173" s="668"/>
      <c r="N173" s="9"/>
      <c r="P173" s="9"/>
      <c r="Q173" s="9"/>
      <c r="R173" s="9"/>
      <c r="S173" s="719">
        <f>+IF(ENERO!S173=0,"",ENERO!S173)</f>
        <v>3100003</v>
      </c>
      <c r="T173" s="737" t="str">
        <f>+IF(ENERO!T173=0,"",ENERO!T173)</f>
        <v>Entidades Públicas (Contraloria, Supersalud,…)</v>
      </c>
      <c r="U173" s="29">
        <f>+ENERO!U173</f>
        <v>5285000</v>
      </c>
      <c r="V173" s="15">
        <f>ENERO!V173+FEBRERO!AL173</f>
        <v>0</v>
      </c>
      <c r="W173" s="15">
        <f>ENERO!W173+FEBRERO!AM173</f>
        <v>0</v>
      </c>
      <c r="X173" s="16">
        <f>SUM(U173:W173)</f>
        <v>5285000</v>
      </c>
      <c r="Y173" s="19">
        <f>ENERO!AA173</f>
        <v>0</v>
      </c>
      <c r="Z173" s="377">
        <v>0</v>
      </c>
      <c r="AA173" s="18">
        <f>SUM(Y173:Z173)</f>
        <v>0</v>
      </c>
      <c r="AB173" s="19">
        <f>ENERO!AD173</f>
        <v>0</v>
      </c>
      <c r="AC173" s="377">
        <v>0</v>
      </c>
      <c r="AD173" s="16">
        <f>SUM(AB173:AC173)</f>
        <v>0</v>
      </c>
      <c r="AE173" s="19">
        <f>ENERO!AG173</f>
        <v>0</v>
      </c>
      <c r="AF173" s="377">
        <v>0</v>
      </c>
      <c r="AG173" s="16">
        <f>SUM(AE173:AF173)</f>
        <v>0</v>
      </c>
      <c r="AH173" s="19">
        <f>X173-AA173</f>
        <v>5285000</v>
      </c>
      <c r="AI173" s="15">
        <f>X173-AD173</f>
        <v>5285000</v>
      </c>
      <c r="AJ173" s="16">
        <f>X173-AG173</f>
        <v>5285000</v>
      </c>
      <c r="AK173" s="9"/>
      <c r="AL173" s="375">
        <v>0</v>
      </c>
      <c r="AM173" s="378">
        <v>0</v>
      </c>
      <c r="AN173" s="9"/>
    </row>
    <row r="174" spans="1:40" s="385" customFormat="1" ht="24.95" customHeight="1" x14ac:dyDescent="0.2">
      <c r="A174" s="767"/>
      <c r="B174" s="668"/>
      <c r="N174" s="9"/>
      <c r="P174" s="9"/>
      <c r="Q174" s="9"/>
      <c r="R174" s="9"/>
      <c r="S174" s="719">
        <f>+IF(ENERO!S174=0,"",ENERO!S174)</f>
        <v>3199999</v>
      </c>
      <c r="T174" s="737" t="str">
        <f>+IF(ENERO!T174=0,"",ENERO!T174)</f>
        <v>Vigencias Anteriores</v>
      </c>
      <c r="U174" s="29">
        <f>+ENERO!U174</f>
        <v>0</v>
      </c>
      <c r="V174" s="15">
        <f>ENERO!V174+FEBRERO!AL174</f>
        <v>0</v>
      </c>
      <c r="W174" s="15">
        <f>ENERO!W174+FEBRERO!AM174</f>
        <v>243136</v>
      </c>
      <c r="X174" s="16">
        <f>SUM(U174:W174)</f>
        <v>243136</v>
      </c>
      <c r="Y174" s="19">
        <f>ENERO!AA174</f>
        <v>243136</v>
      </c>
      <c r="Z174" s="377">
        <v>0</v>
      </c>
      <c r="AA174" s="18">
        <f>SUM(Y174:Z174)</f>
        <v>243136</v>
      </c>
      <c r="AB174" s="19">
        <f>ENERO!AD174</f>
        <v>243136</v>
      </c>
      <c r="AC174" s="377">
        <v>0</v>
      </c>
      <c r="AD174" s="16">
        <f>SUM(AB174:AC174)</f>
        <v>243136</v>
      </c>
      <c r="AE174" s="19">
        <f>ENERO!AG174</f>
        <v>243136</v>
      </c>
      <c r="AF174" s="377">
        <v>0</v>
      </c>
      <c r="AG174" s="16">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+IF(ENERO!S175=0,"",ENERO!S175)</f>
        <v/>
      </c>
      <c r="T175" s="708" t="str">
        <f>+IF(ENERO!T175=0,"",ENERO!T175)</f>
        <v/>
      </c>
      <c r="U175" s="370"/>
      <c r="V175" s="164"/>
      <c r="W175" s="164"/>
      <c r="X175" s="169"/>
      <c r="Y175" s="370"/>
      <c r="Z175" s="164"/>
      <c r="AA175" s="164"/>
      <c r="AB175" s="370"/>
      <c r="AC175" s="164"/>
      <c r="AD175" s="169"/>
      <c r="AE175" s="370"/>
      <c r="AF175" s="164"/>
      <c r="AG175" s="169"/>
      <c r="AH175" s="370"/>
      <c r="AI175" s="164"/>
      <c r="AJ175" s="169"/>
      <c r="AK175" s="10"/>
      <c r="AL175" s="175"/>
      <c r="AM175" s="176"/>
      <c r="AN175" s="9"/>
    </row>
    <row r="176" spans="1:40" s="385" customFormat="1" ht="24.95" customHeight="1" x14ac:dyDescent="0.2">
      <c r="A176" s="767"/>
      <c r="B176" s="668"/>
      <c r="N176" s="9"/>
      <c r="P176" s="9"/>
      <c r="Q176" s="9"/>
      <c r="R176" s="9"/>
      <c r="S176" s="718">
        <f>+IF(ENERO!S176=0,"",ENERO!S176)</f>
        <v>320000</v>
      </c>
      <c r="T176" s="736" t="str">
        <f>+IF(ENERO!T176=0,"",ENERO!T176)</f>
        <v>Transf. Previsión y Seguridad Social</v>
      </c>
      <c r="U176" s="131">
        <f t="shared" ref="U176:AJ176" si="159">SUM(U177:U183)</f>
        <v>51170820</v>
      </c>
      <c r="V176" s="124">
        <f t="shared" si="159"/>
        <v>0</v>
      </c>
      <c r="W176" s="124">
        <f t="shared" si="159"/>
        <v>8290292</v>
      </c>
      <c r="X176" s="133">
        <f t="shared" si="159"/>
        <v>59461112</v>
      </c>
      <c r="Y176" s="131">
        <f t="shared" si="159"/>
        <v>10748291</v>
      </c>
      <c r="Z176" s="124">
        <f t="shared" si="159"/>
        <v>2631153</v>
      </c>
      <c r="AA176" s="132">
        <f t="shared" si="159"/>
        <v>13379444</v>
      </c>
      <c r="AB176" s="131">
        <f t="shared" si="159"/>
        <v>10748291</v>
      </c>
      <c r="AC176" s="124">
        <f t="shared" si="159"/>
        <v>2631153</v>
      </c>
      <c r="AD176" s="133">
        <f t="shared" si="159"/>
        <v>13379444</v>
      </c>
      <c r="AE176" s="131">
        <f t="shared" si="159"/>
        <v>10714504</v>
      </c>
      <c r="AF176" s="124">
        <f t="shared" si="159"/>
        <v>10843</v>
      </c>
      <c r="AG176" s="133">
        <f t="shared" si="159"/>
        <v>10725347</v>
      </c>
      <c r="AH176" s="131">
        <f t="shared" si="159"/>
        <v>46081668</v>
      </c>
      <c r="AI176" s="124">
        <f t="shared" si="159"/>
        <v>46081668</v>
      </c>
      <c r="AJ176" s="133">
        <f t="shared" si="159"/>
        <v>48735765</v>
      </c>
      <c r="AK176" s="9"/>
      <c r="AL176" s="131">
        <f>SUM(AL177:AL183)</f>
        <v>0</v>
      </c>
      <c r="AM176" s="133">
        <f>SUM(AM177:AM183)</f>
        <v>0</v>
      </c>
      <c r="AN176" s="9"/>
    </row>
    <row r="177" spans="1:40" s="385" customFormat="1" ht="24.95" customHeight="1" x14ac:dyDescent="0.2">
      <c r="A177" s="767"/>
      <c r="B177" s="668"/>
      <c r="N177" s="9"/>
      <c r="P177" s="9"/>
      <c r="Q177" s="9"/>
      <c r="R177" s="9"/>
      <c r="S177" s="719">
        <f>+IF(ENERO!S177=0,"",ENERO!S177)</f>
        <v>3200100</v>
      </c>
      <c r="T177" s="737" t="str">
        <f>+IF(ENERO!T177=0,"",ENERO!T177)</f>
        <v>Pensiones y Jubilaciones (Pago Directo)</v>
      </c>
      <c r="U177" s="29">
        <f>+ENERO!U177</f>
        <v>39279816</v>
      </c>
      <c r="V177" s="15">
        <f>ENERO!V177+FEBRERO!AL177</f>
        <v>0</v>
      </c>
      <c r="W177" s="15">
        <f>ENERO!W177+FEBRERO!AM177</f>
        <v>0</v>
      </c>
      <c r="X177" s="16">
        <f t="shared" ref="X177:X183" si="160">SUM(U177:W177)</f>
        <v>39279816</v>
      </c>
      <c r="Y177" s="19">
        <f>ENERO!AA177</f>
        <v>2457999</v>
      </c>
      <c r="Z177" s="377">
        <v>2631153</v>
      </c>
      <c r="AA177" s="18">
        <f t="shared" ref="AA177:AA183" si="161">SUM(Y177:Z177)</f>
        <v>5089152</v>
      </c>
      <c r="AB177" s="19">
        <f>ENERO!AD177</f>
        <v>2457999</v>
      </c>
      <c r="AC177" s="377">
        <v>2631153</v>
      </c>
      <c r="AD177" s="16">
        <f t="shared" ref="AD177:AD183" si="162">SUM(AB177:AC177)</f>
        <v>5089152</v>
      </c>
      <c r="AE177" s="19">
        <f>ENERO!AG177</f>
        <v>2457999</v>
      </c>
      <c r="AF177" s="377">
        <v>0</v>
      </c>
      <c r="AG177" s="16">
        <f t="shared" ref="AG177:AG183" si="163">SUM(AE177:AF177)</f>
        <v>2457999</v>
      </c>
      <c r="AH177" s="19">
        <f t="shared" ref="AH177:AH183" si="164">X177-AA177</f>
        <v>34190664</v>
      </c>
      <c r="AI177" s="15">
        <f t="shared" ref="AI177:AI183" si="165">X177-AD177</f>
        <v>34190664</v>
      </c>
      <c r="AJ177" s="16">
        <f t="shared" ref="AJ177:AJ183" si="166">X177-AG177</f>
        <v>36821817</v>
      </c>
      <c r="AK177" s="9"/>
      <c r="AL177" s="375">
        <v>0</v>
      </c>
      <c r="AM177" s="378">
        <v>0</v>
      </c>
      <c r="AN177" s="9"/>
    </row>
    <row r="178" spans="1:40" s="385" customFormat="1" ht="24.95" customHeight="1" x14ac:dyDescent="0.2">
      <c r="A178" s="767"/>
      <c r="B178" s="668"/>
      <c r="N178" s="9"/>
      <c r="P178" s="9"/>
      <c r="Q178" s="9"/>
      <c r="R178" s="9"/>
      <c r="S178" s="719">
        <f>+IF(ENERO!S178=0,"",ENERO!S178)</f>
        <v>3200200</v>
      </c>
      <c r="T178" s="737" t="str">
        <f>+IF(ENERO!T178=0,"",ENERO!T178)</f>
        <v>Cesantías Pago Directo (Pago Directo)</v>
      </c>
      <c r="U178" s="29">
        <f>+ENERO!U178</f>
        <v>11891004</v>
      </c>
      <c r="V178" s="15">
        <f>ENERO!V178+FEBRERO!AL178</f>
        <v>0</v>
      </c>
      <c r="W178" s="15">
        <f>ENERO!W178+FEBRERO!AM178</f>
        <v>0</v>
      </c>
      <c r="X178" s="16">
        <f t="shared" si="160"/>
        <v>11891004</v>
      </c>
      <c r="Y178" s="19">
        <f>ENERO!AA178</f>
        <v>0</v>
      </c>
      <c r="Z178" s="377">
        <v>0</v>
      </c>
      <c r="AA178" s="18">
        <f t="shared" si="161"/>
        <v>0</v>
      </c>
      <c r="AB178" s="19">
        <f>ENERO!AD178</f>
        <v>0</v>
      </c>
      <c r="AC178" s="377">
        <v>0</v>
      </c>
      <c r="AD178" s="16">
        <f t="shared" si="162"/>
        <v>0</v>
      </c>
      <c r="AE178" s="19">
        <f>ENERO!AG178</f>
        <v>0</v>
      </c>
      <c r="AF178" s="377">
        <v>0</v>
      </c>
      <c r="AG178" s="16">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+IF(ENERO!S179=0,"",ENERO!S179)</f>
        <v>3200300</v>
      </c>
      <c r="T179" s="737" t="str">
        <f>+IF(ENERO!T179=0,"",ENERO!T179)</f>
        <v>Bonos, Cuotas de Bonos y cuotas partes jubilatorias</v>
      </c>
      <c r="U179" s="29">
        <f>+ENERO!U179</f>
        <v>0</v>
      </c>
      <c r="V179" s="15">
        <f>ENERO!V179+FEBRERO!AL179</f>
        <v>0</v>
      </c>
      <c r="W179" s="15">
        <f>ENERO!W179+FEBRERO!AM179</f>
        <v>0</v>
      </c>
      <c r="X179" s="16">
        <f t="shared" si="160"/>
        <v>0</v>
      </c>
      <c r="Y179" s="19">
        <f>ENERO!AA179</f>
        <v>0</v>
      </c>
      <c r="Z179" s="377">
        <v>0</v>
      </c>
      <c r="AA179" s="18">
        <f t="shared" si="161"/>
        <v>0</v>
      </c>
      <c r="AB179" s="19">
        <f>ENERO!AD179</f>
        <v>0</v>
      </c>
      <c r="AC179" s="377">
        <v>0</v>
      </c>
      <c r="AD179" s="16">
        <f t="shared" si="162"/>
        <v>0</v>
      </c>
      <c r="AE179" s="19">
        <f>ENERO!AG179</f>
        <v>0</v>
      </c>
      <c r="AF179" s="377">
        <v>0</v>
      </c>
      <c r="AG179" s="16">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+IF(ENERO!S180=0,"",ENERO!S180)</f>
        <v>3200400</v>
      </c>
      <c r="T180" s="737" t="str">
        <f>+IF(ENERO!T180=0,"",ENERO!T180)</f>
        <v>Intereses a las cesantias</v>
      </c>
      <c r="U180" s="29">
        <f>+ENERO!U180</f>
        <v>0</v>
      </c>
      <c r="V180" s="15">
        <f>ENERO!V180+FEBRERO!AL180</f>
        <v>0</v>
      </c>
      <c r="W180" s="15">
        <f>ENERO!W180+FEBRERO!AM180</f>
        <v>0</v>
      </c>
      <c r="X180" s="16">
        <f t="shared" si="160"/>
        <v>0</v>
      </c>
      <c r="Y180" s="19">
        <f>ENERO!AA180</f>
        <v>0</v>
      </c>
      <c r="Z180" s="377">
        <v>0</v>
      </c>
      <c r="AA180" s="18">
        <f t="shared" si="161"/>
        <v>0</v>
      </c>
      <c r="AB180" s="19">
        <f>ENERO!AD180</f>
        <v>0</v>
      </c>
      <c r="AC180" s="377">
        <v>0</v>
      </c>
      <c r="AD180" s="16">
        <f t="shared" si="162"/>
        <v>0</v>
      </c>
      <c r="AE180" s="19">
        <f>ENERO!AG180</f>
        <v>0</v>
      </c>
      <c r="AF180" s="377">
        <v>0</v>
      </c>
      <c r="AG180" s="16">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+IF(ENERO!S181=0,"",ENERO!S181)</f>
        <v/>
      </c>
      <c r="T181" s="737" t="str">
        <f>+IF(ENERO!T181=0,"",ENERO!T181)</f>
        <v/>
      </c>
      <c r="U181" s="29">
        <f>+ENERO!U181</f>
        <v>0</v>
      </c>
      <c r="V181" s="15">
        <f>ENERO!V181+FEBRERO!AL181</f>
        <v>0</v>
      </c>
      <c r="W181" s="15">
        <f>ENERO!W181+FEBRERO!AM181</f>
        <v>0</v>
      </c>
      <c r="X181" s="16">
        <f t="shared" si="160"/>
        <v>0</v>
      </c>
      <c r="Y181" s="19">
        <f>ENERO!AA181</f>
        <v>0</v>
      </c>
      <c r="Z181" s="377">
        <v>0</v>
      </c>
      <c r="AA181" s="18">
        <f t="shared" si="161"/>
        <v>0</v>
      </c>
      <c r="AB181" s="19">
        <f>ENERO!AD181</f>
        <v>0</v>
      </c>
      <c r="AC181" s="377">
        <v>0</v>
      </c>
      <c r="AD181" s="16">
        <f t="shared" si="162"/>
        <v>0</v>
      </c>
      <c r="AE181" s="19">
        <f>ENERO!AG181</f>
        <v>0</v>
      </c>
      <c r="AF181" s="377">
        <v>0</v>
      </c>
      <c r="AG181" s="16">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+IF(ENERO!S182=0,"",ENERO!S182)</f>
        <v/>
      </c>
      <c r="T182" s="737" t="str">
        <f>+IF(ENERO!T182=0,"",ENERO!T182)</f>
        <v/>
      </c>
      <c r="U182" s="29">
        <f>+ENERO!U182</f>
        <v>0</v>
      </c>
      <c r="V182" s="15">
        <f>ENERO!V182+FEBRERO!AL182</f>
        <v>0</v>
      </c>
      <c r="W182" s="15">
        <f>ENERO!W182+FEBRERO!AM182</f>
        <v>0</v>
      </c>
      <c r="X182" s="16">
        <f t="shared" si="160"/>
        <v>0</v>
      </c>
      <c r="Y182" s="19">
        <f>ENERO!AA182</f>
        <v>0</v>
      </c>
      <c r="Z182" s="377">
        <v>0</v>
      </c>
      <c r="AA182" s="18">
        <f t="shared" si="161"/>
        <v>0</v>
      </c>
      <c r="AB182" s="19">
        <f>ENERO!AD182</f>
        <v>0</v>
      </c>
      <c r="AC182" s="377">
        <v>0</v>
      </c>
      <c r="AD182" s="16">
        <f t="shared" si="162"/>
        <v>0</v>
      </c>
      <c r="AE182" s="19">
        <f>ENERO!AG182</f>
        <v>0</v>
      </c>
      <c r="AF182" s="377">
        <v>0</v>
      </c>
      <c r="AG182" s="16">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+IF(ENERO!S183=0,"",ENERO!S183)</f>
        <v>3299999</v>
      </c>
      <c r="T183" s="737" t="str">
        <f>+IF(ENERO!T183=0,"",ENERO!T183)</f>
        <v>Vigencias Anteriores</v>
      </c>
      <c r="U183" s="29">
        <f>+ENERO!U183</f>
        <v>0</v>
      </c>
      <c r="V183" s="15">
        <f>ENERO!V183+FEBRERO!AL183</f>
        <v>0</v>
      </c>
      <c r="W183" s="15">
        <f>ENERO!W183+FEBRERO!AM183</f>
        <v>8290292</v>
      </c>
      <c r="X183" s="16">
        <f t="shared" si="160"/>
        <v>8290292</v>
      </c>
      <c r="Y183" s="19">
        <f>ENERO!AA183</f>
        <v>8290292</v>
      </c>
      <c r="Z183" s="377">
        <v>0</v>
      </c>
      <c r="AA183" s="18">
        <f t="shared" si="161"/>
        <v>8290292</v>
      </c>
      <c r="AB183" s="19">
        <f>ENERO!AD183</f>
        <v>8290292</v>
      </c>
      <c r="AC183" s="377">
        <v>0</v>
      </c>
      <c r="AD183" s="16">
        <f t="shared" si="162"/>
        <v>8290292</v>
      </c>
      <c r="AE183" s="19">
        <f>ENERO!AG183</f>
        <v>8256505</v>
      </c>
      <c r="AF183" s="377">
        <v>10843</v>
      </c>
      <c r="AG183" s="16">
        <f t="shared" si="163"/>
        <v>8267348</v>
      </c>
      <c r="AH183" s="19">
        <f t="shared" si="164"/>
        <v>0</v>
      </c>
      <c r="AI183" s="15">
        <f t="shared" si="165"/>
        <v>0</v>
      </c>
      <c r="AJ183" s="16">
        <f t="shared" si="166"/>
        <v>22944</v>
      </c>
      <c r="AK183" s="9"/>
      <c r="AL183" s="375">
        <v>0</v>
      </c>
      <c r="AM183" s="378">
        <v>0</v>
      </c>
      <c r="AN183" s="9"/>
    </row>
    <row r="184" spans="1:40" s="385" customFormat="1" ht="24.95" customHeight="1" x14ac:dyDescent="0.2">
      <c r="A184" s="767"/>
      <c r="B184" s="668"/>
      <c r="N184" s="9"/>
      <c r="P184" s="9"/>
      <c r="Q184" s="9"/>
      <c r="R184" s="9"/>
      <c r="S184" s="369" t="str">
        <f>+IF(ENERO!S184=0,"",ENERO!S184)</f>
        <v/>
      </c>
      <c r="T184" s="708" t="str">
        <f>+IF(ENERO!T184=0,"",ENERO!T184)</f>
        <v/>
      </c>
      <c r="U184" s="370"/>
      <c r="V184" s="164"/>
      <c r="W184" s="164"/>
      <c r="X184" s="169"/>
      <c r="Y184" s="370"/>
      <c r="Z184" s="164"/>
      <c r="AA184" s="164"/>
      <c r="AB184" s="370"/>
      <c r="AC184" s="164"/>
      <c r="AD184" s="169"/>
      <c r="AE184" s="370"/>
      <c r="AF184" s="164"/>
      <c r="AG184" s="169"/>
      <c r="AH184" s="370"/>
      <c r="AI184" s="164"/>
      <c r="AJ184" s="169"/>
      <c r="AK184" s="9"/>
      <c r="AL184" s="175"/>
      <c r="AM184" s="176"/>
      <c r="AN184" s="9"/>
    </row>
    <row r="185" spans="1:40" s="385" customFormat="1" ht="24.95" customHeight="1" x14ac:dyDescent="0.2">
      <c r="A185" s="767"/>
      <c r="B185" s="668"/>
      <c r="N185" s="9"/>
      <c r="P185" s="9"/>
      <c r="Q185" s="9"/>
      <c r="R185" s="9"/>
      <c r="S185" s="718">
        <f>+IF(ENERO!S185=0,"",ENERO!S185)</f>
        <v>3300000</v>
      </c>
      <c r="T185" s="736" t="str">
        <f>+IF(ENERO!T185=0,"",ENERO!T185)</f>
        <v>Otras Transferencias</v>
      </c>
      <c r="U185" s="131">
        <f t="shared" ref="U185:AJ185" si="167">U186+U187+U191</f>
        <v>3616464</v>
      </c>
      <c r="V185" s="124">
        <f t="shared" si="167"/>
        <v>0</v>
      </c>
      <c r="W185" s="124">
        <f t="shared" si="167"/>
        <v>5888382</v>
      </c>
      <c r="X185" s="133">
        <f t="shared" si="167"/>
        <v>9504846</v>
      </c>
      <c r="Y185" s="131">
        <f t="shared" si="167"/>
        <v>2965782</v>
      </c>
      <c r="Z185" s="124">
        <f t="shared" si="167"/>
        <v>2558127</v>
      </c>
      <c r="AA185" s="132">
        <f t="shared" si="167"/>
        <v>5523909</v>
      </c>
      <c r="AB185" s="131">
        <f t="shared" si="167"/>
        <v>2965782</v>
      </c>
      <c r="AC185" s="124">
        <f t="shared" si="167"/>
        <v>2558127</v>
      </c>
      <c r="AD185" s="133">
        <f t="shared" si="167"/>
        <v>5523909</v>
      </c>
      <c r="AE185" s="131">
        <f t="shared" si="167"/>
        <v>0</v>
      </c>
      <c r="AF185" s="124">
        <f t="shared" si="167"/>
        <v>0</v>
      </c>
      <c r="AG185" s="133">
        <f t="shared" si="167"/>
        <v>0</v>
      </c>
      <c r="AH185" s="131">
        <f t="shared" si="167"/>
        <v>3980937</v>
      </c>
      <c r="AI185" s="124">
        <f t="shared" si="167"/>
        <v>3980937</v>
      </c>
      <c r="AJ185" s="133">
        <f t="shared" si="167"/>
        <v>9504846</v>
      </c>
      <c r="AK185" s="9"/>
      <c r="AL185" s="131">
        <f>AL186+AL187+AL191</f>
        <v>0</v>
      </c>
      <c r="AM185" s="133">
        <f>AM186+AM187+AM191</f>
        <v>5500000</v>
      </c>
      <c r="AN185" s="9"/>
    </row>
    <row r="186" spans="1:40" s="385" customFormat="1" ht="24.95" customHeight="1" x14ac:dyDescent="0.2">
      <c r="A186" s="767"/>
      <c r="B186" s="668"/>
      <c r="N186" s="9"/>
      <c r="P186" s="9"/>
      <c r="Q186" s="9"/>
      <c r="R186" s="9"/>
      <c r="S186" s="719">
        <f>+IF(ENERO!S186=0,"",ENERO!S186)</f>
        <v>3300100</v>
      </c>
      <c r="T186" s="737" t="str">
        <f>+IF(ENERO!T186=0,"",ENERO!T186)</f>
        <v>Sentencias y Conciliaciones</v>
      </c>
      <c r="U186" s="29">
        <f>+ENERO!U186</f>
        <v>0</v>
      </c>
      <c r="V186" s="15">
        <f>ENERO!V186+FEBRERO!AL186</f>
        <v>0</v>
      </c>
      <c r="W186" s="15">
        <f>ENERO!W186+FEBRERO!AM186</f>
        <v>0</v>
      </c>
      <c r="X186" s="16">
        <f>SUM(U186:W186)</f>
        <v>0</v>
      </c>
      <c r="Y186" s="19">
        <f>ENERO!AA186</f>
        <v>0</v>
      </c>
      <c r="Z186" s="377">
        <v>0</v>
      </c>
      <c r="AA186" s="18">
        <f>SUM(Y186:Z186)</f>
        <v>0</v>
      </c>
      <c r="AB186" s="19">
        <f>ENERO!AD186</f>
        <v>0</v>
      </c>
      <c r="AC186" s="377">
        <v>0</v>
      </c>
      <c r="AD186" s="16">
        <f>SUM(AB186:AC186)</f>
        <v>0</v>
      </c>
      <c r="AE186" s="19">
        <f>ENERO!AG186</f>
        <v>0</v>
      </c>
      <c r="AF186" s="377">
        <v>0</v>
      </c>
      <c r="AG186" s="16">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+IF(ENERO!S187=0,"",ENERO!S187)</f>
        <v>3300200</v>
      </c>
      <c r="T187" s="737" t="str">
        <f>+IF(ENERO!T187=0,"",ENERO!T187)</f>
        <v>Destinatarios de otras transferencias</v>
      </c>
      <c r="U187" s="29">
        <f t="shared" ref="U187:AM187" si="168">SUM(U188:U190)</f>
        <v>3616464</v>
      </c>
      <c r="V187" s="15">
        <f t="shared" si="168"/>
        <v>0</v>
      </c>
      <c r="W187" s="15">
        <f t="shared" si="168"/>
        <v>5500000</v>
      </c>
      <c r="X187" s="16">
        <f t="shared" si="168"/>
        <v>9116464</v>
      </c>
      <c r="Y187" s="19">
        <f t="shared" si="168"/>
        <v>2577400</v>
      </c>
      <c r="Z187" s="145">
        <f t="shared" si="168"/>
        <v>2558127</v>
      </c>
      <c r="AA187" s="18">
        <f t="shared" si="168"/>
        <v>5135527</v>
      </c>
      <c r="AB187" s="19">
        <f t="shared" si="168"/>
        <v>2577400</v>
      </c>
      <c r="AC187" s="145">
        <f t="shared" si="168"/>
        <v>2558127</v>
      </c>
      <c r="AD187" s="16">
        <f t="shared" si="168"/>
        <v>5135527</v>
      </c>
      <c r="AE187" s="19">
        <f t="shared" si="168"/>
        <v>0</v>
      </c>
      <c r="AF187" s="145">
        <f t="shared" si="168"/>
        <v>0</v>
      </c>
      <c r="AG187" s="16">
        <f t="shared" si="168"/>
        <v>0</v>
      </c>
      <c r="AH187" s="19">
        <f t="shared" si="168"/>
        <v>3980937</v>
      </c>
      <c r="AI187" s="15">
        <f t="shared" si="168"/>
        <v>3980937</v>
      </c>
      <c r="AJ187" s="16">
        <f t="shared" si="168"/>
        <v>9116464</v>
      </c>
      <c r="AK187" s="9"/>
      <c r="AL187" s="29">
        <f t="shared" si="168"/>
        <v>0</v>
      </c>
      <c r="AM187" s="26">
        <f t="shared" si="168"/>
        <v>5500000</v>
      </c>
      <c r="AN187" s="9"/>
    </row>
    <row r="188" spans="1:40" s="385" customFormat="1" ht="24.95" customHeight="1" x14ac:dyDescent="0.2">
      <c r="A188" s="767"/>
      <c r="B188" s="669"/>
      <c r="N188" s="9"/>
      <c r="P188" s="9"/>
      <c r="Q188" s="9"/>
      <c r="R188" s="9"/>
      <c r="S188" s="720" t="str">
        <f>+IF(ENERO!S188=0,"",ENERO!S188)</f>
        <v>3300200-1</v>
      </c>
      <c r="T188" s="737" t="str">
        <f>+IF(ENERO!T188=0,"",ENERO!T188)</f>
        <v>COHAN</v>
      </c>
      <c r="U188" s="29">
        <f>+ENERO!U188</f>
        <v>793940</v>
      </c>
      <c r="V188" s="15">
        <f>ENERO!V188+FEBRERO!AL188</f>
        <v>0</v>
      </c>
      <c r="W188" s="15">
        <f>ENERO!W188+FEBRERO!AM188</f>
        <v>5500000</v>
      </c>
      <c r="X188" s="16">
        <f>SUM(U188:W188)</f>
        <v>6293940</v>
      </c>
      <c r="Y188" s="19">
        <f>ENERO!AA188</f>
        <v>0</v>
      </c>
      <c r="Z188" s="377">
        <v>2558127</v>
      </c>
      <c r="AA188" s="18">
        <f>SUM(Y188:Z188)</f>
        <v>2558127</v>
      </c>
      <c r="AB188" s="19">
        <f>ENERO!AD188</f>
        <v>0</v>
      </c>
      <c r="AC188" s="377">
        <v>2558127</v>
      </c>
      <c r="AD188" s="16">
        <f>SUM(AB188:AC188)</f>
        <v>2558127</v>
      </c>
      <c r="AE188" s="19">
        <f>ENERO!AG188</f>
        <v>0</v>
      </c>
      <c r="AF188" s="377">
        <v>0</v>
      </c>
      <c r="AG188" s="16">
        <f>SUM(AE188:AF188)</f>
        <v>0</v>
      </c>
      <c r="AH188" s="19">
        <f>X188-AA188</f>
        <v>3735813</v>
      </c>
      <c r="AI188" s="15">
        <f>X188-AD188</f>
        <v>3735813</v>
      </c>
      <c r="AJ188" s="16">
        <f>X188-AG188</f>
        <v>6293940</v>
      </c>
      <c r="AK188" s="9"/>
      <c r="AL188" s="375">
        <v>0</v>
      </c>
      <c r="AM188" s="378">
        <v>5500000</v>
      </c>
      <c r="AN188" s="9"/>
    </row>
    <row r="189" spans="1:40" s="385" customFormat="1" ht="24.95" customHeight="1" x14ac:dyDescent="0.2">
      <c r="A189" s="767"/>
      <c r="B189" s="669"/>
      <c r="N189" s="9"/>
      <c r="P189" s="9"/>
      <c r="Q189" s="9"/>
      <c r="R189" s="9"/>
      <c r="S189" s="720" t="str">
        <f>+IF(ENERO!S189=0,"",ENERO!S189)</f>
        <v>3300200-2</v>
      </c>
      <c r="T189" s="737" t="str">
        <f>+IF(ENERO!T189=0,"",ENERO!T189)</f>
        <v>AESA</v>
      </c>
      <c r="U189" s="29">
        <f>+ENERO!U189</f>
        <v>2822524</v>
      </c>
      <c r="V189" s="15">
        <f>ENERO!V189+FEBRERO!AL189</f>
        <v>0</v>
      </c>
      <c r="W189" s="15">
        <f>ENERO!W189+FEBRERO!AM189</f>
        <v>0</v>
      </c>
      <c r="X189" s="16">
        <f>SUM(U189:W189)</f>
        <v>2822524</v>
      </c>
      <c r="Y189" s="19">
        <f>ENERO!AA189</f>
        <v>2577400</v>
      </c>
      <c r="Z189" s="377">
        <v>0</v>
      </c>
      <c r="AA189" s="18">
        <f>SUM(Y189:Z189)</f>
        <v>2577400</v>
      </c>
      <c r="AB189" s="19">
        <f>ENERO!AD189</f>
        <v>2577400</v>
      </c>
      <c r="AC189" s="377">
        <v>0</v>
      </c>
      <c r="AD189" s="16">
        <f>SUM(AB189:AC189)</f>
        <v>2577400</v>
      </c>
      <c r="AE189" s="19">
        <f>ENERO!AG189</f>
        <v>0</v>
      </c>
      <c r="AF189" s="377">
        <v>0</v>
      </c>
      <c r="AG189" s="16">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+IF(ENERO!S190=0,"",ENERO!S190)</f>
        <v>3300200-3</v>
      </c>
      <c r="T190" s="737" t="str">
        <f>+IF(ENERO!T190=0,"",ENERO!T190)</f>
        <v xml:space="preserve">OTRAS </v>
      </c>
      <c r="U190" s="29">
        <f>+ENERO!U190</f>
        <v>0</v>
      </c>
      <c r="V190" s="15">
        <f>ENERO!V190+FEBRERO!AL190</f>
        <v>0</v>
      </c>
      <c r="W190" s="15">
        <f>ENERO!W190+FEBRERO!AM190</f>
        <v>0</v>
      </c>
      <c r="X190" s="16">
        <f>SUM(U190:W190)</f>
        <v>0</v>
      </c>
      <c r="Y190" s="19">
        <f>ENERO!AA190</f>
        <v>0</v>
      </c>
      <c r="Z190" s="377">
        <v>0</v>
      </c>
      <c r="AA190" s="18">
        <f>SUM(Y190:Z190)</f>
        <v>0</v>
      </c>
      <c r="AB190" s="19">
        <f>ENERO!AD190</f>
        <v>0</v>
      </c>
      <c r="AC190" s="377">
        <v>0</v>
      </c>
      <c r="AD190" s="16">
        <f>SUM(AB190:AC190)</f>
        <v>0</v>
      </c>
      <c r="AE190" s="19">
        <f>ENERO!AG190</f>
        <v>0</v>
      </c>
      <c r="AF190" s="377">
        <v>0</v>
      </c>
      <c r="AG190" s="16">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+IF(ENERO!S191=0,"",ENERO!S191)</f>
        <v>3399999</v>
      </c>
      <c r="T191" s="737" t="str">
        <f>+IF(ENERO!T191=0,"",ENERO!T191)</f>
        <v>Vigencias Anteriores</v>
      </c>
      <c r="U191" s="29">
        <f>+ENERO!U191</f>
        <v>0</v>
      </c>
      <c r="V191" s="15">
        <f>ENERO!V191+FEBRERO!AL191</f>
        <v>0</v>
      </c>
      <c r="W191" s="15">
        <f>ENERO!W191+FEBRERO!AM191</f>
        <v>388382</v>
      </c>
      <c r="X191" s="16">
        <f>SUM(U191:W191)</f>
        <v>388382</v>
      </c>
      <c r="Y191" s="19">
        <f>ENERO!AA191</f>
        <v>388382</v>
      </c>
      <c r="Z191" s="377">
        <v>0</v>
      </c>
      <c r="AA191" s="18">
        <f>SUM(Y191:Z191)</f>
        <v>388382</v>
      </c>
      <c r="AB191" s="19">
        <f>ENERO!AD191</f>
        <v>388382</v>
      </c>
      <c r="AC191" s="377">
        <v>0</v>
      </c>
      <c r="AD191" s="16">
        <f>SUM(AB191:AC191)</f>
        <v>388382</v>
      </c>
      <c r="AE191" s="19">
        <f>ENERO!AG191</f>
        <v>0</v>
      </c>
      <c r="AF191" s="377">
        <v>0</v>
      </c>
      <c r="AG191" s="16">
        <f>SUM(AE191:AF191)</f>
        <v>0</v>
      </c>
      <c r="AH191" s="19">
        <f>X191-AA191</f>
        <v>0</v>
      </c>
      <c r="AI191" s="15">
        <f>X191-AD191</f>
        <v>0</v>
      </c>
      <c r="AJ191" s="16">
        <f>X191-AG191</f>
        <v>388382</v>
      </c>
      <c r="AK191" s="9"/>
      <c r="AL191" s="375">
        <v>0</v>
      </c>
      <c r="AM191" s="378">
        <v>0</v>
      </c>
      <c r="AN191" s="9"/>
    </row>
    <row r="192" spans="1:40" s="385" customFormat="1" ht="24.95" customHeight="1" x14ac:dyDescent="0.2">
      <c r="A192" s="767"/>
      <c r="B192" s="669"/>
      <c r="N192" s="9"/>
      <c r="P192" s="9"/>
      <c r="Q192" s="9"/>
      <c r="R192" s="9"/>
      <c r="S192" s="369" t="str">
        <f>+IF(ENERO!S192=0,"",ENERO!S192)</f>
        <v/>
      </c>
      <c r="T192" s="708" t="str">
        <f>+IF(ENERO!T192=0,"",ENERO!T192)</f>
        <v/>
      </c>
      <c r="U192" s="370"/>
      <c r="V192" s="164"/>
      <c r="W192" s="164"/>
      <c r="X192" s="169"/>
      <c r="Y192" s="370"/>
      <c r="Z192" s="164"/>
      <c r="AA192" s="164"/>
      <c r="AB192" s="370"/>
      <c r="AC192" s="164"/>
      <c r="AD192" s="169"/>
      <c r="AE192" s="370"/>
      <c r="AF192" s="164"/>
      <c r="AG192" s="169"/>
      <c r="AH192" s="370"/>
      <c r="AI192" s="164"/>
      <c r="AJ192" s="169"/>
      <c r="AK192" s="9"/>
      <c r="AL192" s="175"/>
      <c r="AM192" s="176"/>
      <c r="AN192" s="9"/>
    </row>
    <row r="193" spans="1:40" s="385" customFormat="1" ht="24.95" customHeight="1" x14ac:dyDescent="0.2">
      <c r="A193" s="767"/>
      <c r="B193" s="669"/>
      <c r="N193" s="9"/>
      <c r="P193" s="9"/>
      <c r="Q193" s="9"/>
      <c r="R193" s="9"/>
      <c r="S193" s="717">
        <f>+IF(ENERO!S193=0,"",ENERO!S193)</f>
        <v>4000000</v>
      </c>
      <c r="T193" s="739" t="str">
        <f>+IF(ENERO!T193=0,"",ENERO!T193)</f>
        <v>GASTOS  DE PRESTACION DE SERVICIOS</v>
      </c>
      <c r="U193" s="382">
        <f t="shared" ref="U193:AJ193" si="169">U194</f>
        <v>272529328</v>
      </c>
      <c r="V193" s="474">
        <f t="shared" si="169"/>
        <v>0</v>
      </c>
      <c r="W193" s="474">
        <f t="shared" si="169"/>
        <v>135118812</v>
      </c>
      <c r="X193" s="383">
        <f t="shared" si="169"/>
        <v>407648140</v>
      </c>
      <c r="Y193" s="382">
        <f t="shared" si="169"/>
        <v>121965112</v>
      </c>
      <c r="Z193" s="474">
        <f t="shared" si="169"/>
        <v>49590614</v>
      </c>
      <c r="AA193" s="475">
        <f t="shared" si="169"/>
        <v>171555726</v>
      </c>
      <c r="AB193" s="382">
        <f t="shared" si="169"/>
        <v>121965112</v>
      </c>
      <c r="AC193" s="474">
        <f t="shared" si="169"/>
        <v>24447514</v>
      </c>
      <c r="AD193" s="383">
        <f t="shared" si="169"/>
        <v>146412626</v>
      </c>
      <c r="AE193" s="382">
        <f t="shared" si="169"/>
        <v>13189235</v>
      </c>
      <c r="AF193" s="474">
        <f t="shared" si="169"/>
        <v>17615765</v>
      </c>
      <c r="AG193" s="383">
        <f t="shared" si="169"/>
        <v>30805000</v>
      </c>
      <c r="AH193" s="382">
        <f t="shared" si="169"/>
        <v>236092414</v>
      </c>
      <c r="AI193" s="474">
        <f t="shared" si="169"/>
        <v>261235514</v>
      </c>
      <c r="AJ193" s="383">
        <f t="shared" si="169"/>
        <v>376843140</v>
      </c>
      <c r="AK193" s="9"/>
      <c r="AL193" s="131">
        <f>AL194</f>
        <v>0</v>
      </c>
      <c r="AM193" s="133">
        <f>AM194</f>
        <v>0</v>
      </c>
      <c r="AN193" s="9"/>
    </row>
    <row r="194" spans="1:40" s="385" customFormat="1" ht="24.95" customHeight="1" x14ac:dyDescent="0.2">
      <c r="A194" s="767"/>
      <c r="B194" s="669"/>
      <c r="N194" s="9"/>
      <c r="P194" s="9"/>
      <c r="Q194" s="9"/>
      <c r="R194" s="9"/>
      <c r="S194" s="718">
        <f>+IF(ENERO!S194=0,"",ENERO!S194)</f>
        <v>4100000</v>
      </c>
      <c r="T194" s="736" t="str">
        <f>+IF(ENERO!T194=0,"",ENERO!T194)</f>
        <v>Insumos y Suministros Hospitalarios</v>
      </c>
      <c r="U194" s="131">
        <f t="shared" ref="U194:AJ194" si="170">U195+U203+U205</f>
        <v>272529328</v>
      </c>
      <c r="V194" s="124">
        <f t="shared" si="170"/>
        <v>0</v>
      </c>
      <c r="W194" s="124">
        <f t="shared" si="170"/>
        <v>135118812</v>
      </c>
      <c r="X194" s="133">
        <f t="shared" si="170"/>
        <v>407648140</v>
      </c>
      <c r="Y194" s="131">
        <f t="shared" si="170"/>
        <v>121965112</v>
      </c>
      <c r="Z194" s="124">
        <f t="shared" si="170"/>
        <v>49590614</v>
      </c>
      <c r="AA194" s="132">
        <f t="shared" si="170"/>
        <v>171555726</v>
      </c>
      <c r="AB194" s="131">
        <f t="shared" si="170"/>
        <v>121965112</v>
      </c>
      <c r="AC194" s="124">
        <f t="shared" si="170"/>
        <v>24447514</v>
      </c>
      <c r="AD194" s="133">
        <f t="shared" si="170"/>
        <v>146412626</v>
      </c>
      <c r="AE194" s="131">
        <f t="shared" si="170"/>
        <v>13189235</v>
      </c>
      <c r="AF194" s="124">
        <f t="shared" si="170"/>
        <v>17615765</v>
      </c>
      <c r="AG194" s="133">
        <f t="shared" si="170"/>
        <v>30805000</v>
      </c>
      <c r="AH194" s="131">
        <f t="shared" si="170"/>
        <v>236092414</v>
      </c>
      <c r="AI194" s="124">
        <f t="shared" si="170"/>
        <v>261235514</v>
      </c>
      <c r="AJ194" s="133">
        <f t="shared" si="170"/>
        <v>376843140</v>
      </c>
      <c r="AK194" s="10"/>
      <c r="AL194" s="131">
        <f>AL195+AL203+AL205</f>
        <v>0</v>
      </c>
      <c r="AM194" s="133">
        <f>AM195+AM203+AM205</f>
        <v>0</v>
      </c>
      <c r="AN194" s="9"/>
    </row>
    <row r="195" spans="1:40" s="385" customFormat="1" ht="24.95" customHeight="1" x14ac:dyDescent="0.2">
      <c r="A195" s="767"/>
      <c r="B195" s="669"/>
      <c r="N195" s="9"/>
      <c r="P195" s="9"/>
      <c r="Q195" s="9"/>
      <c r="R195" s="9"/>
      <c r="S195" s="719">
        <f>+IF(ENERO!S195=0,"",ENERO!S195)</f>
        <v>4100100</v>
      </c>
      <c r="T195" s="737" t="str">
        <f>+IF(ENERO!T195=0,"",ENERO!T195)</f>
        <v>Compra de Bienes para la Prestacion de servicios</v>
      </c>
      <c r="U195" s="29">
        <f t="shared" ref="U195:AJ195" si="171">SUM(U196:U202)</f>
        <v>240561284</v>
      </c>
      <c r="V195" s="15">
        <f t="shared" si="171"/>
        <v>0</v>
      </c>
      <c r="W195" s="15">
        <f t="shared" si="171"/>
        <v>43282880</v>
      </c>
      <c r="X195" s="16">
        <f t="shared" si="171"/>
        <v>283844164</v>
      </c>
      <c r="Y195" s="19">
        <f t="shared" si="171"/>
        <v>27311880</v>
      </c>
      <c r="Z195" s="145">
        <f t="shared" si="171"/>
        <v>48858514</v>
      </c>
      <c r="AA195" s="18">
        <f t="shared" si="171"/>
        <v>76170394</v>
      </c>
      <c r="AB195" s="19">
        <f t="shared" si="171"/>
        <v>27311880</v>
      </c>
      <c r="AC195" s="145">
        <f t="shared" si="171"/>
        <v>23715414</v>
      </c>
      <c r="AD195" s="16">
        <f t="shared" si="171"/>
        <v>51027294</v>
      </c>
      <c r="AE195" s="19">
        <f t="shared" si="171"/>
        <v>275000</v>
      </c>
      <c r="AF195" s="145">
        <f t="shared" si="171"/>
        <v>0</v>
      </c>
      <c r="AG195" s="16">
        <f t="shared" si="171"/>
        <v>275000</v>
      </c>
      <c r="AH195" s="19">
        <f t="shared" si="171"/>
        <v>207673770</v>
      </c>
      <c r="AI195" s="15">
        <f t="shared" si="171"/>
        <v>232816870</v>
      </c>
      <c r="AJ195" s="16">
        <f t="shared" si="171"/>
        <v>283569164</v>
      </c>
      <c r="AK195" s="9"/>
      <c r="AL195" s="29">
        <f>SUM(AL196:AL202)</f>
        <v>0</v>
      </c>
      <c r="AM195" s="26">
        <f>SUM(AM196:AM202)</f>
        <v>0</v>
      </c>
      <c r="AN195" s="9"/>
    </row>
    <row r="196" spans="1:40" s="385" customFormat="1" ht="24.95" customHeight="1" x14ac:dyDescent="0.2">
      <c r="A196" s="767"/>
      <c r="B196" s="669"/>
      <c r="N196" s="9"/>
      <c r="P196" s="9"/>
      <c r="Q196" s="9"/>
      <c r="R196" s="9"/>
      <c r="S196" s="720" t="str">
        <f>+IF(ENERO!S196=0,"",ENERO!S196)</f>
        <v>4100100-1</v>
      </c>
      <c r="T196" s="738" t="str">
        <f>+IF(ENERO!T196=0,"",ENERO!T196)</f>
        <v>Productos Farmaceuticos</v>
      </c>
      <c r="U196" s="29">
        <f>+ENERO!U196</f>
        <v>145961721</v>
      </c>
      <c r="V196" s="15">
        <f>ENERO!V196+FEBRERO!AL196</f>
        <v>0</v>
      </c>
      <c r="W196" s="15">
        <f>ENERO!W196+FEBRERO!AM196</f>
        <v>41282880</v>
      </c>
      <c r="X196" s="16">
        <f t="shared" ref="X196:X202" si="172">SUM(U196:W196)</f>
        <v>187244601</v>
      </c>
      <c r="Y196" s="19">
        <f>ENERO!AA196</f>
        <v>16828901</v>
      </c>
      <c r="Z196" s="377">
        <v>39670014</v>
      </c>
      <c r="AA196" s="18">
        <f t="shared" ref="AA196:AA202" si="173">SUM(Y196:Z196)</f>
        <v>56498915</v>
      </c>
      <c r="AB196" s="19">
        <f>ENERO!AD196</f>
        <v>16828901</v>
      </c>
      <c r="AC196" s="377">
        <v>14526914</v>
      </c>
      <c r="AD196" s="16">
        <f t="shared" ref="AD196:AD202" si="174">SUM(AB196:AC196)</f>
        <v>31355815</v>
      </c>
      <c r="AE196" s="19">
        <f>ENERO!AG196</f>
        <v>275000</v>
      </c>
      <c r="AF196" s="377">
        <v>0</v>
      </c>
      <c r="AG196" s="16">
        <f t="shared" ref="AG196:AG202" si="175">SUM(AE196:AF196)</f>
        <v>275000</v>
      </c>
      <c r="AH196" s="19">
        <f t="shared" ref="AH196:AH202" si="176">X196-AA196</f>
        <v>130745686</v>
      </c>
      <c r="AI196" s="15">
        <f t="shared" ref="AI196:AI202" si="177">X196-AD196</f>
        <v>155888786</v>
      </c>
      <c r="AJ196" s="16">
        <f t="shared" ref="AJ196:AJ202" si="178">X196-AG196</f>
        <v>186969601</v>
      </c>
      <c r="AK196" s="9"/>
      <c r="AL196" s="375">
        <v>0</v>
      </c>
      <c r="AM196" s="378">
        <v>0</v>
      </c>
      <c r="AN196" s="9"/>
    </row>
    <row r="197" spans="1:40" s="385" customFormat="1" ht="24.95" customHeight="1" x14ac:dyDescent="0.2">
      <c r="A197" s="767"/>
      <c r="B197" s="669"/>
      <c r="N197" s="9"/>
      <c r="P197" s="9"/>
      <c r="Q197" s="9"/>
      <c r="R197" s="9"/>
      <c r="S197" s="720" t="str">
        <f>+IF(ENERO!S197=0,"",ENERO!S197)</f>
        <v>4100100-2</v>
      </c>
      <c r="T197" s="738" t="str">
        <f>+IF(ENERO!T197=0,"",ENERO!T197)</f>
        <v>Material Médico Quirúrgico</v>
      </c>
      <c r="U197" s="29">
        <f>+ENERO!U197</f>
        <v>49263202</v>
      </c>
      <c r="V197" s="15">
        <f>ENERO!V197+FEBRERO!AL197</f>
        <v>0</v>
      </c>
      <c r="W197" s="15">
        <f>ENERO!W197+FEBRERO!AM197</f>
        <v>0</v>
      </c>
      <c r="X197" s="16">
        <f t="shared" si="172"/>
        <v>49263202</v>
      </c>
      <c r="Y197" s="19">
        <f>ENERO!AA197</f>
        <v>6575643</v>
      </c>
      <c r="Z197" s="377">
        <v>4683101</v>
      </c>
      <c r="AA197" s="18">
        <f t="shared" si="173"/>
        <v>11258744</v>
      </c>
      <c r="AB197" s="19">
        <f>ENERO!AD197</f>
        <v>6575643</v>
      </c>
      <c r="AC197" s="377">
        <v>4683101</v>
      </c>
      <c r="AD197" s="16">
        <f t="shared" si="174"/>
        <v>11258744</v>
      </c>
      <c r="AE197" s="19">
        <f>ENERO!AG197</f>
        <v>0</v>
      </c>
      <c r="AF197" s="377">
        <v>0</v>
      </c>
      <c r="AG197" s="16">
        <f t="shared" si="175"/>
        <v>0</v>
      </c>
      <c r="AH197" s="19">
        <f t="shared" si="176"/>
        <v>38004458</v>
      </c>
      <c r="AI197" s="15">
        <f t="shared" si="177"/>
        <v>38004458</v>
      </c>
      <c r="AJ197" s="16">
        <f t="shared" si="178"/>
        <v>49263202</v>
      </c>
      <c r="AK197" s="9"/>
      <c r="AL197" s="375">
        <v>0</v>
      </c>
      <c r="AM197" s="378">
        <v>0</v>
      </c>
      <c r="AN197" s="9"/>
    </row>
    <row r="198" spans="1:40" s="385" customFormat="1" ht="24.95" customHeight="1" x14ac:dyDescent="0.2">
      <c r="A198" s="767"/>
      <c r="B198" s="669"/>
      <c r="N198" s="9"/>
      <c r="P198" s="9"/>
      <c r="Q198" s="9"/>
      <c r="R198" s="9"/>
      <c r="S198" s="720" t="str">
        <f>+IF(ENERO!S198=0,"",ENERO!S198)</f>
        <v>4100100-3</v>
      </c>
      <c r="T198" s="738" t="str">
        <f>+IF(ENERO!T198=0,"",ENERO!T198)</f>
        <v>Material de Laboratorio</v>
      </c>
      <c r="U198" s="29">
        <f>+ENERO!U198</f>
        <v>20729510</v>
      </c>
      <c r="V198" s="15">
        <f>ENERO!V198+FEBRERO!AL198</f>
        <v>0</v>
      </c>
      <c r="W198" s="15">
        <f>ENERO!W198+FEBRERO!AM198</f>
        <v>0</v>
      </c>
      <c r="X198" s="16">
        <f t="shared" si="172"/>
        <v>20729510</v>
      </c>
      <c r="Y198" s="19">
        <f>ENERO!AA198</f>
        <v>2683528</v>
      </c>
      <c r="Z198" s="377">
        <v>1692387</v>
      </c>
      <c r="AA198" s="18">
        <f t="shared" si="173"/>
        <v>4375915</v>
      </c>
      <c r="AB198" s="19">
        <f>ENERO!AD198</f>
        <v>2683528</v>
      </c>
      <c r="AC198" s="377">
        <v>1692387</v>
      </c>
      <c r="AD198" s="16">
        <f t="shared" si="174"/>
        <v>4375915</v>
      </c>
      <c r="AE198" s="19">
        <f>ENERO!AG198</f>
        <v>0</v>
      </c>
      <c r="AF198" s="377">
        <v>0</v>
      </c>
      <c r="AG198" s="16">
        <f t="shared" si="175"/>
        <v>0</v>
      </c>
      <c r="AH198" s="19">
        <f t="shared" si="176"/>
        <v>16353595</v>
      </c>
      <c r="AI198" s="15">
        <f t="shared" si="177"/>
        <v>16353595</v>
      </c>
      <c r="AJ198" s="16">
        <f t="shared" si="178"/>
        <v>20729510</v>
      </c>
      <c r="AK198" s="9"/>
      <c r="AL198" s="375">
        <v>0</v>
      </c>
      <c r="AM198" s="378">
        <v>0</v>
      </c>
      <c r="AN198" s="9"/>
    </row>
    <row r="199" spans="1:40" s="385" customFormat="1" ht="24.95" customHeight="1" x14ac:dyDescent="0.2">
      <c r="A199" s="767"/>
      <c r="B199" s="669"/>
      <c r="N199" s="9"/>
      <c r="P199" s="9"/>
      <c r="Q199" s="9"/>
      <c r="R199" s="9"/>
      <c r="S199" s="720" t="str">
        <f>+IF(ENERO!S199=0,"",ENERO!S199)</f>
        <v>4100100-4</v>
      </c>
      <c r="T199" s="738" t="str">
        <f>+IF(ENERO!T199=0,"",ENERO!T199)</f>
        <v>Material para Odontologia</v>
      </c>
      <c r="U199" s="29">
        <f>+ENERO!U199</f>
        <v>22568185</v>
      </c>
      <c r="V199" s="15">
        <f>ENERO!V199+FEBRERO!AL199</f>
        <v>0</v>
      </c>
      <c r="W199" s="15">
        <f>ENERO!W199+FEBRERO!AM199</f>
        <v>0</v>
      </c>
      <c r="X199" s="16">
        <f t="shared" si="172"/>
        <v>22568185</v>
      </c>
      <c r="Y199" s="19">
        <f>ENERO!AA199</f>
        <v>1223808</v>
      </c>
      <c r="Z199" s="377">
        <v>2813012</v>
      </c>
      <c r="AA199" s="18">
        <f t="shared" si="173"/>
        <v>4036820</v>
      </c>
      <c r="AB199" s="19">
        <f>ENERO!AD199</f>
        <v>1223808</v>
      </c>
      <c r="AC199" s="377">
        <v>2813012</v>
      </c>
      <c r="AD199" s="16">
        <f t="shared" si="174"/>
        <v>4036820</v>
      </c>
      <c r="AE199" s="19">
        <f>ENERO!AG199</f>
        <v>0</v>
      </c>
      <c r="AF199" s="377">
        <v>0</v>
      </c>
      <c r="AG199" s="16">
        <f t="shared" si="175"/>
        <v>0</v>
      </c>
      <c r="AH199" s="19">
        <f t="shared" si="176"/>
        <v>18531365</v>
      </c>
      <c r="AI199" s="15">
        <f t="shared" si="177"/>
        <v>18531365</v>
      </c>
      <c r="AJ199" s="16">
        <f t="shared" si="178"/>
        <v>22568185</v>
      </c>
      <c r="AK199" s="9"/>
      <c r="AL199" s="375">
        <v>0</v>
      </c>
      <c r="AM199" s="378">
        <v>0</v>
      </c>
      <c r="AN199" s="9"/>
    </row>
    <row r="200" spans="1:40" s="385" customFormat="1" ht="24.95" customHeight="1" x14ac:dyDescent="0.2">
      <c r="A200" s="767"/>
      <c r="B200" s="669"/>
      <c r="N200" s="9"/>
      <c r="P200" s="9"/>
      <c r="Q200" s="9"/>
      <c r="R200" s="9"/>
      <c r="S200" s="720" t="str">
        <f>+IF(ENERO!S200=0,"",ENERO!S200)</f>
        <v>4100100-5</v>
      </c>
      <c r="T200" s="738" t="str">
        <f>+IF(ENERO!T200=0,"",ENERO!T200)</f>
        <v>Material para Rayos X</v>
      </c>
      <c r="U200" s="29">
        <f>+ENERO!U200</f>
        <v>2038666</v>
      </c>
      <c r="V200" s="15">
        <f>ENERO!V200+FEBRERO!AL200</f>
        <v>0</v>
      </c>
      <c r="W200" s="15">
        <f>ENERO!W200+FEBRERO!AM200</f>
        <v>2000000</v>
      </c>
      <c r="X200" s="16">
        <f t="shared" si="172"/>
        <v>4038666</v>
      </c>
      <c r="Y200" s="19">
        <f>ENERO!AA200</f>
        <v>0</v>
      </c>
      <c r="Z200" s="377">
        <v>0</v>
      </c>
      <c r="AA200" s="18">
        <f t="shared" si="173"/>
        <v>0</v>
      </c>
      <c r="AB200" s="19">
        <f>ENERO!AD200</f>
        <v>0</v>
      </c>
      <c r="AC200" s="377">
        <v>0</v>
      </c>
      <c r="AD200" s="16">
        <f t="shared" si="174"/>
        <v>0</v>
      </c>
      <c r="AE200" s="19">
        <f>ENERO!AG200</f>
        <v>0</v>
      </c>
      <c r="AF200" s="377">
        <v>0</v>
      </c>
      <c r="AG200" s="16">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+IF(ENERO!S201=0,"",ENERO!S201)</f>
        <v/>
      </c>
      <c r="T201" s="738" t="str">
        <f>+IF(ENERO!T201=0,"",ENERO!T201)</f>
        <v/>
      </c>
      <c r="U201" s="29">
        <f>+ENERO!U201</f>
        <v>0</v>
      </c>
      <c r="V201" s="15">
        <f>ENERO!V201+FEBRERO!AL201</f>
        <v>0</v>
      </c>
      <c r="W201" s="15">
        <f>ENERO!W201+FEBRERO!AM201</f>
        <v>0</v>
      </c>
      <c r="X201" s="16">
        <f t="shared" si="172"/>
        <v>0</v>
      </c>
      <c r="Y201" s="19">
        <f>ENERO!AA201</f>
        <v>0</v>
      </c>
      <c r="Z201" s="377">
        <v>0</v>
      </c>
      <c r="AA201" s="18">
        <f t="shared" si="173"/>
        <v>0</v>
      </c>
      <c r="AB201" s="19">
        <f>ENERO!AD201</f>
        <v>0</v>
      </c>
      <c r="AC201" s="377">
        <v>0</v>
      </c>
      <c r="AD201" s="16">
        <f t="shared" si="174"/>
        <v>0</v>
      </c>
      <c r="AE201" s="19">
        <f>ENERO!AG201</f>
        <v>0</v>
      </c>
      <c r="AF201" s="377">
        <v>0</v>
      </c>
      <c r="AG201" s="16">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+IF(ENERO!S202=0,"",ENERO!S202)</f>
        <v/>
      </c>
      <c r="T202" s="738" t="str">
        <f>+IF(ENERO!T202=0,"",ENERO!T202)</f>
        <v/>
      </c>
      <c r="U202" s="29">
        <f>+ENERO!U202</f>
        <v>0</v>
      </c>
      <c r="V202" s="15">
        <f>ENERO!V202+FEBRERO!AL202</f>
        <v>0</v>
      </c>
      <c r="W202" s="15">
        <f>ENERO!W202+FEBRERO!AM202</f>
        <v>0</v>
      </c>
      <c r="X202" s="16">
        <f t="shared" si="172"/>
        <v>0</v>
      </c>
      <c r="Y202" s="19">
        <f>ENERO!AA202</f>
        <v>0</v>
      </c>
      <c r="Z202" s="377">
        <v>0</v>
      </c>
      <c r="AA202" s="18">
        <f t="shared" si="173"/>
        <v>0</v>
      </c>
      <c r="AB202" s="19">
        <f>ENERO!AD202</f>
        <v>0</v>
      </c>
      <c r="AC202" s="377">
        <v>0</v>
      </c>
      <c r="AD202" s="16">
        <f t="shared" si="174"/>
        <v>0</v>
      </c>
      <c r="AE202" s="19">
        <f>ENERO!AG202</f>
        <v>0</v>
      </c>
      <c r="AF202" s="377">
        <v>0</v>
      </c>
      <c r="AG202" s="16">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+IF(ENERO!S203=0,"",ENERO!S203)</f>
        <v>4100200</v>
      </c>
      <c r="T203" s="737" t="str">
        <f>+IF(ENERO!T203=0,"",ENERO!T203)</f>
        <v>Gastos Complementarios e Intermedios</v>
      </c>
      <c r="U203" s="29">
        <f t="shared" ref="U203:AJ203" si="179">U204</f>
        <v>31968044</v>
      </c>
      <c r="V203" s="15">
        <f t="shared" si="179"/>
        <v>0</v>
      </c>
      <c r="W203" s="15">
        <f t="shared" si="179"/>
        <v>0</v>
      </c>
      <c r="X203" s="16">
        <f t="shared" si="179"/>
        <v>31968044</v>
      </c>
      <c r="Y203" s="19">
        <f t="shared" si="179"/>
        <v>2817300</v>
      </c>
      <c r="Z203" s="145">
        <f t="shared" si="179"/>
        <v>732100</v>
      </c>
      <c r="AA203" s="18">
        <f t="shared" si="179"/>
        <v>3549400</v>
      </c>
      <c r="AB203" s="19">
        <f t="shared" si="179"/>
        <v>2817300</v>
      </c>
      <c r="AC203" s="145">
        <f t="shared" si="179"/>
        <v>732100</v>
      </c>
      <c r="AD203" s="16">
        <f t="shared" si="179"/>
        <v>3549400</v>
      </c>
      <c r="AE203" s="19">
        <f t="shared" si="179"/>
        <v>0</v>
      </c>
      <c r="AF203" s="145">
        <f t="shared" si="179"/>
        <v>2877500</v>
      </c>
      <c r="AG203" s="16">
        <f t="shared" si="179"/>
        <v>2877500</v>
      </c>
      <c r="AH203" s="19">
        <f t="shared" si="179"/>
        <v>28418644</v>
      </c>
      <c r="AI203" s="15">
        <f t="shared" si="179"/>
        <v>28418644</v>
      </c>
      <c r="AJ203" s="16">
        <f t="shared" si="179"/>
        <v>29090544</v>
      </c>
      <c r="AK203" s="9"/>
      <c r="AL203" s="29">
        <f>AL204</f>
        <v>0</v>
      </c>
      <c r="AM203" s="26">
        <f>AM204</f>
        <v>0</v>
      </c>
      <c r="AN203" s="9"/>
    </row>
    <row r="204" spans="1:40" s="385" customFormat="1" ht="24.95" customHeight="1" x14ac:dyDescent="0.2">
      <c r="A204" s="767"/>
      <c r="B204" s="669"/>
      <c r="N204" s="9"/>
      <c r="P204" s="9"/>
      <c r="Q204" s="9"/>
      <c r="R204" s="9"/>
      <c r="S204" s="720" t="str">
        <f>+IF(ENERO!S204=0,"",ENERO!S204)</f>
        <v>4100200-1</v>
      </c>
      <c r="T204" s="738" t="str">
        <f>+IF(ENERO!T204=0,"",ENERO!T204)</f>
        <v>Alimentación</v>
      </c>
      <c r="U204" s="29">
        <f>+ENERO!U204</f>
        <v>31968044</v>
      </c>
      <c r="V204" s="15">
        <f>ENERO!V204+FEBRERO!AL204</f>
        <v>0</v>
      </c>
      <c r="W204" s="15">
        <f>ENERO!W204+FEBRERO!AM204</f>
        <v>0</v>
      </c>
      <c r="X204" s="16">
        <f>SUM(U204:W204)</f>
        <v>31968044</v>
      </c>
      <c r="Y204" s="19">
        <f>ENERO!AA204</f>
        <v>2817300</v>
      </c>
      <c r="Z204" s="377">
        <v>732100</v>
      </c>
      <c r="AA204" s="18">
        <f>SUM(Y204:Z204)</f>
        <v>3549400</v>
      </c>
      <c r="AB204" s="19">
        <f>ENERO!AD204</f>
        <v>2817300</v>
      </c>
      <c r="AC204" s="377">
        <v>732100</v>
      </c>
      <c r="AD204" s="16">
        <f>SUM(AB204:AC204)</f>
        <v>3549400</v>
      </c>
      <c r="AE204" s="19">
        <f>ENERO!AG204</f>
        <v>0</v>
      </c>
      <c r="AF204" s="377">
        <v>2877500</v>
      </c>
      <c r="AG204" s="16">
        <f>SUM(AE204:AF204)</f>
        <v>2877500</v>
      </c>
      <c r="AH204" s="19">
        <f>X204-AA204</f>
        <v>28418644</v>
      </c>
      <c r="AI204" s="15">
        <f>X204-AD204</f>
        <v>28418644</v>
      </c>
      <c r="AJ204" s="16">
        <f>X204-AG204</f>
        <v>29090544</v>
      </c>
      <c r="AK204" s="9"/>
      <c r="AL204" s="375">
        <v>0</v>
      </c>
      <c r="AM204" s="378">
        <v>0</v>
      </c>
      <c r="AN204" s="9"/>
    </row>
    <row r="205" spans="1:40" s="385" customFormat="1" ht="24.95" customHeight="1" thickBot="1" x14ac:dyDescent="0.25">
      <c r="A205" s="767"/>
      <c r="B205" s="669"/>
      <c r="N205" s="9"/>
      <c r="P205" s="9"/>
      <c r="Q205" s="9"/>
      <c r="R205" s="9"/>
      <c r="S205" s="724">
        <f>+IF(ENERO!S205=0,"",ENERO!S205)</f>
        <v>4199999</v>
      </c>
      <c r="T205" s="740" t="str">
        <f>+IF(ENERO!T205=0,"",ENERO!T205)</f>
        <v>Vigencias Anteriores</v>
      </c>
      <c r="U205" s="194">
        <f>+ENERO!U205</f>
        <v>0</v>
      </c>
      <c r="V205" s="123">
        <f>ENERO!V205+FEBRERO!AL205</f>
        <v>0</v>
      </c>
      <c r="W205" s="123">
        <f>ENERO!W205+FEBRERO!AM205</f>
        <v>91835932</v>
      </c>
      <c r="X205" s="128">
        <f>SUM(U205:W205)</f>
        <v>91835932</v>
      </c>
      <c r="Y205" s="127">
        <f>ENERO!AA205</f>
        <v>91835932</v>
      </c>
      <c r="Z205" s="391">
        <v>0</v>
      </c>
      <c r="AA205" s="129">
        <f>SUM(Y205:Z205)</f>
        <v>91835932</v>
      </c>
      <c r="AB205" s="127">
        <f>ENERO!AD205</f>
        <v>91835932</v>
      </c>
      <c r="AC205" s="391">
        <v>0</v>
      </c>
      <c r="AD205" s="128">
        <f>SUM(AB205:AC205)</f>
        <v>91835932</v>
      </c>
      <c r="AE205" s="127">
        <f>ENERO!AG205</f>
        <v>12914235</v>
      </c>
      <c r="AF205" s="391">
        <v>14738265</v>
      </c>
      <c r="AG205" s="128">
        <f>SUM(AE205:AF205)</f>
        <v>27652500</v>
      </c>
      <c r="AH205" s="127">
        <f>X205-AA205</f>
        <v>0</v>
      </c>
      <c r="AI205" s="123">
        <f>X205-AD205</f>
        <v>0</v>
      </c>
      <c r="AJ205" s="128">
        <f>X205-AG205</f>
        <v>64183432</v>
      </c>
      <c r="AK205" s="9"/>
      <c r="AL205" s="387">
        <v>0</v>
      </c>
      <c r="AM205" s="392">
        <v>0</v>
      </c>
      <c r="AN205" s="9"/>
    </row>
    <row r="206" spans="1:40" s="385" customFormat="1" ht="24.95" customHeight="1" x14ac:dyDescent="0.2">
      <c r="A206" s="767"/>
      <c r="B206" s="669"/>
      <c r="N206" s="9"/>
      <c r="P206" s="9"/>
      <c r="Q206" s="9"/>
      <c r="R206" s="9"/>
      <c r="S206" s="492" t="str">
        <f>+IF(ENERO!S206=0,"",ENERO!S206)</f>
        <v/>
      </c>
      <c r="T206" s="700" t="str">
        <f>+IF(ENERO!T206=0,"",ENERO!T206)</f>
        <v/>
      </c>
      <c r="U206" s="170"/>
      <c r="V206" s="170"/>
      <c r="W206" s="170"/>
      <c r="X206" s="170"/>
      <c r="Y206" s="170"/>
      <c r="Z206" s="170"/>
      <c r="AA206" s="170"/>
      <c r="AB206" s="493"/>
      <c r="AC206" s="170"/>
      <c r="AD206" s="171"/>
      <c r="AE206" s="493"/>
      <c r="AF206" s="170"/>
      <c r="AG206" s="171"/>
      <c r="AH206" s="493"/>
      <c r="AI206" s="170"/>
      <c r="AJ206" s="171"/>
      <c r="AK206" s="9"/>
      <c r="AL206" s="494"/>
      <c r="AM206" s="495"/>
      <c r="AN206" s="9"/>
    </row>
    <row r="207" spans="1:40" s="385" customFormat="1" ht="24.95" customHeight="1" x14ac:dyDescent="0.2">
      <c r="A207" s="767"/>
      <c r="B207" s="669"/>
      <c r="N207" s="9"/>
      <c r="P207" s="9"/>
      <c r="Q207" s="9"/>
      <c r="R207" s="9"/>
      <c r="S207" s="511" t="str">
        <f>+IF(ENERO!S207=0,"",ENERO!S207)</f>
        <v>B</v>
      </c>
      <c r="T207" s="709" t="str">
        <f>+IF(ENERO!T207=0,"",ENERO!T207)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383">
        <f t="shared" si="180"/>
        <v>0</v>
      </c>
      <c r="AE207" s="382">
        <f t="shared" si="180"/>
        <v>0</v>
      </c>
      <c r="AF207" s="474">
        <f t="shared" si="180"/>
        <v>0</v>
      </c>
      <c r="AG207" s="383">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370"/>
      <c r="AC208" s="164"/>
      <c r="AD208" s="169"/>
      <c r="AE208" s="370"/>
      <c r="AF208" s="164"/>
      <c r="AG208" s="169"/>
      <c r="AH208" s="370"/>
      <c r="AI208" s="164"/>
      <c r="AJ208" s="169"/>
      <c r="AK208" s="9"/>
      <c r="AL208" s="499"/>
      <c r="AM208" s="500"/>
      <c r="AN208" s="9"/>
    </row>
    <row r="209" spans="1:40" s="385" customFormat="1" ht="24.95" customHeight="1" x14ac:dyDescent="0.2">
      <c r="A209" s="767"/>
      <c r="B209" s="669"/>
      <c r="N209" s="9"/>
      <c r="P209" s="9"/>
      <c r="Q209" s="9"/>
      <c r="R209" s="9"/>
      <c r="S209" s="717">
        <f>+IF(ENERO!S209=0,"",ENERO!S209)</f>
        <v>5000000</v>
      </c>
      <c r="T209" s="741" t="str">
        <f>+IF(ENERO!T209=0,"",ENERO!T209)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383">
        <f t="shared" si="181"/>
        <v>0</v>
      </c>
      <c r="AE209" s="382">
        <f t="shared" si="181"/>
        <v>0</v>
      </c>
      <c r="AF209" s="474">
        <f t="shared" si="181"/>
        <v>0</v>
      </c>
      <c r="AG209" s="383">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+IF(ENERO!S210=0,"",ENERO!S210)</f>
        <v>5100000</v>
      </c>
      <c r="T210" s="692" t="str">
        <f>+IF(ENERO!T210=0,"",ENERO!T210)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3">
        <f t="shared" si="182"/>
        <v>0</v>
      </c>
      <c r="AE210" s="131">
        <f t="shared" si="182"/>
        <v>0</v>
      </c>
      <c r="AF210" s="124">
        <f t="shared" si="182"/>
        <v>0</v>
      </c>
      <c r="AG210" s="133">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+IF(ENERO!S211=0,"",ENERO!S211)</f>
        <v>5100100</v>
      </c>
      <c r="T211" s="693" t="str">
        <f>+IF(ENERO!T211=0,"",ENERO!T211)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6">
        <f t="shared" si="183"/>
        <v>0</v>
      </c>
      <c r="AE211" s="19">
        <f t="shared" si="183"/>
        <v>0</v>
      </c>
      <c r="AF211" s="145">
        <f t="shared" si="183"/>
        <v>0</v>
      </c>
      <c r="AG211" s="16">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+IF(ENERO!S212=0,"",ENERO!S212)</f>
        <v>5100100-1</v>
      </c>
      <c r="T212" s="694" t="str">
        <f>+IF(ENERO!T212=0,"",ENERO!T212)</f>
        <v>Productos Farmaceuticos</v>
      </c>
      <c r="U212" s="27">
        <f>+ENERO!U212</f>
        <v>0</v>
      </c>
      <c r="V212" s="15">
        <f>ENERO!V212+FEBRERO!AL212</f>
        <v>0</v>
      </c>
      <c r="W212" s="15">
        <f>ENERO!W212+FEBRERO!AM212</f>
        <v>0</v>
      </c>
      <c r="X212" s="18">
        <f t="shared" ref="X212:X218" si="184">SUM(U212:W212)</f>
        <v>0</v>
      </c>
      <c r="Y212" s="19">
        <f>ENERO!AA212</f>
        <v>0</v>
      </c>
      <c r="Z212" s="377">
        <v>0</v>
      </c>
      <c r="AA212" s="18">
        <f t="shared" ref="AA212:AA218" si="185">SUM(Y212:Z212)</f>
        <v>0</v>
      </c>
      <c r="AB212" s="19">
        <f>ENERO!AD212</f>
        <v>0</v>
      </c>
      <c r="AC212" s="377">
        <v>0</v>
      </c>
      <c r="AD212" s="16">
        <f t="shared" ref="AD212:AD218" si="186">SUM(AB212:AC212)</f>
        <v>0</v>
      </c>
      <c r="AE212" s="19">
        <f>ENERO!AG212</f>
        <v>0</v>
      </c>
      <c r="AF212" s="377">
        <v>0</v>
      </c>
      <c r="AG212" s="16">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+IF(ENERO!S213=0,"",ENERO!S213)</f>
        <v>5100100-2</v>
      </c>
      <c r="T213" s="694" t="str">
        <f>+IF(ENERO!T213=0,"",ENERO!T213)</f>
        <v>Material Médico Quirúrgico</v>
      </c>
      <c r="U213" s="27">
        <f>+ENERO!U213</f>
        <v>0</v>
      </c>
      <c r="V213" s="15">
        <f>ENERO!V213+FEBRERO!AL213</f>
        <v>0</v>
      </c>
      <c r="W213" s="15">
        <f>ENERO!W213+FEBRERO!AM213</f>
        <v>0</v>
      </c>
      <c r="X213" s="18">
        <f t="shared" si="184"/>
        <v>0</v>
      </c>
      <c r="Y213" s="19">
        <f>ENERO!AA213</f>
        <v>0</v>
      </c>
      <c r="Z213" s="377">
        <v>0</v>
      </c>
      <c r="AA213" s="18">
        <f t="shared" si="185"/>
        <v>0</v>
      </c>
      <c r="AB213" s="19">
        <f>ENERO!AD213</f>
        <v>0</v>
      </c>
      <c r="AC213" s="377">
        <v>0</v>
      </c>
      <c r="AD213" s="16">
        <f t="shared" si="186"/>
        <v>0</v>
      </c>
      <c r="AE213" s="19">
        <f>ENERO!AG213</f>
        <v>0</v>
      </c>
      <c r="AF213" s="377">
        <v>0</v>
      </c>
      <c r="AG213" s="16">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+IF(ENERO!S214=0,"",ENERO!S214)</f>
        <v>5100100-3</v>
      </c>
      <c r="T214" s="694" t="str">
        <f>+IF(ENERO!T214=0,"",ENERO!T214)</f>
        <v>Material de Laboratorio</v>
      </c>
      <c r="U214" s="27">
        <f>+ENERO!U214</f>
        <v>0</v>
      </c>
      <c r="V214" s="15">
        <f>ENERO!V214+FEBRERO!AL214</f>
        <v>0</v>
      </c>
      <c r="W214" s="15">
        <f>ENERO!W214+FEBRERO!AM214</f>
        <v>0</v>
      </c>
      <c r="X214" s="18">
        <f t="shared" si="184"/>
        <v>0</v>
      </c>
      <c r="Y214" s="19">
        <f>ENERO!AA214</f>
        <v>0</v>
      </c>
      <c r="Z214" s="377">
        <v>0</v>
      </c>
      <c r="AA214" s="18">
        <f t="shared" si="185"/>
        <v>0</v>
      </c>
      <c r="AB214" s="19">
        <f>ENERO!AD214</f>
        <v>0</v>
      </c>
      <c r="AC214" s="377">
        <v>0</v>
      </c>
      <c r="AD214" s="16">
        <f t="shared" si="186"/>
        <v>0</v>
      </c>
      <c r="AE214" s="19">
        <f>ENERO!AG214</f>
        <v>0</v>
      </c>
      <c r="AF214" s="377">
        <v>0</v>
      </c>
      <c r="AG214" s="16">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+IF(ENERO!S215=0,"",ENERO!S215)</f>
        <v>5100100-4</v>
      </c>
      <c r="T215" s="694" t="str">
        <f>+IF(ENERO!T215=0,"",ENERO!T215)</f>
        <v>Material para Odontologia</v>
      </c>
      <c r="U215" s="27">
        <f>+ENERO!U215</f>
        <v>0</v>
      </c>
      <c r="V215" s="15">
        <f>ENERO!V215+FEBRERO!AL215</f>
        <v>0</v>
      </c>
      <c r="W215" s="15">
        <f>ENERO!W215+FEBRERO!AM215</f>
        <v>0</v>
      </c>
      <c r="X215" s="18">
        <f t="shared" si="184"/>
        <v>0</v>
      </c>
      <c r="Y215" s="19">
        <f>ENERO!AA215</f>
        <v>0</v>
      </c>
      <c r="Z215" s="377">
        <v>0</v>
      </c>
      <c r="AA215" s="18">
        <f t="shared" si="185"/>
        <v>0</v>
      </c>
      <c r="AB215" s="19">
        <f>ENERO!AD215</f>
        <v>0</v>
      </c>
      <c r="AC215" s="377">
        <v>0</v>
      </c>
      <c r="AD215" s="16">
        <f t="shared" si="186"/>
        <v>0</v>
      </c>
      <c r="AE215" s="19">
        <f>ENERO!AG215</f>
        <v>0</v>
      </c>
      <c r="AF215" s="377">
        <v>0</v>
      </c>
      <c r="AG215" s="16">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+IF(ENERO!S216=0,"",ENERO!S216)</f>
        <v>5100100-5</v>
      </c>
      <c r="T216" s="694" t="str">
        <f>+IF(ENERO!T216=0,"",ENERO!T216)</f>
        <v>Material para Rayos X</v>
      </c>
      <c r="U216" s="27">
        <f>+ENERO!U216</f>
        <v>0</v>
      </c>
      <c r="V216" s="15">
        <f>ENERO!V216+FEBRERO!AL216</f>
        <v>0</v>
      </c>
      <c r="W216" s="15">
        <f>ENERO!W216+FEBRERO!AM216</f>
        <v>0</v>
      </c>
      <c r="X216" s="18">
        <f t="shared" si="184"/>
        <v>0</v>
      </c>
      <c r="Y216" s="19">
        <f>ENERO!AA216</f>
        <v>0</v>
      </c>
      <c r="Z216" s="377">
        <v>0</v>
      </c>
      <c r="AA216" s="18">
        <f t="shared" si="185"/>
        <v>0</v>
      </c>
      <c r="AB216" s="19">
        <f>ENERO!AD216</f>
        <v>0</v>
      </c>
      <c r="AC216" s="377">
        <v>0</v>
      </c>
      <c r="AD216" s="16">
        <f t="shared" si="186"/>
        <v>0</v>
      </c>
      <c r="AE216" s="19">
        <f>ENERO!AG216</f>
        <v>0</v>
      </c>
      <c r="AF216" s="377">
        <v>0</v>
      </c>
      <c r="AG216" s="16">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+IF(ENERO!S217=0,"",ENERO!S217)</f>
        <v>5100100-6</v>
      </c>
      <c r="T217" s="694" t="str">
        <f>+IF(ENERO!T217=0,"",ENERO!T217)</f>
        <v>Material aseo personal, etc.</v>
      </c>
      <c r="U217" s="27">
        <f>+ENERO!U217</f>
        <v>0</v>
      </c>
      <c r="V217" s="15">
        <f>ENERO!V217+FEBRERO!AL217</f>
        <v>0</v>
      </c>
      <c r="W217" s="15">
        <f>ENERO!W217+FEBRERO!AM217</f>
        <v>0</v>
      </c>
      <c r="X217" s="18">
        <f t="shared" si="184"/>
        <v>0</v>
      </c>
      <c r="Y217" s="19">
        <f>ENERO!AA217</f>
        <v>0</v>
      </c>
      <c r="Z217" s="377">
        <v>0</v>
      </c>
      <c r="AA217" s="18">
        <f t="shared" si="185"/>
        <v>0</v>
      </c>
      <c r="AB217" s="19">
        <f>ENERO!AD217</f>
        <v>0</v>
      </c>
      <c r="AC217" s="377">
        <v>0</v>
      </c>
      <c r="AD217" s="16">
        <f t="shared" si="186"/>
        <v>0</v>
      </c>
      <c r="AE217" s="19">
        <f>ENERO!AG217</f>
        <v>0</v>
      </c>
      <c r="AF217" s="377">
        <v>0</v>
      </c>
      <c r="AG217" s="16">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+IF(ENERO!S218=0,"",ENERO!S218)</f>
        <v>5199999</v>
      </c>
      <c r="T218" s="710" t="str">
        <f>+IF(ENERO!T218=0,"",ENERO!T218)</f>
        <v>Vigencias Anteriores</v>
      </c>
      <c r="U218" s="136">
        <f>+ENERO!U218</f>
        <v>0</v>
      </c>
      <c r="V218" s="123">
        <f>ENERO!V218+FEBRERO!AL218</f>
        <v>0</v>
      </c>
      <c r="W218" s="123">
        <f>ENERO!W218+FEBRERO!AM218</f>
        <v>0</v>
      </c>
      <c r="X218" s="129">
        <f t="shared" si="184"/>
        <v>0</v>
      </c>
      <c r="Y218" s="127">
        <f>ENERO!AA218</f>
        <v>0</v>
      </c>
      <c r="Z218" s="391">
        <v>0</v>
      </c>
      <c r="AA218" s="129">
        <f t="shared" si="185"/>
        <v>0</v>
      </c>
      <c r="AB218" s="127">
        <f>ENERO!AD218</f>
        <v>0</v>
      </c>
      <c r="AC218" s="391">
        <v>0</v>
      </c>
      <c r="AD218" s="128">
        <f t="shared" si="186"/>
        <v>0</v>
      </c>
      <c r="AE218" s="127">
        <f>ENERO!AG218</f>
        <v>0</v>
      </c>
      <c r="AF218" s="391">
        <v>0</v>
      </c>
      <c r="AG218" s="128">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+IF(ENERO!S219=0,"",ENERO!S219)</f>
        <v/>
      </c>
      <c r="T219" s="707" t="str">
        <f>+IF(ENERO!T219=0,"",ENERO!T219)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+IF(ENERO!S220=0,"",ENERO!S220)</f>
        <v>C</v>
      </c>
      <c r="T220" s="688" t="str">
        <f>+IF(ENERO!T220=0,"",ENERO!T220)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+IF(ENERO!S221=0,"",ENERO!S221)</f>
        <v/>
      </c>
      <c r="T221" s="708" t="str">
        <f>+IF(ENERO!T221=0,"",ENERO!T221)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+IF(ENERO!S222=0,"",ENERO!S222)</f>
        <v>7001000</v>
      </c>
      <c r="T222" s="692" t="str">
        <f>+IF(ENERO!T222=0,"",ENERO!T222)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+IF(ENERO!S223=0,"",ENERO!S223)</f>
        <v>7001100</v>
      </c>
      <c r="T223" s="693" t="str">
        <f>+IF(ENERO!T223=0,"",ENERO!T223)</f>
        <v>Amortización deuda Pública Interna</v>
      </c>
      <c r="U223" s="27">
        <f>+ENERO!U223</f>
        <v>0</v>
      </c>
      <c r="V223" s="15">
        <f>ENERO!V223+FEBRERO!AL223</f>
        <v>0</v>
      </c>
      <c r="W223" s="15">
        <f>ENERO!W223+FEBRERO!AM223</f>
        <v>0</v>
      </c>
      <c r="X223" s="18">
        <f>SUM(U223:W223)</f>
        <v>0</v>
      </c>
      <c r="Y223" s="19">
        <f>ENERO!AA223</f>
        <v>0</v>
      </c>
      <c r="Z223" s="377">
        <v>0</v>
      </c>
      <c r="AA223" s="18">
        <f>SUM(Y223:Z223)</f>
        <v>0</v>
      </c>
      <c r="AB223" s="19">
        <f>ENERO!AD223</f>
        <v>0</v>
      </c>
      <c r="AC223" s="377">
        <v>0</v>
      </c>
      <c r="AD223" s="18">
        <f>SUM(AB223:AC223)</f>
        <v>0</v>
      </c>
      <c r="AE223" s="19">
        <f>ENERO!AG223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+IF(ENERO!S224=0,"",ENERO!S224)</f>
        <v>7001200</v>
      </c>
      <c r="T224" s="693" t="str">
        <f>+IF(ENERO!T224=0,"",ENERO!T224)</f>
        <v>Intereses Comisiones y gastos de la Deuda Pública</v>
      </c>
      <c r="U224" s="27">
        <f>+ENERO!U224</f>
        <v>0</v>
      </c>
      <c r="V224" s="15">
        <f>ENERO!V224+FEBRERO!AL224</f>
        <v>0</v>
      </c>
      <c r="W224" s="15">
        <f>ENERO!W224+FEBRERO!AM224</f>
        <v>0</v>
      </c>
      <c r="X224" s="18">
        <f>SUM(U224:W224)</f>
        <v>0</v>
      </c>
      <c r="Y224" s="19">
        <f>ENERO!AA224</f>
        <v>0</v>
      </c>
      <c r="Z224" s="377">
        <v>0</v>
      </c>
      <c r="AA224" s="18">
        <f>SUM(Y224:Z224)</f>
        <v>0</v>
      </c>
      <c r="AB224" s="19">
        <f>ENERO!AD224</f>
        <v>0</v>
      </c>
      <c r="AC224" s="377">
        <v>0</v>
      </c>
      <c r="AD224" s="18">
        <f>SUM(AB224:AC224)</f>
        <v>0</v>
      </c>
      <c r="AE224" s="19">
        <f>ENERO!AG224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+IF(ENERO!S225=0,"",ENERO!S225)</f>
        <v>7001999</v>
      </c>
      <c r="T225" s="693" t="str">
        <f>+IF(ENERO!T225=0,"",ENERO!T225)</f>
        <v>Vigencias Anteriores</v>
      </c>
      <c r="U225" s="27">
        <f>+ENERO!U225</f>
        <v>0</v>
      </c>
      <c r="V225" s="15">
        <f>ENERO!V225+FEBRERO!AL225</f>
        <v>0</v>
      </c>
      <c r="W225" s="15">
        <f>ENERO!W225+FEBRERO!AM225</f>
        <v>0</v>
      </c>
      <c r="X225" s="18">
        <f>SUM(U225:W225)</f>
        <v>0</v>
      </c>
      <c r="Y225" s="19">
        <f>ENERO!AA225</f>
        <v>0</v>
      </c>
      <c r="Z225" s="377">
        <v>0</v>
      </c>
      <c r="AA225" s="18">
        <f>SUM(Y225:Z225)</f>
        <v>0</v>
      </c>
      <c r="AB225" s="19">
        <f>ENERO!AD225</f>
        <v>0</v>
      </c>
      <c r="AC225" s="377">
        <v>0</v>
      </c>
      <c r="AD225" s="18">
        <f>SUM(AB225:AC225)</f>
        <v>0</v>
      </c>
      <c r="AE225" s="19">
        <f>ENERO!AG225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+IF(ENERO!S226=0,"",ENERO!S226)</f>
        <v/>
      </c>
      <c r="T226" s="708" t="str">
        <f>+IF(ENERO!T226=0,"",ENERO!T226)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+IF(ENERO!S227=0,"",ENERO!S227)</f>
        <v>7002001</v>
      </c>
      <c r="T227" s="692" t="str">
        <f>+IF(ENERO!T227=0,"",ENERO!T227)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+IF(ENERO!S228=0,"",ENERO!S228)</f>
        <v>7002100</v>
      </c>
      <c r="T228" s="693" t="str">
        <f>+IF(ENERO!T228=0,"",ENERO!T228)</f>
        <v>Amortización deuda Pública Externa</v>
      </c>
      <c r="U228" s="27">
        <f>+ENERO!U228</f>
        <v>0</v>
      </c>
      <c r="V228" s="15">
        <f>ENERO!V228+FEBRERO!AL228</f>
        <v>0</v>
      </c>
      <c r="W228" s="15">
        <f>ENERO!W228+FEBRERO!AM228</f>
        <v>0</v>
      </c>
      <c r="X228" s="18">
        <f>SUM(U228:W228)</f>
        <v>0</v>
      </c>
      <c r="Y228" s="19">
        <f>ENERO!AA228</f>
        <v>0</v>
      </c>
      <c r="Z228" s="377">
        <v>0</v>
      </c>
      <c r="AA228" s="18">
        <f>SUM(Y228:Z228)</f>
        <v>0</v>
      </c>
      <c r="AB228" s="19">
        <f>ENERO!AD228</f>
        <v>0</v>
      </c>
      <c r="AC228" s="377">
        <v>0</v>
      </c>
      <c r="AD228" s="18">
        <f>SUM(AB228:AC228)</f>
        <v>0</v>
      </c>
      <c r="AE228" s="19">
        <f>ENERO!AG228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+IF(ENERO!S229=0,"",ENERO!S229)</f>
        <v>7002200</v>
      </c>
      <c r="T229" s="693" t="str">
        <f>+IF(ENERO!T229=0,"",ENERO!T229)</f>
        <v>Intereses Comisiones y gastos de la Deuda Pública</v>
      </c>
      <c r="U229" s="27">
        <f>+ENERO!U229</f>
        <v>0</v>
      </c>
      <c r="V229" s="15">
        <f>ENERO!V229+FEBRERO!AL229</f>
        <v>0</v>
      </c>
      <c r="W229" s="15">
        <f>ENERO!W229+FEBRERO!AM229</f>
        <v>0</v>
      </c>
      <c r="X229" s="18">
        <f>SUM(U229:W229)</f>
        <v>0</v>
      </c>
      <c r="Y229" s="19">
        <f>ENERO!AA229</f>
        <v>0</v>
      </c>
      <c r="Z229" s="377">
        <v>0</v>
      </c>
      <c r="AA229" s="18">
        <f>SUM(Y229:Z229)</f>
        <v>0</v>
      </c>
      <c r="AB229" s="19">
        <f>ENERO!AD229</f>
        <v>0</v>
      </c>
      <c r="AC229" s="377">
        <v>0</v>
      </c>
      <c r="AD229" s="18">
        <f>SUM(AB229:AC229)</f>
        <v>0</v>
      </c>
      <c r="AE229" s="19">
        <f>ENERO!AG229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+IF(ENERO!S230=0,"",ENERO!S230)</f>
        <v>7002999</v>
      </c>
      <c r="T230" s="699" t="str">
        <f>+IF(ENERO!T230=0,"",ENERO!T230)</f>
        <v>Vigencias Anteriores</v>
      </c>
      <c r="U230" s="136">
        <f>+ENERO!U230</f>
        <v>0</v>
      </c>
      <c r="V230" s="123">
        <f>ENERO!V230+FEBRERO!AL230</f>
        <v>0</v>
      </c>
      <c r="W230" s="123">
        <f>ENERO!W230+FEBRERO!AM230</f>
        <v>0</v>
      </c>
      <c r="X230" s="129">
        <f>SUM(U230:W230)</f>
        <v>0</v>
      </c>
      <c r="Y230" s="127">
        <f>ENERO!AA230</f>
        <v>0</v>
      </c>
      <c r="Z230" s="391">
        <v>0</v>
      </c>
      <c r="AA230" s="129">
        <f>SUM(Y230:Z230)</f>
        <v>0</v>
      </c>
      <c r="AB230" s="127">
        <f>ENERO!AD230</f>
        <v>0</v>
      </c>
      <c r="AC230" s="391">
        <v>0</v>
      </c>
      <c r="AD230" s="129">
        <f>SUM(AB230:AC230)</f>
        <v>0</v>
      </c>
      <c r="AE230" s="127">
        <f>ENERO!AG230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+IF(ENERO!S231=0,"",ENERO!S231)</f>
        <v/>
      </c>
      <c r="T231" s="700" t="str">
        <f>+IF(ENERO!T231=0,"",ENERO!T231)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+IF(ENERO!S232=0,"",ENERO!S232)</f>
        <v>D</v>
      </c>
      <c r="T232" s="709" t="str">
        <f>+IF(ENERO!T232=0,"",ENERO!T232)</f>
        <v>INVERSION</v>
      </c>
      <c r="U232" s="473">
        <f t="shared" ref="U232:AJ232" si="194">U234</f>
        <v>303000000</v>
      </c>
      <c r="V232" s="474">
        <f t="shared" si="194"/>
        <v>-45000000</v>
      </c>
      <c r="W232" s="474">
        <f t="shared" si="194"/>
        <v>178000000</v>
      </c>
      <c r="X232" s="475">
        <f t="shared" si="194"/>
        <v>436000000</v>
      </c>
      <c r="Y232" s="382">
        <f t="shared" si="194"/>
        <v>0</v>
      </c>
      <c r="Z232" s="474">
        <f t="shared" si="194"/>
        <v>0</v>
      </c>
      <c r="AA232" s="475">
        <f t="shared" si="194"/>
        <v>0</v>
      </c>
      <c r="AB232" s="382">
        <f t="shared" si="194"/>
        <v>0</v>
      </c>
      <c r="AC232" s="474">
        <f t="shared" si="194"/>
        <v>0</v>
      </c>
      <c r="AD232" s="475">
        <f t="shared" si="194"/>
        <v>0</v>
      </c>
      <c r="AE232" s="382">
        <f t="shared" si="194"/>
        <v>0</v>
      </c>
      <c r="AF232" s="474">
        <f t="shared" si="194"/>
        <v>0</v>
      </c>
      <c r="AG232" s="475">
        <f t="shared" si="194"/>
        <v>0</v>
      </c>
      <c r="AH232" s="382">
        <f t="shared" si="194"/>
        <v>436000000</v>
      </c>
      <c r="AI232" s="474">
        <f t="shared" si="194"/>
        <v>436000000</v>
      </c>
      <c r="AJ232" s="383">
        <f t="shared" si="194"/>
        <v>436000000</v>
      </c>
      <c r="AK232" s="506"/>
      <c r="AL232" s="382">
        <f>AL234</f>
        <v>-45000000</v>
      </c>
      <c r="AM232" s="383">
        <f>AM234</f>
        <v>0</v>
      </c>
      <c r="AN232" s="9"/>
    </row>
    <row r="233" spans="1:64" s="385" customFormat="1" ht="24.95" customHeight="1" x14ac:dyDescent="0.2">
      <c r="A233" s="767"/>
      <c r="B233" s="669"/>
      <c r="N233" s="9"/>
      <c r="P233" s="9"/>
      <c r="Q233" s="9"/>
      <c r="R233" s="9"/>
      <c r="S233" s="369" t="str">
        <f>+IF(ENERO!S233=0,"",ENERO!S233)</f>
        <v/>
      </c>
      <c r="T233" s="708" t="str">
        <f>+IF(ENERO!T233=0,"",ENERO!T233)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+IF(ENERO!S234=0,"",ENERO!S234)</f>
        <v>8000000</v>
      </c>
      <c r="T234" s="692" t="str">
        <f>+IF(ENERO!T234=0,"",ENERO!T234)</f>
        <v>Programas de Inversión</v>
      </c>
      <c r="U234" s="135">
        <f t="shared" ref="U234:AJ234" si="195">U235+U243</f>
        <v>303000000</v>
      </c>
      <c r="V234" s="124">
        <f t="shared" si="195"/>
        <v>-45000000</v>
      </c>
      <c r="W234" s="124">
        <f t="shared" si="195"/>
        <v>178000000</v>
      </c>
      <c r="X234" s="132">
        <f t="shared" si="195"/>
        <v>436000000</v>
      </c>
      <c r="Y234" s="131">
        <f t="shared" si="195"/>
        <v>0</v>
      </c>
      <c r="Z234" s="124">
        <f t="shared" si="195"/>
        <v>0</v>
      </c>
      <c r="AA234" s="132">
        <f t="shared" si="195"/>
        <v>0</v>
      </c>
      <c r="AB234" s="131">
        <f t="shared" si="195"/>
        <v>0</v>
      </c>
      <c r="AC234" s="124">
        <f t="shared" si="195"/>
        <v>0</v>
      </c>
      <c r="AD234" s="132">
        <f t="shared" si="195"/>
        <v>0</v>
      </c>
      <c r="AE234" s="131">
        <f t="shared" si="195"/>
        <v>0</v>
      </c>
      <c r="AF234" s="124">
        <f t="shared" si="195"/>
        <v>0</v>
      </c>
      <c r="AG234" s="132">
        <f t="shared" si="195"/>
        <v>0</v>
      </c>
      <c r="AH234" s="131">
        <f t="shared" si="195"/>
        <v>436000000</v>
      </c>
      <c r="AI234" s="124">
        <f t="shared" si="195"/>
        <v>436000000</v>
      </c>
      <c r="AJ234" s="133">
        <f t="shared" si="195"/>
        <v>436000000</v>
      </c>
      <c r="AK234" s="9"/>
      <c r="AL234" s="131">
        <f>AL235+AL243</f>
        <v>-45000000</v>
      </c>
      <c r="AM234" s="133">
        <f>AM235+AM243</f>
        <v>0</v>
      </c>
      <c r="AN234" s="9"/>
    </row>
    <row r="235" spans="1:64" s="385" customFormat="1" ht="24.95" customHeight="1" x14ac:dyDescent="0.2">
      <c r="A235" s="767"/>
      <c r="B235" s="669"/>
      <c r="N235" s="9"/>
      <c r="P235" s="9"/>
      <c r="Q235" s="9"/>
      <c r="R235" s="9"/>
      <c r="S235" s="719">
        <f>+IF(ENERO!S235=0,"",ENERO!S235)</f>
        <v>8001000</v>
      </c>
      <c r="T235" s="693" t="str">
        <f>+IF(ENERO!T235=0,"",ENERO!T235)</f>
        <v>Formación Bruta del Capital</v>
      </c>
      <c r="U235" s="27">
        <f t="shared" ref="U235:AJ235" si="196">SUM(U236:U241)</f>
        <v>185000000</v>
      </c>
      <c r="V235" s="15">
        <f t="shared" si="196"/>
        <v>23000000</v>
      </c>
      <c r="W235" s="15">
        <f t="shared" si="196"/>
        <v>0</v>
      </c>
      <c r="X235" s="18">
        <f t="shared" si="196"/>
        <v>208000000</v>
      </c>
      <c r="Y235" s="19">
        <f t="shared" si="196"/>
        <v>0</v>
      </c>
      <c r="Z235" s="145">
        <f t="shared" si="196"/>
        <v>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208000000</v>
      </c>
      <c r="AI235" s="15">
        <f t="shared" si="196"/>
        <v>208000000</v>
      </c>
      <c r="AJ235" s="16">
        <f t="shared" si="196"/>
        <v>208000000</v>
      </c>
      <c r="AK235" s="9"/>
      <c r="AL235" s="29">
        <f>SUM(AL236:AL241)</f>
        <v>23000000</v>
      </c>
      <c r="AM235" s="26">
        <f>SUM(AM236:AM241)</f>
        <v>0</v>
      </c>
      <c r="AN235" s="9"/>
    </row>
    <row r="236" spans="1:64" s="385" customFormat="1" ht="24.95" customHeight="1" x14ac:dyDescent="0.2">
      <c r="A236" s="767"/>
      <c r="B236" s="669"/>
      <c r="N236" s="9"/>
      <c r="P236" s="9"/>
      <c r="Q236" s="9"/>
      <c r="R236" s="9"/>
      <c r="S236" s="720" t="str">
        <f>+IF(ENERO!S236=0,"",ENERO!S236)</f>
        <v>8001000-1</v>
      </c>
      <c r="T236" s="694" t="str">
        <f>+IF(ENERO!T236=0,"",ENERO!T236)</f>
        <v>Subprogr.Diseño Proyecto plan maestro, remodelacion y adec.primer piso</v>
      </c>
      <c r="U236" s="27">
        <f>+ENERO!U236</f>
        <v>60000000</v>
      </c>
      <c r="V236" s="15">
        <f>ENERO!V236+FEBRERO!AL236</f>
        <v>0</v>
      </c>
      <c r="W236" s="15">
        <f>ENERO!W236+FEBRERO!AM236</f>
        <v>0</v>
      </c>
      <c r="X236" s="18">
        <f t="shared" ref="X236:X241" si="197">SUM(U236:W236)</f>
        <v>60000000</v>
      </c>
      <c r="Y236" s="19">
        <f>ENERO!AA236</f>
        <v>0</v>
      </c>
      <c r="Z236" s="377">
        <v>0</v>
      </c>
      <c r="AA236" s="18">
        <f t="shared" ref="AA236:AA241" si="198">SUM(Y236:Z236)</f>
        <v>0</v>
      </c>
      <c r="AB236" s="19">
        <f>ENERO!AD236</f>
        <v>0</v>
      </c>
      <c r="AC236" s="377">
        <v>0</v>
      </c>
      <c r="AD236" s="18">
        <f t="shared" ref="AD236:AD241" si="199">SUM(AB236:AC236)</f>
        <v>0</v>
      </c>
      <c r="AE236" s="19">
        <f>ENERO!AG236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+IF(ENERO!S237=0,"",ENERO!S237)</f>
        <v>8001000-2</v>
      </c>
      <c r="T237" s="694" t="str">
        <f>+IF(ENERO!T237=0,"",ENERO!T237)</f>
        <v>Subprogr.Adquisicion de ambulancia</v>
      </c>
      <c r="U237" s="27">
        <f>+ENERO!U237</f>
        <v>50000000</v>
      </c>
      <c r="V237" s="15">
        <f>ENERO!V237+FEBRERO!AL237</f>
        <v>0</v>
      </c>
      <c r="W237" s="15">
        <f>ENERO!W237+FEBRERO!AM237</f>
        <v>0</v>
      </c>
      <c r="X237" s="18">
        <f t="shared" si="197"/>
        <v>50000000</v>
      </c>
      <c r="Y237" s="19">
        <f>ENERO!AA237</f>
        <v>0</v>
      </c>
      <c r="Z237" s="377">
        <v>0</v>
      </c>
      <c r="AA237" s="18">
        <f t="shared" si="198"/>
        <v>0</v>
      </c>
      <c r="AB237" s="19">
        <f>ENERO!AD237</f>
        <v>0</v>
      </c>
      <c r="AC237" s="377">
        <v>0</v>
      </c>
      <c r="AD237" s="18">
        <f t="shared" si="199"/>
        <v>0</v>
      </c>
      <c r="AE237" s="19">
        <f>ENERO!AG237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+IF(ENERO!S238=0,"",ENERO!S238)</f>
        <v>8001000-3</v>
      </c>
      <c r="T238" s="694" t="str">
        <f>+IF(ENERO!T238=0,"",ENERO!T238)</f>
        <v>Subprogr.Actualizacion software hacia NICSP y Adquisicion de Historias clinicas</v>
      </c>
      <c r="U238" s="27">
        <f>+ENERO!U238</f>
        <v>75000000</v>
      </c>
      <c r="V238" s="15">
        <f>ENERO!V238+FEBRERO!AL238</f>
        <v>0</v>
      </c>
      <c r="W238" s="15">
        <f>ENERO!W238+FEBRERO!AM238</f>
        <v>0</v>
      </c>
      <c r="X238" s="18">
        <f t="shared" si="197"/>
        <v>75000000</v>
      </c>
      <c r="Y238" s="19">
        <f>ENERO!AA238</f>
        <v>0</v>
      </c>
      <c r="Z238" s="377">
        <v>0</v>
      </c>
      <c r="AA238" s="18">
        <f t="shared" si="198"/>
        <v>0</v>
      </c>
      <c r="AB238" s="19">
        <f>ENERO!AD238</f>
        <v>0</v>
      </c>
      <c r="AC238" s="377">
        <v>0</v>
      </c>
      <c r="AD238" s="18">
        <f t="shared" si="199"/>
        <v>0</v>
      </c>
      <c r="AE238" s="19">
        <f>ENERO!AG238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+IF(ENERO!S239=0,"",ENERO!S239)</f>
        <v>8001000-4</v>
      </c>
      <c r="T239" s="694" t="str">
        <f>+IF(ENERO!T239=0,"",ENERO!T239)</f>
        <v>Subprogr.Construc. Remodelac. Adecuación y Apliac.4</v>
      </c>
      <c r="U239" s="27">
        <f>+ENERO!U239</f>
        <v>0</v>
      </c>
      <c r="V239" s="15">
        <f>ENERO!V239+FEBRERO!AL239</f>
        <v>23000000</v>
      </c>
      <c r="W239" s="15">
        <f>ENERO!W239+FEBRERO!AM239</f>
        <v>0</v>
      </c>
      <c r="X239" s="18">
        <f t="shared" si="197"/>
        <v>23000000</v>
      </c>
      <c r="Y239" s="19">
        <f>ENERO!AA239</f>
        <v>0</v>
      </c>
      <c r="Z239" s="377">
        <v>0</v>
      </c>
      <c r="AA239" s="18">
        <f t="shared" si="198"/>
        <v>0</v>
      </c>
      <c r="AB239" s="19">
        <f>ENERO!AD239</f>
        <v>0</v>
      </c>
      <c r="AC239" s="377">
        <v>0</v>
      </c>
      <c r="AD239" s="18">
        <f t="shared" si="199"/>
        <v>0</v>
      </c>
      <c r="AE239" s="19">
        <f>ENERO!AG239</f>
        <v>0</v>
      </c>
      <c r="AF239" s="377">
        <v>0</v>
      </c>
      <c r="AG239" s="18">
        <f t="shared" si="200"/>
        <v>0</v>
      </c>
      <c r="AH239" s="19">
        <f t="shared" si="201"/>
        <v>23000000</v>
      </c>
      <c r="AI239" s="15">
        <f t="shared" si="202"/>
        <v>23000000</v>
      </c>
      <c r="AJ239" s="16">
        <f t="shared" si="203"/>
        <v>23000000</v>
      </c>
      <c r="AK239" s="9"/>
      <c r="AL239" s="375">
        <v>23000000</v>
      </c>
      <c r="AM239" s="378">
        <v>0</v>
      </c>
      <c r="AN239" s="9"/>
    </row>
    <row r="240" spans="1:64" s="385" customFormat="1" ht="24.95" customHeight="1" x14ac:dyDescent="0.2">
      <c r="A240" s="767"/>
      <c r="B240" s="669"/>
      <c r="N240" s="9"/>
      <c r="P240" s="9"/>
      <c r="Q240" s="9"/>
      <c r="S240" s="720" t="str">
        <f>+IF(ENERO!S240=0,"",ENERO!S240)</f>
        <v>8001000-7</v>
      </c>
      <c r="T240" s="694" t="str">
        <f>+IF(ENERO!T240=0,"",ENERO!T240)</f>
        <v>Subprogr.Construc. Remodelac. Adecuación y Apliac.5</v>
      </c>
      <c r="U240" s="27">
        <f>+ENERO!U240</f>
        <v>0</v>
      </c>
      <c r="V240" s="15">
        <f>ENERO!V240+FEBRERO!AL240</f>
        <v>0</v>
      </c>
      <c r="W240" s="15">
        <f>ENERO!W240+FEBRERO!AM240</f>
        <v>0</v>
      </c>
      <c r="X240" s="18">
        <f t="shared" si="197"/>
        <v>0</v>
      </c>
      <c r="Y240" s="19">
        <f>ENERO!AA240</f>
        <v>0</v>
      </c>
      <c r="Z240" s="377">
        <v>0</v>
      </c>
      <c r="AA240" s="18">
        <f t="shared" si="198"/>
        <v>0</v>
      </c>
      <c r="AB240" s="19">
        <f>ENERO!AD240</f>
        <v>0</v>
      </c>
      <c r="AC240" s="377">
        <v>0</v>
      </c>
      <c r="AD240" s="18">
        <f t="shared" si="199"/>
        <v>0</v>
      </c>
      <c r="AE240" s="19">
        <f>ENERO!AG240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s="385" customFormat="1" ht="24.95" customHeight="1" x14ac:dyDescent="0.2">
      <c r="A241" s="767"/>
      <c r="B241" s="669"/>
      <c r="N241" s="9"/>
      <c r="P241" s="9"/>
      <c r="Q241" s="9"/>
      <c r="S241" s="730">
        <f>+IF(ENERO!S241=0,"",ENERO!S241)</f>
        <v>8001999</v>
      </c>
      <c r="T241" s="694" t="str">
        <f>+IF(ENERO!T241=0,"",ENERO!T241)</f>
        <v>Vigencias Anteriores</v>
      </c>
      <c r="U241" s="27">
        <f>+ENERO!U241</f>
        <v>0</v>
      </c>
      <c r="V241" s="15">
        <f>ENERO!V241+FEBRERO!AL241</f>
        <v>0</v>
      </c>
      <c r="W241" s="15">
        <f>ENERO!W241+FEBRERO!AM241</f>
        <v>0</v>
      </c>
      <c r="X241" s="18">
        <f t="shared" si="197"/>
        <v>0</v>
      </c>
      <c r="Y241" s="19">
        <f>ENERO!AA241</f>
        <v>0</v>
      </c>
      <c r="Z241" s="377">
        <v>0</v>
      </c>
      <c r="AA241" s="18">
        <f t="shared" si="198"/>
        <v>0</v>
      </c>
      <c r="AB241" s="19">
        <f>ENERO!AD241</f>
        <v>0</v>
      </c>
      <c r="AC241" s="377">
        <v>0</v>
      </c>
      <c r="AD241" s="18">
        <f t="shared" si="199"/>
        <v>0</v>
      </c>
      <c r="AE241" s="19">
        <f>ENERO!AG241</f>
        <v>0</v>
      </c>
      <c r="AF241" s="377">
        <v>0</v>
      </c>
      <c r="AG241" s="18">
        <f t="shared" si="200"/>
        <v>0</v>
      </c>
      <c r="AH241" s="19">
        <f t="shared" si="201"/>
        <v>0</v>
      </c>
      <c r="AI241" s="15">
        <f t="shared" si="202"/>
        <v>0</v>
      </c>
      <c r="AJ241" s="16">
        <f t="shared" si="203"/>
        <v>0</v>
      </c>
      <c r="AK241" s="9"/>
      <c r="AL241" s="375">
        <v>0</v>
      </c>
      <c r="AM241" s="378">
        <v>0</v>
      </c>
      <c r="AN241" s="9"/>
      <c r="BB241" s="275"/>
      <c r="BC241" s="275"/>
      <c r="BD241" s="275"/>
      <c r="BE241" s="275"/>
      <c r="BF241" s="275"/>
      <c r="BG241" s="275"/>
      <c r="BH241" s="275"/>
      <c r="BI241" s="275"/>
      <c r="BJ241" s="275"/>
      <c r="BK241" s="275"/>
      <c r="BL241" s="27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+IF(ENERO!S242=0,"",ENERO!S242)</f>
        <v/>
      </c>
      <c r="T242" s="708" t="str">
        <f>+IF(ENERO!T242=0,"",ENERO!T242)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+IF(ENERO!S243=0,"",ENERO!S243)</f>
        <v>8002001</v>
      </c>
      <c r="T243" s="693" t="str">
        <f>+IF(ENERO!T243=0,"",ENERO!T243)</f>
        <v>Gastos Operativos de Inversion   (Programas Especiales)</v>
      </c>
      <c r="U243" s="27">
        <f t="shared" ref="U243:AJ243" si="204">SUM(U244:U256)</f>
        <v>118000000</v>
      </c>
      <c r="V243" s="15">
        <f t="shared" si="204"/>
        <v>-68000000</v>
      </c>
      <c r="W243" s="15">
        <f t="shared" si="204"/>
        <v>178000000</v>
      </c>
      <c r="X243" s="18">
        <f t="shared" si="204"/>
        <v>228000000</v>
      </c>
      <c r="Y243" s="19">
        <f t="shared" si="204"/>
        <v>0</v>
      </c>
      <c r="Z243" s="145">
        <f t="shared" si="204"/>
        <v>0</v>
      </c>
      <c r="AA243" s="18">
        <f t="shared" si="204"/>
        <v>0</v>
      </c>
      <c r="AB243" s="19">
        <f t="shared" si="204"/>
        <v>0</v>
      </c>
      <c r="AC243" s="145">
        <f t="shared" si="204"/>
        <v>0</v>
      </c>
      <c r="AD243" s="18">
        <f t="shared" si="204"/>
        <v>0</v>
      </c>
      <c r="AE243" s="19">
        <f t="shared" si="204"/>
        <v>0</v>
      </c>
      <c r="AF243" s="145">
        <f t="shared" si="204"/>
        <v>0</v>
      </c>
      <c r="AG243" s="18">
        <f t="shared" si="204"/>
        <v>0</v>
      </c>
      <c r="AH243" s="19">
        <f t="shared" si="204"/>
        <v>228000000</v>
      </c>
      <c r="AI243" s="15">
        <f t="shared" si="204"/>
        <v>228000000</v>
      </c>
      <c r="AJ243" s="16">
        <f t="shared" si="204"/>
        <v>228000000</v>
      </c>
      <c r="AK243" s="9"/>
      <c r="AL243" s="19">
        <f>SUM(AL244:AL256)</f>
        <v>-68000000</v>
      </c>
      <c r="AM243" s="16">
        <f>SUM(AM244:AM256)</f>
        <v>0</v>
      </c>
      <c r="BR243" s="385"/>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+IF(ENERO!S244=0,"",ENERO!S244)</f>
        <v>8002100-1</v>
      </c>
      <c r="T244" s="694" t="str">
        <f>+IF(ENERO!T244=0,"",ENERO!T244)</f>
        <v>Fondo de la Vivienda</v>
      </c>
      <c r="U244" s="27">
        <f>+ENERO!U244</f>
        <v>0</v>
      </c>
      <c r="V244" s="15">
        <f>ENERO!V244+FEBRERO!AL244</f>
        <v>0</v>
      </c>
      <c r="W244" s="15">
        <f>ENERO!W244+FEBRERO!AM244</f>
        <v>0</v>
      </c>
      <c r="X244" s="18">
        <f t="shared" ref="X244:X256" si="205">SUM(U244:W244)</f>
        <v>0</v>
      </c>
      <c r="Y244" s="19">
        <f>ENERO!AA244</f>
        <v>0</v>
      </c>
      <c r="Z244" s="377">
        <v>0</v>
      </c>
      <c r="AA244" s="18">
        <f t="shared" ref="AA244:AA256" si="206">SUM(Y244:Z244)</f>
        <v>0</v>
      </c>
      <c r="AB244" s="19">
        <f>ENERO!AD244</f>
        <v>0</v>
      </c>
      <c r="AC244" s="377">
        <v>0</v>
      </c>
      <c r="AD244" s="18">
        <f t="shared" ref="AD244:AD256" si="207">SUM(AB244:AC244)</f>
        <v>0</v>
      </c>
      <c r="AE244" s="19">
        <f>ENERO!AG244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+IF(ENERO!S245=0,"",ENERO!S245)</f>
        <v>8002100-2</v>
      </c>
      <c r="T245" s="694" t="str">
        <f>+IF(ENERO!T245=0,"",ENERO!T245)</f>
        <v>Programas Especial 01 Convenio APS Municipio</v>
      </c>
      <c r="U245" s="27">
        <f>+ENERO!U245</f>
        <v>94000000</v>
      </c>
      <c r="V245" s="15">
        <f>ENERO!V245+FEBRERO!AL245</f>
        <v>-68000000</v>
      </c>
      <c r="W245" s="15">
        <f>ENERO!W245+FEBRERO!AM245</f>
        <v>94000000</v>
      </c>
      <c r="X245" s="18">
        <f t="shared" si="205"/>
        <v>120000000</v>
      </c>
      <c r="Y245" s="19">
        <f>ENERO!AA245</f>
        <v>0</v>
      </c>
      <c r="Z245" s="377">
        <v>0</v>
      </c>
      <c r="AA245" s="18">
        <f t="shared" si="206"/>
        <v>0</v>
      </c>
      <c r="AB245" s="19">
        <f>ENERO!AD245</f>
        <v>0</v>
      </c>
      <c r="AC245" s="377">
        <v>0</v>
      </c>
      <c r="AD245" s="18">
        <f t="shared" si="207"/>
        <v>0</v>
      </c>
      <c r="AE245" s="19">
        <f>ENERO!AG245</f>
        <v>0</v>
      </c>
      <c r="AF245" s="377">
        <v>0</v>
      </c>
      <c r="AG245" s="18">
        <f t="shared" si="208"/>
        <v>0</v>
      </c>
      <c r="AH245" s="19">
        <f t="shared" si="209"/>
        <v>120000000</v>
      </c>
      <c r="AI245" s="15">
        <f t="shared" si="210"/>
        <v>120000000</v>
      </c>
      <c r="AJ245" s="16">
        <f t="shared" si="211"/>
        <v>120000000</v>
      </c>
      <c r="AK245" s="9"/>
      <c r="AL245" s="375">
        <v>-68000000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+IF(ENERO!S246=0,"",ENERO!S246)</f>
        <v>8002100-3</v>
      </c>
      <c r="T246" s="694" t="str">
        <f>+IF(ENERO!T246=0,"",ENERO!T246)</f>
        <v>Programas Especial 02 Convenios APS  Departamento</v>
      </c>
      <c r="U246" s="27">
        <f>+ENERO!U246</f>
        <v>0</v>
      </c>
      <c r="V246" s="15">
        <f>ENERO!V246+FEBRERO!AL246</f>
        <v>0</v>
      </c>
      <c r="W246" s="15">
        <f>ENERO!W246+FEBRERO!AM246</f>
        <v>50000000</v>
      </c>
      <c r="X246" s="18">
        <f t="shared" si="205"/>
        <v>50000000</v>
      </c>
      <c r="Y246" s="19">
        <f>ENERO!AA246</f>
        <v>0</v>
      </c>
      <c r="Z246" s="377">
        <v>0</v>
      </c>
      <c r="AA246" s="18">
        <f t="shared" si="206"/>
        <v>0</v>
      </c>
      <c r="AB246" s="19">
        <f>ENERO!AD246</f>
        <v>0</v>
      </c>
      <c r="AC246" s="377">
        <v>0</v>
      </c>
      <c r="AD246" s="18">
        <f t="shared" si="207"/>
        <v>0</v>
      </c>
      <c r="AE246" s="19">
        <f>ENERO!AG246</f>
        <v>0</v>
      </c>
      <c r="AF246" s="377">
        <v>0</v>
      </c>
      <c r="AG246" s="18">
        <f t="shared" si="208"/>
        <v>0</v>
      </c>
      <c r="AH246" s="19">
        <f t="shared" si="209"/>
        <v>50000000</v>
      </c>
      <c r="AI246" s="15">
        <f t="shared" si="210"/>
        <v>50000000</v>
      </c>
      <c r="AJ246" s="16">
        <f t="shared" si="211"/>
        <v>50000000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+IF(ENERO!S247=0,"",ENERO!S247)</f>
        <v>8002100-4</v>
      </c>
      <c r="T247" s="694" t="str">
        <f>+IF(ENERO!T247=0,"",ENERO!T247)</f>
        <v>Subprogr. Implementacion Normas Internacionales de Contabilidad Publica</v>
      </c>
      <c r="U247" s="27">
        <f>+ENERO!U247</f>
        <v>0</v>
      </c>
      <c r="V247" s="15">
        <f>ENERO!V247+FEBRERO!AL247</f>
        <v>0</v>
      </c>
      <c r="W247" s="15">
        <f>ENERO!W247+FEBRERO!AM247</f>
        <v>0</v>
      </c>
      <c r="X247" s="18">
        <f t="shared" si="205"/>
        <v>0</v>
      </c>
      <c r="Y247" s="19">
        <f>ENERO!AA247</f>
        <v>0</v>
      </c>
      <c r="Z247" s="377">
        <v>0</v>
      </c>
      <c r="AA247" s="18">
        <f t="shared" si="206"/>
        <v>0</v>
      </c>
      <c r="AB247" s="19">
        <f>ENERO!AD247</f>
        <v>0</v>
      </c>
      <c r="AC247" s="377">
        <v>0</v>
      </c>
      <c r="AD247" s="18">
        <f t="shared" si="207"/>
        <v>0</v>
      </c>
      <c r="AE247" s="19">
        <f>ENERO!AG247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+IF(ENERO!S248=0,"",ENERO!S248)</f>
        <v>8002100-5</v>
      </c>
      <c r="T248" s="694" t="str">
        <f>+IF(ENERO!T248=0,"",ENERO!T248)</f>
        <v>Programas Especial 04 Convenio Puestos de Salud</v>
      </c>
      <c r="U248" s="27">
        <f>+ENERO!U248</f>
        <v>24000000</v>
      </c>
      <c r="V248" s="15">
        <f>ENERO!V248+FEBRERO!AL248</f>
        <v>0</v>
      </c>
      <c r="W248" s="15">
        <f>ENERO!W248+FEBRERO!AM248</f>
        <v>34000000</v>
      </c>
      <c r="X248" s="18">
        <f t="shared" si="205"/>
        <v>58000000</v>
      </c>
      <c r="Y248" s="19">
        <f>ENERO!AA248</f>
        <v>0</v>
      </c>
      <c r="Z248" s="377">
        <v>0</v>
      </c>
      <c r="AA248" s="18">
        <f t="shared" si="206"/>
        <v>0</v>
      </c>
      <c r="AB248" s="19">
        <f>ENERO!AD248</f>
        <v>0</v>
      </c>
      <c r="AC248" s="377">
        <v>0</v>
      </c>
      <c r="AD248" s="18">
        <f t="shared" si="207"/>
        <v>0</v>
      </c>
      <c r="AE248" s="19">
        <f>ENERO!AG248</f>
        <v>0</v>
      </c>
      <c r="AF248" s="377">
        <v>0</v>
      </c>
      <c r="AG248" s="18">
        <f t="shared" si="208"/>
        <v>0</v>
      </c>
      <c r="AH248" s="19">
        <f t="shared" si="209"/>
        <v>58000000</v>
      </c>
      <c r="AI248" s="15">
        <f t="shared" si="210"/>
        <v>58000000</v>
      </c>
      <c r="AJ248" s="16">
        <f t="shared" si="211"/>
        <v>58000000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+IF(ENERO!S249=0,"",ENERO!S249)</f>
        <v>8002100-6</v>
      </c>
      <c r="T249" s="694" t="str">
        <f>+IF(ENERO!T249=0,"",ENERO!T249)</f>
        <v>Programas Especial 05</v>
      </c>
      <c r="U249" s="27">
        <f>+ENERO!U249</f>
        <v>0</v>
      </c>
      <c r="V249" s="15">
        <f>ENERO!V249+FEBRERO!AL249</f>
        <v>0</v>
      </c>
      <c r="W249" s="15">
        <f>ENERO!W249+FEBRERO!AM249</f>
        <v>0</v>
      </c>
      <c r="X249" s="18">
        <f t="shared" si="205"/>
        <v>0</v>
      </c>
      <c r="Y249" s="19">
        <f>ENERO!AA249</f>
        <v>0</v>
      </c>
      <c r="Z249" s="377">
        <v>0</v>
      </c>
      <c r="AA249" s="18">
        <f t="shared" si="206"/>
        <v>0</v>
      </c>
      <c r="AB249" s="19">
        <f>ENERO!AD249</f>
        <v>0</v>
      </c>
      <c r="AC249" s="377">
        <v>0</v>
      </c>
      <c r="AD249" s="18">
        <f t="shared" si="207"/>
        <v>0</v>
      </c>
      <c r="AE249" s="19">
        <f>ENERO!AG249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+IF(ENERO!S250=0,"",ENERO!S250)</f>
        <v>8002100-7</v>
      </c>
      <c r="T250" s="694" t="str">
        <f>+IF(ENERO!T250=0,"",ENERO!T250)</f>
        <v>Programas Especial 06</v>
      </c>
      <c r="U250" s="27">
        <f>+ENERO!U250</f>
        <v>0</v>
      </c>
      <c r="V250" s="15">
        <f>ENERO!V250+FEBRERO!AL250</f>
        <v>0</v>
      </c>
      <c r="W250" s="15">
        <f>ENERO!W250+FEBRERO!AM250</f>
        <v>0</v>
      </c>
      <c r="X250" s="18">
        <f>SUM(U250:W250)</f>
        <v>0</v>
      </c>
      <c r="Y250" s="19">
        <f>ENERO!AA250</f>
        <v>0</v>
      </c>
      <c r="Z250" s="377">
        <v>0</v>
      </c>
      <c r="AA250" s="18">
        <f>SUM(Y250:Z250)</f>
        <v>0</v>
      </c>
      <c r="AB250" s="19">
        <f>ENERO!AD250</f>
        <v>0</v>
      </c>
      <c r="AC250" s="377">
        <v>0</v>
      </c>
      <c r="AD250" s="18">
        <f>SUM(AB250:AC250)</f>
        <v>0</v>
      </c>
      <c r="AE250" s="19">
        <f>ENERO!AG250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+IF(ENERO!S251=0,"",ENERO!S251)</f>
        <v>8002100-8</v>
      </c>
      <c r="T251" s="694" t="str">
        <f>+IF(ENERO!T251=0,"",ENERO!T251)</f>
        <v>Programas Especial 07</v>
      </c>
      <c r="U251" s="27">
        <f>+ENERO!U251</f>
        <v>0</v>
      </c>
      <c r="V251" s="15">
        <f>ENERO!V251+FEBRERO!AL251</f>
        <v>0</v>
      </c>
      <c r="W251" s="15">
        <f>ENERO!W251+FEBRERO!AM251</f>
        <v>0</v>
      </c>
      <c r="X251" s="18">
        <f>SUM(U251:W251)</f>
        <v>0</v>
      </c>
      <c r="Y251" s="19">
        <f>ENERO!AA251</f>
        <v>0</v>
      </c>
      <c r="Z251" s="377">
        <v>0</v>
      </c>
      <c r="AA251" s="18">
        <f>SUM(Y251:Z251)</f>
        <v>0</v>
      </c>
      <c r="AB251" s="19">
        <f>ENERO!AD251</f>
        <v>0</v>
      </c>
      <c r="AC251" s="377">
        <v>0</v>
      </c>
      <c r="AD251" s="18">
        <f>SUM(AB251:AC251)</f>
        <v>0</v>
      </c>
      <c r="AE251" s="19">
        <f>ENERO!AG251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+IF(ENERO!S252=0,"",ENERO!S252)</f>
        <v>8002100-9</v>
      </c>
      <c r="T252" s="694" t="str">
        <f>+IF(ENERO!T252=0,"",ENERO!T252)</f>
        <v>Programas Especial 08</v>
      </c>
      <c r="U252" s="27">
        <f>+ENERO!U252</f>
        <v>0</v>
      </c>
      <c r="V252" s="15">
        <f>ENERO!V252+FEBRERO!AL252</f>
        <v>0</v>
      </c>
      <c r="W252" s="15">
        <f>ENERO!W252+FEBRERO!AM252</f>
        <v>0</v>
      </c>
      <c r="X252" s="18">
        <f>SUM(U252:W252)</f>
        <v>0</v>
      </c>
      <c r="Y252" s="19">
        <f>ENERO!AA252</f>
        <v>0</v>
      </c>
      <c r="Z252" s="377">
        <v>0</v>
      </c>
      <c r="AA252" s="18">
        <f>SUM(Y252:Z252)</f>
        <v>0</v>
      </c>
      <c r="AB252" s="19">
        <f>ENERO!AD252</f>
        <v>0</v>
      </c>
      <c r="AC252" s="377">
        <v>0</v>
      </c>
      <c r="AD252" s="18">
        <f>SUM(AB252:AC252)</f>
        <v>0</v>
      </c>
      <c r="AE252" s="19">
        <f>ENERO!AG252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+IF(ENERO!S253=0,"",ENERO!S253)</f>
        <v>8002100-10</v>
      </c>
      <c r="T253" s="694" t="str">
        <f>+IF(ENERO!T253=0,"",ENERO!T253)</f>
        <v>Programas Especial 09</v>
      </c>
      <c r="U253" s="27">
        <f>+ENERO!U253</f>
        <v>0</v>
      </c>
      <c r="V253" s="15">
        <f>ENERO!V253+FEBRERO!AL253</f>
        <v>0</v>
      </c>
      <c r="W253" s="15">
        <f>ENERO!W253+FEBRERO!AM253</f>
        <v>0</v>
      </c>
      <c r="X253" s="18">
        <f>SUM(U253:W253)</f>
        <v>0</v>
      </c>
      <c r="Y253" s="19">
        <f>ENERO!AA253</f>
        <v>0</v>
      </c>
      <c r="Z253" s="377">
        <v>0</v>
      </c>
      <c r="AA253" s="18">
        <f>SUM(Y253:Z253)</f>
        <v>0</v>
      </c>
      <c r="AB253" s="19">
        <f>ENERO!AD253</f>
        <v>0</v>
      </c>
      <c r="AC253" s="377">
        <v>0</v>
      </c>
      <c r="AD253" s="18">
        <f>SUM(AB253:AC253)</f>
        <v>0</v>
      </c>
      <c r="AE253" s="19">
        <f>ENERO!AG253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+IF(ENERO!S254=0,"",ENERO!S254)</f>
        <v>8002100-11</v>
      </c>
      <c r="T254" s="694" t="str">
        <f>+IF(ENERO!T254=0,"",ENERO!T254)</f>
        <v>Programas Especial 10</v>
      </c>
      <c r="U254" s="27">
        <f>+ENERO!U254</f>
        <v>0</v>
      </c>
      <c r="V254" s="15">
        <f>ENERO!V254+FEBRERO!AL254</f>
        <v>0</v>
      </c>
      <c r="W254" s="15">
        <f>ENERO!W254+FEBRERO!AM254</f>
        <v>0</v>
      </c>
      <c r="X254" s="18">
        <f>SUM(U254:W254)</f>
        <v>0</v>
      </c>
      <c r="Y254" s="19">
        <f>ENERO!AA254</f>
        <v>0</v>
      </c>
      <c r="Z254" s="377">
        <v>0</v>
      </c>
      <c r="AA254" s="18">
        <f>SUM(Y254:Z254)</f>
        <v>0</v>
      </c>
      <c r="AB254" s="19">
        <f>ENERO!AD254</f>
        <v>0</v>
      </c>
      <c r="AC254" s="377">
        <v>0</v>
      </c>
      <c r="AD254" s="18">
        <f>SUM(AB254:AC254)</f>
        <v>0</v>
      </c>
      <c r="AE254" s="19">
        <f>ENERO!AG254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+IF(ENERO!S255=0,"",ENERO!S255)</f>
        <v>8002100-12</v>
      </c>
      <c r="T255" s="694" t="str">
        <f>+IF(ENERO!T255=0,"",ENERO!T255)</f>
        <v>Programas Especial 11</v>
      </c>
      <c r="U255" s="27">
        <f>+ENERO!U255</f>
        <v>0</v>
      </c>
      <c r="V255" s="15">
        <f>ENERO!V255+FEBRERO!AL255</f>
        <v>0</v>
      </c>
      <c r="W255" s="15">
        <f>ENERO!W255+FEBRERO!AM255</f>
        <v>0</v>
      </c>
      <c r="X255" s="18">
        <f t="shared" si="205"/>
        <v>0</v>
      </c>
      <c r="Y255" s="19">
        <f>ENERO!AA255</f>
        <v>0</v>
      </c>
      <c r="Z255" s="377">
        <v>0</v>
      </c>
      <c r="AA255" s="18">
        <f t="shared" si="206"/>
        <v>0</v>
      </c>
      <c r="AB255" s="19">
        <f>ENERO!AD255</f>
        <v>0</v>
      </c>
      <c r="AC255" s="377">
        <v>0</v>
      </c>
      <c r="AD255" s="18">
        <f t="shared" si="207"/>
        <v>0</v>
      </c>
      <c r="AE255" s="19">
        <f>ENERO!AG255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+IF(ENERO!S256=0,"",ENERO!S256)</f>
        <v>8002999</v>
      </c>
      <c r="T256" s="710" t="str">
        <f>+IF(ENERO!T256=0,"",ENERO!T256)</f>
        <v>Vigencias Anteriores</v>
      </c>
      <c r="U256" s="136">
        <f>+ENERO!U256</f>
        <v>0</v>
      </c>
      <c r="V256" s="123">
        <f>ENERO!V256+FEBRERO!AL256</f>
        <v>0</v>
      </c>
      <c r="W256" s="123">
        <f>ENERO!W256+FEBRERO!AM256</f>
        <v>0</v>
      </c>
      <c r="X256" s="129">
        <f t="shared" si="205"/>
        <v>0</v>
      </c>
      <c r="Y256" s="127">
        <f>ENERO!AA256</f>
        <v>0</v>
      </c>
      <c r="Z256" s="391">
        <v>0</v>
      </c>
      <c r="AA256" s="129">
        <f t="shared" si="206"/>
        <v>0</v>
      </c>
      <c r="AB256" s="127">
        <f>ENERO!AD256</f>
        <v>0</v>
      </c>
      <c r="AC256" s="391">
        <v>0</v>
      </c>
      <c r="AD256" s="129">
        <f t="shared" si="207"/>
        <v>0</v>
      </c>
      <c r="AE256" s="127">
        <f>ENERO!AG256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+IF(ENERO!S257=0,"",ENERO!S257)</f>
        <v/>
      </c>
      <c r="T257" s="707" t="str">
        <f>+IF(ENERO!T257=0,"",ENERO!T257)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A258" s="767"/>
      <c r="B258" s="669"/>
      <c r="C258" s="385"/>
      <c r="D258" s="385"/>
      <c r="E258" s="385"/>
      <c r="F258" s="385"/>
      <c r="G258" s="385"/>
      <c r="H258" s="385"/>
      <c r="I258" s="385"/>
      <c r="J258" s="385"/>
      <c r="K258" s="385"/>
      <c r="L258" s="385"/>
      <c r="M258" s="385"/>
      <c r="N258" s="9"/>
      <c r="O258" s="385"/>
      <c r="P258" s="9"/>
      <c r="Q258" s="9"/>
      <c r="S258" s="514" t="str">
        <f>+IF(ENERO!S258=0,"",ENERO!S258)</f>
        <v>E</v>
      </c>
      <c r="T258" s="711" t="str">
        <f>+IF(ENERO!T258=0,"",ENERO!T258)</f>
        <v>DISPONIBILIDAD FINAL</v>
      </c>
      <c r="U258" s="341">
        <f t="shared" ref="U258:AJ258" si="212">+(C10+C17+C113)-(U10+U207+U220+U232)</f>
        <v>0</v>
      </c>
      <c r="V258" s="341">
        <f t="shared" si="212"/>
        <v>0</v>
      </c>
      <c r="W258" s="341">
        <f t="shared" si="212"/>
        <v>0</v>
      </c>
      <c r="X258" s="341">
        <f t="shared" si="212"/>
        <v>0</v>
      </c>
      <c r="Y258" s="341">
        <f t="shared" si="212"/>
        <v>-138681671</v>
      </c>
      <c r="Z258" s="341">
        <f t="shared" si="212"/>
        <v>-240546218</v>
      </c>
      <c r="AA258" s="341">
        <f t="shared" si="212"/>
        <v>-379227889</v>
      </c>
      <c r="AB258" s="341">
        <f t="shared" si="212"/>
        <v>-263420166</v>
      </c>
      <c r="AC258" s="341">
        <f t="shared" si="212"/>
        <v>-83834582</v>
      </c>
      <c r="AD258" s="341">
        <f t="shared" si="212"/>
        <v>-347254748</v>
      </c>
      <c r="AE258" s="341">
        <f t="shared" si="212"/>
        <v>2920738380</v>
      </c>
      <c r="AF258" s="341">
        <f t="shared" si="212"/>
        <v>3062484178</v>
      </c>
      <c r="AG258" s="341">
        <f t="shared" si="212"/>
        <v>-443729055</v>
      </c>
      <c r="AH258" s="341">
        <f t="shared" si="212"/>
        <v>-2704323224</v>
      </c>
      <c r="AI258" s="341">
        <f t="shared" si="212"/>
        <v>-2978865079</v>
      </c>
      <c r="AJ258" s="341">
        <f t="shared" si="212"/>
        <v>-3344981121</v>
      </c>
      <c r="AK258" s="9"/>
      <c r="AL258" s="341">
        <v>0</v>
      </c>
      <c r="AM258" s="342">
        <v>0</v>
      </c>
    </row>
    <row r="259" spans="1:39" ht="24.95" customHeight="1" thickBot="1" x14ac:dyDescent="0.25">
      <c r="S259" s="912" t="str">
        <f>+IF(ENERO!S259=0,"",ENERO!S259)</f>
        <v>TOTAL VIGENCIAS ANTERIORES</v>
      </c>
      <c r="T259" s="913"/>
      <c r="U259" s="125">
        <f t="shared" ref="U259:AJ259" si="213">+SUMIF($T$8:$T$256,$T$33,U8:U256)</f>
        <v>0</v>
      </c>
      <c r="V259" s="115">
        <f t="shared" si="213"/>
        <v>0</v>
      </c>
      <c r="W259" s="115">
        <f t="shared" si="213"/>
        <v>342364056</v>
      </c>
      <c r="X259" s="126">
        <f t="shared" si="213"/>
        <v>342364056</v>
      </c>
      <c r="Y259" s="125">
        <f t="shared" si="213"/>
        <v>342364056</v>
      </c>
      <c r="Z259" s="115">
        <f t="shared" si="213"/>
        <v>-1873780</v>
      </c>
      <c r="AA259" s="126">
        <f t="shared" si="213"/>
        <v>340490276</v>
      </c>
      <c r="AB259" s="125">
        <f t="shared" si="213"/>
        <v>342364056</v>
      </c>
      <c r="AC259" s="115">
        <f t="shared" si="213"/>
        <v>0</v>
      </c>
      <c r="AD259" s="126">
        <f t="shared" si="213"/>
        <v>342364056</v>
      </c>
      <c r="AE259" s="125">
        <f t="shared" si="213"/>
        <v>49299658</v>
      </c>
      <c r="AF259" s="115">
        <f t="shared" si="213"/>
        <v>140400696</v>
      </c>
      <c r="AG259" s="126">
        <f t="shared" si="213"/>
        <v>189700354</v>
      </c>
      <c r="AH259" s="125">
        <f t="shared" si="213"/>
        <v>1873780</v>
      </c>
      <c r="AI259" s="115">
        <f t="shared" si="213"/>
        <v>0</v>
      </c>
      <c r="AJ259" s="116">
        <f t="shared" si="213"/>
        <v>152663702</v>
      </c>
      <c r="AK259" s="10"/>
      <c r="AL259" s="125">
        <f>+SUMIF(AK8:AK256,AK33,AL8:AL256)</f>
        <v>0</v>
      </c>
      <c r="AM259" s="116">
        <f>+SUMIF(AL8:AL256,AL33,AM8:AM256)</f>
        <v>59280673</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row r="261" spans="1:39" ht="24.95" customHeight="1" x14ac:dyDescent="0.2">
      <c r="U261" s="120"/>
      <c r="V261" s="385"/>
      <c r="W261" s="385"/>
      <c r="X261" s="385"/>
      <c r="Y261" s="385"/>
      <c r="Z261" s="385"/>
      <c r="AA261" s="385"/>
      <c r="AB261" s="385"/>
      <c r="AC261" s="385"/>
      <c r="AD261" s="385"/>
      <c r="AE261" s="385"/>
      <c r="AF261" s="385"/>
      <c r="AG261" s="385"/>
      <c r="AH261" s="385"/>
      <c r="AI261" s="385"/>
      <c r="AJ261" s="385"/>
      <c r="AK261" s="10"/>
      <c r="AL261" s="385"/>
      <c r="AM261" s="385"/>
    </row>
  </sheetData>
  <sheetProtection password="E576" sheet="1" objects="1" scenarios="1" formatCells="0" formatColumns="0"/>
  <mergeCells count="46">
    <mergeCell ref="S259:T259"/>
    <mergeCell ref="M5:N5"/>
    <mergeCell ref="P2:Q2"/>
    <mergeCell ref="N3:N4"/>
    <mergeCell ref="L2:M2"/>
    <mergeCell ref="L3:M4"/>
    <mergeCell ref="T3:T4"/>
    <mergeCell ref="S5:S6"/>
    <mergeCell ref="T5:T6"/>
    <mergeCell ref="J5:L5"/>
    <mergeCell ref="BM5:BM6"/>
    <mergeCell ref="D2:E2"/>
    <mergeCell ref="AL2:AM2"/>
    <mergeCell ref="BB2:BC2"/>
    <mergeCell ref="Y3:AG4"/>
    <mergeCell ref="Y2:AG2"/>
    <mergeCell ref="BM2:BO2"/>
    <mergeCell ref="BM3:BO3"/>
    <mergeCell ref="BG2:BI2"/>
    <mergeCell ref="AB5:AD5"/>
    <mergeCell ref="AE5:AG5"/>
    <mergeCell ref="AH5:AJ5"/>
    <mergeCell ref="AH2:AI2"/>
    <mergeCell ref="AJ3:AJ4"/>
    <mergeCell ref="AH3:AI4"/>
    <mergeCell ref="AL3:AL5"/>
    <mergeCell ref="BH5:BK5"/>
    <mergeCell ref="AM3:AM5"/>
    <mergeCell ref="BB3:BC3"/>
    <mergeCell ref="BG3:BI3"/>
    <mergeCell ref="BG5:BG6"/>
    <mergeCell ref="A5:A6"/>
    <mergeCell ref="B5:B6"/>
    <mergeCell ref="C5:F5"/>
    <mergeCell ref="G5:I5"/>
    <mergeCell ref="B3:B4"/>
    <mergeCell ref="D3:E4"/>
    <mergeCell ref="F3:K4"/>
    <mergeCell ref="AW19:AZ19"/>
    <mergeCell ref="AW4:AZ4"/>
    <mergeCell ref="C1:J1"/>
    <mergeCell ref="K1:N1"/>
    <mergeCell ref="V2:X2"/>
    <mergeCell ref="V3:X4"/>
    <mergeCell ref="Q3:Q5"/>
    <mergeCell ref="P3:P5"/>
  </mergeCells>
  <phoneticPr fontId="1" type="noConversion"/>
  <conditionalFormatting sqref="B5:B7">
    <cfRule type="expression" dxfId="10" priority="1" stopIfTrue="1">
      <formula>$B$5="OJO - RECUERDE RECAUDAR LA DISPONIBLIDAD INICIAL EN ESTE TRIMESTRE, haga clik en H9 para ampliar la información"</formula>
    </cfRule>
  </conditionalFormatting>
  <dataValidations count="5">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 allowBlank="1" showInputMessage="1" showErrorMessage="1" promptTitle="MANEJO DE DISPONIBILIDAD INCIAL" prompt="Al realizar el estimativo del presupuesto, se usó para la disponibilidad inicial un valor tentativo. Ese valor debe ser adicionado o modificado en este trimestre para dejar el valor real que quedó como disponible efectivamente al finalizar la vigencia." sqref="B10:B11"/>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BS260"/>
  <sheetViews>
    <sheetView showGridLines="0" topLeftCell="AY10" zoomScale="80" zoomScaleNormal="80" workbookViewId="0">
      <selection activeCell="BC18" sqref="BC18"/>
    </sheetView>
  </sheetViews>
  <sheetFormatPr baseColWidth="10" defaultColWidth="0" defaultRowHeight="24.95" customHeight="1" x14ac:dyDescent="0.2"/>
  <cols>
    <col min="1" max="1" width="14.5703125" style="768" customWidth="1"/>
    <col min="2" max="2" width="50.5703125" style="670" customWidth="1"/>
    <col min="3" max="3" width="14.42578125" style="275" customWidth="1"/>
    <col min="4" max="4" width="16.140625" style="275" customWidth="1"/>
    <col min="5" max="6" width="14.42578125" style="275" customWidth="1"/>
    <col min="7" max="7" width="16.7109375" style="275" customWidth="1"/>
    <col min="8"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42578125" style="712" customWidth="1"/>
    <col min="20" max="20" width="60.140625" style="686" customWidth="1"/>
    <col min="21" max="23" width="14.7109375" style="275" customWidth="1"/>
    <col min="24" max="24" width="17" style="275" customWidth="1"/>
    <col min="25" max="25" width="15.85546875" style="275" customWidth="1"/>
    <col min="26" max="26" width="14.7109375" style="275" customWidth="1"/>
    <col min="27" max="28" width="16.140625" style="275" customWidth="1"/>
    <col min="29" max="29" width="14.7109375" style="275" customWidth="1"/>
    <col min="30" max="30" width="15.42578125" style="275" customWidth="1"/>
    <col min="31" max="31" width="16.85546875" style="275" customWidth="1"/>
    <col min="32" max="32" width="16.5703125" style="275" customWidth="1"/>
    <col min="33"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0.28515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31.7109375" style="275" customWidth="1"/>
    <col min="59" max="59" width="72.7109375" style="275" customWidth="1"/>
    <col min="60" max="63" width="17.5703125" style="275" customWidth="1"/>
    <col min="64" max="64" width="35.42578125" style="275" customWidth="1"/>
    <col min="65" max="65" width="76" style="275" customWidth="1"/>
    <col min="66" max="66" width="17.28515625" style="275" customWidth="1"/>
    <col min="67" max="67" width="17" style="275" customWidth="1"/>
    <col min="68" max="68" width="18.28515625" style="275" customWidth="1"/>
    <col min="69" max="69" width="17.7109375"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34.5"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3</v>
      </c>
      <c r="AP2" s="283" t="s">
        <v>8</v>
      </c>
      <c r="AQ2" s="284"/>
      <c r="AR2" s="3"/>
      <c r="AS2" s="3"/>
      <c r="AT2" s="3"/>
      <c r="AU2" s="3"/>
      <c r="AV2" s="3"/>
      <c r="AW2" s="3"/>
      <c r="AX2" s="3"/>
      <c r="AY2" s="3"/>
      <c r="AZ2" s="4"/>
      <c r="BB2" s="899" t="s">
        <v>404</v>
      </c>
      <c r="BC2" s="901"/>
      <c r="BD2" s="51" t="s">
        <v>392</v>
      </c>
      <c r="BE2" s="281" t="str">
        <f>+L3</f>
        <v>MARZO</v>
      </c>
      <c r="BF2" s="276"/>
      <c r="BG2" s="899" t="s">
        <v>405</v>
      </c>
      <c r="BH2" s="901"/>
      <c r="BI2" s="901"/>
      <c r="BJ2" s="51" t="s">
        <v>392</v>
      </c>
      <c r="BK2" s="281" t="str">
        <f>+BE2</f>
        <v>MARZO</v>
      </c>
      <c r="BM2" s="899" t="s">
        <v>405</v>
      </c>
      <c r="BN2" s="901"/>
      <c r="BO2" s="901"/>
      <c r="BP2" s="51" t="s">
        <v>392</v>
      </c>
      <c r="BQ2" s="281" t="str">
        <f>+BK2</f>
        <v>MARZO</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369</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MARZO</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298"/>
    </row>
    <row r="5" spans="1:69" ht="45" customHeight="1" thickTop="1" thickBot="1" x14ac:dyDescent="0.3">
      <c r="A5" s="935" t="s">
        <v>19</v>
      </c>
      <c r="B5" s="937" t="str">
        <f>IF(SUM(C8:N125)=0,"DESCRIPCIÓN",IF(I10&gt;0,"DESCRIPCIÓN",IF(MARZO!I10=0,"OJO - RECUERDE RECAUDAR LA DISPONIBLIDAD INICIAL EN ESTE TRIMESTRE, haga clik en H9 para ampliar la información","")))</f>
        <v>DESCRIPCIÓN</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943" t="s">
        <v>370</v>
      </c>
      <c r="BG5" s="520" t="s">
        <v>34</v>
      </c>
      <c r="BH5" s="875" t="str">
        <f>+CONCATENATE("ACUMULADO ",N3)</f>
        <v>ACUMULADO 2015</v>
      </c>
      <c r="BI5" s="876"/>
      <c r="BJ5" s="876"/>
      <c r="BK5" s="940"/>
      <c r="BL5" s="941" t="s">
        <v>371</v>
      </c>
      <c r="BM5" s="910" t="s">
        <v>34</v>
      </c>
      <c r="BN5" s="311" t="str">
        <f>+CONCATENATE("ACUMULADO ",BQ3)</f>
        <v>ACUMULADO 2015</v>
      </c>
      <c r="BO5" s="312"/>
      <c r="BP5" s="313"/>
      <c r="BQ5" s="521"/>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MARZO</v>
      </c>
      <c r="AS6" s="319" t="str">
        <f>AR6</f>
        <v>MARZO</v>
      </c>
      <c r="AT6" s="319" t="str">
        <f>AR6</f>
        <v>MARZO</v>
      </c>
      <c r="AU6" s="319" t="s">
        <v>16</v>
      </c>
      <c r="AV6" s="319" t="s">
        <v>31</v>
      </c>
      <c r="AW6" s="319"/>
      <c r="AX6" s="319"/>
      <c r="AY6" s="319" t="s">
        <v>16</v>
      </c>
      <c r="AZ6" s="320" t="s">
        <v>31</v>
      </c>
      <c r="BB6" s="321"/>
      <c r="BC6" s="322" t="s">
        <v>47</v>
      </c>
      <c r="BD6" s="323" t="s">
        <v>48</v>
      </c>
      <c r="BE6" s="324" t="s">
        <v>49</v>
      </c>
      <c r="BF6" s="944"/>
      <c r="BG6" s="522"/>
      <c r="BH6" s="523" t="s">
        <v>47</v>
      </c>
      <c r="BI6" s="523" t="s">
        <v>50</v>
      </c>
      <c r="BJ6" s="523" t="s">
        <v>51</v>
      </c>
      <c r="BK6" s="524" t="s">
        <v>52</v>
      </c>
      <c r="BL6" s="942"/>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528506822</v>
      </c>
      <c r="AS7" s="330">
        <f>L22</f>
        <v>221877307</v>
      </c>
      <c r="AT7" s="13"/>
      <c r="AU7" s="331">
        <f>IF(AQ7=0," ",AR7/AQ7)</f>
        <v>0.30050048867429613</v>
      </c>
      <c r="AV7" s="331">
        <f>IF(AQ7=0," ",AS7/AQ7)</f>
        <v>0.12615587236305689</v>
      </c>
      <c r="AW7" s="330">
        <f>I23/AO$2*12+I24</f>
        <v>1454265167</v>
      </c>
      <c r="AX7" s="330">
        <f>L23/AO$2*12+L24</f>
        <v>227747107</v>
      </c>
      <c r="AY7" s="330">
        <f t="shared" ref="AY7:AY16" si="0">AW7-AQ7</f>
        <v>-304490116</v>
      </c>
      <c r="AZ7" s="332">
        <f>AX7-AQ7</f>
        <v>-1531008176</v>
      </c>
      <c r="BB7" s="333" t="s">
        <v>55</v>
      </c>
      <c r="BC7" s="54">
        <f>F10</f>
        <v>90342061</v>
      </c>
      <c r="BD7" s="55">
        <f>I10</f>
        <v>90342061</v>
      </c>
      <c r="BE7" s="56">
        <f>K10</f>
        <v>0</v>
      </c>
      <c r="BF7" s="53">
        <f>+ENERO!BE7+FEBRERO!BE7+MARZO!BE7</f>
        <v>90342061</v>
      </c>
      <c r="BG7" s="91" t="s">
        <v>56</v>
      </c>
      <c r="BH7" s="117">
        <f>+SUM(BH8:BH11)</f>
        <v>2694533912</v>
      </c>
      <c r="BI7" s="117">
        <f>+SUM(BI8:BI11)</f>
        <v>831984403</v>
      </c>
      <c r="BJ7" s="117">
        <f>+SUM(BJ8:BJ11)</f>
        <v>602829116</v>
      </c>
      <c r="BK7" s="117">
        <f>+SUM(BK8:BK11)</f>
        <v>162490610</v>
      </c>
      <c r="BL7" s="40">
        <f>+ENERO!BK7+FEBRERO!BK7+MARZO!BK7</f>
        <v>413366811</v>
      </c>
      <c r="BM7" s="61" t="s">
        <v>56</v>
      </c>
      <c r="BN7" s="62">
        <f>BN8+BN15+BN22</f>
        <v>2694533912</v>
      </c>
      <c r="BO7" s="63">
        <f>BO8+BO15+BO22</f>
        <v>831984403</v>
      </c>
      <c r="BP7" s="63">
        <f>BP8+BP15+BP22</f>
        <v>602829116</v>
      </c>
      <c r="BQ7" s="64">
        <f>BQ8+BQ15+BQ22</f>
        <v>162490610</v>
      </c>
    </row>
    <row r="8" spans="1:69" s="9" customFormat="1" ht="24.95" customHeight="1" thickBot="1" x14ac:dyDescent="0.3">
      <c r="A8" s="744">
        <f>+IF(FEBRERO!A8=0,"",FEBRERO!A8)</f>
        <v>1</v>
      </c>
      <c r="B8" s="643" t="str">
        <f>+IF(FEBRERO!B8=0,"",FEBRERO!B8)</f>
        <v>INGRESOS</v>
      </c>
      <c r="C8" s="334">
        <f>C10+C17+C113</f>
        <v>3135701014</v>
      </c>
      <c r="D8" s="334">
        <f t="shared" ref="D8:N8" si="1">D10+D17+D113</f>
        <v>0</v>
      </c>
      <c r="E8" s="334">
        <f t="shared" si="1"/>
        <v>653009162</v>
      </c>
      <c r="F8" s="334">
        <f t="shared" si="1"/>
        <v>3788710176</v>
      </c>
      <c r="G8" s="334">
        <f t="shared" si="1"/>
        <v>705159063</v>
      </c>
      <c r="H8" s="334">
        <f t="shared" si="1"/>
        <v>370571492</v>
      </c>
      <c r="I8" s="334">
        <f t="shared" si="1"/>
        <v>1075730555</v>
      </c>
      <c r="J8" s="334">
        <f t="shared" si="1"/>
        <v>445309676</v>
      </c>
      <c r="K8" s="334">
        <f t="shared" si="1"/>
        <v>194154520</v>
      </c>
      <c r="L8" s="334">
        <f t="shared" si="1"/>
        <v>639464196</v>
      </c>
      <c r="M8" s="334">
        <f t="shared" si="1"/>
        <v>2712979621</v>
      </c>
      <c r="N8" s="334">
        <f t="shared" si="1"/>
        <v>3149245980</v>
      </c>
      <c r="O8" s="336"/>
      <c r="P8" s="337">
        <f>P10+P17+P113</f>
        <v>0</v>
      </c>
      <c r="Q8" s="335">
        <f>Q10+Q17+Q113</f>
        <v>0</v>
      </c>
      <c r="S8" s="715" t="str">
        <f>+IF(FEBRERO!S8=0,"",FEBRERO!S8)</f>
        <v/>
      </c>
      <c r="T8" s="687" t="str">
        <f>+IF(FEBRERO!T8=0,"",FEBRERO!T8)</f>
        <v>GASTOS</v>
      </c>
      <c r="U8" s="338">
        <f t="shared" ref="U8:AM8" si="2">U10+U207+U220+U232</f>
        <v>3135701014</v>
      </c>
      <c r="V8" s="339">
        <f t="shared" si="2"/>
        <v>0</v>
      </c>
      <c r="W8" s="339">
        <f t="shared" si="2"/>
        <v>653009162</v>
      </c>
      <c r="X8" s="340">
        <f t="shared" si="2"/>
        <v>3788710176</v>
      </c>
      <c r="Y8" s="341">
        <f t="shared" si="2"/>
        <v>1084386952</v>
      </c>
      <c r="Z8" s="339">
        <f t="shared" si="2"/>
        <v>246521811</v>
      </c>
      <c r="AA8" s="340">
        <f t="shared" si="2"/>
        <v>1330908763</v>
      </c>
      <c r="AB8" s="341">
        <f t="shared" si="2"/>
        <v>792564424</v>
      </c>
      <c r="AC8" s="339">
        <f t="shared" si="2"/>
        <v>233907849</v>
      </c>
      <c r="AD8" s="340">
        <f t="shared" si="2"/>
        <v>1026472273</v>
      </c>
      <c r="AE8" s="341">
        <f t="shared" si="2"/>
        <v>443729055</v>
      </c>
      <c r="AF8" s="339">
        <f t="shared" si="2"/>
        <v>195735141</v>
      </c>
      <c r="AG8" s="340">
        <f t="shared" si="2"/>
        <v>639464196</v>
      </c>
      <c r="AH8" s="341">
        <f t="shared" si="2"/>
        <v>2457801413</v>
      </c>
      <c r="AI8" s="339">
        <f t="shared" si="2"/>
        <v>2762237903</v>
      </c>
      <c r="AJ8" s="342">
        <f t="shared" si="2"/>
        <v>3149245980</v>
      </c>
      <c r="AL8" s="343">
        <f t="shared" si="2"/>
        <v>0</v>
      </c>
      <c r="AM8" s="344">
        <f t="shared" si="2"/>
        <v>0</v>
      </c>
      <c r="AO8" s="21"/>
      <c r="AP8" s="11" t="s">
        <v>58</v>
      </c>
      <c r="AQ8" s="12">
        <f>F25</f>
        <v>945539330</v>
      </c>
      <c r="AR8" s="12">
        <f>I25</f>
        <v>244728948</v>
      </c>
      <c r="AS8" s="12">
        <f>L25</f>
        <v>161206479</v>
      </c>
      <c r="AT8" s="13"/>
      <c r="AU8" s="345">
        <f>IF(AQ8=0," ",AR8/AQ8)</f>
        <v>0.25882471541400609</v>
      </c>
      <c r="AV8" s="345">
        <f>IF(AQ8=0," ",AS8/AQ8)</f>
        <v>0.17049156379354416</v>
      </c>
      <c r="AW8" s="12">
        <f>I26/AO$2*12+I27</f>
        <v>880232001</v>
      </c>
      <c r="AX8" s="12">
        <f>L26/AO$2*12+L27</f>
        <v>546142125</v>
      </c>
      <c r="AY8" s="12">
        <f t="shared" si="0"/>
        <v>-65307329</v>
      </c>
      <c r="AZ8" s="346">
        <f>AX8-AQ8</f>
        <v>-399397205</v>
      </c>
      <c r="BB8" s="143" t="s">
        <v>59</v>
      </c>
      <c r="BC8" s="65">
        <f>BC9+BC19</f>
        <v>3120322541</v>
      </c>
      <c r="BD8" s="66">
        <f>BD9+BD19</f>
        <v>707997105</v>
      </c>
      <c r="BE8" s="67">
        <f>BE9+BE19</f>
        <v>102983881</v>
      </c>
      <c r="BF8" s="53">
        <f>+ENERO!BE8+FEBRERO!BE8+MARZO!BE8</f>
        <v>271730746</v>
      </c>
      <c r="BG8" s="68" t="s">
        <v>60</v>
      </c>
      <c r="BH8" s="69">
        <f>BN9+BN13</f>
        <v>1648143224</v>
      </c>
      <c r="BI8" s="69">
        <f>BO9+BO13</f>
        <v>360555542</v>
      </c>
      <c r="BJ8" s="69">
        <f>BP9+BP13</f>
        <v>360555542</v>
      </c>
      <c r="BK8" s="69">
        <f>BQ9+BQ13</f>
        <v>104524581</v>
      </c>
      <c r="BL8" s="40">
        <f>+ENERO!BK8+FEBRERO!BK8+MARZO!BK8</f>
        <v>312008769</v>
      </c>
      <c r="BM8" s="71" t="s">
        <v>61</v>
      </c>
      <c r="BN8" s="72">
        <f>BN9+BN14+BN13</f>
        <v>2014472741</v>
      </c>
      <c r="BO8" s="69">
        <f>BO9+BO14+BO13</f>
        <v>578000709</v>
      </c>
      <c r="BP8" s="69">
        <f>BP9+BP14+BP13</f>
        <v>418824342</v>
      </c>
      <c r="BQ8" s="70">
        <f>BQ9+BQ14+BQ13</f>
        <v>123312581</v>
      </c>
    </row>
    <row r="9" spans="1:69" s="9" customFormat="1" ht="24.95" customHeight="1" thickBot="1" x14ac:dyDescent="0.3">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79857644</v>
      </c>
      <c r="AS9" s="12">
        <f>L28+L75</f>
        <v>74446941</v>
      </c>
      <c r="AT9" s="13"/>
      <c r="AU9" s="353">
        <f>IF(AQ9=0," ",AR9/AQ9)</f>
        <v>0.22769186051544366</v>
      </c>
      <c r="AV9" s="353">
        <f>IF(AQ9=0," ",AS9/AQ9)</f>
        <v>0.21226474582662949</v>
      </c>
      <c r="AW9" s="354">
        <f>(I30+I33+I36+I76)/AO$2*12+I31+I34+I37+I38+I39+I40+I77</f>
        <v>96089753</v>
      </c>
      <c r="AX9" s="354">
        <f>(L30+L33+L36+L76)/AO$2*12+L31+L34+L37+L38+L39+L40+L77</f>
        <v>74446941</v>
      </c>
      <c r="AY9" s="354">
        <f t="shared" si="0"/>
        <v>-254637075</v>
      </c>
      <c r="AZ9" s="355">
        <f>AX9-AQ9</f>
        <v>-276279887</v>
      </c>
      <c r="BB9" s="356" t="s">
        <v>437</v>
      </c>
      <c r="BC9" s="73">
        <f>BC10+BC18</f>
        <v>3013140862</v>
      </c>
      <c r="BD9" s="74">
        <f>BD10+BD18</f>
        <v>679980973</v>
      </c>
      <c r="BE9" s="75">
        <f>BE10+BE18</f>
        <v>93904981</v>
      </c>
      <c r="BF9" s="53">
        <f>+ENERO!BE9+FEBRERO!BE9+MARZO!BE9</f>
        <v>243714614</v>
      </c>
      <c r="BG9" s="77" t="s">
        <v>64</v>
      </c>
      <c r="BH9" s="78">
        <f t="shared" ref="BH9:BK10" si="3">BN14</f>
        <v>366329517</v>
      </c>
      <c r="BI9" s="78">
        <f t="shared" si="3"/>
        <v>217445167</v>
      </c>
      <c r="BJ9" s="78">
        <f t="shared" si="3"/>
        <v>58268800</v>
      </c>
      <c r="BK9" s="78">
        <f t="shared" si="3"/>
        <v>18788000</v>
      </c>
      <c r="BL9" s="40">
        <f>+ENERO!BK9+FEBRERO!BK9+MARZO!BK9</f>
        <v>34294000</v>
      </c>
      <c r="BM9" s="140" t="s">
        <v>65</v>
      </c>
      <c r="BN9" s="80">
        <f>SUM(BN10:BN12)</f>
        <v>1208004402</v>
      </c>
      <c r="BO9" s="78">
        <f>SUM(BO10:BO12)</f>
        <v>275452315</v>
      </c>
      <c r="BP9" s="78">
        <f>SUM(BP10:BP12)</f>
        <v>275452315</v>
      </c>
      <c r="BQ9" s="79">
        <f>SUM(BQ10:BQ12)</f>
        <v>78205333</v>
      </c>
    </row>
    <row r="10" spans="1:69" s="9" customFormat="1" ht="24.95" customHeight="1" x14ac:dyDescent="0.25">
      <c r="A10" s="745">
        <f>+IF(FEBRERO!A10=0,"",FEBRERO!A10)</f>
        <v>10</v>
      </c>
      <c r="B10" s="645" t="str">
        <f>+IF(FEBRERO!B10=0,"",FEBRERO!B10)</f>
        <v>DISPONIBILIDAD INICIAL</v>
      </c>
      <c r="C10" s="177">
        <f t="shared" ref="C10:N10" si="4">SUM(C12:C15)</f>
        <v>0</v>
      </c>
      <c r="D10" s="357">
        <f t="shared" si="4"/>
        <v>0</v>
      </c>
      <c r="E10" s="357">
        <f t="shared" si="4"/>
        <v>90342061</v>
      </c>
      <c r="F10" s="178">
        <f t="shared" si="4"/>
        <v>90342061</v>
      </c>
      <c r="G10" s="358">
        <f t="shared" si="4"/>
        <v>90342061</v>
      </c>
      <c r="H10" s="357">
        <f t="shared" si="4"/>
        <v>0</v>
      </c>
      <c r="I10" s="359">
        <f t="shared" si="4"/>
        <v>90342061</v>
      </c>
      <c r="J10" s="177">
        <f t="shared" si="4"/>
        <v>90342061</v>
      </c>
      <c r="K10" s="357">
        <f t="shared" si="4"/>
        <v>0</v>
      </c>
      <c r="L10" s="178">
        <f t="shared" si="4"/>
        <v>90342061</v>
      </c>
      <c r="M10" s="177">
        <f t="shared" si="4"/>
        <v>0</v>
      </c>
      <c r="N10" s="178">
        <f t="shared" si="4"/>
        <v>0</v>
      </c>
      <c r="O10" s="13"/>
      <c r="P10" s="177">
        <f>SUM(P12:P15)</f>
        <v>0</v>
      </c>
      <c r="Q10" s="178">
        <f>SUM(Q12:Q15)</f>
        <v>0</v>
      </c>
      <c r="S10" s="360" t="str">
        <f>+IF(FEBRERO!S10=0,"",FEBRERO!S10)</f>
        <v>A</v>
      </c>
      <c r="T10" s="733" t="str">
        <f>+IF(FEBRERO!T10=0,"",FEBRERO!T10)</f>
        <v>GASTOS DE FUNCIONAMIENTO</v>
      </c>
      <c r="U10" s="364">
        <f t="shared" ref="U10:AJ10" si="5">U12+U110+U170+U193</f>
        <v>2832701014</v>
      </c>
      <c r="V10" s="362">
        <f t="shared" si="5"/>
        <v>45000000</v>
      </c>
      <c r="W10" s="362">
        <f t="shared" si="5"/>
        <v>475009162</v>
      </c>
      <c r="X10" s="365">
        <f t="shared" si="5"/>
        <v>3352710176</v>
      </c>
      <c r="Y10" s="364">
        <f t="shared" si="5"/>
        <v>1084386952</v>
      </c>
      <c r="Z10" s="362">
        <f t="shared" si="5"/>
        <v>193871811</v>
      </c>
      <c r="AA10" s="363">
        <f t="shared" si="5"/>
        <v>1278258763</v>
      </c>
      <c r="AB10" s="364">
        <f t="shared" si="5"/>
        <v>792564424</v>
      </c>
      <c r="AC10" s="362">
        <f t="shared" si="5"/>
        <v>233907849</v>
      </c>
      <c r="AD10" s="363">
        <f t="shared" si="5"/>
        <v>1026472273</v>
      </c>
      <c r="AE10" s="364">
        <f t="shared" si="5"/>
        <v>443729055</v>
      </c>
      <c r="AF10" s="362">
        <f t="shared" si="5"/>
        <v>195735141</v>
      </c>
      <c r="AG10" s="363">
        <f t="shared" si="5"/>
        <v>639464196</v>
      </c>
      <c r="AH10" s="364">
        <f t="shared" si="5"/>
        <v>2074451413</v>
      </c>
      <c r="AI10" s="362">
        <f t="shared" si="5"/>
        <v>2326237903</v>
      </c>
      <c r="AJ10" s="363">
        <f t="shared" si="5"/>
        <v>2713245980</v>
      </c>
      <c r="AL10" s="366">
        <f>AL12+AL110+AL170+AL193</f>
        <v>0</v>
      </c>
      <c r="AM10" s="367">
        <f>AM12+AM110+AM170+AM193</f>
        <v>0</v>
      </c>
      <c r="AO10" s="352"/>
      <c r="AP10" s="11" t="s">
        <v>67</v>
      </c>
      <c r="AQ10" s="12">
        <f>F42</f>
        <v>111280673</v>
      </c>
      <c r="AR10" s="12">
        <f>I42</f>
        <v>0</v>
      </c>
      <c r="AS10" s="12">
        <f>L42</f>
        <v>0</v>
      </c>
      <c r="AT10" s="13"/>
      <c r="AU10" s="353">
        <f>IF(AQ10=0," ",AR10/AQ10)</f>
        <v>0</v>
      </c>
      <c r="AV10" s="353">
        <f>IF(AQ10=0," ",AS10/AQ10)</f>
        <v>0</v>
      </c>
      <c r="AW10" s="354">
        <f>I43/AO$2*12+I44</f>
        <v>0</v>
      </c>
      <c r="AX10" s="354">
        <f>L43/AO$2*12+L44</f>
        <v>0</v>
      </c>
      <c r="AY10" s="354">
        <f t="shared" si="0"/>
        <v>-111280673</v>
      </c>
      <c r="AZ10" s="355">
        <f>AX10-AQ10</f>
        <v>-111280673</v>
      </c>
      <c r="BB10" s="368" t="s">
        <v>438</v>
      </c>
      <c r="BC10" s="73">
        <f>BC11+BC12+BC13+BC14+BC16+BC17+BC15</f>
        <v>3013140862</v>
      </c>
      <c r="BD10" s="74">
        <f>BD11+BD12+BD13+BD14+BD16+BD17+BD15</f>
        <v>679980973</v>
      </c>
      <c r="BE10" s="75">
        <f>BE11+BE12+BE13+BE14+BE16+BE17+BE15</f>
        <v>93904981</v>
      </c>
      <c r="BF10" s="53">
        <f>+ENERO!BE10+FEBRERO!BE10+MARZO!BE10</f>
        <v>243714614</v>
      </c>
      <c r="BG10" s="68" t="s">
        <v>68</v>
      </c>
      <c r="BH10" s="81">
        <f t="shared" si="3"/>
        <v>614488887</v>
      </c>
      <c r="BI10" s="81">
        <f t="shared" si="3"/>
        <v>241027081</v>
      </c>
      <c r="BJ10" s="81">
        <f t="shared" si="3"/>
        <v>171048161</v>
      </c>
      <c r="BK10" s="81">
        <f t="shared" si="3"/>
        <v>36546876</v>
      </c>
      <c r="BL10" s="40">
        <f>+ENERO!BK10+FEBRERO!BK10+MARZO!BK10</f>
        <v>61974890</v>
      </c>
      <c r="BM10" s="137" t="s">
        <v>450</v>
      </c>
      <c r="BN10" s="83">
        <f>X17+X66</f>
        <v>945471180</v>
      </c>
      <c r="BO10" s="81">
        <f>AA17+AA66</f>
        <v>235178711</v>
      </c>
      <c r="BP10" s="81">
        <f>AD17+AD66</f>
        <v>235178711</v>
      </c>
      <c r="BQ10" s="82">
        <f>AF17+AF66</f>
        <v>65173904</v>
      </c>
    </row>
    <row r="11" spans="1:69" s="9" customFormat="1" ht="24.95" customHeight="1" x14ac:dyDescent="0.25">
      <c r="A11" s="678"/>
      <c r="B11" s="644"/>
      <c r="C11" s="347"/>
      <c r="D11" s="347"/>
      <c r="E11" s="347"/>
      <c r="F11" s="347"/>
      <c r="G11" s="347"/>
      <c r="H11" s="347"/>
      <c r="I11" s="347"/>
      <c r="J11" s="347"/>
      <c r="K11" s="347"/>
      <c r="L11" s="347"/>
      <c r="M11" s="347"/>
      <c r="N11" s="348"/>
      <c r="O11" s="336"/>
      <c r="P11" s="349"/>
      <c r="Q11" s="348"/>
      <c r="S11" s="369"/>
      <c r="T11" s="708"/>
      <c r="U11" s="370"/>
      <c r="V11" s="164"/>
      <c r="W11" s="164"/>
      <c r="X11" s="164"/>
      <c r="Y11" s="370"/>
      <c r="Z11" s="164"/>
      <c r="AA11" s="169"/>
      <c r="AB11" s="370"/>
      <c r="AC11" s="164"/>
      <c r="AD11" s="169"/>
      <c r="AE11" s="370"/>
      <c r="AF11" s="164"/>
      <c r="AG11" s="169"/>
      <c r="AH11" s="370"/>
      <c r="AI11" s="164"/>
      <c r="AJ11" s="169"/>
      <c r="AL11" s="371"/>
      <c r="AM11" s="372"/>
      <c r="AO11" s="373" t="s">
        <v>13</v>
      </c>
      <c r="AP11" s="535" t="s">
        <v>559</v>
      </c>
      <c r="AQ11" s="12">
        <f>F88</f>
        <v>0</v>
      </c>
      <c r="AR11" s="12">
        <f>I88</f>
        <v>0</v>
      </c>
      <c r="AS11" s="12">
        <f>L88</f>
        <v>0</v>
      </c>
      <c r="AT11" s="374">
        <f>AO2/12</f>
        <v>0.25</v>
      </c>
      <c r="AU11" s="353" t="str">
        <f>IF(AQ11=0," ",AR11/AQ11)</f>
        <v xml:space="preserve"> </v>
      </c>
      <c r="AV11" s="353" t="str">
        <f>IF(AQ11=0," ",AS11/AQ11)</f>
        <v xml:space="preserve"> </v>
      </c>
      <c r="AW11" s="354">
        <f>I88</f>
        <v>0</v>
      </c>
      <c r="AX11" s="354">
        <f>L88</f>
        <v>0</v>
      </c>
      <c r="AY11" s="354">
        <f t="shared" si="0"/>
        <v>0</v>
      </c>
      <c r="AZ11" s="355">
        <f>AX11-AQ11</f>
        <v>0</v>
      </c>
      <c r="BB11" s="368" t="s">
        <v>439</v>
      </c>
      <c r="BC11" s="73">
        <f>F26</f>
        <v>873986903</v>
      </c>
      <c r="BD11" s="74">
        <f>I26</f>
        <v>211834351</v>
      </c>
      <c r="BE11" s="75">
        <f>K26</f>
        <v>50396468</v>
      </c>
      <c r="BF11" s="53">
        <f>+ENERO!BE11+FEBRERO!BE11+MARZO!BE11</f>
        <v>128311882</v>
      </c>
      <c r="BG11" s="68" t="s">
        <v>69</v>
      </c>
      <c r="BH11" s="84">
        <f>BN22</f>
        <v>65572284</v>
      </c>
      <c r="BI11" s="84">
        <f>BO22</f>
        <v>12956613</v>
      </c>
      <c r="BJ11" s="84">
        <f>BP22</f>
        <v>12956613</v>
      </c>
      <c r="BK11" s="84">
        <f>BQ22</f>
        <v>2631153</v>
      </c>
      <c r="BL11" s="40">
        <f>+ENERO!BK11+FEBRERO!BK11+MARZO!BK11</f>
        <v>5089152</v>
      </c>
      <c r="BM11" s="138" t="s">
        <v>451</v>
      </c>
      <c r="BN11" s="86">
        <f>X18+X67</f>
        <v>90039980</v>
      </c>
      <c r="BO11" s="84">
        <f>AA18+AA67</f>
        <v>37782868</v>
      </c>
      <c r="BP11" s="84">
        <f>AD18+AD67</f>
        <v>37782868</v>
      </c>
      <c r="BQ11" s="85">
        <f>AF18+AF67</f>
        <v>10830681</v>
      </c>
    </row>
    <row r="12" spans="1:69" s="9" customFormat="1" ht="24.95" customHeight="1" x14ac:dyDescent="0.25">
      <c r="A12" s="618">
        <f>+IF(FEBRERO!A12=0,"",FEBRERO!A12)</f>
        <v>1001</v>
      </c>
      <c r="B12" s="646" t="str">
        <f>+IF(FEBRERO!B12=0,"",FEBRERO!B12)</f>
        <v>Bienestar Social (Caja, Bancos, Inversiones Tempor.) a Dic-31-2014</v>
      </c>
      <c r="C12" s="375">
        <f>+ENERO!C12</f>
        <v>0</v>
      </c>
      <c r="D12" s="376">
        <f>FEBRERO!D12+MARZO!P12</f>
        <v>0</v>
      </c>
      <c r="E12" s="376">
        <f>FEBRERO!E12+MARZO!Q12</f>
        <v>81553</v>
      </c>
      <c r="F12" s="146">
        <f>SUM(C12:E12)</f>
        <v>81553</v>
      </c>
      <c r="G12" s="222">
        <f>FEBRERO!I12</f>
        <v>81553</v>
      </c>
      <c r="H12" s="377">
        <v>0</v>
      </c>
      <c r="I12" s="146">
        <f>SUM(G12:H12)</f>
        <v>81553</v>
      </c>
      <c r="J12" s="222">
        <f>FEBRERO!L12</f>
        <v>81553</v>
      </c>
      <c r="K12" s="134">
        <f>+H12</f>
        <v>0</v>
      </c>
      <c r="L12" s="146">
        <f>SUM(J12:K12)</f>
        <v>81553</v>
      </c>
      <c r="M12" s="222">
        <f>F12-I12</f>
        <v>0</v>
      </c>
      <c r="N12" s="146">
        <f>F12-L12</f>
        <v>0</v>
      </c>
      <c r="O12" s="297"/>
      <c r="P12" s="375">
        <v>0</v>
      </c>
      <c r="Q12" s="378">
        <v>0</v>
      </c>
      <c r="S12" s="716">
        <f>+IF(FEBRERO!S12=0,"",FEBRERO!S12)</f>
        <v>1000000</v>
      </c>
      <c r="T12" s="734" t="str">
        <f>+IF(FEBRERO!T12=0,"",FEBRERO!T12)</f>
        <v>GASTOS DE PERSONAL</v>
      </c>
      <c r="U12" s="366">
        <f t="shared" ref="U12:AJ12" si="6">U14+U63</f>
        <v>1994472741</v>
      </c>
      <c r="V12" s="380">
        <f t="shared" si="6"/>
        <v>20000000</v>
      </c>
      <c r="W12" s="380">
        <f t="shared" si="6"/>
        <v>139312300</v>
      </c>
      <c r="X12" s="381">
        <f t="shared" si="6"/>
        <v>2153785041</v>
      </c>
      <c r="Y12" s="366">
        <f t="shared" si="6"/>
        <v>585188303</v>
      </c>
      <c r="Z12" s="380">
        <f t="shared" si="6"/>
        <v>132124706</v>
      </c>
      <c r="AA12" s="367">
        <f t="shared" si="6"/>
        <v>717313009</v>
      </c>
      <c r="AB12" s="366">
        <f t="shared" si="6"/>
        <v>407184303</v>
      </c>
      <c r="AC12" s="380">
        <f t="shared" si="6"/>
        <v>150952339</v>
      </c>
      <c r="AD12" s="367">
        <f t="shared" si="6"/>
        <v>558136642</v>
      </c>
      <c r="AE12" s="366">
        <f t="shared" si="6"/>
        <v>338618666</v>
      </c>
      <c r="AF12" s="380">
        <f t="shared" si="6"/>
        <v>126525600</v>
      </c>
      <c r="AG12" s="367">
        <f t="shared" si="6"/>
        <v>465144266</v>
      </c>
      <c r="AH12" s="366">
        <f t="shared" si="6"/>
        <v>1436472032</v>
      </c>
      <c r="AI12" s="380">
        <f t="shared" si="6"/>
        <v>1595648399</v>
      </c>
      <c r="AJ12" s="367">
        <f t="shared" si="6"/>
        <v>1688640775</v>
      </c>
      <c r="AK12" s="10"/>
      <c r="AL12" s="382">
        <f>AL14+AL63</f>
        <v>0</v>
      </c>
      <c r="AM12" s="383">
        <f>AM14+AM63</f>
        <v>0</v>
      </c>
      <c r="AO12" s="373"/>
      <c r="AP12" s="535" t="s">
        <v>560</v>
      </c>
      <c r="AQ12" s="12">
        <f>F89</f>
        <v>50000000</v>
      </c>
      <c r="AR12" s="12">
        <f>I89</f>
        <v>12364519</v>
      </c>
      <c r="AS12" s="12">
        <f>L89</f>
        <v>0</v>
      </c>
      <c r="AT12" s="13"/>
      <c r="AU12" s="353"/>
      <c r="AV12" s="353"/>
      <c r="AW12" s="354">
        <f>I89</f>
        <v>12364519</v>
      </c>
      <c r="AX12" s="354">
        <f>L89</f>
        <v>0</v>
      </c>
      <c r="AY12" s="354">
        <f t="shared" si="0"/>
        <v>-37635481</v>
      </c>
      <c r="AZ12" s="355"/>
      <c r="BB12" s="368" t="s">
        <v>440</v>
      </c>
      <c r="BC12" s="73">
        <f>F23</f>
        <v>1323143662</v>
      </c>
      <c r="BD12" s="74">
        <f>I23</f>
        <v>308586115</v>
      </c>
      <c r="BE12" s="75">
        <f>K23</f>
        <v>1956600</v>
      </c>
      <c r="BF12" s="53">
        <f>+ENERO!BE12+FEBRERO!BE12+MARZO!BE12</f>
        <v>1956600</v>
      </c>
      <c r="BG12" s="384" t="s">
        <v>395</v>
      </c>
      <c r="BH12" s="84">
        <f>BN25</f>
        <v>315812208</v>
      </c>
      <c r="BI12" s="84">
        <f>BO25</f>
        <v>105784084</v>
      </c>
      <c r="BJ12" s="84">
        <f>BP25</f>
        <v>81279101</v>
      </c>
      <c r="BK12" s="84">
        <f>BQ25</f>
        <v>4888978</v>
      </c>
      <c r="BL12" s="40">
        <f>+ENERO!BK12+FEBRERO!BK12+MARZO!BK12</f>
        <v>8041478</v>
      </c>
      <c r="BM12" s="139" t="s">
        <v>452</v>
      </c>
      <c r="BN12" s="86">
        <f>X16+X65-X81-X33-BN10-BN11</f>
        <v>172493242</v>
      </c>
      <c r="BO12" s="84">
        <f>AA16+AA65-AA81-AA33-BO10-BO11</f>
        <v>2490736</v>
      </c>
      <c r="BP12" s="84">
        <f>AD16+AD65-AD81-AD33-BP10-BP11</f>
        <v>2490736</v>
      </c>
      <c r="BQ12" s="85">
        <f>AF16+AF65-AF81-AF33-BQ10-BQ11</f>
        <v>2200748</v>
      </c>
    </row>
    <row r="13" spans="1:69" s="9" customFormat="1" ht="24.95" customHeight="1" x14ac:dyDescent="0.25">
      <c r="A13" s="618">
        <f>+IF(FEBRERO!A13=0,"",FEBRERO!A13)</f>
        <v>1002</v>
      </c>
      <c r="B13" s="646" t="str">
        <f>+IF(FEBRERO!B13=0,"",FEBRERO!B13)</f>
        <v>Fondo Vivienda (Caja, Bancos, Inversiones Tempor.) a Dic-31-2014</v>
      </c>
      <c r="C13" s="375">
        <f>+ENERO!C13</f>
        <v>0</v>
      </c>
      <c r="D13" s="376">
        <f>FEBRERO!D13+MARZO!P13</f>
        <v>0</v>
      </c>
      <c r="E13" s="376">
        <f>FEBRERO!E13+MARZO!Q13</f>
        <v>0</v>
      </c>
      <c r="F13" s="146">
        <f>SUM(C13:E13)</f>
        <v>0</v>
      </c>
      <c r="G13" s="222">
        <f>FEBRERO!I13</f>
        <v>0</v>
      </c>
      <c r="H13" s="377">
        <v>0</v>
      </c>
      <c r="I13" s="146">
        <f>SUM(G13:H13)</f>
        <v>0</v>
      </c>
      <c r="J13" s="222">
        <f>FEBRERO!L13</f>
        <v>0</v>
      </c>
      <c r="K13" s="134">
        <f>+H13</f>
        <v>0</v>
      </c>
      <c r="L13" s="146">
        <f>SUM(J13:K13)</f>
        <v>0</v>
      </c>
      <c r="M13" s="222">
        <f>F13-I13</f>
        <v>0</v>
      </c>
      <c r="N13" s="146">
        <f>F13-L13</f>
        <v>0</v>
      </c>
      <c r="O13" s="385"/>
      <c r="P13" s="375">
        <v>0</v>
      </c>
      <c r="Q13" s="378">
        <v>0</v>
      </c>
      <c r="S13" s="369"/>
      <c r="T13" s="708"/>
      <c r="U13" s="370"/>
      <c r="V13" s="164"/>
      <c r="W13" s="164"/>
      <c r="X13" s="164"/>
      <c r="Y13" s="370"/>
      <c r="Z13" s="164"/>
      <c r="AA13" s="169"/>
      <c r="AB13" s="370"/>
      <c r="AC13" s="164"/>
      <c r="AD13" s="169"/>
      <c r="AE13" s="370"/>
      <c r="AF13" s="164"/>
      <c r="AG13" s="169"/>
      <c r="AH13" s="370"/>
      <c r="AI13" s="164"/>
      <c r="AJ13" s="169"/>
      <c r="AK13" s="10"/>
      <c r="AL13" s="371"/>
      <c r="AM13" s="372"/>
      <c r="AO13" s="20"/>
      <c r="AP13" s="535" t="s">
        <v>561</v>
      </c>
      <c r="AQ13" s="12">
        <f>F90</f>
        <v>24000000</v>
      </c>
      <c r="AR13" s="12">
        <f>I90</f>
        <v>3440000</v>
      </c>
      <c r="AS13" s="12">
        <f>L90</f>
        <v>0</v>
      </c>
      <c r="AT13" s="13"/>
      <c r="AU13" s="353"/>
      <c r="AV13" s="353"/>
      <c r="AW13" s="354">
        <f>I90</f>
        <v>3440000</v>
      </c>
      <c r="AX13" s="354">
        <f>L90</f>
        <v>0</v>
      </c>
      <c r="AY13" s="354">
        <f t="shared" si="0"/>
        <v>-20560000</v>
      </c>
      <c r="AZ13" s="355"/>
      <c r="BA13" s="385"/>
      <c r="BB13" s="386" t="s">
        <v>441</v>
      </c>
      <c r="BC13" s="87">
        <f>+F30+F33+F36+F38+F39+F40</f>
        <v>350726828</v>
      </c>
      <c r="BD13" s="88">
        <f>+I30+I33+I36+I38+I39+I40</f>
        <v>79857644</v>
      </c>
      <c r="BE13" s="89">
        <f>+K30+K33+K36+K38+K39+K40</f>
        <v>24815647</v>
      </c>
      <c r="BF13" s="53">
        <f>+ENERO!BE13+FEBRERO!BE13+MARZO!BE13</f>
        <v>74446941</v>
      </c>
      <c r="BG13" s="91" t="s">
        <v>72</v>
      </c>
      <c r="BH13" s="84">
        <f t="shared" ref="BH13:BK15" si="7">BN29</f>
        <v>436000000</v>
      </c>
      <c r="BI13" s="84">
        <f t="shared" si="7"/>
        <v>52650000</v>
      </c>
      <c r="BJ13" s="84">
        <f t="shared" si="7"/>
        <v>0</v>
      </c>
      <c r="BK13" s="84">
        <f t="shared" si="7"/>
        <v>0</v>
      </c>
      <c r="BL13" s="40">
        <f>+ENERO!BK13+FEBRERO!BK13+MARZO!BK13</f>
        <v>0</v>
      </c>
      <c r="BM13" s="142" t="s">
        <v>453</v>
      </c>
      <c r="BN13" s="83">
        <f>X43-X55+X57-X61+X90-X102+X104-X108</f>
        <v>440138822</v>
      </c>
      <c r="BO13" s="81">
        <f>AA43-AA55+AA57-AA61+AA90-AA102+AA104-AA108</f>
        <v>85103227</v>
      </c>
      <c r="BP13" s="81">
        <f>AD43-AD55+AD57-AD61+AD90-AD102+AD104-AD108</f>
        <v>85103227</v>
      </c>
      <c r="BQ13" s="82">
        <f>AF43-AF55+AF57-AF61+AF90-AF102+AF104-AF108</f>
        <v>26319248</v>
      </c>
    </row>
    <row r="14" spans="1:69" s="9" customFormat="1" ht="24.95" customHeight="1" x14ac:dyDescent="0.25">
      <c r="A14" s="618">
        <f>+IF(FEBRERO!A14=0,"",FEBRERO!A14)</f>
        <v>1003</v>
      </c>
      <c r="B14" s="646" t="str">
        <f>+IF(FEBRERO!B14=0,"",FEBRERO!B14)</f>
        <v>Fondos Comunes y Especiales (Caja, Bancos, Invers. Tempor.) a Dic-31-2014</v>
      </c>
      <c r="C14" s="375">
        <f>+ENERO!C14</f>
        <v>0</v>
      </c>
      <c r="D14" s="376">
        <f>FEBRERO!D14+MARZO!P14</f>
        <v>0</v>
      </c>
      <c r="E14" s="376">
        <f>FEBRERO!E14+MARZO!Q14</f>
        <v>11310362</v>
      </c>
      <c r="F14" s="146">
        <f>SUM(C14:E14)</f>
        <v>11310362</v>
      </c>
      <c r="G14" s="222">
        <f>FEBRERO!I14</f>
        <v>11310362</v>
      </c>
      <c r="H14" s="377">
        <v>0</v>
      </c>
      <c r="I14" s="146">
        <f>SUM(G14:H14)</f>
        <v>11310362</v>
      </c>
      <c r="J14" s="222">
        <f>FEBRERO!L14</f>
        <v>11310362</v>
      </c>
      <c r="K14" s="134">
        <f>+H14</f>
        <v>0</v>
      </c>
      <c r="L14" s="146">
        <f>SUM(J14:K14)</f>
        <v>11310362</v>
      </c>
      <c r="M14" s="222">
        <f>F14-I14</f>
        <v>0</v>
      </c>
      <c r="N14" s="146">
        <f>F14-L14</f>
        <v>0</v>
      </c>
      <c r="O14" s="385"/>
      <c r="P14" s="375">
        <v>0</v>
      </c>
      <c r="Q14" s="378">
        <v>0</v>
      </c>
      <c r="S14" s="717">
        <f>+IF(FEBRERO!S14=0,"",FEBRERO!S14)</f>
        <v>1010000</v>
      </c>
      <c r="T14" s="735" t="str">
        <f>+IF(FEBRERO!T14=0,"",FEBRERO!T14)</f>
        <v>Gastos de Administración</v>
      </c>
      <c r="U14" s="131">
        <f t="shared" ref="U14:AJ14" si="8">U16+U35+U43+U57</f>
        <v>717551072</v>
      </c>
      <c r="V14" s="124">
        <f t="shared" si="8"/>
        <v>0</v>
      </c>
      <c r="W14" s="124">
        <f t="shared" si="8"/>
        <v>61017882</v>
      </c>
      <c r="X14" s="132">
        <f t="shared" si="8"/>
        <v>778568954</v>
      </c>
      <c r="Y14" s="131">
        <f t="shared" si="8"/>
        <v>279139047</v>
      </c>
      <c r="Z14" s="124">
        <f t="shared" si="8"/>
        <v>35485980</v>
      </c>
      <c r="AA14" s="133">
        <f t="shared" si="8"/>
        <v>314625027</v>
      </c>
      <c r="AB14" s="131">
        <f t="shared" si="8"/>
        <v>141659047</v>
      </c>
      <c r="AC14" s="124">
        <f t="shared" si="8"/>
        <v>50872280</v>
      </c>
      <c r="AD14" s="133">
        <f t="shared" si="8"/>
        <v>192531327</v>
      </c>
      <c r="AE14" s="131">
        <f t="shared" si="8"/>
        <v>106926603</v>
      </c>
      <c r="AF14" s="124">
        <f t="shared" si="8"/>
        <v>47351177</v>
      </c>
      <c r="AG14" s="133">
        <f t="shared" si="8"/>
        <v>154277780</v>
      </c>
      <c r="AH14" s="131">
        <f t="shared" si="8"/>
        <v>463943927</v>
      </c>
      <c r="AI14" s="124">
        <f t="shared" si="8"/>
        <v>586037627</v>
      </c>
      <c r="AJ14" s="133">
        <f t="shared" si="8"/>
        <v>624291174</v>
      </c>
      <c r="AK14" s="10"/>
      <c r="AL14" s="131">
        <f>AL16+AL35+AL43+AL57</f>
        <v>0</v>
      </c>
      <c r="AM14" s="133">
        <f>AM16+AM35+AM43+AM57</f>
        <v>0</v>
      </c>
      <c r="AO14" s="21"/>
      <c r="AP14" s="11" t="s">
        <v>75</v>
      </c>
      <c r="AQ14" s="12">
        <f>F19-AQ7-AQ8-AQ9-AQ10-AQ11-AQ12-AQ13</f>
        <v>318225176</v>
      </c>
      <c r="AR14" s="12">
        <f>I19-AR7-AR8-AR9-AR10-AR11-AR12-AR13</f>
        <v>88036947</v>
      </c>
      <c r="AS14" s="12">
        <f>L19-AS7-AS8-AS9-AS10-AS11-AS12-AS13</f>
        <v>63137794</v>
      </c>
      <c r="AT14" s="385"/>
      <c r="AU14" s="353">
        <f>IF(AQ14=0," ",AR14/AQ14)</f>
        <v>0.27664984935070003</v>
      </c>
      <c r="AV14" s="353">
        <f>IF(AQ14=0," ",AS14/AQ14)</f>
        <v>0.198406030577543</v>
      </c>
      <c r="AW14" s="354">
        <f>(I41+I46+I49+I52+I55+I58+I61+I64+I67+I70+I73+I78+I81+I82+I83+I85+I94+I104)/AO$2*12+I47+I50+I53+I56+I59+I62+I65+I68+I71+I74</f>
        <v>455334583</v>
      </c>
      <c r="AX14" s="354">
        <f>(L41+L46+L49+L52+L55+L58+L61+L64+L67+L70+L73+L78+L81+L82+L83+L85+L94+L104)/AO$2*12+L47+L50+L53+L56+L59+L62+L65+L68+L71+L74</f>
        <v>292519895</v>
      </c>
      <c r="AY14" s="354">
        <f t="shared" si="0"/>
        <v>137109407</v>
      </c>
      <c r="AZ14" s="355">
        <f>AX14-AQ14</f>
        <v>-25705281</v>
      </c>
      <c r="BB14" s="386" t="s">
        <v>442</v>
      </c>
      <c r="BC14" s="92">
        <f>+F64</f>
        <v>22951026</v>
      </c>
      <c r="BD14" s="93">
        <f>+I64</f>
        <v>5708526</v>
      </c>
      <c r="BE14" s="94">
        <f>K64</f>
        <v>404481</v>
      </c>
      <c r="BF14" s="53">
        <f>+ENERO!BE14+FEBRERO!BE14+MARZO!BE14</f>
        <v>404481</v>
      </c>
      <c r="BG14" s="91" t="s">
        <v>76</v>
      </c>
      <c r="BH14" s="81">
        <f t="shared" si="7"/>
        <v>0</v>
      </c>
      <c r="BI14" s="81">
        <f t="shared" si="7"/>
        <v>0</v>
      </c>
      <c r="BJ14" s="81">
        <f t="shared" si="7"/>
        <v>0</v>
      </c>
      <c r="BK14" s="81">
        <f t="shared" si="7"/>
        <v>0</v>
      </c>
      <c r="BL14" s="40">
        <f>+ENERO!BK14+FEBRERO!BK14+MARZO!BK14</f>
        <v>0</v>
      </c>
      <c r="BM14" s="141" t="s">
        <v>449</v>
      </c>
      <c r="BN14" s="86">
        <f>X35-X41+X83-X88</f>
        <v>366329517</v>
      </c>
      <c r="BO14" s="84">
        <f>AA35-AA41+AA83-AA88</f>
        <v>217445167</v>
      </c>
      <c r="BP14" s="84">
        <f>AD35-AD41+AD83-AD88</f>
        <v>58268800</v>
      </c>
      <c r="BQ14" s="85">
        <f>AF35-AF41+AF83-AF88</f>
        <v>18788000</v>
      </c>
    </row>
    <row r="15" spans="1:69" s="9" customFormat="1" ht="24.95" customHeight="1" thickBot="1" x14ac:dyDescent="0.3">
      <c r="A15" s="619">
        <f>+IF(FEBRERO!A15=0,"",FEBRERO!A15)</f>
        <v>1004</v>
      </c>
      <c r="B15" s="646" t="str">
        <f>+IF(FEBRERO!B15=0,"",FEBRERO!B15)</f>
        <v>Cesantias Ley 50/1990 a Dic-31-2014</v>
      </c>
      <c r="C15" s="387">
        <f>+ENERO!C15</f>
        <v>0</v>
      </c>
      <c r="D15" s="388">
        <f>FEBRERO!D15+MARZO!P15</f>
        <v>0</v>
      </c>
      <c r="E15" s="388">
        <f>FEBRERO!E15+MARZO!Q15</f>
        <v>78950146</v>
      </c>
      <c r="F15" s="389">
        <f>SUM(C15:E15)</f>
        <v>78950146</v>
      </c>
      <c r="G15" s="390">
        <f>FEBRERO!I15</f>
        <v>78950146</v>
      </c>
      <c r="H15" s="391">
        <v>0</v>
      </c>
      <c r="I15" s="389">
        <f>SUM(G15:H15)</f>
        <v>78950146</v>
      </c>
      <c r="J15" s="390">
        <f>FEBRERO!L15</f>
        <v>78950146</v>
      </c>
      <c r="K15" s="168">
        <f>+H15</f>
        <v>0</v>
      </c>
      <c r="L15" s="389">
        <f>SUM(J15:K15)</f>
        <v>78950146</v>
      </c>
      <c r="M15" s="390">
        <f>F15-I15</f>
        <v>0</v>
      </c>
      <c r="N15" s="389">
        <f>F15-L15</f>
        <v>0</v>
      </c>
      <c r="O15" s="385"/>
      <c r="P15" s="387">
        <v>0</v>
      </c>
      <c r="Q15" s="392">
        <v>0</v>
      </c>
      <c r="S15" s="369" t="str">
        <f>+IF(FEBRERO!S15=0,"",FEBRERO!S15)</f>
        <v/>
      </c>
      <c r="T15" s="708" t="str">
        <f>+IF(FEBRERO!T15=0,"",FEBRERO!T15)</f>
        <v xml:space="preserve"> </v>
      </c>
      <c r="U15" s="370"/>
      <c r="V15" s="164"/>
      <c r="W15" s="164"/>
      <c r="X15" s="164"/>
      <c r="Y15" s="370"/>
      <c r="Z15" s="164"/>
      <c r="AA15" s="169"/>
      <c r="AB15" s="370"/>
      <c r="AC15" s="164"/>
      <c r="AD15" s="169"/>
      <c r="AE15" s="370"/>
      <c r="AF15" s="164"/>
      <c r="AG15" s="169"/>
      <c r="AH15" s="370"/>
      <c r="AI15" s="164"/>
      <c r="AJ15" s="169"/>
      <c r="AK15" s="10"/>
      <c r="AL15" s="173"/>
      <c r="AM15" s="174"/>
      <c r="AO15" s="20"/>
      <c r="AP15" s="11" t="s">
        <v>78</v>
      </c>
      <c r="AQ15" s="12">
        <f>F113</f>
        <v>32659146</v>
      </c>
      <c r="AR15" s="12">
        <f>I113</f>
        <v>357482</v>
      </c>
      <c r="AS15" s="12">
        <f>L113</f>
        <v>357482</v>
      </c>
      <c r="AT15" s="13"/>
      <c r="AU15" s="345">
        <f>IF(AQ15=0," ",AR15/AQ15)</f>
        <v>1.0945846532545584E-2</v>
      </c>
      <c r="AV15" s="345">
        <f>IF(AQ15=0," ",AS15/AQ15)</f>
        <v>1.0945846532545584E-2</v>
      </c>
      <c r="AW15" s="12">
        <f>+AR15</f>
        <v>357482</v>
      </c>
      <c r="AX15" s="12">
        <f>+AS15</f>
        <v>357482</v>
      </c>
      <c r="AY15" s="12">
        <f t="shared" si="0"/>
        <v>-32301664</v>
      </c>
      <c r="AZ15" s="346">
        <f>AX15-AQ15</f>
        <v>-32301664</v>
      </c>
      <c r="BA15" s="385"/>
      <c r="BB15" s="386" t="s">
        <v>79</v>
      </c>
      <c r="BC15" s="92">
        <f>F46+F49</f>
        <v>0</v>
      </c>
      <c r="BD15" s="93">
        <f>I46+I49</f>
        <v>0</v>
      </c>
      <c r="BE15" s="94">
        <f>K46+K49</f>
        <v>0</v>
      </c>
      <c r="BF15" s="53">
        <f>+ENERO!BE15+FEBRERO!BE15+MARZO!BE15</f>
        <v>0</v>
      </c>
      <c r="BG15" s="91" t="s">
        <v>80</v>
      </c>
      <c r="BH15" s="81">
        <f t="shared" si="7"/>
        <v>342364056</v>
      </c>
      <c r="BI15" s="81">
        <f t="shared" si="7"/>
        <v>340490276</v>
      </c>
      <c r="BJ15" s="81">
        <f t="shared" si="7"/>
        <v>342364056</v>
      </c>
      <c r="BK15" s="81">
        <f t="shared" si="7"/>
        <v>28355553</v>
      </c>
      <c r="BL15" s="40">
        <f>+ENERO!BK15+FEBRERO!BK15+MARZO!BK15</f>
        <v>218055907</v>
      </c>
      <c r="BM15" s="71" t="s">
        <v>68</v>
      </c>
      <c r="BN15" s="83">
        <f>SUM(BN16:BN21)</f>
        <v>614488887</v>
      </c>
      <c r="BO15" s="81">
        <f>SUM(BO16:BO21)</f>
        <v>241027081</v>
      </c>
      <c r="BP15" s="81">
        <f>SUM(BP16:BP21)</f>
        <v>171048161</v>
      </c>
      <c r="BQ15" s="82">
        <f>SUM(BQ16:BQ21)</f>
        <v>36546876</v>
      </c>
    </row>
    <row r="16" spans="1:69" s="9" customFormat="1" ht="24.95" customHeight="1" thickBot="1" x14ac:dyDescent="0.3">
      <c r="A16" s="746" t="str">
        <f>+IF(FEBRERO!A16=0,"",FEBRERO!A16)</f>
        <v/>
      </c>
      <c r="B16" s="647" t="str">
        <f>+IF(FEBRERO!B16=0,"",FEBRERO!B16)</f>
        <v/>
      </c>
      <c r="C16" s="393"/>
      <c r="D16" s="393"/>
      <c r="E16" s="393"/>
      <c r="F16" s="393"/>
      <c r="G16" s="393"/>
      <c r="H16" s="393"/>
      <c r="I16" s="393"/>
      <c r="J16" s="393"/>
      <c r="K16" s="393"/>
      <c r="L16" s="393"/>
      <c r="M16" s="393"/>
      <c r="N16" s="394"/>
      <c r="O16" s="385"/>
      <c r="P16" s="395"/>
      <c r="Q16" s="396"/>
      <c r="S16" s="718">
        <f>+IF(FEBRERO!S16=0,"",FEBRERO!S16)</f>
        <v>1010100</v>
      </c>
      <c r="T16" s="736" t="str">
        <f>+IF(FEBRERO!T16=0,"",FEBRERO!T16)</f>
        <v>Servicios Personales Asociados a Nómina</v>
      </c>
      <c r="U16" s="131">
        <f t="shared" ref="U16:AJ16" si="9">SUM(U17:U20)+U33</f>
        <v>372660589</v>
      </c>
      <c r="V16" s="124">
        <f t="shared" si="9"/>
        <v>0</v>
      </c>
      <c r="W16" s="124">
        <f t="shared" si="9"/>
        <v>2702630</v>
      </c>
      <c r="X16" s="132">
        <f t="shared" si="9"/>
        <v>375363219</v>
      </c>
      <c r="Y16" s="131">
        <f t="shared" si="9"/>
        <v>55441455</v>
      </c>
      <c r="Z16" s="124">
        <f t="shared" si="9"/>
        <v>27433513</v>
      </c>
      <c r="AA16" s="133">
        <f t="shared" si="9"/>
        <v>82874968</v>
      </c>
      <c r="AB16" s="131">
        <f t="shared" si="9"/>
        <v>55441455</v>
      </c>
      <c r="AC16" s="124">
        <f t="shared" si="9"/>
        <v>27433513</v>
      </c>
      <c r="AD16" s="133">
        <f t="shared" si="9"/>
        <v>82874968</v>
      </c>
      <c r="AE16" s="131">
        <f t="shared" si="9"/>
        <v>44340904</v>
      </c>
      <c r="AF16" s="124">
        <f t="shared" si="9"/>
        <v>27945785</v>
      </c>
      <c r="AG16" s="133">
        <f t="shared" si="9"/>
        <v>72286689</v>
      </c>
      <c r="AH16" s="131">
        <f t="shared" si="9"/>
        <v>292488251</v>
      </c>
      <c r="AI16" s="124">
        <f t="shared" si="9"/>
        <v>292488251</v>
      </c>
      <c r="AJ16" s="133">
        <f t="shared" si="9"/>
        <v>303076530</v>
      </c>
      <c r="AK16" s="10"/>
      <c r="AL16" s="131">
        <f>SUM(AL17:AL20)+AL33</f>
        <v>0</v>
      </c>
      <c r="AM16" s="133">
        <f>SUM(AM17:AM20)+AM33</f>
        <v>0</v>
      </c>
      <c r="AO16" s="21"/>
      <c r="AP16" s="397" t="s">
        <v>83</v>
      </c>
      <c r="AQ16" s="398">
        <f>F10</f>
        <v>90342061</v>
      </c>
      <c r="AR16" s="398">
        <f>I10</f>
        <v>90342061</v>
      </c>
      <c r="AS16" s="398">
        <f>L10</f>
        <v>90342061</v>
      </c>
      <c r="AT16" s="385"/>
      <c r="AU16" s="399">
        <f>IF(AQ16=0," ",AR16/AQ16)</f>
        <v>1</v>
      </c>
      <c r="AV16" s="399">
        <f>IF(AQ16=0," ",AS16/AQ16)</f>
        <v>1</v>
      </c>
      <c r="AW16" s="398">
        <f>+AR16</f>
        <v>90342061</v>
      </c>
      <c r="AX16" s="398">
        <f>+AS16</f>
        <v>90342061</v>
      </c>
      <c r="AY16" s="12">
        <f t="shared" si="0"/>
        <v>0</v>
      </c>
      <c r="AZ16" s="400">
        <f>AX16-AQ16</f>
        <v>0</v>
      </c>
      <c r="BA16" s="385"/>
      <c r="BB16" s="368" t="s">
        <v>443</v>
      </c>
      <c r="BC16" s="73">
        <f>F43</f>
        <v>111280673</v>
      </c>
      <c r="BD16" s="74">
        <f>I43</f>
        <v>0</v>
      </c>
      <c r="BE16" s="75">
        <f>K43</f>
        <v>0</v>
      </c>
      <c r="BF16" s="53">
        <f>+ENERO!BE16+FEBRERO!BE16+MARZO!BE16</f>
        <v>0</v>
      </c>
      <c r="BG16" s="91" t="s">
        <v>84</v>
      </c>
      <c r="BH16" s="96">
        <f>BH7+BH12+BH13+BH14+BH15</f>
        <v>3788710176</v>
      </c>
      <c r="BI16" s="96">
        <f>BI7+BI12+BI13+BI14+BI15</f>
        <v>1330908763</v>
      </c>
      <c r="BJ16" s="96">
        <f>BJ7+BJ12+BJ13+BJ14+BJ15</f>
        <v>1026472273</v>
      </c>
      <c r="BK16" s="96">
        <f>BK7+BK12+BK13+BK14+BK15</f>
        <v>195735141</v>
      </c>
      <c r="BL16" s="40">
        <f>+ENERO!BK16+FEBRERO!BK16+MARZO!BK16</f>
        <v>639464196</v>
      </c>
      <c r="BM16" s="140" t="s">
        <v>85</v>
      </c>
      <c r="BN16" s="83">
        <f>X114-X121+X147-X148-X153</f>
        <v>142267519</v>
      </c>
      <c r="BO16" s="81">
        <f>AA114-AA121+AA147-AA148-AA153</f>
        <v>21447445</v>
      </c>
      <c r="BP16" s="81">
        <f>AD114-AD121+AD147-AD148-AD153</f>
        <v>21447445</v>
      </c>
      <c r="BQ16" s="82">
        <f>AF114-AF121+AF147-AF148-AF153</f>
        <v>1855652</v>
      </c>
    </row>
    <row r="17" spans="1:70" s="385" customFormat="1" ht="24.95" customHeight="1" thickBot="1" x14ac:dyDescent="0.3">
      <c r="A17" s="745">
        <f>+IF(FEBRERO!A17=0,"",FEBRERO!A17)</f>
        <v>11</v>
      </c>
      <c r="B17" s="648" t="str">
        <f>+IF(FEBRERO!B17=0,"",FEBRERO!B17)</f>
        <v>INGRESOS  CORRIENTES</v>
      </c>
      <c r="C17" s="337">
        <f>C19+C94+C104</f>
        <v>3103041868</v>
      </c>
      <c r="D17" s="334">
        <f t="shared" ref="D17:N17" si="10">D19+D94+D104</f>
        <v>0</v>
      </c>
      <c r="E17" s="334">
        <f t="shared" si="10"/>
        <v>562667101</v>
      </c>
      <c r="F17" s="334">
        <f t="shared" si="10"/>
        <v>3665708969</v>
      </c>
      <c r="G17" s="334">
        <f t="shared" si="10"/>
        <v>614469475</v>
      </c>
      <c r="H17" s="334">
        <f t="shared" si="10"/>
        <v>370561537</v>
      </c>
      <c r="I17" s="334">
        <f t="shared" si="10"/>
        <v>985031012</v>
      </c>
      <c r="J17" s="334">
        <f t="shared" si="10"/>
        <v>354620088</v>
      </c>
      <c r="K17" s="334">
        <f t="shared" si="10"/>
        <v>194144565</v>
      </c>
      <c r="L17" s="334">
        <f t="shared" si="10"/>
        <v>548764653</v>
      </c>
      <c r="M17" s="334">
        <f t="shared" si="10"/>
        <v>2680677957</v>
      </c>
      <c r="N17" s="335">
        <f t="shared" si="10"/>
        <v>3116944316</v>
      </c>
      <c r="P17" s="177">
        <f>P19+P94+P104</f>
        <v>0</v>
      </c>
      <c r="Q17" s="178">
        <f>Q19+Q94+Q104</f>
        <v>0</v>
      </c>
      <c r="R17" s="9"/>
      <c r="S17" s="719">
        <f>+IF(FEBRERO!S17=0,"",FEBRERO!S17)</f>
        <v>1010101</v>
      </c>
      <c r="T17" s="737" t="str">
        <f>+IF(FEBRERO!T17=0,"",FEBRERO!T17)</f>
        <v>Sueldos del Personal de nómina</v>
      </c>
      <c r="U17" s="29">
        <f>+ENERO!U17</f>
        <v>304405836</v>
      </c>
      <c r="V17" s="15">
        <f>FEBRERO!V17+MARZO!AL17</f>
        <v>0</v>
      </c>
      <c r="W17" s="15">
        <f>FEBRERO!W17+MARZO!AM17</f>
        <v>0</v>
      </c>
      <c r="X17" s="18">
        <f>SUM(U17:W17)</f>
        <v>304405836</v>
      </c>
      <c r="Y17" s="19">
        <f>FEBRERO!AA17</f>
        <v>50596708</v>
      </c>
      <c r="Z17" s="377">
        <v>25080799</v>
      </c>
      <c r="AA17" s="16">
        <f>SUM(Y17:Z17)</f>
        <v>75677507</v>
      </c>
      <c r="AB17" s="19">
        <f>FEBRERO!AD17</f>
        <v>50596708</v>
      </c>
      <c r="AC17" s="377">
        <v>25080799</v>
      </c>
      <c r="AD17" s="16">
        <f>SUM(AB17:AC17)</f>
        <v>75677507</v>
      </c>
      <c r="AE17" s="19">
        <f>FEBRERO!AG17</f>
        <v>40641687</v>
      </c>
      <c r="AF17" s="377">
        <v>25921301</v>
      </c>
      <c r="AG17" s="16">
        <f>SUM(AE17:AF17)</f>
        <v>66562988</v>
      </c>
      <c r="AH17" s="19">
        <f>X17-AA17</f>
        <v>228728329</v>
      </c>
      <c r="AI17" s="15">
        <f>X17-AD17</f>
        <v>228728329</v>
      </c>
      <c r="AJ17" s="16">
        <f>X17-AG17</f>
        <v>237842848</v>
      </c>
      <c r="AK17" s="9"/>
      <c r="AL17" s="375">
        <v>0</v>
      </c>
      <c r="AM17" s="378">
        <v>0</v>
      </c>
      <c r="AN17" s="9"/>
      <c r="AO17" s="352"/>
      <c r="AP17" s="402" t="s">
        <v>87</v>
      </c>
      <c r="AQ17" s="403">
        <f>SUM(AQ7:AQ16)</f>
        <v>3681528497</v>
      </c>
      <c r="AR17" s="404">
        <f>SUM(AR7:AR16)</f>
        <v>1047634423</v>
      </c>
      <c r="AS17" s="405">
        <f>SUM(AS7:AS16)</f>
        <v>611368064</v>
      </c>
      <c r="AT17" s="406"/>
      <c r="AU17" s="404">
        <f>IF(AQ17=0," ",AR17/AQ17)</f>
        <v>0.28456507232082956</v>
      </c>
      <c r="AV17" s="404">
        <f>IF(AQ17=0," ",AS17/AQ17)</f>
        <v>0.16606365114332022</v>
      </c>
      <c r="AW17" s="407">
        <f>SUM(AX7:AX16)</f>
        <v>1231555611</v>
      </c>
      <c r="AX17" s="407">
        <f>SUM(AX7:AX16)</f>
        <v>1231555611</v>
      </c>
      <c r="AY17" s="407">
        <f>SUM(AY7:AY16)</f>
        <v>-689102931</v>
      </c>
      <c r="AZ17" s="408">
        <f>SUM(AZ7:AZ16)</f>
        <v>-2375972886</v>
      </c>
      <c r="BA17" s="9"/>
      <c r="BB17" s="368" t="s">
        <v>444</v>
      </c>
      <c r="BC17" s="73">
        <f>F41+F52+F55+F58+F61+F67+F70+F73+F76+F79+F82+F86+F87+F88+F89+F90+F91</f>
        <v>331051770</v>
      </c>
      <c r="BD17" s="74">
        <f>I41+I52+I55+I58+I61+I67+I70+I73+I76+I79+I82+I86+I87+I88+I89+I90+I91</f>
        <v>73994337</v>
      </c>
      <c r="BE17" s="75">
        <f>K41+K52+K55+K58+K61+K67+K70+K73+K76+K79+K82+K86+K87+K88+K89+K90+K91</f>
        <v>16331785</v>
      </c>
      <c r="BF17" s="53">
        <f>+ENERO!BE17+FEBRERO!BE17+MARZO!BE17</f>
        <v>38594710</v>
      </c>
      <c r="BG17" s="98" t="s">
        <v>88</v>
      </c>
      <c r="BH17" s="99">
        <f>BC23-BH16</f>
        <v>-3788710176</v>
      </c>
      <c r="BI17" s="99"/>
      <c r="BJ17" s="99"/>
      <c r="BK17" s="99"/>
      <c r="BL17" s="40">
        <f>+ENERO!BK17+FEBRERO!BK17+MARZO!BK17</f>
        <v>0</v>
      </c>
      <c r="BM17" s="140" t="s">
        <v>459</v>
      </c>
      <c r="BN17" s="83">
        <f>X123-X126-X139+X155-X156-X167-X168</f>
        <v>249163207</v>
      </c>
      <c r="BO17" s="81">
        <f>AA123-AA126-AA139+AA155-AA156-AA167-AA168</f>
        <v>134794729</v>
      </c>
      <c r="BP17" s="81">
        <f>AD123-AD126-AD139+AD155-AD156-AD167-AD168</f>
        <v>75042654</v>
      </c>
      <c r="BQ17" s="82">
        <f>AF123-AF126-AF139+AF155-AF156-AF167-AF168</f>
        <v>9733001</v>
      </c>
      <c r="BR17" s="9"/>
    </row>
    <row r="18" spans="1:70" s="9" customFormat="1" ht="24.95" customHeight="1" thickBot="1" x14ac:dyDescent="0.3">
      <c r="A18" s="618" t="str">
        <f>+IF(FEBRERO!A18=0,"",FEBRERO!A18)</f>
        <v/>
      </c>
      <c r="B18" s="649" t="str">
        <f>+IF(FEBRERO!B18=0,"",FEBRERO!B18)</f>
        <v/>
      </c>
      <c r="C18" s="297"/>
      <c r="D18" s="297"/>
      <c r="E18" s="297"/>
      <c r="F18" s="297"/>
      <c r="G18" s="297"/>
      <c r="H18" s="297"/>
      <c r="I18" s="297"/>
      <c r="J18" s="297"/>
      <c r="K18" s="297"/>
      <c r="L18" s="297"/>
      <c r="M18" s="297"/>
      <c r="N18" s="466"/>
      <c r="P18" s="410"/>
      <c r="Q18" s="409"/>
      <c r="S18" s="719">
        <f>+IF(FEBRERO!S18=0,"",FEBRERO!S18)</f>
        <v>1010102</v>
      </c>
      <c r="T18" s="737" t="str">
        <f>+IF(FEBRERO!T18=0,"",FEBRERO!T18)</f>
        <v>Horas Extras,Dominic.,Festivos y Rec. Nocturnos</v>
      </c>
      <c r="U18" s="29">
        <f>+ENERO!U18</f>
        <v>12090252</v>
      </c>
      <c r="V18" s="15">
        <f>FEBRERO!V18+MARZO!AL18</f>
        <v>0</v>
      </c>
      <c r="W18" s="15">
        <f>FEBRERO!W18+MARZO!AM18</f>
        <v>0</v>
      </c>
      <c r="X18" s="18">
        <f>SUM(U18:W18)</f>
        <v>12090252</v>
      </c>
      <c r="Y18" s="19">
        <f>FEBRERO!AA18</f>
        <v>1996117</v>
      </c>
      <c r="Z18" s="377">
        <v>2280714</v>
      </c>
      <c r="AA18" s="16">
        <f>SUM(Y18:Z18)</f>
        <v>4276831</v>
      </c>
      <c r="AB18" s="19">
        <f>FEBRERO!AD18</f>
        <v>1996117</v>
      </c>
      <c r="AC18" s="377">
        <v>2280714</v>
      </c>
      <c r="AD18" s="16">
        <f>SUM(AB18:AC18)</f>
        <v>4276831</v>
      </c>
      <c r="AE18" s="19">
        <f>FEBRERO!AG18</f>
        <v>1630610</v>
      </c>
      <c r="AF18" s="377">
        <v>1940978</v>
      </c>
      <c r="AG18" s="16">
        <f>SUM(AE18:AF18)</f>
        <v>3571588</v>
      </c>
      <c r="AH18" s="19">
        <f>X18-AA18</f>
        <v>7813421</v>
      </c>
      <c r="AI18" s="15">
        <f>X18-AD18</f>
        <v>7813421</v>
      </c>
      <c r="AJ18" s="16">
        <f>X18-AG18</f>
        <v>8518664</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0</v>
      </c>
      <c r="BD18" s="74">
        <f>+I95+I96+I97+I99+I100+I101</f>
        <v>0</v>
      </c>
      <c r="BE18" s="75">
        <f>+K95+K96+K97+K99+K100+K101</f>
        <v>0</v>
      </c>
      <c r="BF18" s="53">
        <f>+ENERO!BE18+FEBRERO!BE18+MARZO!BE18</f>
        <v>0</v>
      </c>
      <c r="BM18" s="140" t="s">
        <v>89</v>
      </c>
      <c r="BN18" s="83">
        <f>X148+X156</f>
        <v>156785051</v>
      </c>
      <c r="BO18" s="81">
        <f>AA148+AA156</f>
        <v>71001211</v>
      </c>
      <c r="BP18" s="81">
        <f>AD148+AD156</f>
        <v>60774366</v>
      </c>
      <c r="BQ18" s="82">
        <f>AF148+AF156</f>
        <v>22125672</v>
      </c>
      <c r="BR18" s="385"/>
    </row>
    <row r="19" spans="1:70" s="9" customFormat="1" ht="24.95" customHeight="1" thickBot="1" x14ac:dyDescent="0.3">
      <c r="A19" s="747">
        <f>+IF(FEBRERO!A19=0,"",FEBRERO!A19)</f>
        <v>113</v>
      </c>
      <c r="B19" s="650" t="str">
        <f>+IF(FEBRERO!B19=0,"",FEBRERO!B19)</f>
        <v>VENTA DE SERVICIOS</v>
      </c>
      <c r="C19" s="337">
        <f t="shared" ref="C19:N19" si="11">C21+C85</f>
        <v>2995860189</v>
      </c>
      <c r="D19" s="334">
        <f t="shared" si="11"/>
        <v>0</v>
      </c>
      <c r="E19" s="334">
        <f t="shared" si="11"/>
        <v>562667101</v>
      </c>
      <c r="F19" s="335">
        <f t="shared" si="11"/>
        <v>3558527290</v>
      </c>
      <c r="G19" s="337">
        <f t="shared" si="11"/>
        <v>595452243</v>
      </c>
      <c r="H19" s="334">
        <f t="shared" si="11"/>
        <v>361482637</v>
      </c>
      <c r="I19" s="335">
        <f t="shared" si="11"/>
        <v>956934880</v>
      </c>
      <c r="J19" s="337">
        <f t="shared" si="11"/>
        <v>335602856</v>
      </c>
      <c r="K19" s="334">
        <f t="shared" si="11"/>
        <v>185065665</v>
      </c>
      <c r="L19" s="335">
        <f t="shared" si="11"/>
        <v>520668521</v>
      </c>
      <c r="M19" s="337">
        <f t="shared" si="11"/>
        <v>2601592410</v>
      </c>
      <c r="N19" s="335">
        <f t="shared" si="11"/>
        <v>3037858769</v>
      </c>
      <c r="O19" s="385"/>
      <c r="P19" s="43">
        <f>P21+P85</f>
        <v>0</v>
      </c>
      <c r="Q19" s="45">
        <f>Q21+Q85</f>
        <v>0</v>
      </c>
      <c r="S19" s="719">
        <f>+IF(FEBRERO!S19=0,"",FEBRERO!S19)</f>
        <v>1010103</v>
      </c>
      <c r="T19" s="737" t="str">
        <f>+IF(FEBRERO!T19=0,"",FEBRERO!T19)</f>
        <v>Prima Técnica</v>
      </c>
      <c r="U19" s="29">
        <f>+ENERO!U19</f>
        <v>0</v>
      </c>
      <c r="V19" s="15">
        <f>FEBRERO!V19+MARZO!AL19</f>
        <v>0</v>
      </c>
      <c r="W19" s="15">
        <f>FEBRERO!W19+MARZO!AM19</f>
        <v>0</v>
      </c>
      <c r="X19" s="18">
        <f>SUM(U19:W19)</f>
        <v>0</v>
      </c>
      <c r="Y19" s="19">
        <f>FEBRERO!AA19</f>
        <v>0</v>
      </c>
      <c r="Z19" s="377">
        <v>0</v>
      </c>
      <c r="AA19" s="16">
        <f>SUM(Y19:Z19)</f>
        <v>0</v>
      </c>
      <c r="AB19" s="19">
        <f>FEBRERO!AD19</f>
        <v>0</v>
      </c>
      <c r="AC19" s="377">
        <v>0</v>
      </c>
      <c r="AD19" s="16">
        <f>SUM(AB19:AC19)</f>
        <v>0</v>
      </c>
      <c r="AE19" s="19">
        <f>FEBRERO!AG19</f>
        <v>0</v>
      </c>
      <c r="AF19" s="377">
        <v>0</v>
      </c>
      <c r="AG19" s="16">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28016132</v>
      </c>
      <c r="BE19" s="94">
        <f>+K105+K106+K107+K108+K109+K110+K98</f>
        <v>9078900</v>
      </c>
      <c r="BF19" s="53">
        <f>+ENERO!BE19+FEBRERO!BE19+MARZO!BE19</f>
        <v>28016132</v>
      </c>
      <c r="BG19" s="385"/>
      <c r="BH19" s="385"/>
      <c r="BI19" s="385"/>
      <c r="BJ19" s="385"/>
      <c r="BK19" s="385"/>
      <c r="BM19" s="140" t="s">
        <v>96</v>
      </c>
      <c r="BN19" s="83">
        <f>X126+X167</f>
        <v>55492147</v>
      </c>
      <c r="BO19" s="81">
        <f>AA126+AA167</f>
        <v>11968167</v>
      </c>
      <c r="BP19" s="81">
        <f>AD126+AD167</f>
        <v>11968167</v>
      </c>
      <c r="BQ19" s="82">
        <f>AF126+AF167</f>
        <v>2832551</v>
      </c>
    </row>
    <row r="20" spans="1:70" s="425" customFormat="1" ht="24.95" customHeight="1" thickBot="1" x14ac:dyDescent="0.3">
      <c r="A20" s="618" t="str">
        <f>+IF(FEBRERO!A20=0,"",FEBRERO!A20)</f>
        <v/>
      </c>
      <c r="B20" s="651" t="str">
        <f>+IF(FEBRERO!B20=0,"",FEBRERO!B20)</f>
        <v/>
      </c>
      <c r="C20" s="297"/>
      <c r="D20" s="297"/>
      <c r="E20" s="297"/>
      <c r="F20" s="297"/>
      <c r="G20" s="297"/>
      <c r="H20" s="297"/>
      <c r="I20" s="297"/>
      <c r="J20" s="297"/>
      <c r="K20" s="297"/>
      <c r="L20" s="297"/>
      <c r="M20" s="297"/>
      <c r="N20" s="466"/>
      <c r="O20" s="9"/>
      <c r="P20" s="410"/>
      <c r="Q20" s="409"/>
      <c r="R20" s="9"/>
      <c r="S20" s="719">
        <f>+IF(FEBRERO!S20=0,"",FEBRERO!S20)</f>
        <v>1010104</v>
      </c>
      <c r="T20" s="737" t="str">
        <f>+IF(FEBRERO!T20=0,"",FEBRERO!T20)</f>
        <v>Otros</v>
      </c>
      <c r="U20" s="29">
        <f t="shared" ref="U20:AJ20" si="12">SUM(U21:U32)</f>
        <v>56164501</v>
      </c>
      <c r="V20" s="15">
        <f t="shared" si="12"/>
        <v>0</v>
      </c>
      <c r="W20" s="15">
        <f t="shared" si="12"/>
        <v>0</v>
      </c>
      <c r="X20" s="18">
        <f t="shared" si="12"/>
        <v>56164501</v>
      </c>
      <c r="Y20" s="19">
        <f t="shared" si="12"/>
        <v>146000</v>
      </c>
      <c r="Z20" s="145">
        <f t="shared" si="12"/>
        <v>72000</v>
      </c>
      <c r="AA20" s="16">
        <f t="shared" si="12"/>
        <v>218000</v>
      </c>
      <c r="AB20" s="19">
        <f t="shared" si="12"/>
        <v>146000</v>
      </c>
      <c r="AC20" s="145">
        <f t="shared" si="12"/>
        <v>72000</v>
      </c>
      <c r="AD20" s="16">
        <f t="shared" si="12"/>
        <v>218000</v>
      </c>
      <c r="AE20" s="19">
        <f t="shared" si="12"/>
        <v>117822</v>
      </c>
      <c r="AF20" s="145">
        <f t="shared" si="12"/>
        <v>74012</v>
      </c>
      <c r="AG20" s="16">
        <f t="shared" si="12"/>
        <v>191834</v>
      </c>
      <c r="AH20" s="19">
        <f t="shared" si="12"/>
        <v>55946501</v>
      </c>
      <c r="AI20" s="15">
        <f t="shared" si="12"/>
        <v>55946501</v>
      </c>
      <c r="AJ20" s="16">
        <f t="shared" si="12"/>
        <v>55972667</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594347</v>
      </c>
      <c r="BD20" s="66">
        <f>+I115+I117+I119+I120+I121+I123+I124</f>
        <v>38341</v>
      </c>
      <c r="BE20" s="67">
        <f>+K115+K117+K119+K120+K121</f>
        <v>7398</v>
      </c>
      <c r="BF20" s="53">
        <f>+ENERO!BE20+FEBRERO!BE20+MARZO!BE20</f>
        <v>35784</v>
      </c>
      <c r="BG20" s="385"/>
      <c r="BH20" s="385"/>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+IF(FEBRERO!A21=0,"",FEBRERO!A21)</f>
        <v>11301</v>
      </c>
      <c r="B21" s="652" t="str">
        <f>+IF(FEBRERO!B21=0,"",FEBRERO!B21)</f>
        <v>Venta de Servicios de Salud</v>
      </c>
      <c r="C21" s="177">
        <f t="shared" ref="C21:N21" si="13">C22+C25+C28+C41+C42+C45+C48+C51+C54+C57+C60+C63+C66+C69+C72+C75+C78+C81</f>
        <v>2921860189</v>
      </c>
      <c r="D21" s="357">
        <f t="shared" si="13"/>
        <v>0</v>
      </c>
      <c r="E21" s="357">
        <f t="shared" si="13"/>
        <v>562667101</v>
      </c>
      <c r="F21" s="357">
        <f t="shared" si="13"/>
        <v>3484527290</v>
      </c>
      <c r="G21" s="357">
        <f t="shared" si="13"/>
        <v>593052243</v>
      </c>
      <c r="H21" s="357">
        <f t="shared" si="13"/>
        <v>348078118</v>
      </c>
      <c r="I21" s="357">
        <f t="shared" si="13"/>
        <v>941130361</v>
      </c>
      <c r="J21" s="357">
        <f t="shared" si="13"/>
        <v>335602856</v>
      </c>
      <c r="K21" s="357">
        <f t="shared" si="13"/>
        <v>185065665</v>
      </c>
      <c r="L21" s="357">
        <f t="shared" si="13"/>
        <v>520668521</v>
      </c>
      <c r="M21" s="357">
        <f t="shared" si="13"/>
        <v>2543396929</v>
      </c>
      <c r="N21" s="178">
        <f t="shared" si="13"/>
        <v>2963858769</v>
      </c>
      <c r="O21" s="385"/>
      <c r="P21" s="43">
        <f>P22+P25+P28+P41+P42+P45+P48+P51+P54+P57+P60+P63+P66+P69+P72+P75+P78+P81</f>
        <v>0</v>
      </c>
      <c r="Q21" s="45">
        <f>Q22+Q25+Q28+Q41+Q42+Q45+Q48+Q51+Q54+Q57+Q60+Q63+Q66+Q69+Q72+Q75+Q78+Q81</f>
        <v>0</v>
      </c>
      <c r="R21" s="9"/>
      <c r="S21" s="720" t="str">
        <f>+IF(FEBRERO!S21=0,"",FEBRERO!S21)</f>
        <v>1010104-1</v>
      </c>
      <c r="T21" s="738" t="str">
        <f>+IF(FEBRERO!T21=0,"",FEBRERO!T21)</f>
        <v xml:space="preserve">Prima de Navidad </v>
      </c>
      <c r="U21" s="29">
        <f>+ENERO!U21</f>
        <v>27481083</v>
      </c>
      <c r="V21" s="15">
        <f>FEBRERO!V21+MARZO!AL21</f>
        <v>0</v>
      </c>
      <c r="W21" s="15">
        <f>FEBRERO!W21+MARZO!AM21</f>
        <v>0</v>
      </c>
      <c r="X21" s="18">
        <f t="shared" ref="X21:X33" si="14">SUM(U21:W21)</f>
        <v>27481083</v>
      </c>
      <c r="Y21" s="19">
        <f>FEBRERO!AA21</f>
        <v>0</v>
      </c>
      <c r="Z21" s="377">
        <v>0</v>
      </c>
      <c r="AA21" s="16">
        <f t="shared" ref="AA21:AA33" si="15">SUM(Y21:Z21)</f>
        <v>0</v>
      </c>
      <c r="AB21" s="19">
        <f>FEBRERO!AD21</f>
        <v>0</v>
      </c>
      <c r="AC21" s="377">
        <v>0</v>
      </c>
      <c r="AD21" s="16">
        <f t="shared" ref="AD21:AD33" si="16">SUM(AB21:AC21)</f>
        <v>0</v>
      </c>
      <c r="AE21" s="19">
        <f>FEBRERO!AG21</f>
        <v>0</v>
      </c>
      <c r="AF21" s="377">
        <v>0</v>
      </c>
      <c r="AG21" s="16">
        <f t="shared" ref="AG21:AG33" si="17">SUM(AE21:AF21)</f>
        <v>0</v>
      </c>
      <c r="AH21" s="19">
        <f t="shared" ref="AH21:AH33" si="18">X21-AA21</f>
        <v>27481083</v>
      </c>
      <c r="AI21" s="15">
        <f t="shared" ref="AI21:AI33" si="19">X21-AD21</f>
        <v>27481083</v>
      </c>
      <c r="AJ21" s="16">
        <f t="shared" ref="AJ21:AJ33" si="20">X21-AG21</f>
        <v>27481083</v>
      </c>
      <c r="AK21" s="9"/>
      <c r="AL21" s="375">
        <v>0</v>
      </c>
      <c r="AM21" s="378">
        <v>0</v>
      </c>
      <c r="AN21" s="9"/>
      <c r="AO21" s="352"/>
      <c r="AP21" s="426"/>
      <c r="AQ21" s="427"/>
      <c r="AR21" s="428" t="str">
        <f>AR6</f>
        <v>MARZO</v>
      </c>
      <c r="AS21" s="429" t="str">
        <f>AR6</f>
        <v>MARZO</v>
      </c>
      <c r="AT21" s="428" t="str">
        <f>AR6</f>
        <v>MARZO</v>
      </c>
      <c r="AU21" s="428" t="s">
        <v>46</v>
      </c>
      <c r="AV21" s="428" t="s">
        <v>24</v>
      </c>
      <c r="AW21" s="430"/>
      <c r="AX21" s="430"/>
      <c r="AY21" s="428" t="s">
        <v>46</v>
      </c>
      <c r="AZ21" s="431" t="s">
        <v>24</v>
      </c>
      <c r="BA21" s="9"/>
      <c r="BB21" s="101" t="s">
        <v>447</v>
      </c>
      <c r="BC21" s="65">
        <f>SUMIF($B8:B122,$B24,F8:F122)+F122</f>
        <v>577451227</v>
      </c>
      <c r="BD21" s="66">
        <f>SUMIF($B8:B122,$B24,I8:I122)+I122</f>
        <v>277353048</v>
      </c>
      <c r="BE21" s="67">
        <f>SUMIF($B8:B122,$B24,K8:K122)+K122</f>
        <v>91160684</v>
      </c>
      <c r="BF21" s="53">
        <f>+ENERO!BE21+FEBRERO!BE21+MARZO!BE21</f>
        <v>277353048</v>
      </c>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+IF(FEBRERO!A22=0,"",FEBRERO!A22)</f>
        <v>1130101</v>
      </c>
      <c r="B22" s="653" t="str">
        <f>+IF(FEBRERO!B22=0,"",FEBRERO!B22)</f>
        <v>EPS - REGIMEN CONTRIBUTIVO</v>
      </c>
      <c r="C22" s="43">
        <f t="shared" ref="C22:N22" si="21">SUM(C23:C24)</f>
        <v>1323143662</v>
      </c>
      <c r="D22" s="44">
        <f t="shared" si="21"/>
        <v>0</v>
      </c>
      <c r="E22" s="44">
        <f t="shared" si="21"/>
        <v>435611621</v>
      </c>
      <c r="F22" s="44">
        <f t="shared" si="21"/>
        <v>1758755283</v>
      </c>
      <c r="G22" s="44">
        <f t="shared" si="21"/>
        <v>319917876</v>
      </c>
      <c r="H22" s="44">
        <f t="shared" si="21"/>
        <v>208588946</v>
      </c>
      <c r="I22" s="44">
        <f t="shared" si="21"/>
        <v>528506822</v>
      </c>
      <c r="J22" s="44">
        <f t="shared" si="21"/>
        <v>134166491</v>
      </c>
      <c r="K22" s="44">
        <f t="shared" si="21"/>
        <v>87710816</v>
      </c>
      <c r="L22" s="44">
        <f t="shared" si="21"/>
        <v>221877307</v>
      </c>
      <c r="M22" s="44">
        <f t="shared" si="21"/>
        <v>1230248461</v>
      </c>
      <c r="N22" s="45">
        <f t="shared" si="21"/>
        <v>1536877976</v>
      </c>
      <c r="P22" s="43">
        <f>SUM(P23:P24)</f>
        <v>0</v>
      </c>
      <c r="Q22" s="45">
        <f>SUM(Q23:Q24)</f>
        <v>0</v>
      </c>
      <c r="S22" s="720" t="str">
        <f>+IF(FEBRERO!S22=0,"",FEBRERO!S22)</f>
        <v>1010104-2</v>
      </c>
      <c r="T22" s="738" t="str">
        <f>+IF(FEBRERO!T22=0,"",FEBRERO!T22)</f>
        <v>Prima Vida Cara</v>
      </c>
      <c r="U22" s="29">
        <f>+ENERO!U22</f>
        <v>0</v>
      </c>
      <c r="V22" s="15">
        <f>FEBRERO!V22+MARZO!AL22</f>
        <v>0</v>
      </c>
      <c r="W22" s="15">
        <f>FEBRERO!W22+MARZO!AM22</f>
        <v>0</v>
      </c>
      <c r="X22" s="18">
        <f t="shared" si="14"/>
        <v>0</v>
      </c>
      <c r="Y22" s="19">
        <f>FEBRERO!AA22</f>
        <v>0</v>
      </c>
      <c r="Z22" s="377">
        <v>0</v>
      </c>
      <c r="AA22" s="16">
        <f t="shared" si="15"/>
        <v>0</v>
      </c>
      <c r="AB22" s="19">
        <f>FEBRERO!AD22</f>
        <v>0</v>
      </c>
      <c r="AC22" s="377">
        <v>0</v>
      </c>
      <c r="AD22" s="16">
        <f t="shared" si="16"/>
        <v>0</v>
      </c>
      <c r="AE22" s="19">
        <f>FEBRERO!AG22</f>
        <v>0</v>
      </c>
      <c r="AF22" s="377">
        <v>0</v>
      </c>
      <c r="AG22" s="16">
        <f t="shared" si="17"/>
        <v>0</v>
      </c>
      <c r="AH22" s="19">
        <f t="shared" si="18"/>
        <v>0</v>
      </c>
      <c r="AI22" s="15">
        <f t="shared" si="19"/>
        <v>0</v>
      </c>
      <c r="AJ22" s="16">
        <f t="shared" si="20"/>
        <v>0</v>
      </c>
      <c r="AL22" s="375">
        <v>0</v>
      </c>
      <c r="AM22" s="378">
        <v>0</v>
      </c>
      <c r="AO22" s="21"/>
      <c r="AP22" s="432" t="s">
        <v>106</v>
      </c>
      <c r="AQ22" s="433">
        <f>X17+X66</f>
        <v>945471180</v>
      </c>
      <c r="AR22" s="433">
        <f>AD17+AD66</f>
        <v>235178711</v>
      </c>
      <c r="AS22" s="433">
        <f>AG17+AG66</f>
        <v>202990901</v>
      </c>
      <c r="AT22" s="434"/>
      <c r="AU22" s="435">
        <f t="shared" ref="AU22:AU32" si="22">IF(AQ22=0," ",AR22/AQ22)</f>
        <v>0.24874233712761082</v>
      </c>
      <c r="AV22" s="435">
        <f t="shared" ref="AV22:AV32" si="23">IF(AQ22=0," ",AS22/AQ22)</f>
        <v>0.21469813707066143</v>
      </c>
      <c r="AW22" s="436">
        <f>AR22/$AO$2*12</f>
        <v>940714844</v>
      </c>
      <c r="AX22" s="436">
        <f>AS22/$AO$2*12</f>
        <v>811963604</v>
      </c>
      <c r="AY22" s="436">
        <f t="shared" ref="AY22:AY31" si="24">AQ22-AW22</f>
        <v>4756336</v>
      </c>
      <c r="AZ22" s="437">
        <f t="shared" ref="AZ22:AZ31" si="25">AQ22-AX22</f>
        <v>133507576</v>
      </c>
      <c r="BA22" s="385"/>
      <c r="BB22" s="102" t="s">
        <v>111</v>
      </c>
      <c r="BC22" s="103">
        <f>BC7+BC8+BC20+BC21</f>
        <v>3788710176</v>
      </c>
      <c r="BD22" s="104">
        <f>BD7+BD8+BD20+BD21</f>
        <v>1075730555</v>
      </c>
      <c r="BE22" s="105">
        <f>BE7+BE8+BE20+BE21</f>
        <v>194151963</v>
      </c>
      <c r="BF22" s="53">
        <f>+ENERO!BE22+FEBRERO!BE22+MARZO!BE22</f>
        <v>639461639</v>
      </c>
      <c r="BG22" s="385"/>
      <c r="BH22" s="385"/>
      <c r="BI22" s="385"/>
      <c r="BJ22" s="385"/>
      <c r="BK22" s="385"/>
      <c r="BM22" s="71" t="s">
        <v>69</v>
      </c>
      <c r="BN22" s="83">
        <f>BN23+BN24</f>
        <v>65572284</v>
      </c>
      <c r="BO22" s="81">
        <f>BO23+BO24</f>
        <v>12956613</v>
      </c>
      <c r="BP22" s="81">
        <f>BP23+BP24</f>
        <v>12956613</v>
      </c>
      <c r="BQ22" s="82">
        <f>BQ23+BQ24</f>
        <v>2631153</v>
      </c>
      <c r="BR22" s="385"/>
    </row>
    <row r="23" spans="1:70" s="425" customFormat="1" ht="24.95" customHeight="1" x14ac:dyDescent="0.2">
      <c r="A23" s="618" t="str">
        <f>+IF(FEBRERO!A23=0,"",FEBRERO!A23)</f>
        <v>1130101-1</v>
      </c>
      <c r="B23" s="654" t="str">
        <f>+CONCATENATE("Vigencia ",INSTRUCCIONES!$F$3)</f>
        <v>Vigencia 2015</v>
      </c>
      <c r="C23" s="375">
        <f>+ENERO!C23</f>
        <v>1323143662</v>
      </c>
      <c r="D23" s="376">
        <f>FEBRERO!D23+MARZO!P23</f>
        <v>0</v>
      </c>
      <c r="E23" s="376">
        <f>FEBRERO!E23+MARZO!Q23</f>
        <v>0</v>
      </c>
      <c r="F23" s="376">
        <f>SUM(C23:E23)</f>
        <v>1323143662</v>
      </c>
      <c r="G23" s="376">
        <f>FEBRERO!I23</f>
        <v>185751385</v>
      </c>
      <c r="H23" s="377">
        <v>122834730</v>
      </c>
      <c r="I23" s="376">
        <f>SUM(G23:H23)</f>
        <v>308586115</v>
      </c>
      <c r="J23" s="376">
        <f>FEBRERO!L23</f>
        <v>0</v>
      </c>
      <c r="K23" s="377">
        <v>1956600</v>
      </c>
      <c r="L23" s="376">
        <f>SUM(J23:K23)</f>
        <v>1956600</v>
      </c>
      <c r="M23" s="376">
        <f>F23-I23</f>
        <v>1014557547</v>
      </c>
      <c r="N23" s="146">
        <f>F23-L23</f>
        <v>1321187062</v>
      </c>
      <c r="O23" s="9"/>
      <c r="P23" s="375">
        <v>0</v>
      </c>
      <c r="Q23" s="378">
        <v>0</v>
      </c>
      <c r="R23" s="9"/>
      <c r="S23" s="720" t="str">
        <f>+IF(FEBRERO!S23=0,"",FEBRERO!S23)</f>
        <v>1010104-3</v>
      </c>
      <c r="T23" s="738" t="str">
        <f>+IF(FEBRERO!T23=0,"",FEBRERO!T23)</f>
        <v>Prima de Vacaciones</v>
      </c>
      <c r="U23" s="29">
        <f>+ENERO!U23</f>
        <v>12683577</v>
      </c>
      <c r="V23" s="15">
        <f>FEBRERO!V23+MARZO!AL23</f>
        <v>0</v>
      </c>
      <c r="W23" s="15">
        <f>FEBRERO!W23+MARZO!AM23</f>
        <v>0</v>
      </c>
      <c r="X23" s="18">
        <f t="shared" si="14"/>
        <v>12683577</v>
      </c>
      <c r="Y23" s="19">
        <f>FEBRERO!AA23</f>
        <v>0</v>
      </c>
      <c r="Z23" s="377">
        <v>0</v>
      </c>
      <c r="AA23" s="16">
        <f t="shared" si="15"/>
        <v>0</v>
      </c>
      <c r="AB23" s="19">
        <f>FEBRERO!AD23</f>
        <v>0</v>
      </c>
      <c r="AC23" s="377">
        <v>0</v>
      </c>
      <c r="AD23" s="16">
        <f t="shared" si="16"/>
        <v>0</v>
      </c>
      <c r="AE23" s="19">
        <f>FEBRERO!AG23</f>
        <v>0</v>
      </c>
      <c r="AF23" s="377">
        <v>0</v>
      </c>
      <c r="AG23" s="16">
        <f t="shared" si="17"/>
        <v>0</v>
      </c>
      <c r="AH23" s="19">
        <f t="shared" si="18"/>
        <v>12683577</v>
      </c>
      <c r="AI23" s="15">
        <f t="shared" si="19"/>
        <v>12683577</v>
      </c>
      <c r="AJ23" s="16">
        <f t="shared" si="20"/>
        <v>12683577</v>
      </c>
      <c r="AK23" s="9"/>
      <c r="AL23" s="375">
        <v>0</v>
      </c>
      <c r="AM23" s="378">
        <v>0</v>
      </c>
      <c r="AN23" s="9"/>
      <c r="AO23" s="373"/>
      <c r="AP23" s="438" t="s">
        <v>110</v>
      </c>
      <c r="AQ23" s="439">
        <f>X16+X65-AQ22</f>
        <v>278891529</v>
      </c>
      <c r="AR23" s="439">
        <f>AD16+AD65-AR22</f>
        <v>56631911</v>
      </c>
      <c r="AS23" s="439">
        <f>AG16+AG65-AS22</f>
        <v>43578631</v>
      </c>
      <c r="AT23" s="330"/>
      <c r="AU23" s="345">
        <f t="shared" si="22"/>
        <v>0.20306070680260782</v>
      </c>
      <c r="AV23" s="345">
        <f t="shared" si="23"/>
        <v>0.15625656023421206</v>
      </c>
      <c r="AW23" s="439">
        <f>(AR23-AD21-AD22-AD23-AD25-AD30-AD33-AD70-AD71-AD72-AD74-AD78-AD81)/$AO$2*12+AX22/12*2.5+AD30+AD33+AD78+AD81</f>
        <v>339105679.16666669</v>
      </c>
      <c r="AX23" s="439">
        <f>(AS23-AG21-AG22-AG23-AG25-AG30-AG33-AG70-AG71-AG72-AG74-AG78-AG81)/$AO$2*12+AX22/12*2.5+AG30+AG33+AG78+AG81</f>
        <v>308695149.16666669</v>
      </c>
      <c r="AY23" s="439">
        <f t="shared" si="24"/>
        <v>-60214150.166666687</v>
      </c>
      <c r="AZ23" s="46">
        <f t="shared" si="25"/>
        <v>-29803620.166666687</v>
      </c>
      <c r="BA23" s="385"/>
      <c r="BF23" s="385"/>
      <c r="BG23" s="385"/>
      <c r="BH23" s="385"/>
      <c r="BI23" s="385"/>
      <c r="BJ23" s="385"/>
      <c r="BK23" s="385"/>
      <c r="BL23" s="385"/>
      <c r="BM23" s="140" t="s">
        <v>107</v>
      </c>
      <c r="BN23" s="83">
        <f>X177</f>
        <v>39279816</v>
      </c>
      <c r="BO23" s="81">
        <f>AA177</f>
        <v>7633182</v>
      </c>
      <c r="BP23" s="81">
        <f>AD177</f>
        <v>7633182</v>
      </c>
      <c r="BQ23" s="82">
        <f>AF177</f>
        <v>2631153</v>
      </c>
      <c r="BR23" s="9"/>
    </row>
    <row r="24" spans="1:70" s="425" customFormat="1" ht="24.95" customHeight="1" x14ac:dyDescent="0.2">
      <c r="A24" s="618" t="str">
        <f>+IF(FEBRERO!A24=0,"",FEBRERO!A24)</f>
        <v>1130101-2</v>
      </c>
      <c r="B24" s="654" t="str">
        <f>+IF(FEBRERO!B24=0,"",FEBRERO!B24)</f>
        <v>Vigencia Anterior</v>
      </c>
      <c r="C24" s="375">
        <f>+ENERO!C24</f>
        <v>0</v>
      </c>
      <c r="D24" s="376">
        <f>FEBRERO!D24+MARZO!P24</f>
        <v>0</v>
      </c>
      <c r="E24" s="376">
        <f>FEBRERO!E24+MARZO!Q24</f>
        <v>435611621</v>
      </c>
      <c r="F24" s="376">
        <f>SUM(C24:E24)</f>
        <v>435611621</v>
      </c>
      <c r="G24" s="376">
        <f>FEBRERO!I24</f>
        <v>134166491</v>
      </c>
      <c r="H24" s="377">
        <v>85754216</v>
      </c>
      <c r="I24" s="376">
        <f>SUM(G24:H24)</f>
        <v>219920707</v>
      </c>
      <c r="J24" s="376">
        <f>FEBRERO!L24</f>
        <v>134166491</v>
      </c>
      <c r="K24" s="377">
        <v>85754216</v>
      </c>
      <c r="L24" s="376">
        <f>SUM(J24:K24)</f>
        <v>219920707</v>
      </c>
      <c r="M24" s="376">
        <f>F24-I24</f>
        <v>215690914</v>
      </c>
      <c r="N24" s="146">
        <f>F24-L24</f>
        <v>215690914</v>
      </c>
      <c r="O24" s="385"/>
      <c r="P24" s="375">
        <v>0</v>
      </c>
      <c r="Q24" s="378">
        <v>0</v>
      </c>
      <c r="R24" s="9"/>
      <c r="S24" s="720" t="str">
        <f>+IF(FEBRERO!S24=0,"",FEBRERO!S24)</f>
        <v>1010104-4</v>
      </c>
      <c r="T24" s="738" t="str">
        <f>+IF(FEBRERO!T24=0,"",FEBRERO!T24)</f>
        <v>Prima Clima</v>
      </c>
      <c r="U24" s="29">
        <f>+ENERO!U24</f>
        <v>0</v>
      </c>
      <c r="V24" s="15">
        <f>FEBRERO!V24+MARZO!AL24</f>
        <v>0</v>
      </c>
      <c r="W24" s="15">
        <f>FEBRERO!W24+MARZO!AM24</f>
        <v>0</v>
      </c>
      <c r="X24" s="18">
        <f t="shared" si="14"/>
        <v>0</v>
      </c>
      <c r="Y24" s="19">
        <f>FEBRERO!AA24</f>
        <v>0</v>
      </c>
      <c r="Z24" s="377">
        <v>0</v>
      </c>
      <c r="AA24" s="16">
        <f t="shared" si="15"/>
        <v>0</v>
      </c>
      <c r="AB24" s="19">
        <f>FEBRERO!AD24</f>
        <v>0</v>
      </c>
      <c r="AC24" s="377">
        <v>0</v>
      </c>
      <c r="AD24" s="16">
        <f t="shared" si="16"/>
        <v>0</v>
      </c>
      <c r="AE24" s="19">
        <f>FEBRERO!AG24</f>
        <v>0</v>
      </c>
      <c r="AF24" s="377">
        <v>0</v>
      </c>
      <c r="AG24" s="16">
        <f t="shared" si="17"/>
        <v>0</v>
      </c>
      <c r="AH24" s="19">
        <f t="shared" si="18"/>
        <v>0</v>
      </c>
      <c r="AI24" s="15">
        <f t="shared" si="19"/>
        <v>0</v>
      </c>
      <c r="AJ24" s="16">
        <f t="shared" si="20"/>
        <v>0</v>
      </c>
      <c r="AK24" s="9"/>
      <c r="AL24" s="375">
        <v>0</v>
      </c>
      <c r="AM24" s="378">
        <v>0</v>
      </c>
      <c r="AN24" s="9"/>
      <c r="AO24" s="373"/>
      <c r="AP24" s="418" t="s">
        <v>115</v>
      </c>
      <c r="AQ24" s="434">
        <f>X35+X83</f>
        <v>400283995</v>
      </c>
      <c r="AR24" s="434">
        <f>AD35+AD83</f>
        <v>92223278</v>
      </c>
      <c r="AS24" s="434">
        <f>AG35+AG83</f>
        <v>57018124</v>
      </c>
      <c r="AT24" s="434"/>
      <c r="AU24" s="376">
        <f t="shared" si="22"/>
        <v>0.23039461770136474</v>
      </c>
      <c r="AV24" s="376">
        <f t="shared" si="23"/>
        <v>0.14244417641529736</v>
      </c>
      <c r="AW24" s="376">
        <f>(AR24-AD41-AD88)/$AO$2*12+AD41+AD88</f>
        <v>267029678</v>
      </c>
      <c r="AX24" s="376">
        <f>(AS24-AG41-AG88)/$AO$2*12+AG41+AG88</f>
        <v>159900124</v>
      </c>
      <c r="AY24" s="376">
        <f t="shared" si="24"/>
        <v>133254317</v>
      </c>
      <c r="AZ24" s="146">
        <f t="shared" si="25"/>
        <v>240383871</v>
      </c>
      <c r="BA24" s="9"/>
      <c r="BB24" s="440"/>
      <c r="BC24" s="385"/>
      <c r="BD24" s="385"/>
      <c r="BE24" s="385"/>
      <c r="BF24" s="385"/>
      <c r="BG24" s="385"/>
      <c r="BH24" s="385"/>
      <c r="BI24" s="385"/>
      <c r="BJ24" s="385"/>
      <c r="BK24" s="385"/>
      <c r="BL24" s="385"/>
      <c r="BM24" s="140" t="s">
        <v>112</v>
      </c>
      <c r="BN24" s="83">
        <f>X170-X177-X174-X183-X191</f>
        <v>26292468</v>
      </c>
      <c r="BO24" s="81">
        <f>AA170-AA177-AA174-AA183-AA191</f>
        <v>5323431</v>
      </c>
      <c r="BP24" s="81">
        <f>AD170-AD177-AD174-AD183-AD191</f>
        <v>5323431</v>
      </c>
      <c r="BQ24" s="82">
        <f>AF170-AF177-AF174-AF183-AF191</f>
        <v>0</v>
      </c>
      <c r="BR24" s="385"/>
    </row>
    <row r="25" spans="1:70" s="385" customFormat="1" ht="24.95" customHeight="1" x14ac:dyDescent="0.25">
      <c r="A25" s="747">
        <f>+IF(FEBRERO!A25=0,"",FEBRERO!A25)</f>
        <v>1130102</v>
      </c>
      <c r="B25" s="653" t="str">
        <f>+IF(FEBRERO!B25=0,"",FEBRERO!B25)</f>
        <v>ARS - REGIMEN SUBSIDIADO</v>
      </c>
      <c r="C25" s="43">
        <f t="shared" ref="C25:N25" si="26">SUM(C26:C27)</f>
        <v>873986903</v>
      </c>
      <c r="D25" s="44">
        <f t="shared" si="26"/>
        <v>0</v>
      </c>
      <c r="E25" s="44">
        <f t="shared" si="26"/>
        <v>71552427</v>
      </c>
      <c r="F25" s="44">
        <f t="shared" si="26"/>
        <v>945539330</v>
      </c>
      <c r="G25" s="44">
        <f t="shared" si="26"/>
        <v>160072972</v>
      </c>
      <c r="H25" s="44">
        <f t="shared" si="26"/>
        <v>84655976</v>
      </c>
      <c r="I25" s="44">
        <f t="shared" si="26"/>
        <v>244728948</v>
      </c>
      <c r="J25" s="44">
        <f t="shared" si="26"/>
        <v>107879765</v>
      </c>
      <c r="K25" s="44">
        <f t="shared" si="26"/>
        <v>53326714</v>
      </c>
      <c r="L25" s="44">
        <f t="shared" si="26"/>
        <v>161206479</v>
      </c>
      <c r="M25" s="44">
        <f t="shared" si="26"/>
        <v>700810382</v>
      </c>
      <c r="N25" s="45">
        <f t="shared" si="26"/>
        <v>784332851</v>
      </c>
      <c r="P25" s="43">
        <f>SUM(P26:P27)</f>
        <v>0</v>
      </c>
      <c r="Q25" s="45">
        <f>SUM(Q26:Q27)</f>
        <v>0</v>
      </c>
      <c r="R25" s="9"/>
      <c r="S25" s="720" t="str">
        <f>+IF(FEBRERO!S25=0,"",FEBRERO!S25)</f>
        <v>1010104-5</v>
      </c>
      <c r="T25" s="738" t="str">
        <f>+IF(FEBRERO!T25=0,"",FEBRERO!T25)</f>
        <v>Prima de Servicios</v>
      </c>
      <c r="U25" s="29">
        <f>+ENERO!U25</f>
        <v>12683577</v>
      </c>
      <c r="V25" s="15">
        <f>FEBRERO!V25+MARZO!AL25</f>
        <v>0</v>
      </c>
      <c r="W25" s="15">
        <f>FEBRERO!W25+MARZO!AM25</f>
        <v>0</v>
      </c>
      <c r="X25" s="18">
        <f t="shared" si="14"/>
        <v>12683577</v>
      </c>
      <c r="Y25" s="19">
        <f>FEBRERO!AA25</f>
        <v>0</v>
      </c>
      <c r="Z25" s="377">
        <v>0</v>
      </c>
      <c r="AA25" s="16">
        <f t="shared" si="15"/>
        <v>0</v>
      </c>
      <c r="AB25" s="19">
        <f>FEBRERO!AD25</f>
        <v>0</v>
      </c>
      <c r="AC25" s="377">
        <v>0</v>
      </c>
      <c r="AD25" s="16">
        <f t="shared" si="16"/>
        <v>0</v>
      </c>
      <c r="AE25" s="19">
        <f>FEBRERO!AG25</f>
        <v>0</v>
      </c>
      <c r="AF25" s="377">
        <v>0</v>
      </c>
      <c r="AG25" s="16">
        <f t="shared" si="17"/>
        <v>0</v>
      </c>
      <c r="AH25" s="19">
        <f t="shared" si="18"/>
        <v>12683577</v>
      </c>
      <c r="AI25" s="15">
        <f t="shared" si="19"/>
        <v>12683577</v>
      </c>
      <c r="AJ25" s="16">
        <f t="shared" si="20"/>
        <v>12683577</v>
      </c>
      <c r="AK25" s="9"/>
      <c r="AL25" s="375">
        <v>0</v>
      </c>
      <c r="AM25" s="378">
        <v>0</v>
      </c>
      <c r="AN25" s="9"/>
      <c r="AO25" s="21"/>
      <c r="AP25" s="441" t="s">
        <v>118</v>
      </c>
      <c r="AQ25" s="376">
        <f>X43+X57+X90+X104</f>
        <v>529138337</v>
      </c>
      <c r="AR25" s="376">
        <f>AD43+AD57+AD90+AD104</f>
        <v>174102742</v>
      </c>
      <c r="AS25" s="376">
        <f>AG43+AG57+AG90+AG104</f>
        <v>161556610</v>
      </c>
      <c r="AT25" s="434"/>
      <c r="AU25" s="376">
        <f t="shared" si="22"/>
        <v>0.32903067085838461</v>
      </c>
      <c r="AV25" s="376">
        <f t="shared" si="23"/>
        <v>0.30532017565758046</v>
      </c>
      <c r="AW25" s="376">
        <f>(AR25-AD55-AD61-AD102-AD108)/$AO$2*12+AD55+AD61+AD102+AD108</f>
        <v>429412423</v>
      </c>
      <c r="AX25" s="376">
        <f>(AS25-AG55-AG61-AG102-AG108)/$AO$2*12+AG55+AG61+AG102+AG108</f>
        <v>385146652</v>
      </c>
      <c r="AY25" s="376">
        <f t="shared" si="24"/>
        <v>99725914</v>
      </c>
      <c r="AZ25" s="146">
        <f t="shared" si="25"/>
        <v>143991685</v>
      </c>
      <c r="BM25" s="143" t="s">
        <v>455</v>
      </c>
      <c r="BN25" s="106">
        <f>+SUM(BN26:BN28)</f>
        <v>315812208</v>
      </c>
      <c r="BO25" s="107">
        <f>+SUM(BO26:BO28)</f>
        <v>105784084</v>
      </c>
      <c r="BP25" s="107">
        <f>+SUM(BP26:BP28)</f>
        <v>81279101</v>
      </c>
      <c r="BQ25" s="108">
        <f>+SUM(BQ26:BQ28)</f>
        <v>4888978</v>
      </c>
    </row>
    <row r="26" spans="1:70" s="9" customFormat="1" ht="24.95" customHeight="1" x14ac:dyDescent="0.2">
      <c r="A26" s="618" t="str">
        <f>+IF(FEBRERO!A26=0,"",FEBRERO!A26)</f>
        <v>1130102-1</v>
      </c>
      <c r="B26" s="654" t="str">
        <f>+CONCATENATE("Vigencia ",INSTRUCCIONES!$F$3)</f>
        <v>Vigencia 2015</v>
      </c>
      <c r="C26" s="375">
        <f>+ENERO!C26</f>
        <v>873986903</v>
      </c>
      <c r="D26" s="376">
        <f>FEBRERO!D26+MARZO!P26</f>
        <v>0</v>
      </c>
      <c r="E26" s="376">
        <f>FEBRERO!E26+MARZO!Q26</f>
        <v>0</v>
      </c>
      <c r="F26" s="376">
        <f>SUM(C26:E26)</f>
        <v>873986903</v>
      </c>
      <c r="G26" s="376">
        <f>FEBRERO!I26</f>
        <v>130108621</v>
      </c>
      <c r="H26" s="377">
        <f>75148007+5933212+3885248-3240737</f>
        <v>81725730</v>
      </c>
      <c r="I26" s="376">
        <f>SUM(G26:H26)</f>
        <v>211834351</v>
      </c>
      <c r="J26" s="376">
        <f>FEBRERO!L26</f>
        <v>77915414</v>
      </c>
      <c r="K26" s="377">
        <f>46511220+3885248</f>
        <v>50396468</v>
      </c>
      <c r="L26" s="376">
        <f>SUM(J26:K26)</f>
        <v>128311882</v>
      </c>
      <c r="M26" s="376">
        <f>F26-I26</f>
        <v>662152552</v>
      </c>
      <c r="N26" s="146">
        <f>F26-L26</f>
        <v>745675021</v>
      </c>
      <c r="P26" s="375">
        <v>0</v>
      </c>
      <c r="Q26" s="378">
        <v>0</v>
      </c>
      <c r="S26" s="720" t="str">
        <f>+IF(FEBRERO!S26=0,"",FEBRERO!S26)</f>
        <v>1010104-8</v>
      </c>
      <c r="T26" s="738" t="str">
        <f>+IF(FEBRERO!T26=0,"",FEBRERO!T26)</f>
        <v>Bonific. por Servicios Prestados (Convencional)</v>
      </c>
      <c r="U26" s="29">
        <f>+ENERO!U26</f>
        <v>0</v>
      </c>
      <c r="V26" s="15">
        <f>FEBRERO!V26+MARZO!AL26</f>
        <v>0</v>
      </c>
      <c r="W26" s="15">
        <f>FEBRERO!W26+MARZO!AM26</f>
        <v>0</v>
      </c>
      <c r="X26" s="18">
        <f t="shared" si="14"/>
        <v>0</v>
      </c>
      <c r="Y26" s="19">
        <f>FEBRERO!AA26</f>
        <v>0</v>
      </c>
      <c r="Z26" s="377">
        <v>0</v>
      </c>
      <c r="AA26" s="16">
        <f t="shared" si="15"/>
        <v>0</v>
      </c>
      <c r="AB26" s="19">
        <f>FEBRERO!AD26</f>
        <v>0</v>
      </c>
      <c r="AC26" s="377">
        <v>0</v>
      </c>
      <c r="AD26" s="16">
        <f t="shared" si="16"/>
        <v>0</v>
      </c>
      <c r="AE26" s="19">
        <f>FEBRERO!AG26</f>
        <v>0</v>
      </c>
      <c r="AF26" s="377">
        <v>0</v>
      </c>
      <c r="AG26" s="16">
        <f t="shared" si="17"/>
        <v>0</v>
      </c>
      <c r="AH26" s="19">
        <f t="shared" si="18"/>
        <v>0</v>
      </c>
      <c r="AI26" s="15">
        <f t="shared" si="19"/>
        <v>0</v>
      </c>
      <c r="AJ26" s="16">
        <f t="shared" si="20"/>
        <v>0</v>
      </c>
      <c r="AL26" s="375">
        <v>0</v>
      </c>
      <c r="AM26" s="378">
        <v>0</v>
      </c>
      <c r="AO26" s="21"/>
      <c r="AP26" s="442" t="s">
        <v>122</v>
      </c>
      <c r="AQ26" s="330">
        <f>X110</f>
        <v>716782901</v>
      </c>
      <c r="AR26" s="330">
        <f>AD110</f>
        <v>273342175</v>
      </c>
      <c r="AS26" s="330">
        <f>AG110</f>
        <v>116936930</v>
      </c>
      <c r="AT26" s="374">
        <f>AO2/12</f>
        <v>0.25</v>
      </c>
      <c r="AU26" s="345">
        <f t="shared" si="22"/>
        <v>0.38134583654081894</v>
      </c>
      <c r="AV26" s="345">
        <f t="shared" si="23"/>
        <v>0.16314134982413594</v>
      </c>
      <c r="AW26" s="439">
        <f>(AR26-AD121-AD139-AD143-AD153-AD168)/$AO$2*12+AD121+AD139+AD143+AD153+AD168</f>
        <v>786486658</v>
      </c>
      <c r="AX26" s="439">
        <f>(AS26-AG121-AG139-AG143-AG153-AG168)/$AO$2*12+AG121+AG139+AG143+AG153+AG168</f>
        <v>302861600</v>
      </c>
      <c r="AY26" s="439">
        <f t="shared" si="24"/>
        <v>-69703757</v>
      </c>
      <c r="AZ26" s="46">
        <f t="shared" si="25"/>
        <v>413921301</v>
      </c>
      <c r="BA26" s="385"/>
      <c r="BB26" s="385"/>
      <c r="BC26" s="385"/>
      <c r="BD26" s="385"/>
      <c r="BE26" s="385"/>
      <c r="BF26" s="385"/>
      <c r="BG26" s="385"/>
      <c r="BH26" s="385"/>
      <c r="BI26" s="385"/>
      <c r="BJ26" s="385"/>
      <c r="BK26" s="385"/>
      <c r="BM26" s="109" t="s">
        <v>456</v>
      </c>
      <c r="BN26" s="86">
        <f>+X196+X212</f>
        <v>187244601</v>
      </c>
      <c r="BO26" s="84">
        <f>+AA196+AA212</f>
        <v>70506898</v>
      </c>
      <c r="BP26" s="84">
        <f>+AD196+AD212</f>
        <v>46001915</v>
      </c>
      <c r="BQ26" s="85">
        <f>+AF196+AF212</f>
        <v>2536814</v>
      </c>
      <c r="BR26" s="385"/>
    </row>
    <row r="27" spans="1:70" s="425" customFormat="1" ht="24.95" customHeight="1" x14ac:dyDescent="0.2">
      <c r="A27" s="618" t="str">
        <f>+IF(FEBRERO!A27=0,"",FEBRERO!A27)</f>
        <v>1130102-2</v>
      </c>
      <c r="B27" s="654" t="str">
        <f>+IF(FEBRERO!B27=0,"",FEBRERO!B27)</f>
        <v>Vigencia Anterior</v>
      </c>
      <c r="C27" s="375">
        <f>+ENERO!C27</f>
        <v>0</v>
      </c>
      <c r="D27" s="376">
        <f>FEBRERO!D27+MARZO!P27</f>
        <v>0</v>
      </c>
      <c r="E27" s="376">
        <f>FEBRERO!E27+MARZO!Q27</f>
        <v>71552427</v>
      </c>
      <c r="F27" s="376">
        <f>SUM(C27:E27)</f>
        <v>71552427</v>
      </c>
      <c r="G27" s="376">
        <f>FEBRERO!I27</f>
        <v>29964351</v>
      </c>
      <c r="H27" s="377">
        <v>2930246</v>
      </c>
      <c r="I27" s="376">
        <f>SUM(G27:H27)</f>
        <v>32894597</v>
      </c>
      <c r="J27" s="376">
        <f>FEBRERO!L27</f>
        <v>29964351</v>
      </c>
      <c r="K27" s="377">
        <v>2930246</v>
      </c>
      <c r="L27" s="376">
        <f>SUM(J27:K27)</f>
        <v>32894597</v>
      </c>
      <c r="M27" s="376">
        <f>F27-I27</f>
        <v>38657830</v>
      </c>
      <c r="N27" s="146">
        <f>F27-L27</f>
        <v>38657830</v>
      </c>
      <c r="O27" s="385"/>
      <c r="P27" s="375">
        <v>0</v>
      </c>
      <c r="Q27" s="378">
        <v>0</v>
      </c>
      <c r="R27" s="9"/>
      <c r="S27" s="720" t="str">
        <f>+IF(FEBRERO!S27=0,"",FEBRERO!S27)</f>
        <v>1010104-9</v>
      </c>
      <c r="T27" s="738" t="str">
        <f>+IF(FEBRERO!T27=0,"",FEBRERO!T27)</f>
        <v>Auxilio de Transporte</v>
      </c>
      <c r="U27" s="29">
        <f>+ENERO!U27</f>
        <v>1625120</v>
      </c>
      <c r="V27" s="15">
        <f>FEBRERO!V27+MARZO!AL27</f>
        <v>0</v>
      </c>
      <c r="W27" s="15">
        <f>FEBRERO!W27+MARZO!AM27</f>
        <v>0</v>
      </c>
      <c r="X27" s="18">
        <f t="shared" si="14"/>
        <v>1625120</v>
      </c>
      <c r="Y27" s="19">
        <f>FEBRERO!AA27</f>
        <v>146000</v>
      </c>
      <c r="Z27" s="377">
        <v>72000</v>
      </c>
      <c r="AA27" s="16">
        <f t="shared" si="15"/>
        <v>218000</v>
      </c>
      <c r="AB27" s="19">
        <f>FEBRERO!AD27</f>
        <v>146000</v>
      </c>
      <c r="AC27" s="377">
        <v>72000</v>
      </c>
      <c r="AD27" s="16">
        <f t="shared" si="16"/>
        <v>218000</v>
      </c>
      <c r="AE27" s="19">
        <f>FEBRERO!AG27</f>
        <v>117822</v>
      </c>
      <c r="AF27" s="377">
        <v>74012</v>
      </c>
      <c r="AG27" s="16">
        <f t="shared" si="17"/>
        <v>191834</v>
      </c>
      <c r="AH27" s="19">
        <f t="shared" si="18"/>
        <v>1407120</v>
      </c>
      <c r="AI27" s="15">
        <f t="shared" si="19"/>
        <v>1407120</v>
      </c>
      <c r="AJ27" s="16">
        <f t="shared" si="20"/>
        <v>1433286</v>
      </c>
      <c r="AK27" s="9"/>
      <c r="AL27" s="375">
        <v>0</v>
      </c>
      <c r="AM27" s="378">
        <v>0</v>
      </c>
      <c r="AN27" s="9"/>
      <c r="AO27" s="352"/>
      <c r="AP27" s="441" t="s">
        <v>126</v>
      </c>
      <c r="AQ27" s="376">
        <f>X170</f>
        <v>74494094</v>
      </c>
      <c r="AR27" s="376">
        <f>AD170</f>
        <v>21878423</v>
      </c>
      <c r="AS27" s="376">
        <f>AG170</f>
        <v>13998861</v>
      </c>
      <c r="AT27" s="434"/>
      <c r="AU27" s="376">
        <f t="shared" si="22"/>
        <v>0.29369338997531802</v>
      </c>
      <c r="AV27" s="376">
        <f t="shared" si="23"/>
        <v>0.18791907181259229</v>
      </c>
      <c r="AW27" s="376">
        <f>(AR27-AD174-AD183-AD191)/$AO$2*12+AD174+AD183+AD191</f>
        <v>60748262</v>
      </c>
      <c r="AX27" s="376">
        <f>(AS27-AG174-AG183-AG191)/$AO$2*12+AG174+AG183+AG191</f>
        <v>29266317</v>
      </c>
      <c r="AY27" s="376">
        <f t="shared" si="24"/>
        <v>13745832</v>
      </c>
      <c r="AZ27" s="146">
        <f t="shared" si="25"/>
        <v>45227777</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+IF(FEBRERO!A28=0,"",FEBRERO!A28)</f>
        <v>1130103</v>
      </c>
      <c r="B28" s="630" t="str">
        <f>+IF(FEBRERO!B28=0,"",FEBRERO!B28)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27">G29+G32+G35+G38+G39+G40</f>
        <v>49631294</v>
      </c>
      <c r="H28" s="44">
        <f t="shared" si="27"/>
        <v>30226350</v>
      </c>
      <c r="I28" s="44">
        <f t="shared" si="27"/>
        <v>79857644</v>
      </c>
      <c r="J28" s="44">
        <f t="shared" si="27"/>
        <v>49631294</v>
      </c>
      <c r="K28" s="44">
        <f t="shared" si="27"/>
        <v>24815647</v>
      </c>
      <c r="L28" s="44">
        <f t="shared" si="27"/>
        <v>74446941</v>
      </c>
      <c r="M28" s="44">
        <f t="shared" si="27"/>
        <v>270869184</v>
      </c>
      <c r="N28" s="45">
        <f t="shared" si="27"/>
        <v>276279887</v>
      </c>
      <c r="O28" s="385"/>
      <c r="P28" s="43">
        <f>P29+P32+P35+P38+P39+P940</f>
        <v>0</v>
      </c>
      <c r="Q28" s="45">
        <f>Q29+Q32+Q35+Q38+Q39+Q40</f>
        <v>0</v>
      </c>
      <c r="R28" s="9"/>
      <c r="S28" s="720" t="str">
        <f>+IF(FEBRERO!S28=0,"",FEBRERO!S28)</f>
        <v>1010104-10</v>
      </c>
      <c r="T28" s="738" t="str">
        <f>+IF(FEBRERO!T28=0,"",FEBRERO!T28)</f>
        <v>Subsidio de Alimentación</v>
      </c>
      <c r="U28" s="29">
        <f>+ENERO!U28</f>
        <v>0</v>
      </c>
      <c r="V28" s="15">
        <f>FEBRERO!V28+MARZO!AL28</f>
        <v>0</v>
      </c>
      <c r="W28" s="15">
        <f>FEBRERO!W28+MARZO!AM28</f>
        <v>0</v>
      </c>
      <c r="X28" s="18">
        <f t="shared" si="14"/>
        <v>0</v>
      </c>
      <c r="Y28" s="19">
        <f>FEBRERO!AA28</f>
        <v>0</v>
      </c>
      <c r="Z28" s="377">
        <v>0</v>
      </c>
      <c r="AA28" s="16">
        <f t="shared" si="15"/>
        <v>0</v>
      </c>
      <c r="AB28" s="19">
        <f>FEBRERO!AD28</f>
        <v>0</v>
      </c>
      <c r="AC28" s="377">
        <v>0</v>
      </c>
      <c r="AD28" s="16">
        <f t="shared" si="16"/>
        <v>0</v>
      </c>
      <c r="AE28" s="19">
        <f>FEBRERO!AG28</f>
        <v>0</v>
      </c>
      <c r="AF28" s="377">
        <v>0</v>
      </c>
      <c r="AG28" s="16">
        <f t="shared" si="17"/>
        <v>0</v>
      </c>
      <c r="AH28" s="19">
        <f t="shared" si="18"/>
        <v>0</v>
      </c>
      <c r="AI28" s="15">
        <f t="shared" si="19"/>
        <v>0</v>
      </c>
      <c r="AJ28" s="16">
        <f t="shared" si="20"/>
        <v>0</v>
      </c>
      <c r="AK28" s="9"/>
      <c r="AL28" s="375">
        <v>0</v>
      </c>
      <c r="AM28" s="378">
        <v>0</v>
      </c>
      <c r="AN28" s="9"/>
      <c r="AO28" s="352"/>
      <c r="AP28" s="441" t="s">
        <v>129</v>
      </c>
      <c r="AQ28" s="434">
        <f>X193</f>
        <v>407648140</v>
      </c>
      <c r="AR28" s="434">
        <f>AD193</f>
        <v>173115033</v>
      </c>
      <c r="AS28" s="434">
        <f>AG193</f>
        <v>43384139</v>
      </c>
      <c r="AT28" s="434"/>
      <c r="AU28" s="376">
        <f t="shared" si="22"/>
        <v>0.42466778580174558</v>
      </c>
      <c r="AV28" s="376">
        <f t="shared" si="23"/>
        <v>0.1064254555411439</v>
      </c>
      <c r="AW28" s="376">
        <f>(AR28-AD205)/$AO$2*12+AD205</f>
        <v>416952336</v>
      </c>
      <c r="AX28" s="376">
        <f>(AS28-AG205)/$AO$2*12+AG205</f>
        <v>67508573</v>
      </c>
      <c r="AY28" s="376">
        <f t="shared" si="24"/>
        <v>-9304196</v>
      </c>
      <c r="AZ28" s="146">
        <f t="shared" si="25"/>
        <v>340139567</v>
      </c>
      <c r="BA28" s="385"/>
      <c r="BB28" s="385"/>
      <c r="BC28" s="385"/>
      <c r="BD28" s="385"/>
      <c r="BE28" s="385"/>
      <c r="BF28" s="385"/>
      <c r="BG28" s="385"/>
      <c r="BH28" s="385"/>
      <c r="BI28" s="385"/>
      <c r="BJ28" s="385"/>
      <c r="BK28" s="385"/>
      <c r="BL28" s="385"/>
      <c r="BM28" s="71" t="s">
        <v>458</v>
      </c>
      <c r="BN28" s="83">
        <f>+X194-X196-X205</f>
        <v>128567607</v>
      </c>
      <c r="BO28" s="81">
        <f>+AA194-AA196-AA205</f>
        <v>35277186</v>
      </c>
      <c r="BP28" s="81">
        <f>+AD194-AD196-AD205</f>
        <v>35277186</v>
      </c>
      <c r="BQ28" s="82">
        <f>+AF194-AF196-AF205</f>
        <v>2352164</v>
      </c>
      <c r="BR28" s="9"/>
    </row>
    <row r="29" spans="1:70" s="9" customFormat="1" ht="24.95" customHeight="1" x14ac:dyDescent="0.25">
      <c r="A29" s="618" t="str">
        <f>+IF(FEBRERO!A29=0,"",FEBRERO!A29)</f>
        <v>1130103-1</v>
      </c>
      <c r="B29" s="655" t="str">
        <f>+IF(FEBRERO!B29=0,"",FEBRERO!B29)</f>
        <v>Prestación de Servicios de salud  1er Nivel</v>
      </c>
      <c r="C29" s="19">
        <f t="shared" ref="C29:N29" si="28">SUM(C30:C31)</f>
        <v>24095828</v>
      </c>
      <c r="D29" s="15">
        <f t="shared" si="28"/>
        <v>0</v>
      </c>
      <c r="E29" s="15">
        <f t="shared" si="28"/>
        <v>0</v>
      </c>
      <c r="F29" s="15">
        <f t="shared" si="28"/>
        <v>24095828</v>
      </c>
      <c r="G29" s="15">
        <f t="shared" si="28"/>
        <v>0</v>
      </c>
      <c r="H29" s="15">
        <f t="shared" si="28"/>
        <v>5410703</v>
      </c>
      <c r="I29" s="15">
        <f t="shared" si="28"/>
        <v>5410703</v>
      </c>
      <c r="J29" s="15">
        <f t="shared" si="28"/>
        <v>0</v>
      </c>
      <c r="K29" s="15">
        <f t="shared" si="28"/>
        <v>0</v>
      </c>
      <c r="L29" s="15">
        <f t="shared" si="28"/>
        <v>0</v>
      </c>
      <c r="M29" s="15">
        <f t="shared" si="28"/>
        <v>18685125</v>
      </c>
      <c r="N29" s="16">
        <f t="shared" si="28"/>
        <v>24095828</v>
      </c>
      <c r="O29" s="385"/>
      <c r="P29" s="147">
        <f>SUM(P30:P31)</f>
        <v>0</v>
      </c>
      <c r="Q29" s="148">
        <f>SUM(Q30:Q31)</f>
        <v>0</v>
      </c>
      <c r="S29" s="720" t="str">
        <f>+IF(FEBRERO!S29=0,"",FEBRERO!S29)</f>
        <v>1010104-11</v>
      </c>
      <c r="T29" s="738" t="str">
        <f>+IF(FEBRERO!T29=0,"",FEBRERO!T29)</f>
        <v>Gastos de Representación</v>
      </c>
      <c r="U29" s="29">
        <f>+ENERO!U29</f>
        <v>0</v>
      </c>
      <c r="V29" s="15">
        <f>FEBRERO!V29+MARZO!AL29</f>
        <v>0</v>
      </c>
      <c r="W29" s="15">
        <f>FEBRERO!W29+MARZO!AM29</f>
        <v>0</v>
      </c>
      <c r="X29" s="18">
        <f t="shared" si="14"/>
        <v>0</v>
      </c>
      <c r="Y29" s="19">
        <f>FEBRERO!AA29</f>
        <v>0</v>
      </c>
      <c r="Z29" s="377">
        <v>0</v>
      </c>
      <c r="AA29" s="16">
        <f t="shared" si="15"/>
        <v>0</v>
      </c>
      <c r="AB29" s="19">
        <f>FEBRERO!AD29</f>
        <v>0</v>
      </c>
      <c r="AC29" s="377">
        <v>0</v>
      </c>
      <c r="AD29" s="16">
        <f t="shared" si="16"/>
        <v>0</v>
      </c>
      <c r="AE29" s="19">
        <f>FEBRERO!AG29</f>
        <v>0</v>
      </c>
      <c r="AF29" s="377">
        <v>0</v>
      </c>
      <c r="AG29" s="16">
        <f t="shared" si="17"/>
        <v>0</v>
      </c>
      <c r="AH29" s="19">
        <f t="shared" si="18"/>
        <v>0</v>
      </c>
      <c r="AI29" s="15">
        <f t="shared" si="19"/>
        <v>0</v>
      </c>
      <c r="AJ29" s="16">
        <f t="shared" si="20"/>
        <v>0</v>
      </c>
      <c r="AL29" s="375">
        <v>0</v>
      </c>
      <c r="AM29" s="378">
        <v>0</v>
      </c>
      <c r="AO29" s="21"/>
      <c r="AP29" s="442" t="s">
        <v>133</v>
      </c>
      <c r="AQ29" s="12">
        <f>X207</f>
        <v>0</v>
      </c>
      <c r="AR29" s="12">
        <f>AD207</f>
        <v>0</v>
      </c>
      <c r="AS29" s="12">
        <f>AG207</f>
        <v>0</v>
      </c>
      <c r="AT29" s="330"/>
      <c r="AU29" s="345" t="str">
        <f t="shared" si="22"/>
        <v xml:space="preserve"> </v>
      </c>
      <c r="AV29" s="345" t="str">
        <f t="shared" si="23"/>
        <v xml:space="preserve"> </v>
      </c>
      <c r="AW29" s="439">
        <f>(AR29-AD218)/$AO$2*12+AD218</f>
        <v>0</v>
      </c>
      <c r="AX29" s="439">
        <f>(AS29-AG218)/$AO$2*12+AG218</f>
        <v>0</v>
      </c>
      <c r="AY29" s="439">
        <f t="shared" si="24"/>
        <v>0</v>
      </c>
      <c r="AZ29" s="46">
        <f t="shared" si="25"/>
        <v>0</v>
      </c>
      <c r="BA29" s="385"/>
      <c r="BB29" s="425"/>
      <c r="BC29" s="425"/>
      <c r="BD29" s="425"/>
      <c r="BE29" s="425"/>
      <c r="BF29" s="425"/>
      <c r="BG29" s="385"/>
      <c r="BH29" s="385"/>
      <c r="BI29" s="385"/>
      <c r="BJ29" s="385"/>
      <c r="BK29" s="385"/>
      <c r="BM29" s="110" t="s">
        <v>72</v>
      </c>
      <c r="BN29" s="106">
        <f>X232-X256-X241</f>
        <v>436000000</v>
      </c>
      <c r="BO29" s="107">
        <f>AA232-AA256-AA241</f>
        <v>52650000</v>
      </c>
      <c r="BP29" s="107">
        <f>AD232-AD256-AD241</f>
        <v>0</v>
      </c>
      <c r="BQ29" s="108">
        <f>AF232-AF256-AF241</f>
        <v>0</v>
      </c>
      <c r="BR29" s="385"/>
    </row>
    <row r="30" spans="1:70" s="425" customFormat="1" ht="24.95" customHeight="1" x14ac:dyDescent="0.25">
      <c r="A30" s="618" t="str">
        <f>+IF(FEBRERO!A30=0,"",FEBRERO!A30)</f>
        <v>1130103-1-1</v>
      </c>
      <c r="B30" s="654" t="str">
        <f>+CONCATENATE("Vigencia ",INSTRUCCIONES!$F$3)</f>
        <v>Vigencia 2015</v>
      </c>
      <c r="C30" s="375">
        <f>+ENERO!C30</f>
        <v>24095828</v>
      </c>
      <c r="D30" s="376">
        <f>FEBRERO!D30+MARZO!P30</f>
        <v>0</v>
      </c>
      <c r="E30" s="376">
        <f>FEBRERO!E30+MARZO!Q30</f>
        <v>0</v>
      </c>
      <c r="F30" s="376">
        <f>SUM(C30:E30)</f>
        <v>24095828</v>
      </c>
      <c r="G30" s="376">
        <f>FEBRERO!I30</f>
        <v>0</v>
      </c>
      <c r="H30" s="377">
        <v>5410703</v>
      </c>
      <c r="I30" s="376">
        <f>SUM(G30:H30)</f>
        <v>5410703</v>
      </c>
      <c r="J30" s="376">
        <f>FEBRERO!L30</f>
        <v>0</v>
      </c>
      <c r="K30" s="377">
        <v>0</v>
      </c>
      <c r="L30" s="376">
        <f>SUM(J30:K30)</f>
        <v>0</v>
      </c>
      <c r="M30" s="376">
        <f>F30-I30</f>
        <v>18685125</v>
      </c>
      <c r="N30" s="146">
        <f>F30-L30</f>
        <v>24095828</v>
      </c>
      <c r="O30" s="9"/>
      <c r="P30" s="375">
        <v>0</v>
      </c>
      <c r="Q30" s="378">
        <v>0</v>
      </c>
      <c r="R30" s="9"/>
      <c r="S30" s="720" t="str">
        <f>+IF(FEBRERO!S30=0,"",FEBRERO!S30)</f>
        <v>1010104-12</v>
      </c>
      <c r="T30" s="738" t="str">
        <f>+IF(FEBRERO!T30=0,"",FEBRERO!T30)</f>
        <v xml:space="preserve"> Indemnizaciones por Vacaciones o Supresión de Cargos por Reestructuración</v>
      </c>
      <c r="U30" s="29">
        <f>+ENERO!U30</f>
        <v>0</v>
      </c>
      <c r="V30" s="15">
        <f>FEBRERO!V30+MARZO!AL30</f>
        <v>0</v>
      </c>
      <c r="W30" s="15">
        <f>FEBRERO!W30+MARZO!AM30</f>
        <v>0</v>
      </c>
      <c r="X30" s="18">
        <f t="shared" si="14"/>
        <v>0</v>
      </c>
      <c r="Y30" s="19">
        <f>FEBRERO!AA30</f>
        <v>0</v>
      </c>
      <c r="Z30" s="377">
        <v>0</v>
      </c>
      <c r="AA30" s="16">
        <f t="shared" si="15"/>
        <v>0</v>
      </c>
      <c r="AB30" s="19">
        <f>FEBRERO!AD30</f>
        <v>0</v>
      </c>
      <c r="AC30" s="377">
        <v>0</v>
      </c>
      <c r="AD30" s="16">
        <f t="shared" si="16"/>
        <v>0</v>
      </c>
      <c r="AE30" s="19">
        <f>FEBRERO!AG30</f>
        <v>0</v>
      </c>
      <c r="AF30" s="377">
        <v>0</v>
      </c>
      <c r="AG30" s="16">
        <f t="shared" si="17"/>
        <v>0</v>
      </c>
      <c r="AH30" s="19">
        <f t="shared" si="18"/>
        <v>0</v>
      </c>
      <c r="AI30" s="15">
        <f t="shared" si="19"/>
        <v>0</v>
      </c>
      <c r="AJ30" s="16">
        <f t="shared" si="20"/>
        <v>0</v>
      </c>
      <c r="AK30" s="9"/>
      <c r="AL30" s="375">
        <v>0</v>
      </c>
      <c r="AM30" s="378">
        <v>0</v>
      </c>
      <c r="AN30" s="9"/>
      <c r="AO30" s="373" t="s">
        <v>53</v>
      </c>
      <c r="AP30" s="441" t="s">
        <v>136</v>
      </c>
      <c r="AQ30" s="376">
        <f>X220+X232</f>
        <v>436000000</v>
      </c>
      <c r="AR30" s="376">
        <f>AD220+AD232</f>
        <v>0</v>
      </c>
      <c r="AS30" s="376">
        <f>AG220+AG232</f>
        <v>0</v>
      </c>
      <c r="AT30" s="434"/>
      <c r="AU30" s="376">
        <f t="shared" si="22"/>
        <v>0</v>
      </c>
      <c r="AV30" s="376">
        <f t="shared" si="23"/>
        <v>0</v>
      </c>
      <c r="AW30" s="376">
        <f>(AR30-AD225-AD230-AD241-AD256)/$AO$2*12+AD225+AD230+AD241+AD256</f>
        <v>0</v>
      </c>
      <c r="AX30" s="376">
        <f>(AS30-AG225-AG230-AG241-AG256)/$AO$2*12+AG225+AG230+AG241+AG256</f>
        <v>0</v>
      </c>
      <c r="AY30" s="376">
        <f t="shared" si="24"/>
        <v>436000000</v>
      </c>
      <c r="AZ30" s="146">
        <f t="shared" si="25"/>
        <v>436000000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+IF(FEBRERO!A31=0,"",FEBRERO!A31)</f>
        <v>1130103-1-2</v>
      </c>
      <c r="B31" s="654" t="str">
        <f>+IF(FEBRERO!B31=0,"",FEBRERO!B31)</f>
        <v>Vigencia Anterior</v>
      </c>
      <c r="C31" s="375">
        <f>+ENERO!C31</f>
        <v>0</v>
      </c>
      <c r="D31" s="376">
        <f>FEBRERO!D31+MARZO!P31</f>
        <v>0</v>
      </c>
      <c r="E31" s="376">
        <f>FEBRERO!E31+MARZO!Q31</f>
        <v>0</v>
      </c>
      <c r="F31" s="376">
        <f>SUM(C31:E31)</f>
        <v>0</v>
      </c>
      <c r="G31" s="376">
        <f>FEBRERO!I31</f>
        <v>0</v>
      </c>
      <c r="H31" s="377">
        <v>0</v>
      </c>
      <c r="I31" s="376">
        <f>SUM(G31:H31)</f>
        <v>0</v>
      </c>
      <c r="J31" s="376">
        <f>FEBRERO!L31</f>
        <v>0</v>
      </c>
      <c r="K31" s="377">
        <v>0</v>
      </c>
      <c r="L31" s="376">
        <f>SUM(J31:K31)</f>
        <v>0</v>
      </c>
      <c r="M31" s="376">
        <f>F31-I31</f>
        <v>0</v>
      </c>
      <c r="N31" s="146">
        <f>F31-L31</f>
        <v>0</v>
      </c>
      <c r="O31" s="385"/>
      <c r="P31" s="375">
        <v>0</v>
      </c>
      <c r="Q31" s="378">
        <v>0</v>
      </c>
      <c r="R31" s="9"/>
      <c r="S31" s="720" t="str">
        <f>+IF(FEBRERO!S31=0,"",FEBRERO!S31)</f>
        <v>1010104-13</v>
      </c>
      <c r="T31" s="738" t="str">
        <f>+IF(FEBRERO!T31=0,"",FEBRERO!T31)</f>
        <v>Bonificación Especial por Recreación</v>
      </c>
      <c r="U31" s="29">
        <f>+ENERO!U31</f>
        <v>1691144</v>
      </c>
      <c r="V31" s="15">
        <f>FEBRERO!V31+MARZO!AL31</f>
        <v>0</v>
      </c>
      <c r="W31" s="15">
        <f>FEBRERO!W31+MARZO!AM31</f>
        <v>0</v>
      </c>
      <c r="X31" s="18">
        <f t="shared" si="14"/>
        <v>1691144</v>
      </c>
      <c r="Y31" s="19">
        <f>FEBRERO!AA31</f>
        <v>0</v>
      </c>
      <c r="Z31" s="377">
        <v>0</v>
      </c>
      <c r="AA31" s="16">
        <f t="shared" si="15"/>
        <v>0</v>
      </c>
      <c r="AB31" s="19">
        <f>FEBRERO!AD31</f>
        <v>0</v>
      </c>
      <c r="AC31" s="377">
        <v>0</v>
      </c>
      <c r="AD31" s="16">
        <f t="shared" si="16"/>
        <v>0</v>
      </c>
      <c r="AE31" s="19">
        <f>FEBRERO!AG31</f>
        <v>0</v>
      </c>
      <c r="AF31" s="377">
        <v>0</v>
      </c>
      <c r="AG31" s="16">
        <f t="shared" si="17"/>
        <v>0</v>
      </c>
      <c r="AH31" s="19">
        <f t="shared" si="18"/>
        <v>1691144</v>
      </c>
      <c r="AI31" s="15">
        <f t="shared" si="19"/>
        <v>1691144</v>
      </c>
      <c r="AJ31" s="16">
        <f t="shared" si="20"/>
        <v>1691144</v>
      </c>
      <c r="AK31" s="9"/>
      <c r="AL31" s="375">
        <v>0</v>
      </c>
      <c r="AM31" s="378">
        <v>0</v>
      </c>
      <c r="AN31" s="9"/>
      <c r="AO31" s="352"/>
      <c r="AP31" s="418" t="s">
        <v>139</v>
      </c>
      <c r="AQ31" s="434">
        <f>X258</f>
        <v>0</v>
      </c>
      <c r="AR31" s="434">
        <f>AD258</f>
        <v>-387008077</v>
      </c>
      <c r="AS31" s="434">
        <f>AG258</f>
        <v>-639464196</v>
      </c>
      <c r="AT31" s="434"/>
      <c r="AU31" s="376" t="str">
        <f t="shared" si="22"/>
        <v xml:space="preserve"> </v>
      </c>
      <c r="AV31" s="376" t="str">
        <f t="shared" si="23"/>
        <v xml:space="preserve"> </v>
      </c>
      <c r="AW31" s="376">
        <f>AQ31</f>
        <v>0</v>
      </c>
      <c r="AX31" s="376">
        <f>AQ31</f>
        <v>0</v>
      </c>
      <c r="AY31" s="376">
        <f t="shared" si="24"/>
        <v>0</v>
      </c>
      <c r="AZ31" s="146">
        <f t="shared" si="25"/>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340490276</v>
      </c>
      <c r="BP31" s="107">
        <f>AD33+AD41+AD55+AD61+AD81+AD88+AD102+AD108+AD121+AD139+AD143+AD153+AD168+AD174+AD183+AD191+AD205+AD218+AD230+AD241+AD256+AD225</f>
        <v>342364056</v>
      </c>
      <c r="BQ31" s="108">
        <f>AF33+AF41+AF55+AF61+AF81+AF88+AF102+AF108+AF121+AF139+AF143+AF153+AF168+AF174+AF183+AF191+AF205+AF218+AF230+AF241+AF256+AF225</f>
        <v>28355553</v>
      </c>
      <c r="BR31" s="9"/>
    </row>
    <row r="32" spans="1:70" s="9" customFormat="1" ht="24.95" customHeight="1" thickBot="1" x14ac:dyDescent="0.3">
      <c r="A32" s="618" t="str">
        <f>+IF(FEBRERO!A32=0,"",FEBRERO!A32)</f>
        <v>1130103-2</v>
      </c>
      <c r="B32" s="655" t="str">
        <f>+IF(FEBRERO!B32=0,"",FEBRERO!B32)</f>
        <v>Prestación de Servicios de salud  2o. Nivel</v>
      </c>
      <c r="C32" s="19">
        <f t="shared" ref="C32:N32" si="29">SUM(C33:C34)</f>
        <v>0</v>
      </c>
      <c r="D32" s="15">
        <f t="shared" si="29"/>
        <v>0</v>
      </c>
      <c r="E32" s="15">
        <f t="shared" si="29"/>
        <v>0</v>
      </c>
      <c r="F32" s="15">
        <f t="shared" si="29"/>
        <v>0</v>
      </c>
      <c r="G32" s="15">
        <f t="shared" si="29"/>
        <v>0</v>
      </c>
      <c r="H32" s="15">
        <f t="shared" si="29"/>
        <v>0</v>
      </c>
      <c r="I32" s="15">
        <f t="shared" si="29"/>
        <v>0</v>
      </c>
      <c r="J32" s="15">
        <f t="shared" si="29"/>
        <v>0</v>
      </c>
      <c r="K32" s="15">
        <f t="shared" si="29"/>
        <v>0</v>
      </c>
      <c r="L32" s="15">
        <f t="shared" si="29"/>
        <v>0</v>
      </c>
      <c r="M32" s="15">
        <f t="shared" si="29"/>
        <v>0</v>
      </c>
      <c r="N32" s="16">
        <f t="shared" si="29"/>
        <v>0</v>
      </c>
      <c r="O32" s="385"/>
      <c r="P32" s="147">
        <f>SUM(P33:P34)</f>
        <v>0</v>
      </c>
      <c r="Q32" s="148">
        <f>SUM(Q33:Q34)</f>
        <v>0</v>
      </c>
      <c r="S32" s="720" t="str">
        <f>+IF(FEBRERO!S32=0,"",FEBRERO!S32)</f>
        <v>1010104-14</v>
      </c>
      <c r="T32" s="738" t="str">
        <f>+IF(FEBRERO!T32=0,"",FEBRERO!T32)</f>
        <v/>
      </c>
      <c r="U32" s="29">
        <f>+ENERO!U32</f>
        <v>0</v>
      </c>
      <c r="V32" s="15">
        <f>FEBRERO!V32+MARZO!AL32</f>
        <v>0</v>
      </c>
      <c r="W32" s="15">
        <f>FEBRERO!W32+MARZO!AM32</f>
        <v>0</v>
      </c>
      <c r="X32" s="18">
        <f t="shared" si="14"/>
        <v>0</v>
      </c>
      <c r="Y32" s="19">
        <f>FEBRERO!AA32</f>
        <v>0</v>
      </c>
      <c r="Z32" s="377">
        <v>0</v>
      </c>
      <c r="AA32" s="16">
        <f t="shared" si="15"/>
        <v>0</v>
      </c>
      <c r="AB32" s="19">
        <f>FEBRERO!AD32</f>
        <v>0</v>
      </c>
      <c r="AC32" s="377">
        <v>0</v>
      </c>
      <c r="AD32" s="16">
        <f t="shared" si="16"/>
        <v>0</v>
      </c>
      <c r="AE32" s="19">
        <f>FEBRERO!AG32</f>
        <v>0</v>
      </c>
      <c r="AF32" s="377">
        <v>0</v>
      </c>
      <c r="AG32" s="16">
        <f t="shared" si="17"/>
        <v>0</v>
      </c>
      <c r="AH32" s="19">
        <f t="shared" si="18"/>
        <v>0</v>
      </c>
      <c r="AI32" s="15">
        <f t="shared" si="19"/>
        <v>0</v>
      </c>
      <c r="AJ32" s="16">
        <f t="shared" si="20"/>
        <v>0</v>
      </c>
      <c r="AL32" s="375">
        <v>0</v>
      </c>
      <c r="AM32" s="378">
        <v>0</v>
      </c>
      <c r="AO32" s="21"/>
      <c r="AP32" s="443" t="s">
        <v>144</v>
      </c>
      <c r="AQ32" s="398">
        <f>SUM(AQ22:AQ31)</f>
        <v>3788710176</v>
      </c>
      <c r="AR32" s="398">
        <f>SUM(AR22:AR31)</f>
        <v>639464196</v>
      </c>
      <c r="AS32" s="398">
        <f>SUM(AS22:AS31)</f>
        <v>0</v>
      </c>
      <c r="AT32" s="444"/>
      <c r="AU32" s="445">
        <f t="shared" si="22"/>
        <v>0.16878150248883012</v>
      </c>
      <c r="AV32" s="445">
        <f t="shared" si="23"/>
        <v>0</v>
      </c>
      <c r="AW32" s="354">
        <f>SUM(AW22:AW31)</f>
        <v>3240449880.166667</v>
      </c>
      <c r="AX32" s="354">
        <f>SUM(AX22:AX31)</f>
        <v>2065342019.1666667</v>
      </c>
      <c r="AY32" s="354">
        <f>SUM(AY22:AY31)</f>
        <v>548260295.83333325</v>
      </c>
      <c r="AZ32" s="355">
        <f>SUM(AZ22:AZ31)</f>
        <v>1723368156.8333333</v>
      </c>
      <c r="BA32" s="385"/>
      <c r="BB32" s="425"/>
      <c r="BC32" s="425"/>
      <c r="BD32" s="425"/>
      <c r="BE32" s="425"/>
      <c r="BF32" s="425"/>
      <c r="BG32" s="385"/>
      <c r="BH32" s="385"/>
      <c r="BI32" s="385"/>
      <c r="BJ32" s="385"/>
      <c r="BK32" s="385"/>
      <c r="BM32" s="110" t="s">
        <v>140</v>
      </c>
      <c r="BN32" s="106">
        <f>+BN7+BN25+BN29+BN30+BN31</f>
        <v>3788710176</v>
      </c>
      <c r="BO32" s="107">
        <f>+BO7+BO25+BO29+BO30+BO31</f>
        <v>1330908763</v>
      </c>
      <c r="BP32" s="107">
        <f>+BP7+BP25+BP29+BP30+BP31</f>
        <v>1026472273</v>
      </c>
      <c r="BQ32" s="108">
        <f>+BQ7+BQ25+BQ29+BQ30+BQ31</f>
        <v>195735141</v>
      </c>
      <c r="BR32" s="385"/>
    </row>
    <row r="33" spans="1:70" s="425" customFormat="1" ht="24.95" customHeight="1" thickBot="1" x14ac:dyDescent="0.3">
      <c r="A33" s="618" t="str">
        <f>+IF(FEBRERO!A33=0,"",FEBRERO!A33)</f>
        <v>1130103-2-1</v>
      </c>
      <c r="B33" s="654" t="str">
        <f>+CONCATENATE("Vigencia ",INSTRUCCIONES!$F$3)</f>
        <v>Vigencia 2015</v>
      </c>
      <c r="C33" s="375">
        <f>+ENERO!C33</f>
        <v>0</v>
      </c>
      <c r="D33" s="376">
        <f>FEBRERO!D33+MARZO!P33</f>
        <v>0</v>
      </c>
      <c r="E33" s="376">
        <f>FEBRERO!E33+MARZO!Q33</f>
        <v>0</v>
      </c>
      <c r="F33" s="376">
        <f>SUM(C33:E33)</f>
        <v>0</v>
      </c>
      <c r="G33" s="376">
        <f>FEBRERO!I33</f>
        <v>0</v>
      </c>
      <c r="H33" s="377">
        <v>0</v>
      </c>
      <c r="I33" s="376">
        <f>SUM(G33:H33)</f>
        <v>0</v>
      </c>
      <c r="J33" s="376">
        <f>FEBRERO!L33</f>
        <v>0</v>
      </c>
      <c r="K33" s="377">
        <v>0</v>
      </c>
      <c r="L33" s="376">
        <f>SUM(J33:K33)</f>
        <v>0</v>
      </c>
      <c r="M33" s="376">
        <f>F33-I33</f>
        <v>0</v>
      </c>
      <c r="N33" s="146">
        <f>F33-L33</f>
        <v>0</v>
      </c>
      <c r="O33" s="9"/>
      <c r="P33" s="375">
        <v>0</v>
      </c>
      <c r="Q33" s="378">
        <v>0</v>
      </c>
      <c r="R33" s="9"/>
      <c r="S33" s="719">
        <f>+IF(FEBRERO!S33=0,"",FEBRERO!S33)</f>
        <v>1010199</v>
      </c>
      <c r="T33" s="737" t="str">
        <f>+IF(FEBRERO!T33=0,"",FEBRERO!T33)</f>
        <v>Vigencias Anteriores</v>
      </c>
      <c r="U33" s="29">
        <f>+ENERO!U33</f>
        <v>0</v>
      </c>
      <c r="V33" s="15">
        <f>FEBRERO!V33+MARZO!AL33</f>
        <v>0</v>
      </c>
      <c r="W33" s="15">
        <f>FEBRERO!W33+MARZO!AM33</f>
        <v>2702630</v>
      </c>
      <c r="X33" s="18">
        <f t="shared" si="14"/>
        <v>2702630</v>
      </c>
      <c r="Y33" s="19">
        <f>FEBRERO!AA33</f>
        <v>2702630</v>
      </c>
      <c r="Z33" s="377">
        <v>0</v>
      </c>
      <c r="AA33" s="16">
        <f t="shared" si="15"/>
        <v>2702630</v>
      </c>
      <c r="AB33" s="19">
        <f>FEBRERO!AD33</f>
        <v>2702630</v>
      </c>
      <c r="AC33" s="377">
        <v>0</v>
      </c>
      <c r="AD33" s="16">
        <f t="shared" si="16"/>
        <v>2702630</v>
      </c>
      <c r="AE33" s="19">
        <f>FEBRERO!AG33</f>
        <v>1950785</v>
      </c>
      <c r="AF33" s="377">
        <v>9494</v>
      </c>
      <c r="AG33" s="16">
        <f t="shared" si="17"/>
        <v>1960279</v>
      </c>
      <c r="AH33" s="19">
        <f t="shared" si="18"/>
        <v>0</v>
      </c>
      <c r="AI33" s="15">
        <f t="shared" si="19"/>
        <v>0</v>
      </c>
      <c r="AJ33" s="16">
        <f t="shared" si="20"/>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-255178208</v>
      </c>
      <c r="BP33" s="113">
        <f>AD258</f>
        <v>-387008077</v>
      </c>
      <c r="BQ33" s="114">
        <f>AF258</f>
        <v>2953510839</v>
      </c>
      <c r="BR33" s="385"/>
    </row>
    <row r="34" spans="1:70" s="425" customFormat="1" ht="24.95" customHeight="1" thickBot="1" x14ac:dyDescent="0.25">
      <c r="A34" s="618" t="str">
        <f>+IF(FEBRERO!A34=0,"",FEBRERO!A34)</f>
        <v>1130103-2-2</v>
      </c>
      <c r="B34" s="654" t="str">
        <f>+IF(FEBRERO!B34=0,"",FEBRERO!B34)</f>
        <v>Vigencia Anterior</v>
      </c>
      <c r="C34" s="375">
        <f>+ENERO!C34</f>
        <v>0</v>
      </c>
      <c r="D34" s="376">
        <f>FEBRERO!D34+MARZO!P34</f>
        <v>0</v>
      </c>
      <c r="E34" s="376">
        <f>FEBRERO!E34+MARZO!Q34</f>
        <v>0</v>
      </c>
      <c r="F34" s="376">
        <f>SUM(C34:E34)</f>
        <v>0</v>
      </c>
      <c r="G34" s="376">
        <f>FEBRERO!I34</f>
        <v>0</v>
      </c>
      <c r="H34" s="377">
        <v>0</v>
      </c>
      <c r="I34" s="376">
        <f>SUM(G34:H34)</f>
        <v>0</v>
      </c>
      <c r="J34" s="376">
        <f>FEBRERO!L34</f>
        <v>0</v>
      </c>
      <c r="K34" s="377">
        <v>0</v>
      </c>
      <c r="L34" s="376">
        <f>SUM(J34:K34)</f>
        <v>0</v>
      </c>
      <c r="M34" s="376">
        <f>F34-I34</f>
        <v>0</v>
      </c>
      <c r="N34" s="146">
        <f>F34-L34</f>
        <v>0</v>
      </c>
      <c r="O34" s="385"/>
      <c r="P34" s="375">
        <v>0</v>
      </c>
      <c r="Q34" s="378">
        <v>0</v>
      </c>
      <c r="R34" s="9"/>
      <c r="S34" s="369" t="str">
        <f>+IF(FEBRERO!S34=0,"",FEBRERO!S34)</f>
        <v/>
      </c>
      <c r="T34" s="708" t="str">
        <f>+IF(FEBRERO!T34=0,"",FEBRERO!T34)</f>
        <v/>
      </c>
      <c r="U34" s="370"/>
      <c r="V34" s="164"/>
      <c r="W34" s="164"/>
      <c r="X34" s="164"/>
      <c r="Y34" s="370"/>
      <c r="Z34" s="164"/>
      <c r="AA34" s="169"/>
      <c r="AB34" s="370"/>
      <c r="AC34" s="164"/>
      <c r="AD34" s="169"/>
      <c r="AE34" s="370"/>
      <c r="AF34" s="164"/>
      <c r="AG34" s="169"/>
      <c r="AH34" s="370"/>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+IF(FEBRERO!A35=0,"",FEBRERO!A35)</f>
        <v>1130103-3</v>
      </c>
      <c r="B35" s="655" t="str">
        <f>+IF(FEBRERO!B35=0,"",FEBRERO!B35)</f>
        <v>Prestación de Servicios de salud  3o. Nivel</v>
      </c>
      <c r="C35" s="19">
        <f t="shared" ref="C35:N35" si="30">SUM(C36:C37)</f>
        <v>0</v>
      </c>
      <c r="D35" s="15">
        <f t="shared" si="30"/>
        <v>0</v>
      </c>
      <c r="E35" s="15">
        <f t="shared" si="30"/>
        <v>0</v>
      </c>
      <c r="F35" s="15">
        <f t="shared" si="30"/>
        <v>0</v>
      </c>
      <c r="G35" s="15">
        <f t="shared" si="30"/>
        <v>0</v>
      </c>
      <c r="H35" s="15">
        <f t="shared" si="30"/>
        <v>0</v>
      </c>
      <c r="I35" s="15">
        <f t="shared" si="30"/>
        <v>0</v>
      </c>
      <c r="J35" s="15">
        <f t="shared" si="30"/>
        <v>0</v>
      </c>
      <c r="K35" s="15">
        <f t="shared" si="30"/>
        <v>0</v>
      </c>
      <c r="L35" s="15">
        <f t="shared" si="30"/>
        <v>0</v>
      </c>
      <c r="M35" s="15">
        <f t="shared" si="30"/>
        <v>0</v>
      </c>
      <c r="N35" s="16">
        <f t="shared" si="30"/>
        <v>0</v>
      </c>
      <c r="P35" s="147">
        <f>SUM(P36:P37)</f>
        <v>0</v>
      </c>
      <c r="Q35" s="148">
        <f>SUM(Q36:Q37)</f>
        <v>0</v>
      </c>
      <c r="R35" s="9"/>
      <c r="S35" s="718">
        <f>+IF(FEBRERO!S35=0,"",FEBRERO!S35)</f>
        <v>1010200</v>
      </c>
      <c r="T35" s="736" t="str">
        <f>+IF(FEBRERO!T35=0,"",FEBRERO!T35)</f>
        <v>Servicios Personales Indirectos</v>
      </c>
      <c r="U35" s="131">
        <f t="shared" ref="U35:AJ35" si="31">SUM(U36:U41)</f>
        <v>215072393</v>
      </c>
      <c r="V35" s="124">
        <f t="shared" si="31"/>
        <v>0</v>
      </c>
      <c r="W35" s="124">
        <f t="shared" si="31"/>
        <v>27070478</v>
      </c>
      <c r="X35" s="132">
        <f t="shared" si="31"/>
        <v>242142871</v>
      </c>
      <c r="Y35" s="131">
        <f t="shared" si="31"/>
        <v>176670978</v>
      </c>
      <c r="Z35" s="124">
        <f t="shared" si="31"/>
        <v>0</v>
      </c>
      <c r="AA35" s="133">
        <f t="shared" si="31"/>
        <v>176670978</v>
      </c>
      <c r="AB35" s="131">
        <f t="shared" si="31"/>
        <v>39190978</v>
      </c>
      <c r="AC35" s="124">
        <f t="shared" si="31"/>
        <v>15386300</v>
      </c>
      <c r="AD35" s="133">
        <f t="shared" si="31"/>
        <v>54577278</v>
      </c>
      <c r="AE35" s="131">
        <f t="shared" si="31"/>
        <v>18349624</v>
      </c>
      <c r="AF35" s="124">
        <f t="shared" si="31"/>
        <v>11130500</v>
      </c>
      <c r="AG35" s="133">
        <f t="shared" si="31"/>
        <v>29480124</v>
      </c>
      <c r="AH35" s="131">
        <f t="shared" si="31"/>
        <v>65471893</v>
      </c>
      <c r="AI35" s="124">
        <f t="shared" si="31"/>
        <v>187565593</v>
      </c>
      <c r="AJ35" s="133">
        <f t="shared" si="31"/>
        <v>212662747</v>
      </c>
      <c r="AK35" s="9"/>
      <c r="AL35" s="131">
        <f>SUM(AL36:AL41)</f>
        <v>0</v>
      </c>
      <c r="AM35" s="133">
        <f>SUM(AM36:AM41)</f>
        <v>0</v>
      </c>
      <c r="AN35" s="9"/>
      <c r="AO35" s="352"/>
      <c r="AP35" s="453"/>
      <c r="AQ35" s="295"/>
      <c r="AR35" s="454"/>
      <c r="AS35" s="454"/>
      <c r="AT35" s="454"/>
      <c r="AU35" s="455">
        <f>AR17-AR32</f>
        <v>408170227</v>
      </c>
      <c r="AV35" s="456">
        <f>AS17-AR32</f>
        <v>-28096132</v>
      </c>
      <c r="AW35" s="456" t="s">
        <v>158</v>
      </c>
      <c r="AX35" s="457"/>
      <c r="AY35" s="456">
        <f>AY17+AY32</f>
        <v>-140842635.16666675</v>
      </c>
      <c r="AZ35" s="458">
        <f>AZ17+AY32</f>
        <v>-1827712590.1666667</v>
      </c>
      <c r="BB35" s="425"/>
      <c r="BC35" s="425"/>
      <c r="BD35" s="425"/>
      <c r="BE35" s="425"/>
      <c r="BF35" s="425"/>
    </row>
    <row r="36" spans="1:70" s="385" customFormat="1" ht="24.95" customHeight="1" thickBot="1" x14ac:dyDescent="0.25">
      <c r="A36" s="618" t="str">
        <f>+IF(FEBRERO!A36=0,"",FEBRERO!A36)</f>
        <v>1130103-3-1</v>
      </c>
      <c r="B36" s="654" t="str">
        <f>+CONCATENATE("Vigencia ",INSTRUCCIONES!$F$3)</f>
        <v>Vigencia 2015</v>
      </c>
      <c r="C36" s="375">
        <f>+ENERO!C36</f>
        <v>0</v>
      </c>
      <c r="D36" s="376">
        <f>FEBRERO!D36+MARZO!P36</f>
        <v>0</v>
      </c>
      <c r="E36" s="376">
        <f>FEBRERO!E36+MARZO!Q36</f>
        <v>0</v>
      </c>
      <c r="F36" s="376">
        <f t="shared" ref="F36:F41" si="32">SUM(C36:E36)</f>
        <v>0</v>
      </c>
      <c r="G36" s="376">
        <f>FEBRERO!I36</f>
        <v>0</v>
      </c>
      <c r="H36" s="377">
        <v>0</v>
      </c>
      <c r="I36" s="376">
        <f t="shared" ref="I36:I41" si="33">SUM(G36:H36)</f>
        <v>0</v>
      </c>
      <c r="J36" s="376">
        <f>FEBRERO!L36</f>
        <v>0</v>
      </c>
      <c r="K36" s="377">
        <v>0</v>
      </c>
      <c r="L36" s="376">
        <f t="shared" ref="L36:L41" si="34">SUM(J36:K36)</f>
        <v>0</v>
      </c>
      <c r="M36" s="376">
        <f t="shared" ref="M36:M41" si="35">F36-I36</f>
        <v>0</v>
      </c>
      <c r="N36" s="146">
        <f t="shared" ref="N36:N41" si="36">F36-L36</f>
        <v>0</v>
      </c>
      <c r="O36" s="9"/>
      <c r="P36" s="375">
        <v>0</v>
      </c>
      <c r="Q36" s="378">
        <v>0</v>
      </c>
      <c r="R36" s="9"/>
      <c r="S36" s="719" t="str">
        <f>+IF(FEBRERO!S36=0,"",FEBRERO!S36)</f>
        <v>1010200-1</v>
      </c>
      <c r="T36" s="737" t="str">
        <f>+IF(FEBRERO!T36=0,"",FEBRERO!T36)</f>
        <v>Remuneración y Honorarios por Servicios Técnicos y Profesionales</v>
      </c>
      <c r="U36" s="29">
        <f>+ENERO!U36</f>
        <v>213224393</v>
      </c>
      <c r="V36" s="15">
        <f>FEBRERO!V36+MARZO!AL36</f>
        <v>0</v>
      </c>
      <c r="W36" s="15">
        <f>FEBRERO!W36+MARZO!AM36</f>
        <v>0</v>
      </c>
      <c r="X36" s="18">
        <f t="shared" ref="X36:X41" si="37">SUM(U36:W36)</f>
        <v>213224393</v>
      </c>
      <c r="Y36" s="19">
        <f>FEBRERO!AA36</f>
        <v>149600500</v>
      </c>
      <c r="Z36" s="377">
        <v>0</v>
      </c>
      <c r="AA36" s="16">
        <f t="shared" ref="AA36:AA41" si="38">SUM(Y36:Z36)</f>
        <v>149600500</v>
      </c>
      <c r="AB36" s="19">
        <f>FEBRERO!AD36</f>
        <v>12120500</v>
      </c>
      <c r="AC36" s="377">
        <v>15386300</v>
      </c>
      <c r="AD36" s="16">
        <f t="shared" ref="AD36:AD41" si="39">SUM(AB36:AC36)</f>
        <v>27506800</v>
      </c>
      <c r="AE36" s="19">
        <f>FEBRERO!AG36</f>
        <v>5540000</v>
      </c>
      <c r="AF36" s="377">
        <v>8100000</v>
      </c>
      <c r="AG36" s="16">
        <f t="shared" ref="AG36:AG41" si="40">SUM(AE36:AF36)</f>
        <v>13640000</v>
      </c>
      <c r="AH36" s="19">
        <f t="shared" ref="AH36:AH41" si="41">X36-AA36</f>
        <v>63623893</v>
      </c>
      <c r="AI36" s="15">
        <f t="shared" ref="AI36:AI41" si="42">X36-AD36</f>
        <v>185717593</v>
      </c>
      <c r="AJ36" s="16">
        <f t="shared" ref="AJ36:AJ41" si="43">X36-AG36</f>
        <v>199584393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+IF(FEBRERO!A37=0,"",FEBRERO!A37)</f>
        <v>1130103-3-2</v>
      </c>
      <c r="B37" s="654" t="str">
        <f>+IF(FEBRERO!B37=0,"",FEBRERO!B37)</f>
        <v>Vigencia Anterior</v>
      </c>
      <c r="C37" s="375">
        <f>+ENERO!C37</f>
        <v>0</v>
      </c>
      <c r="D37" s="376">
        <f>FEBRERO!D37+MARZO!P37</f>
        <v>0</v>
      </c>
      <c r="E37" s="376">
        <f>FEBRERO!E37+MARZO!Q37</f>
        <v>0</v>
      </c>
      <c r="F37" s="376">
        <f t="shared" si="32"/>
        <v>0</v>
      </c>
      <c r="G37" s="376">
        <f>FEBRERO!I37</f>
        <v>0</v>
      </c>
      <c r="H37" s="377">
        <v>0</v>
      </c>
      <c r="I37" s="376">
        <f t="shared" si="33"/>
        <v>0</v>
      </c>
      <c r="J37" s="376">
        <f>FEBRERO!L37</f>
        <v>0</v>
      </c>
      <c r="K37" s="377">
        <v>0</v>
      </c>
      <c r="L37" s="376">
        <f t="shared" si="34"/>
        <v>0</v>
      </c>
      <c r="M37" s="376">
        <f t="shared" si="35"/>
        <v>0</v>
      </c>
      <c r="N37" s="146">
        <f t="shared" si="36"/>
        <v>0</v>
      </c>
      <c r="P37" s="375">
        <v>0</v>
      </c>
      <c r="Q37" s="378">
        <v>0</v>
      </c>
      <c r="R37" s="9"/>
      <c r="S37" s="719" t="str">
        <f>+IF(FEBRERO!S37=0,"",FEBRERO!S37)</f>
        <v>1010200-2</v>
      </c>
      <c r="T37" s="737" t="str">
        <f>+IF(FEBRERO!T37=0,"",FEBRERO!T37)</f>
        <v>Personal Supernumerario</v>
      </c>
      <c r="U37" s="29">
        <f>+ENERO!U37</f>
        <v>0</v>
      </c>
      <c r="V37" s="15">
        <f>FEBRERO!V37+MARZO!AL37</f>
        <v>0</v>
      </c>
      <c r="W37" s="15">
        <f>FEBRERO!W37+MARZO!AM37</f>
        <v>0</v>
      </c>
      <c r="X37" s="18">
        <f t="shared" si="37"/>
        <v>0</v>
      </c>
      <c r="Y37" s="19">
        <f>FEBRERO!AA37</f>
        <v>0</v>
      </c>
      <c r="Z37" s="377">
        <v>0</v>
      </c>
      <c r="AA37" s="16">
        <f t="shared" si="38"/>
        <v>0</v>
      </c>
      <c r="AB37" s="19">
        <f>FEBRERO!AD37</f>
        <v>0</v>
      </c>
      <c r="AC37" s="377">
        <v>0</v>
      </c>
      <c r="AD37" s="16">
        <f t="shared" si="39"/>
        <v>0</v>
      </c>
      <c r="AE37" s="19">
        <f>FEBRERO!AG37</f>
        <v>0</v>
      </c>
      <c r="AF37" s="377">
        <v>0</v>
      </c>
      <c r="AG37" s="16">
        <f t="shared" si="40"/>
        <v>0</v>
      </c>
      <c r="AH37" s="19">
        <f t="shared" si="41"/>
        <v>0</v>
      </c>
      <c r="AI37" s="15">
        <f t="shared" si="42"/>
        <v>0</v>
      </c>
      <c r="AJ37" s="16">
        <f t="shared" si="43"/>
        <v>0</v>
      </c>
      <c r="AK37" s="9"/>
      <c r="AL37" s="375">
        <v>0</v>
      </c>
      <c r="AM37" s="378">
        <v>0</v>
      </c>
      <c r="AN37" s="9"/>
      <c r="AO37" s="24" t="s">
        <v>161</v>
      </c>
    </row>
    <row r="38" spans="1:70" s="385" customFormat="1" ht="24.95" customHeight="1" x14ac:dyDescent="0.2">
      <c r="A38" s="749" t="str">
        <f>+IF(FEBRERO!A38=0,"",FEBRERO!A38)</f>
        <v>1130103-4</v>
      </c>
      <c r="B38" s="656" t="str">
        <f>+IF(FEBRERO!B38=0,"",FEBRERO!B38)</f>
        <v xml:space="preserve"> Aportes Patronales  1o. Nivel</v>
      </c>
      <c r="C38" s="375">
        <f>+ENERO!C38</f>
        <v>326631000</v>
      </c>
      <c r="D38" s="376">
        <f>FEBRERO!D38+MARZO!P38</f>
        <v>0</v>
      </c>
      <c r="E38" s="376">
        <f>FEBRERO!E38+MARZO!Q38</f>
        <v>0</v>
      </c>
      <c r="F38" s="376">
        <f t="shared" si="32"/>
        <v>326631000</v>
      </c>
      <c r="G38" s="376">
        <f>FEBRERO!I38</f>
        <v>49631294</v>
      </c>
      <c r="H38" s="377">
        <v>24815647</v>
      </c>
      <c r="I38" s="376">
        <f t="shared" si="33"/>
        <v>74446941</v>
      </c>
      <c r="J38" s="376">
        <f>FEBRERO!L38</f>
        <v>49631294</v>
      </c>
      <c r="K38" s="377">
        <v>24815647</v>
      </c>
      <c r="L38" s="376">
        <f t="shared" si="34"/>
        <v>74446941</v>
      </c>
      <c r="M38" s="376">
        <f t="shared" si="35"/>
        <v>252184059</v>
      </c>
      <c r="N38" s="146">
        <f t="shared" si="36"/>
        <v>252184059</v>
      </c>
      <c r="O38" s="533"/>
      <c r="P38" s="375">
        <v>0</v>
      </c>
      <c r="Q38" s="378">
        <v>0</v>
      </c>
      <c r="R38" s="9"/>
      <c r="S38" s="719" t="str">
        <f>+IF(FEBRERO!S38=0,"",FEBRERO!S38)</f>
        <v>1010200-3</v>
      </c>
      <c r="T38" s="737" t="str">
        <f>+IF(FEBRERO!T38=0,"",FEBRERO!T38)</f>
        <v>Honorarios de la Junta Directiva</v>
      </c>
      <c r="U38" s="29">
        <f>+ENERO!U38</f>
        <v>1848000</v>
      </c>
      <c r="V38" s="15">
        <f>FEBRERO!V38+MARZO!AL38</f>
        <v>0</v>
      </c>
      <c r="W38" s="15">
        <f>FEBRERO!W38+MARZO!AM38</f>
        <v>0</v>
      </c>
      <c r="X38" s="18">
        <f t="shared" si="37"/>
        <v>1848000</v>
      </c>
      <c r="Y38" s="19">
        <f>FEBRERO!AA38</f>
        <v>0</v>
      </c>
      <c r="Z38" s="377">
        <v>0</v>
      </c>
      <c r="AA38" s="16">
        <f t="shared" si="38"/>
        <v>0</v>
      </c>
      <c r="AB38" s="19">
        <f>FEBRERO!AD38</f>
        <v>0</v>
      </c>
      <c r="AC38" s="377">
        <v>0</v>
      </c>
      <c r="AD38" s="16">
        <f t="shared" si="39"/>
        <v>0</v>
      </c>
      <c r="AE38" s="19">
        <f>FEBRERO!AG38</f>
        <v>0</v>
      </c>
      <c r="AF38" s="377">
        <v>0</v>
      </c>
      <c r="AG38" s="16">
        <f t="shared" si="40"/>
        <v>0</v>
      </c>
      <c r="AH38" s="19">
        <f t="shared" si="41"/>
        <v>1848000</v>
      </c>
      <c r="AI38" s="15">
        <f t="shared" si="42"/>
        <v>1848000</v>
      </c>
      <c r="AJ38" s="16">
        <f t="shared" si="43"/>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+IF(FEBRERO!A39=0,"",FEBRERO!A39)</f>
        <v>1130103-5</v>
      </c>
      <c r="B39" s="656" t="str">
        <f>+IF(FEBRERO!B39=0,"",FEBRERO!B39)</f>
        <v xml:space="preserve"> Aportes Patronales  2o. Nivel</v>
      </c>
      <c r="C39" s="375">
        <f>+ENERO!C39</f>
        <v>0</v>
      </c>
      <c r="D39" s="376">
        <f>FEBRERO!D39+MARZO!P39</f>
        <v>0</v>
      </c>
      <c r="E39" s="376">
        <f>FEBRERO!E39+MARZO!Q39</f>
        <v>0</v>
      </c>
      <c r="F39" s="376">
        <f t="shared" si="32"/>
        <v>0</v>
      </c>
      <c r="G39" s="376">
        <f>FEBRERO!I39</f>
        <v>0</v>
      </c>
      <c r="H39" s="377">
        <v>0</v>
      </c>
      <c r="I39" s="376">
        <f t="shared" si="33"/>
        <v>0</v>
      </c>
      <c r="J39" s="376">
        <f>FEBRERO!L39</f>
        <v>0</v>
      </c>
      <c r="K39" s="377">
        <v>0</v>
      </c>
      <c r="L39" s="376">
        <f t="shared" si="34"/>
        <v>0</v>
      </c>
      <c r="M39" s="376">
        <f t="shared" si="35"/>
        <v>0</v>
      </c>
      <c r="N39" s="146">
        <f t="shared" si="36"/>
        <v>0</v>
      </c>
      <c r="O39" s="533"/>
      <c r="P39" s="375">
        <v>0</v>
      </c>
      <c r="Q39" s="378">
        <v>0</v>
      </c>
      <c r="R39" s="9"/>
      <c r="S39" s="719" t="str">
        <f>+IF(FEBRERO!S39=0,"",FEBRERO!S39)</f>
        <v>1010200-4</v>
      </c>
      <c r="T39" s="737" t="str">
        <f>+IF(FEBRERO!T39=0,"",FEBRERO!T39)</f>
        <v>Otros Honorarios (Servicios de Cooperativa)</v>
      </c>
      <c r="U39" s="29">
        <f>+ENERO!U39</f>
        <v>0</v>
      </c>
      <c r="V39" s="15">
        <f>FEBRERO!V39+MARZO!AL39</f>
        <v>0</v>
      </c>
      <c r="W39" s="15">
        <f>FEBRERO!W39+MARZO!AM39</f>
        <v>0</v>
      </c>
      <c r="X39" s="18">
        <f t="shared" si="37"/>
        <v>0</v>
      </c>
      <c r="Y39" s="19">
        <f>FEBRERO!AA39</f>
        <v>0</v>
      </c>
      <c r="Z39" s="377">
        <v>0</v>
      </c>
      <c r="AA39" s="16">
        <f t="shared" si="38"/>
        <v>0</v>
      </c>
      <c r="AB39" s="19">
        <f>FEBRERO!AD39</f>
        <v>0</v>
      </c>
      <c r="AC39" s="377">
        <v>0</v>
      </c>
      <c r="AD39" s="16">
        <f t="shared" si="39"/>
        <v>0</v>
      </c>
      <c r="AE39" s="19">
        <f>FEBRERO!AG39</f>
        <v>0</v>
      </c>
      <c r="AF39" s="377">
        <v>0</v>
      </c>
      <c r="AG39" s="16">
        <f t="shared" si="40"/>
        <v>0</v>
      </c>
      <c r="AH39" s="19">
        <f t="shared" si="41"/>
        <v>0</v>
      </c>
      <c r="AI39" s="15">
        <f t="shared" si="42"/>
        <v>0</v>
      </c>
      <c r="AJ39" s="16">
        <f t="shared" si="43"/>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+IF(FEBRERO!A40=0,"",FEBRERO!A40)</f>
        <v>1130103-6</v>
      </c>
      <c r="B40" s="656" t="str">
        <f>+IF(FEBRERO!B40=0,"",FEBRERO!B40)</f>
        <v xml:space="preserve"> Aportes Patronales  3er. Nivel</v>
      </c>
      <c r="C40" s="375">
        <f>+ENERO!C40</f>
        <v>0</v>
      </c>
      <c r="D40" s="376">
        <f>FEBRERO!D40+MARZO!P40</f>
        <v>0</v>
      </c>
      <c r="E40" s="376">
        <f>FEBRERO!E40+MARZO!Q40</f>
        <v>0</v>
      </c>
      <c r="F40" s="376">
        <f t="shared" si="32"/>
        <v>0</v>
      </c>
      <c r="G40" s="376">
        <f>FEBRERO!I40</f>
        <v>0</v>
      </c>
      <c r="H40" s="377">
        <v>0</v>
      </c>
      <c r="I40" s="376">
        <f t="shared" si="33"/>
        <v>0</v>
      </c>
      <c r="J40" s="376">
        <f>FEBRERO!L40</f>
        <v>0</v>
      </c>
      <c r="K40" s="377">
        <v>0</v>
      </c>
      <c r="L40" s="376">
        <f t="shared" si="34"/>
        <v>0</v>
      </c>
      <c r="M40" s="376">
        <f t="shared" si="35"/>
        <v>0</v>
      </c>
      <c r="N40" s="146">
        <f t="shared" si="36"/>
        <v>0</v>
      </c>
      <c r="O40" s="533"/>
      <c r="P40" s="375">
        <v>0</v>
      </c>
      <c r="Q40" s="378">
        <v>0</v>
      </c>
      <c r="R40" s="9"/>
      <c r="S40" s="719" t="str">
        <f>+IF(FEBRERO!S40=0,"",FEBRERO!S40)</f>
        <v>1010200-6</v>
      </c>
      <c r="T40" s="737" t="str">
        <f>+IF(FEBRERO!T40=0,"",FEBRERO!T40)</f>
        <v>Certificación, Habilitación y Acreditación</v>
      </c>
      <c r="U40" s="29">
        <f>+ENERO!U40</f>
        <v>0</v>
      </c>
      <c r="V40" s="15">
        <f>FEBRERO!V40+MARZO!AL40</f>
        <v>0</v>
      </c>
      <c r="W40" s="15">
        <f>FEBRERO!W40+MARZO!AM40</f>
        <v>0</v>
      </c>
      <c r="X40" s="18">
        <f t="shared" si="37"/>
        <v>0</v>
      </c>
      <c r="Y40" s="19">
        <f>FEBRERO!AA40</f>
        <v>0</v>
      </c>
      <c r="Z40" s="377">
        <v>0</v>
      </c>
      <c r="AA40" s="16">
        <f t="shared" si="38"/>
        <v>0</v>
      </c>
      <c r="AB40" s="19">
        <f>FEBRERO!AD40</f>
        <v>0</v>
      </c>
      <c r="AC40" s="377">
        <v>0</v>
      </c>
      <c r="AD40" s="16">
        <f t="shared" si="39"/>
        <v>0</v>
      </c>
      <c r="AE40" s="19">
        <f>FEBRERO!AG40</f>
        <v>0</v>
      </c>
      <c r="AF40" s="377">
        <v>0</v>
      </c>
      <c r="AG40" s="16">
        <f t="shared" si="40"/>
        <v>0</v>
      </c>
      <c r="AH40" s="19">
        <f t="shared" si="41"/>
        <v>0</v>
      </c>
      <c r="AI40" s="15">
        <f t="shared" si="42"/>
        <v>0</v>
      </c>
      <c r="AJ40" s="16">
        <f t="shared" si="43"/>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+IF(FEBRERO!A41=0,"",FEBRERO!A41)</f>
        <v>1130104</v>
      </c>
      <c r="B41" s="653" t="str">
        <f>+IF(FEBRERO!B41=0,"",FEBRERO!B41)</f>
        <v>SUBSIDIO A LA OFERTA- ACTIVIDADES NO POS-S</v>
      </c>
      <c r="C41" s="375">
        <f>+ENERO!C41</f>
        <v>0</v>
      </c>
      <c r="D41" s="124">
        <f>FEBRERO!D41+MARZO!P41</f>
        <v>0</v>
      </c>
      <c r="E41" s="124">
        <f>FEBRERO!E41+MARZO!Q41</f>
        <v>0</v>
      </c>
      <c r="F41" s="124">
        <f t="shared" si="32"/>
        <v>0</v>
      </c>
      <c r="G41" s="124">
        <f>FEBRERO!I41</f>
        <v>0</v>
      </c>
      <c r="H41" s="377">
        <v>0</v>
      </c>
      <c r="I41" s="124">
        <f t="shared" si="33"/>
        <v>0</v>
      </c>
      <c r="J41" s="124">
        <f>FEBRERO!L41</f>
        <v>0</v>
      </c>
      <c r="K41" s="377">
        <v>0</v>
      </c>
      <c r="L41" s="124">
        <f t="shared" si="34"/>
        <v>0</v>
      </c>
      <c r="M41" s="124">
        <f t="shared" si="35"/>
        <v>0</v>
      </c>
      <c r="N41" s="133">
        <f t="shared" si="36"/>
        <v>0</v>
      </c>
      <c r="O41" s="385"/>
      <c r="P41" s="377">
        <v>0</v>
      </c>
      <c r="Q41" s="378">
        <v>0</v>
      </c>
      <c r="R41" s="9"/>
      <c r="S41" s="719">
        <f>+IF(FEBRERO!S41=0,"",FEBRERO!S41)</f>
        <v>1010299</v>
      </c>
      <c r="T41" s="737" t="str">
        <f>+IF(FEBRERO!T41=0,"",FEBRERO!T41)</f>
        <v>Vigencias Anteriores</v>
      </c>
      <c r="U41" s="29">
        <f>+ENERO!U41</f>
        <v>0</v>
      </c>
      <c r="V41" s="15">
        <f>FEBRERO!V41+MARZO!AL41</f>
        <v>0</v>
      </c>
      <c r="W41" s="15">
        <f>FEBRERO!W41+MARZO!AM41</f>
        <v>27070478</v>
      </c>
      <c r="X41" s="18">
        <f t="shared" si="37"/>
        <v>27070478</v>
      </c>
      <c r="Y41" s="19">
        <f>FEBRERO!AA41</f>
        <v>27070478</v>
      </c>
      <c r="Z41" s="377">
        <v>0</v>
      </c>
      <c r="AA41" s="16">
        <f t="shared" si="38"/>
        <v>27070478</v>
      </c>
      <c r="AB41" s="19">
        <f>FEBRERO!AD41</f>
        <v>27070478</v>
      </c>
      <c r="AC41" s="377">
        <v>0</v>
      </c>
      <c r="AD41" s="16">
        <f t="shared" si="39"/>
        <v>27070478</v>
      </c>
      <c r="AE41" s="19">
        <f>FEBRERO!AG41</f>
        <v>12809624</v>
      </c>
      <c r="AF41" s="377">
        <v>3030500</v>
      </c>
      <c r="AG41" s="16">
        <f t="shared" si="40"/>
        <v>15840124</v>
      </c>
      <c r="AH41" s="19">
        <f t="shared" si="41"/>
        <v>0</v>
      </c>
      <c r="AI41" s="15">
        <f t="shared" si="42"/>
        <v>0</v>
      </c>
      <c r="AJ41" s="16">
        <f t="shared" si="43"/>
        <v>11230354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+IF(FEBRERO!A42=0,"",FEBRERO!A42)</f>
        <v>1130106</v>
      </c>
      <c r="B42" s="653" t="str">
        <f>+IF(FEBRERO!B42=0,"",FEBRERO!B42)</f>
        <v>SALUD PUBLICA - PLAN DE INTERVENCIONES COLECTIVAS</v>
      </c>
      <c r="C42" s="43">
        <f t="shared" ref="C42:N42" si="44">SUM(C43:C44)</f>
        <v>94000000</v>
      </c>
      <c r="D42" s="44">
        <f t="shared" si="44"/>
        <v>0</v>
      </c>
      <c r="E42" s="44">
        <f t="shared" si="44"/>
        <v>17280673</v>
      </c>
      <c r="F42" s="44">
        <f t="shared" si="44"/>
        <v>111280673</v>
      </c>
      <c r="G42" s="44">
        <f t="shared" si="44"/>
        <v>0</v>
      </c>
      <c r="H42" s="44">
        <f t="shared" si="44"/>
        <v>0</v>
      </c>
      <c r="I42" s="44">
        <f t="shared" si="44"/>
        <v>0</v>
      </c>
      <c r="J42" s="44">
        <f t="shared" si="44"/>
        <v>0</v>
      </c>
      <c r="K42" s="44">
        <f t="shared" si="44"/>
        <v>0</v>
      </c>
      <c r="L42" s="44">
        <f t="shared" si="44"/>
        <v>0</v>
      </c>
      <c r="M42" s="44">
        <f t="shared" si="44"/>
        <v>111280673</v>
      </c>
      <c r="N42" s="45">
        <f t="shared" si="44"/>
        <v>111280673</v>
      </c>
      <c r="P42" s="43">
        <f>SUM(P43:P44)</f>
        <v>0</v>
      </c>
      <c r="Q42" s="45">
        <f>SUM(Q43:Q44)</f>
        <v>0</v>
      </c>
      <c r="R42" s="9"/>
      <c r="S42" s="369" t="str">
        <f>+IF(FEBRERO!S42=0,"",FEBRERO!S42)</f>
        <v/>
      </c>
      <c r="T42" s="708" t="str">
        <f>+IF(FEBRERO!T42=0,"",FEBRERO!T42)</f>
        <v/>
      </c>
      <c r="U42" s="370"/>
      <c r="V42" s="164"/>
      <c r="W42" s="164"/>
      <c r="X42" s="164"/>
      <c r="Y42" s="370"/>
      <c r="Z42" s="164"/>
      <c r="AA42" s="169"/>
      <c r="AB42" s="370"/>
      <c r="AC42" s="164"/>
      <c r="AD42" s="169"/>
      <c r="AE42" s="370"/>
      <c r="AF42" s="164"/>
      <c r="AG42" s="169"/>
      <c r="AH42" s="370"/>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+IF(FEBRERO!A43=0,"",FEBRERO!A43)</f>
        <v>1130106-1</v>
      </c>
      <c r="B43" s="654" t="str">
        <f>+CONCATENATE("Vigencia ",INSTRUCCIONES!$F$3)</f>
        <v>Vigencia 2015</v>
      </c>
      <c r="C43" s="375">
        <f>+ENERO!C43</f>
        <v>94000000</v>
      </c>
      <c r="D43" s="376">
        <f>FEBRERO!D43+MARZO!P43</f>
        <v>0</v>
      </c>
      <c r="E43" s="376">
        <f>FEBRERO!E43+MARZO!Q43</f>
        <v>17280673</v>
      </c>
      <c r="F43" s="376">
        <f>SUM(C43:E43)</f>
        <v>111280673</v>
      </c>
      <c r="G43" s="376">
        <f>FEBRERO!I43</f>
        <v>0</v>
      </c>
      <c r="H43" s="377">
        <v>0</v>
      </c>
      <c r="I43" s="376">
        <f>SUM(G43:H43)</f>
        <v>0</v>
      </c>
      <c r="J43" s="376">
        <f>FEBRERO!L43</f>
        <v>0</v>
      </c>
      <c r="K43" s="377">
        <v>0</v>
      </c>
      <c r="L43" s="376">
        <f>SUM(J43:K43)</f>
        <v>0</v>
      </c>
      <c r="M43" s="376">
        <f>F43-I43</f>
        <v>111280673</v>
      </c>
      <c r="N43" s="146">
        <f>F43-L43</f>
        <v>111280673</v>
      </c>
      <c r="O43" s="385"/>
      <c r="P43" s="375">
        <v>0</v>
      </c>
      <c r="Q43" s="378">
        <v>0</v>
      </c>
      <c r="R43" s="9"/>
      <c r="S43" s="718">
        <f>+IF(FEBRERO!S43=0,"",FEBRERO!S43)</f>
        <v>1010300</v>
      </c>
      <c r="T43" s="736" t="str">
        <f>+IF(FEBRERO!T43=0,"",FEBRERO!T43)</f>
        <v>Contribuciones Inherentes nómina al Sector Privado</v>
      </c>
      <c r="U43" s="131">
        <f t="shared" ref="U43:AJ43" si="45">U44+U49+U55</f>
        <v>111328187</v>
      </c>
      <c r="V43" s="124">
        <f t="shared" si="45"/>
        <v>0</v>
      </c>
      <c r="W43" s="124">
        <f t="shared" si="45"/>
        <v>29964174</v>
      </c>
      <c r="X43" s="132">
        <f t="shared" si="45"/>
        <v>141292361</v>
      </c>
      <c r="Y43" s="131">
        <f t="shared" si="45"/>
        <v>43116714</v>
      </c>
      <c r="Z43" s="124">
        <f t="shared" si="45"/>
        <v>6205367</v>
      </c>
      <c r="AA43" s="133">
        <f t="shared" si="45"/>
        <v>49322081</v>
      </c>
      <c r="AB43" s="131">
        <f t="shared" si="45"/>
        <v>43116714</v>
      </c>
      <c r="AC43" s="124">
        <f t="shared" si="45"/>
        <v>6205367</v>
      </c>
      <c r="AD43" s="133">
        <f t="shared" si="45"/>
        <v>49322081</v>
      </c>
      <c r="AE43" s="131">
        <f t="shared" si="45"/>
        <v>41673175</v>
      </c>
      <c r="AF43" s="124">
        <f t="shared" si="45"/>
        <v>6927892</v>
      </c>
      <c r="AG43" s="133">
        <f t="shared" si="45"/>
        <v>48601067</v>
      </c>
      <c r="AH43" s="131">
        <f t="shared" si="45"/>
        <v>91970280</v>
      </c>
      <c r="AI43" s="124">
        <f t="shared" si="45"/>
        <v>91970280</v>
      </c>
      <c r="AJ43" s="133">
        <f t="shared" si="45"/>
        <v>92691294</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+IF(FEBRERO!A44=0,"",FEBRERO!A44)</f>
        <v>1130106-2</v>
      </c>
      <c r="B44" s="654" t="str">
        <f>+IF(FEBRERO!B44=0,"",FEBRERO!B44)</f>
        <v>Vigencia Anterior</v>
      </c>
      <c r="C44" s="375">
        <f>+ENERO!C44</f>
        <v>0</v>
      </c>
      <c r="D44" s="376">
        <f>FEBRERO!D44+MARZO!P44</f>
        <v>0</v>
      </c>
      <c r="E44" s="376">
        <f>FEBRERO!E44+MARZO!Q44</f>
        <v>0</v>
      </c>
      <c r="F44" s="376">
        <f>SUM(C44:E44)</f>
        <v>0</v>
      </c>
      <c r="G44" s="376">
        <f>FEBRERO!I44</f>
        <v>0</v>
      </c>
      <c r="H44" s="377">
        <v>0</v>
      </c>
      <c r="I44" s="376">
        <f>SUM(G44:H44)</f>
        <v>0</v>
      </c>
      <c r="J44" s="376">
        <f>FEBRERO!L44</f>
        <v>0</v>
      </c>
      <c r="K44" s="377">
        <v>0</v>
      </c>
      <c r="L44" s="376">
        <f>SUM(J44:K44)</f>
        <v>0</v>
      </c>
      <c r="M44" s="376">
        <f>F44-I44</f>
        <v>0</v>
      </c>
      <c r="N44" s="146">
        <f>F44-L44</f>
        <v>0</v>
      </c>
      <c r="O44" s="385"/>
      <c r="P44" s="375">
        <v>0</v>
      </c>
      <c r="Q44" s="378">
        <v>0</v>
      </c>
      <c r="R44" s="9"/>
      <c r="S44" s="719">
        <f>+IF(FEBRERO!S44=0,"",FEBRERO!S44)</f>
        <v>1010301</v>
      </c>
      <c r="T44" s="737" t="str">
        <f>+IF(FEBRERO!T44=0,"",FEBRERO!T44)</f>
        <v>Contribuciones - Sin Situación de Fondos</v>
      </c>
      <c r="U44" s="29">
        <f t="shared" ref="U44:AJ44" si="46">SUM(U45:U48)</f>
        <v>96536264</v>
      </c>
      <c r="V44" s="15">
        <f t="shared" si="46"/>
        <v>0</v>
      </c>
      <c r="W44" s="15">
        <f t="shared" si="46"/>
        <v>0</v>
      </c>
      <c r="X44" s="18">
        <f t="shared" si="46"/>
        <v>96536264</v>
      </c>
      <c r="Y44" s="19">
        <f t="shared" si="46"/>
        <v>11035940</v>
      </c>
      <c r="Z44" s="145">
        <f t="shared" si="46"/>
        <v>5677467</v>
      </c>
      <c r="AA44" s="16">
        <f t="shared" si="46"/>
        <v>16713407</v>
      </c>
      <c r="AB44" s="19">
        <f t="shared" si="46"/>
        <v>11035940</v>
      </c>
      <c r="AC44" s="145">
        <f t="shared" si="46"/>
        <v>5677467</v>
      </c>
      <c r="AD44" s="16">
        <f t="shared" si="46"/>
        <v>16713407</v>
      </c>
      <c r="AE44" s="19">
        <f t="shared" si="46"/>
        <v>11035940</v>
      </c>
      <c r="AF44" s="145">
        <f t="shared" si="46"/>
        <v>5677467</v>
      </c>
      <c r="AG44" s="16">
        <f t="shared" si="46"/>
        <v>16713407</v>
      </c>
      <c r="AH44" s="19">
        <f t="shared" si="46"/>
        <v>79822857</v>
      </c>
      <c r="AI44" s="15">
        <f t="shared" si="46"/>
        <v>79822857</v>
      </c>
      <c r="AJ44" s="16">
        <f t="shared" si="46"/>
        <v>79822857</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+IF(FEBRERO!A45=0,"",FEBRERO!A45)</f>
        <v>1130107</v>
      </c>
      <c r="B45" s="653" t="str">
        <f>+IF(FEBRERO!B45=0,"",FEBRERO!B45)</f>
        <v>MINSALUD-FOSYGA-RECLAMACIONES ECAT</v>
      </c>
      <c r="C45" s="43">
        <f t="shared" ref="C45:N45" si="47">SUM(C46:C47)</f>
        <v>0</v>
      </c>
      <c r="D45" s="44">
        <f t="shared" si="47"/>
        <v>0</v>
      </c>
      <c r="E45" s="44">
        <f t="shared" si="47"/>
        <v>0</v>
      </c>
      <c r="F45" s="44">
        <f t="shared" si="47"/>
        <v>0</v>
      </c>
      <c r="G45" s="44">
        <f t="shared" si="47"/>
        <v>0</v>
      </c>
      <c r="H45" s="44">
        <f t="shared" si="47"/>
        <v>0</v>
      </c>
      <c r="I45" s="44">
        <f t="shared" si="47"/>
        <v>0</v>
      </c>
      <c r="J45" s="44">
        <f t="shared" si="47"/>
        <v>0</v>
      </c>
      <c r="K45" s="44">
        <f t="shared" si="47"/>
        <v>0</v>
      </c>
      <c r="L45" s="44">
        <f t="shared" si="47"/>
        <v>0</v>
      </c>
      <c r="M45" s="44">
        <f t="shared" si="47"/>
        <v>0</v>
      </c>
      <c r="N45" s="45">
        <f t="shared" si="47"/>
        <v>0</v>
      </c>
      <c r="P45" s="43">
        <f>SUM(P46:P47)</f>
        <v>0</v>
      </c>
      <c r="Q45" s="45">
        <f>SUM(Q46:Q47)</f>
        <v>0</v>
      </c>
      <c r="R45" s="9"/>
      <c r="S45" s="720" t="str">
        <f>+IF(FEBRERO!S45=0,"",FEBRERO!S45)</f>
        <v>1010301-1</v>
      </c>
      <c r="T45" s="738" t="str">
        <f>+IF(FEBRERO!T45=0,"",FEBRERO!T45)</f>
        <v>Aportes a E.P.S.- Sin sit. Fondos</v>
      </c>
      <c r="U45" s="29">
        <f>+ENERO!U45</f>
        <v>26843256</v>
      </c>
      <c r="V45" s="15">
        <f>FEBRERO!V45+MARZO!AL45</f>
        <v>0</v>
      </c>
      <c r="W45" s="15">
        <f>FEBRERO!W45+MARZO!AM45</f>
        <v>0</v>
      </c>
      <c r="X45" s="18">
        <f>SUM(U45:W45)</f>
        <v>26843256</v>
      </c>
      <c r="Y45" s="19">
        <f>FEBRERO!AA45</f>
        <v>4470389</v>
      </c>
      <c r="Z45" s="377">
        <v>2296823</v>
      </c>
      <c r="AA45" s="16">
        <f>SUM(Y45:Z45)</f>
        <v>6767212</v>
      </c>
      <c r="AB45" s="19">
        <f>FEBRERO!AD45</f>
        <v>4470389</v>
      </c>
      <c r="AC45" s="377">
        <v>2296823</v>
      </c>
      <c r="AD45" s="16">
        <f>SUM(AB45:AC45)</f>
        <v>6767212</v>
      </c>
      <c r="AE45" s="19">
        <f>FEBRERO!AG45</f>
        <v>4470389</v>
      </c>
      <c r="AF45" s="377">
        <v>2296823</v>
      </c>
      <c r="AG45" s="16">
        <f>SUM(AE45:AF45)</f>
        <v>6767212</v>
      </c>
      <c r="AH45" s="19">
        <f>X45-AA45</f>
        <v>20076044</v>
      </c>
      <c r="AI45" s="15">
        <f>X45-AD45</f>
        <v>20076044</v>
      </c>
      <c r="AJ45" s="16">
        <f>X45-AG45</f>
        <v>20076044</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+IF(FEBRERO!A46=0,"",FEBRERO!A46)</f>
        <v>1130107-1</v>
      </c>
      <c r="B46" s="654" t="str">
        <f>+CONCATENATE("Vigencia ",INSTRUCCIONES!$F$3)</f>
        <v>Vigencia 2015</v>
      </c>
      <c r="C46" s="375">
        <f>+ENERO!C46</f>
        <v>0</v>
      </c>
      <c r="D46" s="376">
        <f>FEBRERO!D46+MARZO!P46</f>
        <v>0</v>
      </c>
      <c r="E46" s="376">
        <f>FEBRERO!E46+MARZO!Q46</f>
        <v>0</v>
      </c>
      <c r="F46" s="376">
        <f>SUM(C46:E46)</f>
        <v>0</v>
      </c>
      <c r="G46" s="376">
        <f>FEBRERO!I46</f>
        <v>0</v>
      </c>
      <c r="H46" s="377">
        <v>0</v>
      </c>
      <c r="I46" s="376">
        <f>SUM(G46:H46)</f>
        <v>0</v>
      </c>
      <c r="J46" s="376">
        <f>FEBRERO!L46</f>
        <v>0</v>
      </c>
      <c r="K46" s="377">
        <v>0</v>
      </c>
      <c r="L46" s="376">
        <f>SUM(J46:K46)</f>
        <v>0</v>
      </c>
      <c r="M46" s="376">
        <f>F46-I46</f>
        <v>0</v>
      </c>
      <c r="N46" s="146">
        <f>F46-L46</f>
        <v>0</v>
      </c>
      <c r="O46" s="385"/>
      <c r="P46" s="375">
        <v>0</v>
      </c>
      <c r="Q46" s="378">
        <v>0</v>
      </c>
      <c r="R46" s="9"/>
      <c r="S46" s="720" t="str">
        <f>+IF(FEBRERO!S46=0,"",FEBRERO!S46)</f>
        <v>1010301-2</v>
      </c>
      <c r="T46" s="738" t="str">
        <f>+IF(FEBRERO!T46=0,"",FEBRERO!T46)</f>
        <v>Aportes Fondos Pensionales - Sin Sit. Fondos</v>
      </c>
      <c r="U46" s="29">
        <f>+ENERO!U46</f>
        <v>37896396</v>
      </c>
      <c r="V46" s="15">
        <f>FEBRERO!V46+MARZO!AL46</f>
        <v>0</v>
      </c>
      <c r="W46" s="15">
        <f>FEBRERO!W46+MARZO!AM46</f>
        <v>0</v>
      </c>
      <c r="X46" s="18">
        <f>SUM(U46:W46)</f>
        <v>37896396</v>
      </c>
      <c r="Y46" s="19">
        <f>FEBRERO!AA46</f>
        <v>6311139</v>
      </c>
      <c r="Z46" s="377">
        <v>3242573</v>
      </c>
      <c r="AA46" s="16">
        <f>SUM(Y46:Z46)</f>
        <v>9553712</v>
      </c>
      <c r="AB46" s="19">
        <f>FEBRERO!AD46</f>
        <v>6311139</v>
      </c>
      <c r="AC46" s="377">
        <v>3242573</v>
      </c>
      <c r="AD46" s="16">
        <f>SUM(AB46:AC46)</f>
        <v>9553712</v>
      </c>
      <c r="AE46" s="19">
        <f>FEBRERO!AG46</f>
        <v>6311139</v>
      </c>
      <c r="AF46" s="377">
        <v>3242573</v>
      </c>
      <c r="AG46" s="16">
        <f>SUM(AE46:AF46)</f>
        <v>9553712</v>
      </c>
      <c r="AH46" s="19">
        <f>X46-AA46</f>
        <v>28342684</v>
      </c>
      <c r="AI46" s="15">
        <f>X46-AD46</f>
        <v>28342684</v>
      </c>
      <c r="AJ46" s="16">
        <f>X46-AG46</f>
        <v>28342684</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+IF(FEBRERO!A47=0,"",FEBRERO!A47)</f>
        <v>1130107-2</v>
      </c>
      <c r="B47" s="654" t="str">
        <f>+IF(FEBRERO!B47=0,"",FEBRERO!B47)</f>
        <v>Vigencia Anterior</v>
      </c>
      <c r="C47" s="375">
        <f>+ENERO!C47</f>
        <v>0</v>
      </c>
      <c r="D47" s="376">
        <f>FEBRERO!D47+MARZO!P47</f>
        <v>0</v>
      </c>
      <c r="E47" s="376">
        <f>FEBRERO!E47+MARZO!Q47</f>
        <v>0</v>
      </c>
      <c r="F47" s="376">
        <f>SUM(C47:E47)</f>
        <v>0</v>
      </c>
      <c r="G47" s="376">
        <f>FEBRERO!I47</f>
        <v>0</v>
      </c>
      <c r="H47" s="377">
        <v>0</v>
      </c>
      <c r="I47" s="376">
        <f>SUM(G47:H47)</f>
        <v>0</v>
      </c>
      <c r="J47" s="376">
        <f>FEBRERO!L47</f>
        <v>0</v>
      </c>
      <c r="K47" s="377">
        <v>0</v>
      </c>
      <c r="L47" s="376">
        <f>SUM(J47:K47)</f>
        <v>0</v>
      </c>
      <c r="M47" s="376">
        <f>F47-I47</f>
        <v>0</v>
      </c>
      <c r="N47" s="146">
        <f>F47-L47</f>
        <v>0</v>
      </c>
      <c r="O47" s="385"/>
      <c r="P47" s="375">
        <v>0</v>
      </c>
      <c r="Q47" s="378">
        <v>0</v>
      </c>
      <c r="R47" s="9"/>
      <c r="S47" s="720" t="str">
        <f>+IF(FEBRERO!S47=0,"",FEBRERO!S47)</f>
        <v>1010301-3</v>
      </c>
      <c r="T47" s="738" t="str">
        <f>+IF(FEBRERO!T47=0,"",FEBRERO!T47)</f>
        <v xml:space="preserve">Aportes a Fondos de Cesantia - Sin Sit. de Fondos </v>
      </c>
      <c r="U47" s="29">
        <f>+ENERO!U47</f>
        <v>30148119</v>
      </c>
      <c r="V47" s="15">
        <f>FEBRERO!V47+MARZO!AL47</f>
        <v>0</v>
      </c>
      <c r="W47" s="15">
        <f>FEBRERO!W47+MARZO!AM47</f>
        <v>0</v>
      </c>
      <c r="X47" s="18">
        <f>SUM(U47:W47)</f>
        <v>30148119</v>
      </c>
      <c r="Y47" s="19">
        <f>FEBRERO!AA47</f>
        <v>0</v>
      </c>
      <c r="Z47" s="377">
        <v>0</v>
      </c>
      <c r="AA47" s="16">
        <f>SUM(Y47:Z47)</f>
        <v>0</v>
      </c>
      <c r="AB47" s="19">
        <f>FEBRERO!AD47</f>
        <v>0</v>
      </c>
      <c r="AC47" s="377">
        <v>0</v>
      </c>
      <c r="AD47" s="16">
        <f>SUM(AB47:AC47)</f>
        <v>0</v>
      </c>
      <c r="AE47" s="19">
        <f>FEBRERO!AG47</f>
        <v>0</v>
      </c>
      <c r="AF47" s="377">
        <v>0</v>
      </c>
      <c r="AG47" s="16">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+IF(FEBRERO!A48=0,"",FEBRERO!A48)</f>
        <v>1130108</v>
      </c>
      <c r="B48" s="653" t="str">
        <f>+IF(FEBRERO!B48=0,"",FEBRERO!B48)</f>
        <v>MINSALUD-FOSYGA -TRAUMA MAYOR Y DESPLAZADOS</v>
      </c>
      <c r="C48" s="43">
        <f t="shared" ref="C48:N48" si="48">SUM(C49:C50)</f>
        <v>0</v>
      </c>
      <c r="D48" s="44">
        <f t="shared" si="48"/>
        <v>0</v>
      </c>
      <c r="E48" s="44">
        <f t="shared" si="48"/>
        <v>0</v>
      </c>
      <c r="F48" s="44">
        <f t="shared" si="48"/>
        <v>0</v>
      </c>
      <c r="G48" s="44">
        <f t="shared" si="48"/>
        <v>0</v>
      </c>
      <c r="H48" s="44">
        <f t="shared" si="48"/>
        <v>0</v>
      </c>
      <c r="I48" s="44">
        <f t="shared" si="48"/>
        <v>0</v>
      </c>
      <c r="J48" s="44">
        <f t="shared" si="48"/>
        <v>0</v>
      </c>
      <c r="K48" s="44">
        <f t="shared" si="48"/>
        <v>0</v>
      </c>
      <c r="L48" s="44">
        <f t="shared" si="48"/>
        <v>0</v>
      </c>
      <c r="M48" s="44">
        <f t="shared" si="48"/>
        <v>0</v>
      </c>
      <c r="N48" s="45">
        <f t="shared" si="48"/>
        <v>0</v>
      </c>
      <c r="P48" s="43">
        <f>SUM(P49:P50)</f>
        <v>0</v>
      </c>
      <c r="Q48" s="45">
        <f>SUM(Q49:Q50)</f>
        <v>0</v>
      </c>
      <c r="R48" s="9"/>
      <c r="S48" s="720" t="str">
        <f>+IF(FEBRERO!S48=0,"",FEBRERO!S48)</f>
        <v>1010301-4</v>
      </c>
      <c r="T48" s="738" t="str">
        <f>+IF(FEBRERO!T48=0,"",FEBRERO!T48)</f>
        <v xml:space="preserve">Aporte a ARL. - Sin Sit. de Fondos </v>
      </c>
      <c r="U48" s="29">
        <f>+ENERO!U48</f>
        <v>1648493</v>
      </c>
      <c r="V48" s="15">
        <f>FEBRERO!V48+MARZO!AL48</f>
        <v>0</v>
      </c>
      <c r="W48" s="15">
        <f>FEBRERO!W48+MARZO!AM48</f>
        <v>0</v>
      </c>
      <c r="X48" s="18">
        <f>SUM(U48:W48)</f>
        <v>1648493</v>
      </c>
      <c r="Y48" s="19">
        <f>FEBRERO!AA48</f>
        <v>254412</v>
      </c>
      <c r="Z48" s="377">
        <v>138071</v>
      </c>
      <c r="AA48" s="16">
        <f>SUM(Y48:Z48)</f>
        <v>392483</v>
      </c>
      <c r="AB48" s="19">
        <f>FEBRERO!AD48</f>
        <v>254412</v>
      </c>
      <c r="AC48" s="377">
        <v>138071</v>
      </c>
      <c r="AD48" s="16">
        <f>SUM(AB48:AC48)</f>
        <v>392483</v>
      </c>
      <c r="AE48" s="19">
        <f>FEBRERO!AG48</f>
        <v>254412</v>
      </c>
      <c r="AF48" s="377">
        <v>138071</v>
      </c>
      <c r="AG48" s="16">
        <f>SUM(AE48:AF48)</f>
        <v>392483</v>
      </c>
      <c r="AH48" s="19">
        <f>X48-AA48</f>
        <v>1256010</v>
      </c>
      <c r="AI48" s="15">
        <f>X48-AD48</f>
        <v>1256010</v>
      </c>
      <c r="AJ48" s="16">
        <f>X48-AG48</f>
        <v>1256010</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+IF(FEBRERO!A49=0,"",FEBRERO!A49)</f>
        <v>1130108-1</v>
      </c>
      <c r="B49" s="654" t="str">
        <f>+CONCATENATE("Vigencia ",INSTRUCCIONES!$F$3)</f>
        <v>Vigencia 2015</v>
      </c>
      <c r="C49" s="375">
        <f>+ENERO!C49</f>
        <v>0</v>
      </c>
      <c r="D49" s="376">
        <f>FEBRERO!D49+MARZO!P49</f>
        <v>0</v>
      </c>
      <c r="E49" s="376">
        <f>FEBRERO!E49+MARZO!Q49</f>
        <v>0</v>
      </c>
      <c r="F49" s="376">
        <f>SUM(C49:E49)</f>
        <v>0</v>
      </c>
      <c r="G49" s="376">
        <f>FEBRERO!I49</f>
        <v>0</v>
      </c>
      <c r="H49" s="377">
        <v>0</v>
      </c>
      <c r="I49" s="376">
        <f>SUM(G49:H49)</f>
        <v>0</v>
      </c>
      <c r="J49" s="376">
        <f>FEBRERO!L49</f>
        <v>0</v>
      </c>
      <c r="K49" s="377">
        <v>0</v>
      </c>
      <c r="L49" s="376">
        <f>SUM(J49:K49)</f>
        <v>0</v>
      </c>
      <c r="M49" s="376">
        <f>F49-I49</f>
        <v>0</v>
      </c>
      <c r="N49" s="146">
        <f>F49-L49</f>
        <v>0</v>
      </c>
      <c r="O49" s="385"/>
      <c r="P49" s="375">
        <v>0</v>
      </c>
      <c r="Q49" s="378">
        <v>0</v>
      </c>
      <c r="R49" s="9"/>
      <c r="S49" s="719">
        <f>+IF(FEBRERO!S49=0,"",FEBRERO!S49)</f>
        <v>1010302</v>
      </c>
      <c r="T49" s="737" t="str">
        <f>+IF(FEBRERO!T49=0,"",FEBRERO!T49)</f>
        <v>Contribuciones - Otros</v>
      </c>
      <c r="U49" s="29">
        <f t="shared" ref="U49:AJ49" si="49">SUM(U50:U54)</f>
        <v>14791923</v>
      </c>
      <c r="V49" s="15">
        <f t="shared" si="49"/>
        <v>0</v>
      </c>
      <c r="W49" s="15">
        <f t="shared" si="49"/>
        <v>0</v>
      </c>
      <c r="X49" s="18">
        <f t="shared" si="49"/>
        <v>14791923</v>
      </c>
      <c r="Y49" s="19">
        <f t="shared" si="49"/>
        <v>2116600</v>
      </c>
      <c r="Z49" s="145">
        <f t="shared" si="49"/>
        <v>527900</v>
      </c>
      <c r="AA49" s="16">
        <f t="shared" si="49"/>
        <v>2644500</v>
      </c>
      <c r="AB49" s="19">
        <f t="shared" si="49"/>
        <v>2116600</v>
      </c>
      <c r="AC49" s="145">
        <f t="shared" si="49"/>
        <v>527900</v>
      </c>
      <c r="AD49" s="16">
        <f t="shared" si="49"/>
        <v>2644500</v>
      </c>
      <c r="AE49" s="19">
        <f t="shared" si="49"/>
        <v>1039200</v>
      </c>
      <c r="AF49" s="145">
        <f t="shared" si="49"/>
        <v>1077400</v>
      </c>
      <c r="AG49" s="16">
        <f t="shared" si="49"/>
        <v>2116600</v>
      </c>
      <c r="AH49" s="19">
        <f t="shared" si="49"/>
        <v>12147423</v>
      </c>
      <c r="AI49" s="15">
        <f t="shared" si="49"/>
        <v>12147423</v>
      </c>
      <c r="AJ49" s="16">
        <f t="shared" si="49"/>
        <v>12675323</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+IF(FEBRERO!A50=0,"",FEBRERO!A50)</f>
        <v>1130108-2</v>
      </c>
      <c r="B50" s="654" t="str">
        <f>+IF(FEBRERO!B50=0,"",FEBRERO!B50)</f>
        <v>Vigencia Anterior</v>
      </c>
      <c r="C50" s="375">
        <f>+ENERO!C50</f>
        <v>0</v>
      </c>
      <c r="D50" s="376">
        <f>FEBRERO!D50+MARZO!P50</f>
        <v>0</v>
      </c>
      <c r="E50" s="376">
        <f>FEBRERO!E50+MARZO!Q50</f>
        <v>0</v>
      </c>
      <c r="F50" s="376">
        <f>SUM(C50:E50)</f>
        <v>0</v>
      </c>
      <c r="G50" s="376">
        <f>FEBRERO!I50</f>
        <v>0</v>
      </c>
      <c r="H50" s="377">
        <v>0</v>
      </c>
      <c r="I50" s="376">
        <f>SUM(G50:H50)</f>
        <v>0</v>
      </c>
      <c r="J50" s="376">
        <f>FEBRERO!L50</f>
        <v>0</v>
      </c>
      <c r="K50" s="377">
        <v>0</v>
      </c>
      <c r="L50" s="376">
        <f>SUM(J50:K50)</f>
        <v>0</v>
      </c>
      <c r="M50" s="376">
        <f>F50-I50</f>
        <v>0</v>
      </c>
      <c r="N50" s="146">
        <f>F50-L50</f>
        <v>0</v>
      </c>
      <c r="O50" s="385"/>
      <c r="P50" s="375">
        <v>0</v>
      </c>
      <c r="Q50" s="378">
        <v>0</v>
      </c>
      <c r="R50" s="9"/>
      <c r="S50" s="720" t="str">
        <f>+IF(FEBRERO!S50=0,"",FEBRERO!S50)</f>
        <v>1010302-1</v>
      </c>
      <c r="T50" s="738" t="str">
        <f>+IF(FEBRERO!T50=0,"",FEBRERO!T50)</f>
        <v>Aportes a E.P.S.- Con sit. Fondos</v>
      </c>
      <c r="U50" s="29">
        <f>+ENERO!U50</f>
        <v>0</v>
      </c>
      <c r="V50" s="15">
        <f>FEBRERO!V50+MARZO!AL50</f>
        <v>0</v>
      </c>
      <c r="W50" s="15">
        <f>FEBRERO!W50+MARZO!AM50</f>
        <v>0</v>
      </c>
      <c r="X50" s="18">
        <f t="shared" ref="X50:X55" si="50">SUM(U50:W50)</f>
        <v>0</v>
      </c>
      <c r="Y50" s="19">
        <f>FEBRERO!AA50</f>
        <v>0</v>
      </c>
      <c r="Z50" s="377">
        <v>0</v>
      </c>
      <c r="AA50" s="16">
        <f t="shared" ref="AA50:AA55" si="51">SUM(Y50:Z50)</f>
        <v>0</v>
      </c>
      <c r="AB50" s="19">
        <f>FEBRERO!AD50</f>
        <v>0</v>
      </c>
      <c r="AC50" s="377">
        <v>0</v>
      </c>
      <c r="AD50" s="16">
        <f t="shared" ref="AD50:AD55" si="52">SUM(AB50:AC50)</f>
        <v>0</v>
      </c>
      <c r="AE50" s="19">
        <f>FEBRERO!AG50</f>
        <v>0</v>
      </c>
      <c r="AF50" s="377">
        <v>0</v>
      </c>
      <c r="AG50" s="16">
        <f t="shared" ref="AG50:AG55" si="53">SUM(AE50:AF50)</f>
        <v>0</v>
      </c>
      <c r="AH50" s="19">
        <f t="shared" ref="AH50:AH55" si="54">X50-AA50</f>
        <v>0</v>
      </c>
      <c r="AI50" s="15">
        <f t="shared" ref="AI50:AI55" si="55">X50-AD50</f>
        <v>0</v>
      </c>
      <c r="AJ50" s="16">
        <f t="shared" ref="AJ50:AJ55" si="56">X50-AG50</f>
        <v>0</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+IF(FEBRERO!A51=0,"",FEBRERO!A51)</f>
        <v>1130109</v>
      </c>
      <c r="B51" s="653" t="str">
        <f>+IF(FEBRERO!B51=0,"",FEBRERO!B51)</f>
        <v>EPS - PLANES COMPLEMENTARIOS</v>
      </c>
      <c r="C51" s="43">
        <f t="shared" ref="C51:N51" si="57">SUM(C52:C53)</f>
        <v>0</v>
      </c>
      <c r="D51" s="44">
        <f t="shared" si="57"/>
        <v>0</v>
      </c>
      <c r="E51" s="44">
        <f t="shared" si="57"/>
        <v>0</v>
      </c>
      <c r="F51" s="44">
        <f t="shared" si="57"/>
        <v>0</v>
      </c>
      <c r="G51" s="44">
        <f t="shared" si="57"/>
        <v>0</v>
      </c>
      <c r="H51" s="44">
        <f t="shared" si="57"/>
        <v>0</v>
      </c>
      <c r="I51" s="44">
        <f t="shared" si="57"/>
        <v>0</v>
      </c>
      <c r="J51" s="44">
        <f t="shared" si="57"/>
        <v>0</v>
      </c>
      <c r="K51" s="44">
        <f t="shared" si="57"/>
        <v>0</v>
      </c>
      <c r="L51" s="44">
        <f t="shared" si="57"/>
        <v>0</v>
      </c>
      <c r="M51" s="44">
        <f t="shared" si="57"/>
        <v>0</v>
      </c>
      <c r="N51" s="45">
        <f t="shared" si="57"/>
        <v>0</v>
      </c>
      <c r="P51" s="43">
        <f>SUM(P52:P53)</f>
        <v>0</v>
      </c>
      <c r="Q51" s="45">
        <f>SUM(Q52:Q53)</f>
        <v>0</v>
      </c>
      <c r="R51" s="9"/>
      <c r="S51" s="720" t="str">
        <f>+IF(FEBRERO!S51=0,"",FEBRERO!S51)</f>
        <v>1010302-2</v>
      </c>
      <c r="T51" s="738" t="str">
        <f>+IF(FEBRERO!T51=0,"",FEBRERO!T51)</f>
        <v>Aportes Fondos Pensionales - Con Sit. Fondos</v>
      </c>
      <c r="U51" s="29">
        <f>+ENERO!U51</f>
        <v>0</v>
      </c>
      <c r="V51" s="15">
        <f>FEBRERO!V51+MARZO!AL51</f>
        <v>0</v>
      </c>
      <c r="W51" s="15">
        <f>FEBRERO!W51+MARZO!AM51</f>
        <v>0</v>
      </c>
      <c r="X51" s="18">
        <f t="shared" si="50"/>
        <v>0</v>
      </c>
      <c r="Y51" s="19">
        <f>FEBRERO!AA51</f>
        <v>0</v>
      </c>
      <c r="Z51" s="377">
        <v>0</v>
      </c>
      <c r="AA51" s="16">
        <f t="shared" si="51"/>
        <v>0</v>
      </c>
      <c r="AB51" s="19">
        <f>FEBRERO!AD51</f>
        <v>0</v>
      </c>
      <c r="AC51" s="377">
        <v>0</v>
      </c>
      <c r="AD51" s="16">
        <f t="shared" si="52"/>
        <v>0</v>
      </c>
      <c r="AE51" s="19">
        <f>FEBRERO!AG51</f>
        <v>0</v>
      </c>
      <c r="AF51" s="377">
        <v>0</v>
      </c>
      <c r="AG51" s="16">
        <f t="shared" si="53"/>
        <v>0</v>
      </c>
      <c r="AH51" s="19">
        <f t="shared" si="54"/>
        <v>0</v>
      </c>
      <c r="AI51" s="15">
        <f t="shared" si="55"/>
        <v>0</v>
      </c>
      <c r="AJ51" s="16">
        <f t="shared" si="56"/>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+IF(FEBRERO!A52=0,"",FEBRERO!A52)</f>
        <v>1130109-1</v>
      </c>
      <c r="B52" s="654" t="str">
        <f>+CONCATENATE("Vigencia ",INSTRUCCIONES!$F$3)</f>
        <v>Vigencia 2015</v>
      </c>
      <c r="C52" s="375">
        <f>+ENERO!C52</f>
        <v>0</v>
      </c>
      <c r="D52" s="376">
        <f>FEBRERO!D52+MARZO!P52</f>
        <v>0</v>
      </c>
      <c r="E52" s="376">
        <f>FEBRERO!E52+MARZO!Q52</f>
        <v>0</v>
      </c>
      <c r="F52" s="376">
        <f>SUM(C52:E52)</f>
        <v>0</v>
      </c>
      <c r="G52" s="376">
        <f>FEBRERO!I52</f>
        <v>0</v>
      </c>
      <c r="H52" s="377">
        <v>0</v>
      </c>
      <c r="I52" s="376">
        <f>SUM(G52:H52)</f>
        <v>0</v>
      </c>
      <c r="J52" s="376">
        <f>FEBRERO!L52</f>
        <v>0</v>
      </c>
      <c r="K52" s="377">
        <v>0</v>
      </c>
      <c r="L52" s="376">
        <f>SUM(J52:K52)</f>
        <v>0</v>
      </c>
      <c r="M52" s="376">
        <f>F52-I52</f>
        <v>0</v>
      </c>
      <c r="N52" s="146">
        <f>F52-L52</f>
        <v>0</v>
      </c>
      <c r="O52" s="385"/>
      <c r="P52" s="375">
        <v>0</v>
      </c>
      <c r="Q52" s="378">
        <v>0</v>
      </c>
      <c r="R52" s="9"/>
      <c r="S52" s="720" t="str">
        <f>+IF(FEBRERO!S52=0,"",FEBRERO!S52)</f>
        <v>1010302-3</v>
      </c>
      <c r="T52" s="738" t="str">
        <f>+IF(FEBRERO!T52=0,"",FEBRERO!T52)</f>
        <v xml:space="preserve">Aportes a Fondos de Cesantia - Con Sit. de Fondos </v>
      </c>
      <c r="U52" s="29">
        <f>+ENERO!U52</f>
        <v>0</v>
      </c>
      <c r="V52" s="15">
        <f>FEBRERO!V52+MARZO!AL52</f>
        <v>0</v>
      </c>
      <c r="W52" s="15">
        <f>FEBRERO!W52+MARZO!AM52</f>
        <v>0</v>
      </c>
      <c r="X52" s="18">
        <f t="shared" si="50"/>
        <v>0</v>
      </c>
      <c r="Y52" s="19">
        <f>FEBRERO!AA52</f>
        <v>0</v>
      </c>
      <c r="Z52" s="377">
        <v>0</v>
      </c>
      <c r="AA52" s="16">
        <f t="shared" si="51"/>
        <v>0</v>
      </c>
      <c r="AB52" s="19">
        <f>FEBRERO!AD52</f>
        <v>0</v>
      </c>
      <c r="AC52" s="377">
        <v>0</v>
      </c>
      <c r="AD52" s="16">
        <f t="shared" si="52"/>
        <v>0</v>
      </c>
      <c r="AE52" s="19">
        <f>FEBRERO!AG52</f>
        <v>0</v>
      </c>
      <c r="AF52" s="377">
        <v>0</v>
      </c>
      <c r="AG52" s="16">
        <f t="shared" si="53"/>
        <v>0</v>
      </c>
      <c r="AH52" s="19">
        <f t="shared" si="54"/>
        <v>0</v>
      </c>
      <c r="AI52" s="15">
        <f t="shared" si="55"/>
        <v>0</v>
      </c>
      <c r="AJ52" s="16">
        <f t="shared" si="56"/>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+IF(FEBRERO!A53=0,"",FEBRERO!A53)</f>
        <v>1130109-2</v>
      </c>
      <c r="B53" s="654" t="str">
        <f>+IF(FEBRERO!B53=0,"",FEBRERO!B53)</f>
        <v>Vigencia Anterior</v>
      </c>
      <c r="C53" s="375">
        <f>+ENERO!C53</f>
        <v>0</v>
      </c>
      <c r="D53" s="376">
        <f>FEBRERO!D53+MARZO!P53</f>
        <v>0</v>
      </c>
      <c r="E53" s="376">
        <f>FEBRERO!E53+MARZO!Q53</f>
        <v>0</v>
      </c>
      <c r="F53" s="376">
        <f>SUM(C53:E53)</f>
        <v>0</v>
      </c>
      <c r="G53" s="376">
        <f>FEBRERO!I53</f>
        <v>0</v>
      </c>
      <c r="H53" s="377">
        <v>0</v>
      </c>
      <c r="I53" s="376">
        <f>SUM(G53:H53)</f>
        <v>0</v>
      </c>
      <c r="J53" s="376">
        <f>FEBRERO!L53</f>
        <v>0</v>
      </c>
      <c r="K53" s="377">
        <v>0</v>
      </c>
      <c r="L53" s="376">
        <f>SUM(J53:K53)</f>
        <v>0</v>
      </c>
      <c r="M53" s="376">
        <f>F53-I53</f>
        <v>0</v>
      </c>
      <c r="N53" s="146">
        <f>F53-L53</f>
        <v>0</v>
      </c>
      <c r="O53" s="385"/>
      <c r="P53" s="375">
        <v>0</v>
      </c>
      <c r="Q53" s="378">
        <v>0</v>
      </c>
      <c r="R53" s="9"/>
      <c r="S53" s="720" t="str">
        <f>+IF(FEBRERO!S53=0,"",FEBRERO!S53)</f>
        <v>1010302-4</v>
      </c>
      <c r="T53" s="738" t="str">
        <f>+IF(FEBRERO!T53=0,"",FEBRERO!T53)</f>
        <v>Aporte a ARL. - Con Sit. de Fondos</v>
      </c>
      <c r="U53" s="29">
        <f>+ENERO!U53</f>
        <v>0</v>
      </c>
      <c r="V53" s="15">
        <f>FEBRERO!V53+MARZO!AL53</f>
        <v>0</v>
      </c>
      <c r="W53" s="15">
        <f>FEBRERO!W53+MARZO!AM53</f>
        <v>0</v>
      </c>
      <c r="X53" s="18">
        <f t="shared" si="50"/>
        <v>0</v>
      </c>
      <c r="Y53" s="19">
        <f>FEBRERO!AA53</f>
        <v>0</v>
      </c>
      <c r="Z53" s="377">
        <v>0</v>
      </c>
      <c r="AA53" s="16">
        <f t="shared" si="51"/>
        <v>0</v>
      </c>
      <c r="AB53" s="19">
        <f>FEBRERO!AD53</f>
        <v>0</v>
      </c>
      <c r="AC53" s="377">
        <v>0</v>
      </c>
      <c r="AD53" s="16">
        <f t="shared" si="52"/>
        <v>0</v>
      </c>
      <c r="AE53" s="19">
        <f>FEBRERO!AG53</f>
        <v>0</v>
      </c>
      <c r="AF53" s="377">
        <v>0</v>
      </c>
      <c r="AG53" s="16">
        <f t="shared" si="53"/>
        <v>0</v>
      </c>
      <c r="AH53" s="19">
        <f t="shared" si="54"/>
        <v>0</v>
      </c>
      <c r="AI53" s="15">
        <f t="shared" si="55"/>
        <v>0</v>
      </c>
      <c r="AJ53" s="16">
        <f t="shared" si="56"/>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+IF(FEBRERO!A54=0,"",FEBRERO!A54)</f>
        <v>1130110</v>
      </c>
      <c r="B54" s="653" t="str">
        <f>+IF(FEBRERO!B54=0,"",FEBRERO!B54)</f>
        <v>EMPRESAS MEDICINA PREPAGADA</v>
      </c>
      <c r="C54" s="43">
        <f t="shared" ref="C54:N54" si="58">SUM(C55:C56)</f>
        <v>0</v>
      </c>
      <c r="D54" s="44">
        <f t="shared" si="58"/>
        <v>0</v>
      </c>
      <c r="E54" s="44">
        <f t="shared" si="58"/>
        <v>0</v>
      </c>
      <c r="F54" s="44">
        <f t="shared" si="58"/>
        <v>0</v>
      </c>
      <c r="G54" s="44">
        <f t="shared" si="58"/>
        <v>0</v>
      </c>
      <c r="H54" s="44">
        <f t="shared" si="58"/>
        <v>0</v>
      </c>
      <c r="I54" s="44">
        <f t="shared" si="58"/>
        <v>0</v>
      </c>
      <c r="J54" s="44">
        <f t="shared" si="58"/>
        <v>0</v>
      </c>
      <c r="K54" s="44">
        <f t="shared" si="58"/>
        <v>0</v>
      </c>
      <c r="L54" s="44">
        <f t="shared" si="58"/>
        <v>0</v>
      </c>
      <c r="M54" s="44">
        <f t="shared" si="58"/>
        <v>0</v>
      </c>
      <c r="N54" s="45">
        <f t="shared" si="58"/>
        <v>0</v>
      </c>
      <c r="P54" s="43">
        <f>SUM(P55:P56)</f>
        <v>0</v>
      </c>
      <c r="Q54" s="45">
        <f>SUM(Q55:Q56)</f>
        <v>0</v>
      </c>
      <c r="R54" s="9"/>
      <c r="S54" s="720" t="str">
        <f>+IF(FEBRERO!S54=0,"",FEBRERO!S54)</f>
        <v>1010302-5</v>
      </c>
      <c r="T54" s="738" t="str">
        <f>+IF(FEBRERO!T54=0,"",FEBRERO!T54)</f>
        <v>Aporte a Caja Compensación Familiar</v>
      </c>
      <c r="U54" s="29">
        <f>+ENERO!U54</f>
        <v>14791923</v>
      </c>
      <c r="V54" s="15">
        <f>FEBRERO!V54+MARZO!AL54</f>
        <v>0</v>
      </c>
      <c r="W54" s="15">
        <f>FEBRERO!W54+MARZO!AM54</f>
        <v>0</v>
      </c>
      <c r="X54" s="18">
        <f t="shared" si="50"/>
        <v>14791923</v>
      </c>
      <c r="Y54" s="19">
        <f>FEBRERO!AA54</f>
        <v>2116600</v>
      </c>
      <c r="Z54" s="377">
        <v>527900</v>
      </c>
      <c r="AA54" s="16">
        <f t="shared" si="51"/>
        <v>2644500</v>
      </c>
      <c r="AB54" s="19">
        <f>FEBRERO!AD54</f>
        <v>2116600</v>
      </c>
      <c r="AC54" s="377">
        <v>527900</v>
      </c>
      <c r="AD54" s="16">
        <f t="shared" si="52"/>
        <v>2644500</v>
      </c>
      <c r="AE54" s="19">
        <f>FEBRERO!AG54</f>
        <v>1039200</v>
      </c>
      <c r="AF54" s="377">
        <v>1077400</v>
      </c>
      <c r="AG54" s="16">
        <f t="shared" si="53"/>
        <v>2116600</v>
      </c>
      <c r="AH54" s="19">
        <f t="shared" si="54"/>
        <v>12147423</v>
      </c>
      <c r="AI54" s="15">
        <f t="shared" si="55"/>
        <v>12147423</v>
      </c>
      <c r="AJ54" s="16">
        <f t="shared" si="56"/>
        <v>12675323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+IF(FEBRERO!A55=0,"",FEBRERO!A55)</f>
        <v>1130110-1</v>
      </c>
      <c r="B55" s="654" t="str">
        <f>+CONCATENATE("Vigencia ",INSTRUCCIONES!$F$3)</f>
        <v>Vigencia 2015</v>
      </c>
      <c r="C55" s="375">
        <f>+ENERO!C55</f>
        <v>0</v>
      </c>
      <c r="D55" s="376">
        <f>FEBRERO!D55+MARZO!P55</f>
        <v>0</v>
      </c>
      <c r="E55" s="376">
        <f>FEBRERO!E55+MARZO!Q55</f>
        <v>0</v>
      </c>
      <c r="F55" s="376">
        <f>SUM(C55:E55)</f>
        <v>0</v>
      </c>
      <c r="G55" s="376">
        <f>FEBRERO!I55</f>
        <v>0</v>
      </c>
      <c r="H55" s="377">
        <v>0</v>
      </c>
      <c r="I55" s="376">
        <f>SUM(G55:H55)</f>
        <v>0</v>
      </c>
      <c r="J55" s="376">
        <f>FEBRERO!L55</f>
        <v>0</v>
      </c>
      <c r="K55" s="377">
        <v>0</v>
      </c>
      <c r="L55" s="376">
        <f>SUM(J55:K55)</f>
        <v>0</v>
      </c>
      <c r="M55" s="376">
        <f>F55-I55</f>
        <v>0</v>
      </c>
      <c r="N55" s="146">
        <f>F55-L55</f>
        <v>0</v>
      </c>
      <c r="O55" s="385"/>
      <c r="P55" s="375">
        <v>0</v>
      </c>
      <c r="Q55" s="378">
        <v>0</v>
      </c>
      <c r="R55" s="9"/>
      <c r="S55" s="719">
        <f>+IF(FEBRERO!S55=0,"",FEBRERO!S55)</f>
        <v>1010399</v>
      </c>
      <c r="T55" s="737" t="str">
        <f>+IF(FEBRERO!T55=0,"",FEBRERO!T55)</f>
        <v>Vigencias Anteriores</v>
      </c>
      <c r="U55" s="29">
        <f>+ENERO!U55</f>
        <v>0</v>
      </c>
      <c r="V55" s="15">
        <f>FEBRERO!V55+MARZO!AL55</f>
        <v>0</v>
      </c>
      <c r="W55" s="15">
        <f>FEBRERO!W55+MARZO!AM55</f>
        <v>29964174</v>
      </c>
      <c r="X55" s="18">
        <f t="shared" si="50"/>
        <v>29964174</v>
      </c>
      <c r="Y55" s="19">
        <f>FEBRERO!AA55</f>
        <v>29964174</v>
      </c>
      <c r="Z55" s="377">
        <v>0</v>
      </c>
      <c r="AA55" s="16">
        <f t="shared" si="51"/>
        <v>29964174</v>
      </c>
      <c r="AB55" s="19">
        <f>FEBRERO!AD55</f>
        <v>29964174</v>
      </c>
      <c r="AC55" s="377">
        <v>0</v>
      </c>
      <c r="AD55" s="16">
        <f t="shared" si="52"/>
        <v>29964174</v>
      </c>
      <c r="AE55" s="19">
        <f>FEBRERO!AG55</f>
        <v>29598035</v>
      </c>
      <c r="AF55" s="377">
        <v>173025</v>
      </c>
      <c r="AG55" s="16">
        <f t="shared" si="53"/>
        <v>29771060</v>
      </c>
      <c r="AH55" s="19">
        <f t="shared" si="54"/>
        <v>0</v>
      </c>
      <c r="AI55" s="15">
        <f t="shared" si="55"/>
        <v>0</v>
      </c>
      <c r="AJ55" s="16">
        <f t="shared" si="56"/>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+IF(FEBRERO!A56=0,"",FEBRERO!A56)</f>
        <v>1130110-2</v>
      </c>
      <c r="B56" s="654" t="str">
        <f>+IF(FEBRERO!B56=0,"",FEBRERO!B56)</f>
        <v>Vigencia Anterior</v>
      </c>
      <c r="C56" s="375">
        <f>+ENERO!C56</f>
        <v>0</v>
      </c>
      <c r="D56" s="376">
        <f>FEBRERO!D56+MARZO!P56</f>
        <v>0</v>
      </c>
      <c r="E56" s="376">
        <f>FEBRERO!E56+MARZO!Q56</f>
        <v>0</v>
      </c>
      <c r="F56" s="376">
        <f>SUM(C56:E56)</f>
        <v>0</v>
      </c>
      <c r="G56" s="376">
        <f>FEBRERO!I56</f>
        <v>0</v>
      </c>
      <c r="H56" s="377">
        <v>0</v>
      </c>
      <c r="I56" s="376">
        <f>SUM(G56:H56)</f>
        <v>0</v>
      </c>
      <c r="J56" s="376">
        <f>FEBRERO!L56</f>
        <v>0</v>
      </c>
      <c r="K56" s="377">
        <v>0</v>
      </c>
      <c r="L56" s="376">
        <f>SUM(J56:K56)</f>
        <v>0</v>
      </c>
      <c r="M56" s="376">
        <f>F56-I56</f>
        <v>0</v>
      </c>
      <c r="N56" s="146">
        <f>F56-L56</f>
        <v>0</v>
      </c>
      <c r="O56" s="385"/>
      <c r="P56" s="375">
        <v>0</v>
      </c>
      <c r="Q56" s="378">
        <v>0</v>
      </c>
      <c r="R56" s="9"/>
      <c r="S56" s="369" t="str">
        <f>+IF(FEBRERO!S56=0,"",FEBRERO!S56)</f>
        <v/>
      </c>
      <c r="T56" s="708" t="str">
        <f>+IF(FEBRERO!T56=0,"",FEBRERO!T56)</f>
        <v/>
      </c>
      <c r="U56" s="370"/>
      <c r="V56" s="164"/>
      <c r="W56" s="164"/>
      <c r="X56" s="164"/>
      <c r="Y56" s="370"/>
      <c r="Z56" s="164"/>
      <c r="AA56" s="169"/>
      <c r="AB56" s="370"/>
      <c r="AC56" s="164"/>
      <c r="AD56" s="169"/>
      <c r="AE56" s="370"/>
      <c r="AF56" s="164"/>
      <c r="AG56" s="169"/>
      <c r="AH56" s="370"/>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+IF(FEBRERO!A57=0,"",FEBRERO!A57)</f>
        <v>1130111</v>
      </c>
      <c r="B57" s="653" t="str">
        <f>+IF(FEBRERO!B57=0,"",FEBRERO!B57)</f>
        <v>IPS PRIVADAS</v>
      </c>
      <c r="C57" s="43">
        <f t="shared" ref="C57:N57" si="59">SUM(C58:C59)</f>
        <v>0</v>
      </c>
      <c r="D57" s="44">
        <f t="shared" si="59"/>
        <v>0</v>
      </c>
      <c r="E57" s="44">
        <f t="shared" si="59"/>
        <v>0</v>
      </c>
      <c r="F57" s="44">
        <f t="shared" si="59"/>
        <v>0</v>
      </c>
      <c r="G57" s="44">
        <f t="shared" si="59"/>
        <v>0</v>
      </c>
      <c r="H57" s="44">
        <f t="shared" si="59"/>
        <v>0</v>
      </c>
      <c r="I57" s="44">
        <f t="shared" si="59"/>
        <v>0</v>
      </c>
      <c r="J57" s="44">
        <f t="shared" si="59"/>
        <v>0</v>
      </c>
      <c r="K57" s="44">
        <f t="shared" si="59"/>
        <v>0</v>
      </c>
      <c r="L57" s="44">
        <f t="shared" si="59"/>
        <v>0</v>
      </c>
      <c r="M57" s="44">
        <f t="shared" si="59"/>
        <v>0</v>
      </c>
      <c r="N57" s="45">
        <f t="shared" si="59"/>
        <v>0</v>
      </c>
      <c r="P57" s="43">
        <f>SUM(P58:P59)</f>
        <v>0</v>
      </c>
      <c r="Q57" s="45">
        <f>SUM(Q58:Q59)</f>
        <v>0</v>
      </c>
      <c r="R57" s="9"/>
      <c r="S57" s="718">
        <f>+IF(FEBRERO!S57=0,"",FEBRERO!S57)</f>
        <v>1010400</v>
      </c>
      <c r="T57" s="736" t="str">
        <f>+IF(FEBRERO!T57=0,"",FEBRERO!T57)</f>
        <v>Contribuciones Inherentes nómina del Sector Publico</v>
      </c>
      <c r="U57" s="131">
        <f t="shared" ref="U57:AJ57" si="60">U58+U61</f>
        <v>18489903</v>
      </c>
      <c r="V57" s="124">
        <f t="shared" si="60"/>
        <v>0</v>
      </c>
      <c r="W57" s="124">
        <f t="shared" si="60"/>
        <v>1280600</v>
      </c>
      <c r="X57" s="132">
        <f t="shared" si="60"/>
        <v>19770503</v>
      </c>
      <c r="Y57" s="131">
        <f t="shared" si="60"/>
        <v>3909900</v>
      </c>
      <c r="Z57" s="124">
        <f t="shared" si="60"/>
        <v>1847100</v>
      </c>
      <c r="AA57" s="133">
        <f t="shared" si="60"/>
        <v>5757000</v>
      </c>
      <c r="AB57" s="131">
        <f t="shared" si="60"/>
        <v>3909900</v>
      </c>
      <c r="AC57" s="124">
        <f t="shared" si="60"/>
        <v>1847100</v>
      </c>
      <c r="AD57" s="133">
        <f t="shared" si="60"/>
        <v>5757000</v>
      </c>
      <c r="AE57" s="131">
        <f t="shared" si="60"/>
        <v>2562900</v>
      </c>
      <c r="AF57" s="124">
        <f t="shared" si="60"/>
        <v>1347000</v>
      </c>
      <c r="AG57" s="133">
        <f t="shared" si="60"/>
        <v>3909900</v>
      </c>
      <c r="AH57" s="131">
        <f t="shared" si="60"/>
        <v>14013503</v>
      </c>
      <c r="AI57" s="124">
        <f t="shared" si="60"/>
        <v>14013503</v>
      </c>
      <c r="AJ57" s="133">
        <f t="shared" si="60"/>
        <v>15860603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+IF(FEBRERO!A58=0,"",FEBRERO!A58)</f>
        <v>1130111-1</v>
      </c>
      <c r="B58" s="654" t="str">
        <f>+CONCATENATE("Vigencia ",INSTRUCCIONES!$F$3)</f>
        <v>Vigencia 2015</v>
      </c>
      <c r="C58" s="375">
        <f>+ENERO!C58</f>
        <v>0</v>
      </c>
      <c r="D58" s="376">
        <f>FEBRERO!D58+MARZO!P58</f>
        <v>0</v>
      </c>
      <c r="E58" s="376">
        <f>FEBRERO!E58+MARZO!Q58</f>
        <v>0</v>
      </c>
      <c r="F58" s="376">
        <f>SUM(C58:E58)</f>
        <v>0</v>
      </c>
      <c r="G58" s="376">
        <f>FEBRERO!I58</f>
        <v>0</v>
      </c>
      <c r="H58" s="377">
        <v>0</v>
      </c>
      <c r="I58" s="376">
        <f>SUM(G58:H58)</f>
        <v>0</v>
      </c>
      <c r="J58" s="376">
        <f>FEBRERO!L58</f>
        <v>0</v>
      </c>
      <c r="K58" s="377">
        <v>0</v>
      </c>
      <c r="L58" s="376">
        <f>SUM(J58:K58)</f>
        <v>0</v>
      </c>
      <c r="M58" s="376">
        <f>F58-I58</f>
        <v>0</v>
      </c>
      <c r="N58" s="146">
        <f>F58-L58</f>
        <v>0</v>
      </c>
      <c r="O58" s="385"/>
      <c r="P58" s="375">
        <v>0</v>
      </c>
      <c r="Q58" s="378">
        <v>0</v>
      </c>
      <c r="R58" s="9"/>
      <c r="S58" s="719">
        <f>+IF(FEBRERO!S58=0,"",FEBRERO!S58)</f>
        <v>1010402</v>
      </c>
      <c r="T58" s="737" t="str">
        <f>+IF(FEBRERO!T58=0,"",FEBRERO!T58)</f>
        <v>Contribuciones - Otros</v>
      </c>
      <c r="U58" s="29">
        <f t="shared" ref="U58:AJ58" si="61">SUM(U59:U60)</f>
        <v>18489903</v>
      </c>
      <c r="V58" s="15">
        <f t="shared" si="61"/>
        <v>0</v>
      </c>
      <c r="W58" s="15">
        <f t="shared" si="61"/>
        <v>0</v>
      </c>
      <c r="X58" s="18">
        <f t="shared" si="61"/>
        <v>18489903</v>
      </c>
      <c r="Y58" s="19">
        <f t="shared" si="61"/>
        <v>2629300</v>
      </c>
      <c r="Z58" s="145">
        <f t="shared" si="61"/>
        <v>1847100</v>
      </c>
      <c r="AA58" s="16">
        <f t="shared" si="61"/>
        <v>4476400</v>
      </c>
      <c r="AB58" s="19">
        <f t="shared" si="61"/>
        <v>2629300</v>
      </c>
      <c r="AC58" s="145">
        <f t="shared" si="61"/>
        <v>1847100</v>
      </c>
      <c r="AD58" s="16">
        <f t="shared" si="61"/>
        <v>4476400</v>
      </c>
      <c r="AE58" s="19">
        <f t="shared" si="61"/>
        <v>1282300</v>
      </c>
      <c r="AF58" s="145">
        <f t="shared" si="61"/>
        <v>1347000</v>
      </c>
      <c r="AG58" s="16">
        <f t="shared" si="61"/>
        <v>2629300</v>
      </c>
      <c r="AH58" s="19">
        <f t="shared" si="61"/>
        <v>14013503</v>
      </c>
      <c r="AI58" s="15">
        <f t="shared" si="61"/>
        <v>14013503</v>
      </c>
      <c r="AJ58" s="16">
        <f t="shared" si="61"/>
        <v>15860603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+IF(FEBRERO!A59=0,"",FEBRERO!A59)</f>
        <v>1130111-2</v>
      </c>
      <c r="B59" s="654" t="str">
        <f>+IF(FEBRERO!B59=0,"",FEBRERO!B59)</f>
        <v>Vigencia Anterior</v>
      </c>
      <c r="C59" s="375">
        <f>+ENERO!C59</f>
        <v>0</v>
      </c>
      <c r="D59" s="376">
        <f>FEBRERO!D59+MARZO!P59</f>
        <v>0</v>
      </c>
      <c r="E59" s="376">
        <f>FEBRERO!E59+MARZO!Q59</f>
        <v>0</v>
      </c>
      <c r="F59" s="376">
        <f>SUM(C59:E59)</f>
        <v>0</v>
      </c>
      <c r="G59" s="376">
        <f>FEBRERO!I59</f>
        <v>0</v>
      </c>
      <c r="H59" s="377">
        <v>0</v>
      </c>
      <c r="I59" s="376">
        <f>SUM(G59:H59)</f>
        <v>0</v>
      </c>
      <c r="J59" s="376">
        <f>FEBRERO!L59</f>
        <v>0</v>
      </c>
      <c r="K59" s="377">
        <v>0</v>
      </c>
      <c r="L59" s="376">
        <f>SUM(J59:K59)</f>
        <v>0</v>
      </c>
      <c r="M59" s="376">
        <f>F59-I59</f>
        <v>0</v>
      </c>
      <c r="N59" s="146">
        <f>F59-L59</f>
        <v>0</v>
      </c>
      <c r="O59" s="385"/>
      <c r="P59" s="375">
        <v>0</v>
      </c>
      <c r="Q59" s="378">
        <v>0</v>
      </c>
      <c r="R59" s="9"/>
      <c r="S59" s="720" t="str">
        <f>+IF(FEBRERO!S59=0,"",FEBRERO!S59)</f>
        <v>1010402-1</v>
      </c>
      <c r="T59" s="737" t="str">
        <f>+IF(FEBRERO!T59=0,"",FEBRERO!T59)</f>
        <v>S.E.N.A.</v>
      </c>
      <c r="U59" s="29">
        <f>+ENERO!U59</f>
        <v>7395961</v>
      </c>
      <c r="V59" s="15">
        <f>FEBRERO!V59+MARZO!AL59</f>
        <v>0</v>
      </c>
      <c r="W59" s="15">
        <f>FEBRERO!W59+MARZO!AM59</f>
        <v>0</v>
      </c>
      <c r="X59" s="18">
        <f>SUM(U59:W59)</f>
        <v>7395961</v>
      </c>
      <c r="Y59" s="19">
        <f>FEBRERO!AA59</f>
        <v>1041700</v>
      </c>
      <c r="Z59" s="377">
        <v>791600</v>
      </c>
      <c r="AA59" s="16">
        <f>SUM(Y59:Z59)</f>
        <v>1833300</v>
      </c>
      <c r="AB59" s="19">
        <f>FEBRERO!AD59</f>
        <v>1041700</v>
      </c>
      <c r="AC59" s="377">
        <v>791600</v>
      </c>
      <c r="AD59" s="16">
        <f>SUM(AB59:AC59)</f>
        <v>1833300</v>
      </c>
      <c r="AE59" s="19">
        <f>FEBRERO!AG59</f>
        <v>503200</v>
      </c>
      <c r="AF59" s="377">
        <v>538500</v>
      </c>
      <c r="AG59" s="16">
        <f>SUM(AE59:AF59)</f>
        <v>1041700</v>
      </c>
      <c r="AH59" s="19">
        <f>X59-AA59</f>
        <v>5562661</v>
      </c>
      <c r="AI59" s="15">
        <f>X59-AD59</f>
        <v>5562661</v>
      </c>
      <c r="AJ59" s="16">
        <f>X59-AG59</f>
        <v>6354261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+IF(FEBRERO!A60=0,"",FEBRERO!A60)</f>
        <v>1130112</v>
      </c>
      <c r="B60" s="653" t="str">
        <f>+IF(FEBRERO!B60=0,"",FEBRERO!B60)</f>
        <v>IPS PUBLICAS</v>
      </c>
      <c r="C60" s="43">
        <f t="shared" ref="C60:N60" si="62">SUM(C61:C62)</f>
        <v>3473660</v>
      </c>
      <c r="D60" s="44">
        <f t="shared" si="62"/>
        <v>0</v>
      </c>
      <c r="E60" s="44">
        <f t="shared" si="62"/>
        <v>0</v>
      </c>
      <c r="F60" s="44">
        <f t="shared" si="62"/>
        <v>3473660</v>
      </c>
      <c r="G60" s="44">
        <f t="shared" si="62"/>
        <v>970531</v>
      </c>
      <c r="H60" s="44">
        <f t="shared" si="62"/>
        <v>323318</v>
      </c>
      <c r="I60" s="44">
        <f t="shared" si="62"/>
        <v>1293849</v>
      </c>
      <c r="J60" s="44">
        <f t="shared" si="62"/>
        <v>0</v>
      </c>
      <c r="K60" s="44">
        <f t="shared" si="62"/>
        <v>0</v>
      </c>
      <c r="L60" s="44">
        <f t="shared" si="62"/>
        <v>0</v>
      </c>
      <c r="M60" s="44">
        <f t="shared" si="62"/>
        <v>2179811</v>
      </c>
      <c r="N60" s="45">
        <f t="shared" si="62"/>
        <v>3473660</v>
      </c>
      <c r="P60" s="43">
        <f>SUM(P61:P62)</f>
        <v>0</v>
      </c>
      <c r="Q60" s="45">
        <f>SUM(Q61:Q62)</f>
        <v>0</v>
      </c>
      <c r="R60" s="9"/>
      <c r="S60" s="720" t="str">
        <f>+IF(FEBRERO!S60=0,"",FEBRERO!S60)</f>
        <v>1010402-2</v>
      </c>
      <c r="T60" s="737" t="str">
        <f>+IF(FEBRERO!T60=0,"",FEBRERO!T60)</f>
        <v>I.C.B.F.</v>
      </c>
      <c r="U60" s="29">
        <f>+ENERO!U60</f>
        <v>11093942</v>
      </c>
      <c r="V60" s="15">
        <f>FEBRERO!V60+MARZO!AL60</f>
        <v>0</v>
      </c>
      <c r="W60" s="15">
        <f>FEBRERO!W60+MARZO!AM60</f>
        <v>0</v>
      </c>
      <c r="X60" s="18">
        <f>SUM(U60:W60)</f>
        <v>11093942</v>
      </c>
      <c r="Y60" s="19">
        <f>FEBRERO!AA60</f>
        <v>1587600</v>
      </c>
      <c r="Z60" s="377">
        <v>1055500</v>
      </c>
      <c r="AA60" s="16">
        <f>SUM(Y60:Z60)</f>
        <v>2643100</v>
      </c>
      <c r="AB60" s="19">
        <f>FEBRERO!AD60</f>
        <v>1587600</v>
      </c>
      <c r="AC60" s="377">
        <v>1055500</v>
      </c>
      <c r="AD60" s="16">
        <f>SUM(AB60:AC60)</f>
        <v>2643100</v>
      </c>
      <c r="AE60" s="19">
        <f>FEBRERO!AG60</f>
        <v>779100</v>
      </c>
      <c r="AF60" s="377">
        <v>808500</v>
      </c>
      <c r="AG60" s="16">
        <f>SUM(AE60:AF60)</f>
        <v>1587600</v>
      </c>
      <c r="AH60" s="19">
        <f>X60-AA60</f>
        <v>8450842</v>
      </c>
      <c r="AI60" s="15">
        <f>X60-AD60</f>
        <v>8450842</v>
      </c>
      <c r="AJ60" s="16">
        <f>X60-AG60</f>
        <v>9506342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+IF(FEBRERO!A61=0,"",FEBRERO!A61)</f>
        <v>1130112-1</v>
      </c>
      <c r="B61" s="654" t="str">
        <f>+CONCATENATE("Vigencia ",INSTRUCCIONES!$F$3)</f>
        <v>Vigencia 2015</v>
      </c>
      <c r="C61" s="375">
        <f>+ENERO!C61</f>
        <v>3473660</v>
      </c>
      <c r="D61" s="376">
        <f>FEBRERO!D61+MARZO!P61</f>
        <v>0</v>
      </c>
      <c r="E61" s="376">
        <f>FEBRERO!E61+MARZO!Q61</f>
        <v>0</v>
      </c>
      <c r="F61" s="376">
        <f>SUM(C61:E61)</f>
        <v>3473660</v>
      </c>
      <c r="G61" s="376">
        <f>FEBRERO!I61</f>
        <v>970531</v>
      </c>
      <c r="H61" s="377">
        <v>323318</v>
      </c>
      <c r="I61" s="376">
        <f>SUM(G61:H61)</f>
        <v>1293849</v>
      </c>
      <c r="J61" s="376">
        <f>FEBRERO!L61</f>
        <v>0</v>
      </c>
      <c r="K61" s="377">
        <v>0</v>
      </c>
      <c r="L61" s="376">
        <f>SUM(J61:K61)</f>
        <v>0</v>
      </c>
      <c r="M61" s="376">
        <f>F61-I61</f>
        <v>2179811</v>
      </c>
      <c r="N61" s="146">
        <f>F61-L61</f>
        <v>3473660</v>
      </c>
      <c r="O61" s="385"/>
      <c r="P61" s="375">
        <v>0</v>
      </c>
      <c r="Q61" s="378">
        <v>0</v>
      </c>
      <c r="R61" s="9"/>
      <c r="S61" s="719">
        <f>+IF(FEBRERO!S61=0,"",FEBRERO!S61)</f>
        <v>1010499</v>
      </c>
      <c r="T61" s="737" t="str">
        <f>+IF(FEBRERO!T61=0,"",FEBRERO!T61)</f>
        <v>Vigencias Anteriores</v>
      </c>
      <c r="U61" s="29">
        <f>+ENERO!U61</f>
        <v>0</v>
      </c>
      <c r="V61" s="15">
        <f>FEBRERO!V61+MARZO!AL61</f>
        <v>0</v>
      </c>
      <c r="W61" s="15">
        <f>FEBRERO!W61+MARZO!AM61</f>
        <v>1280600</v>
      </c>
      <c r="X61" s="18">
        <f>SUM(U61:W61)</f>
        <v>1280600</v>
      </c>
      <c r="Y61" s="19">
        <f>FEBRERO!AA61</f>
        <v>1280600</v>
      </c>
      <c r="Z61" s="377">
        <v>0</v>
      </c>
      <c r="AA61" s="16">
        <f>SUM(Y61:Z61)</f>
        <v>1280600</v>
      </c>
      <c r="AB61" s="19">
        <f>FEBRERO!AD61</f>
        <v>1280600</v>
      </c>
      <c r="AC61" s="377">
        <v>0</v>
      </c>
      <c r="AD61" s="16">
        <f>SUM(AB61:AC61)</f>
        <v>1280600</v>
      </c>
      <c r="AE61" s="19">
        <f>FEBRERO!AG61</f>
        <v>1280600</v>
      </c>
      <c r="AF61" s="377">
        <v>0</v>
      </c>
      <c r="AG61" s="16">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+IF(FEBRERO!A62=0,"",FEBRERO!A62)</f>
        <v>1130112-2</v>
      </c>
      <c r="B62" s="654" t="str">
        <f>+IF(FEBRERO!B62=0,"",FEBRERO!B62)</f>
        <v>Vigencia Anterior</v>
      </c>
      <c r="C62" s="375">
        <f>+ENERO!C62</f>
        <v>0</v>
      </c>
      <c r="D62" s="376">
        <f>FEBRERO!D62+MARZO!P62</f>
        <v>0</v>
      </c>
      <c r="E62" s="376">
        <f>FEBRERO!E62+MARZO!Q62</f>
        <v>0</v>
      </c>
      <c r="F62" s="376">
        <f>SUM(C62:E62)</f>
        <v>0</v>
      </c>
      <c r="G62" s="376">
        <f>FEBRERO!I62</f>
        <v>0</v>
      </c>
      <c r="H62" s="377">
        <v>0</v>
      </c>
      <c r="I62" s="376">
        <f>SUM(G62:H62)</f>
        <v>0</v>
      </c>
      <c r="J62" s="376">
        <f>FEBRERO!L62</f>
        <v>0</v>
      </c>
      <c r="K62" s="377">
        <v>0</v>
      </c>
      <c r="L62" s="376">
        <f>SUM(J62:K62)</f>
        <v>0</v>
      </c>
      <c r="M62" s="376">
        <f>F62-I62</f>
        <v>0</v>
      </c>
      <c r="N62" s="146">
        <f>F62-L62</f>
        <v>0</v>
      </c>
      <c r="O62" s="385"/>
      <c r="P62" s="375">
        <v>0</v>
      </c>
      <c r="Q62" s="378">
        <v>0</v>
      </c>
      <c r="R62" s="9"/>
      <c r="S62" s="369" t="str">
        <f>+IF(FEBRERO!S62=0,"",FEBRERO!S62)</f>
        <v/>
      </c>
      <c r="T62" s="708" t="str">
        <f>+IF(FEBRERO!T62=0,"",FEBRERO!T62)</f>
        <v/>
      </c>
      <c r="U62" s="370"/>
      <c r="V62" s="164"/>
      <c r="W62" s="164"/>
      <c r="X62" s="164"/>
      <c r="Y62" s="370"/>
      <c r="Z62" s="164"/>
      <c r="AA62" s="169"/>
      <c r="AB62" s="370"/>
      <c r="AC62" s="164"/>
      <c r="AD62" s="169"/>
      <c r="AE62" s="370"/>
      <c r="AF62" s="164"/>
      <c r="AG62" s="169"/>
      <c r="AH62" s="370"/>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+IF(FEBRERO!A63=0,"",FEBRERO!A63)</f>
        <v>1130113</v>
      </c>
      <c r="B63" s="653" t="str">
        <f>+IF(FEBRERO!B63=0,"",FEBRERO!B63)</f>
        <v>COMPAÑIAS DE SEGUROS  - ACCIDENTES DE TRANSITO (SOAT)</v>
      </c>
      <c r="C63" s="43">
        <f t="shared" ref="C63:N63" si="63">SUM(C64:C65)</f>
        <v>22951026</v>
      </c>
      <c r="D63" s="44">
        <f t="shared" si="63"/>
        <v>0</v>
      </c>
      <c r="E63" s="44">
        <f t="shared" si="63"/>
        <v>2940835</v>
      </c>
      <c r="F63" s="44">
        <f t="shared" si="63"/>
        <v>25891861</v>
      </c>
      <c r="G63" s="44">
        <f t="shared" si="63"/>
        <v>6249784</v>
      </c>
      <c r="H63" s="44">
        <f t="shared" si="63"/>
        <v>2766594</v>
      </c>
      <c r="I63" s="44">
        <f t="shared" si="63"/>
        <v>9016378</v>
      </c>
      <c r="J63" s="44">
        <f t="shared" si="63"/>
        <v>1795561</v>
      </c>
      <c r="K63" s="44">
        <f t="shared" si="63"/>
        <v>1916772</v>
      </c>
      <c r="L63" s="44">
        <f t="shared" si="63"/>
        <v>3712333</v>
      </c>
      <c r="M63" s="44">
        <f t="shared" si="63"/>
        <v>16875483</v>
      </c>
      <c r="N63" s="45">
        <f t="shared" si="63"/>
        <v>22179528</v>
      </c>
      <c r="P63" s="43">
        <f>SUM(P64:P65)</f>
        <v>0</v>
      </c>
      <c r="Q63" s="45">
        <f>SUM(Q64:Q65)</f>
        <v>0</v>
      </c>
      <c r="R63" s="9"/>
      <c r="S63" s="717">
        <f>+IF(FEBRERO!S63=0,"",FEBRERO!S63)</f>
        <v>1020010</v>
      </c>
      <c r="T63" s="735" t="str">
        <f>+IF(FEBRERO!T63=0,"",FEBRERO!T63)</f>
        <v>Gastos de Operación</v>
      </c>
      <c r="U63" s="131">
        <f t="shared" ref="U63:AJ63" si="64">U65+U83+U90+U104</f>
        <v>1276921669</v>
      </c>
      <c r="V63" s="124">
        <f t="shared" si="64"/>
        <v>20000000</v>
      </c>
      <c r="W63" s="124">
        <f t="shared" si="64"/>
        <v>78294418</v>
      </c>
      <c r="X63" s="132">
        <f t="shared" si="64"/>
        <v>1375216087</v>
      </c>
      <c r="Y63" s="131">
        <f t="shared" si="64"/>
        <v>306049256</v>
      </c>
      <c r="Z63" s="124">
        <f t="shared" si="64"/>
        <v>96638726</v>
      </c>
      <c r="AA63" s="133">
        <f t="shared" si="64"/>
        <v>402687982</v>
      </c>
      <c r="AB63" s="131">
        <f t="shared" si="64"/>
        <v>265525256</v>
      </c>
      <c r="AC63" s="124">
        <f t="shared" si="64"/>
        <v>100080059</v>
      </c>
      <c r="AD63" s="133">
        <f t="shared" si="64"/>
        <v>365605315</v>
      </c>
      <c r="AE63" s="131">
        <f t="shared" si="64"/>
        <v>231692063</v>
      </c>
      <c r="AF63" s="124">
        <f t="shared" si="64"/>
        <v>79174423</v>
      </c>
      <c r="AG63" s="133">
        <f t="shared" si="64"/>
        <v>310866486</v>
      </c>
      <c r="AH63" s="131">
        <f t="shared" si="64"/>
        <v>972528105</v>
      </c>
      <c r="AI63" s="124">
        <f t="shared" si="64"/>
        <v>1009610772</v>
      </c>
      <c r="AJ63" s="133">
        <f t="shared" si="64"/>
        <v>1064349601</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+IF(FEBRERO!A64=0,"",FEBRERO!A64)</f>
        <v>1130113-1</v>
      </c>
      <c r="B64" s="654" t="str">
        <f>+CONCATENATE("Vigencia ",INSTRUCCIONES!$F$3)</f>
        <v>Vigencia 2015</v>
      </c>
      <c r="C64" s="375">
        <f>+ENERO!C64</f>
        <v>22951026</v>
      </c>
      <c r="D64" s="376">
        <f>FEBRERO!D64+MARZO!P64</f>
        <v>0</v>
      </c>
      <c r="E64" s="376">
        <f>FEBRERO!E64+MARZO!Q64</f>
        <v>0</v>
      </c>
      <c r="F64" s="376">
        <f>SUM(C64:E64)</f>
        <v>22951026</v>
      </c>
      <c r="G64" s="376">
        <f>FEBRERO!I64</f>
        <v>4454223</v>
      </c>
      <c r="H64" s="377">
        <f>1898814-644511</f>
        <v>1254303</v>
      </c>
      <c r="I64" s="376">
        <f>SUM(G64:H64)</f>
        <v>5708526</v>
      </c>
      <c r="J64" s="376">
        <f>FEBRERO!L64</f>
        <v>0</v>
      </c>
      <c r="K64" s="377">
        <v>404481</v>
      </c>
      <c r="L64" s="376">
        <f>SUM(J64:K64)</f>
        <v>404481</v>
      </c>
      <c r="M64" s="376">
        <f>F64-I64</f>
        <v>17242500</v>
      </c>
      <c r="N64" s="146">
        <f>F64-L64</f>
        <v>22546545</v>
      </c>
      <c r="O64" s="385"/>
      <c r="P64" s="375">
        <v>0</v>
      </c>
      <c r="Q64" s="378">
        <v>0</v>
      </c>
      <c r="R64" s="9"/>
      <c r="S64" s="369" t="str">
        <f>+IF(FEBRERO!S64=0,"",FEBRERO!S64)</f>
        <v/>
      </c>
      <c r="T64" s="708" t="str">
        <f>+IF(FEBRERO!T64=0,"",FEBRERO!T64)</f>
        <v/>
      </c>
      <c r="U64" s="370"/>
      <c r="V64" s="164"/>
      <c r="W64" s="164"/>
      <c r="X64" s="164"/>
      <c r="Y64" s="370"/>
      <c r="Z64" s="164"/>
      <c r="AA64" s="169"/>
      <c r="AB64" s="370"/>
      <c r="AC64" s="164"/>
      <c r="AD64" s="169"/>
      <c r="AE64" s="370"/>
      <c r="AF64" s="164"/>
      <c r="AG64" s="169"/>
      <c r="AH64" s="370"/>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+IF(FEBRERO!A65=0,"",FEBRERO!A65)</f>
        <v>1130113-2</v>
      </c>
      <c r="B65" s="654" t="str">
        <f>+IF(FEBRERO!B65=0,"",FEBRERO!B65)</f>
        <v>Vigencia Anterior</v>
      </c>
      <c r="C65" s="375">
        <f>+ENERO!C65</f>
        <v>0</v>
      </c>
      <c r="D65" s="376">
        <f>FEBRERO!D65+MARZO!P65</f>
        <v>0</v>
      </c>
      <c r="E65" s="376">
        <f>FEBRERO!E65+MARZO!Q65</f>
        <v>2940835</v>
      </c>
      <c r="F65" s="376">
        <f>SUM(C65:E65)</f>
        <v>2940835</v>
      </c>
      <c r="G65" s="376">
        <f>FEBRERO!I65</f>
        <v>1795561</v>
      </c>
      <c r="H65" s="377">
        <v>1512291</v>
      </c>
      <c r="I65" s="376">
        <f>SUM(G65:H65)</f>
        <v>3307852</v>
      </c>
      <c r="J65" s="376">
        <f>FEBRERO!L65</f>
        <v>1795561</v>
      </c>
      <c r="K65" s="377">
        <v>1512291</v>
      </c>
      <c r="L65" s="376">
        <f>SUM(J65:K65)</f>
        <v>3307852</v>
      </c>
      <c r="M65" s="376">
        <f>F65-I65</f>
        <v>-367017</v>
      </c>
      <c r="N65" s="146">
        <f>F65-L65</f>
        <v>-367017</v>
      </c>
      <c r="O65" s="385"/>
      <c r="P65" s="375">
        <v>0</v>
      </c>
      <c r="Q65" s="378">
        <v>0</v>
      </c>
      <c r="R65" s="9"/>
      <c r="S65" s="718">
        <f>+IF(FEBRERO!S65=0,"",FEBRERO!S65)</f>
        <v>1020100</v>
      </c>
      <c r="T65" s="736" t="str">
        <f>+IF(FEBRERO!T65=0,"",FEBRERO!T65)</f>
        <v>Servicios Personales Asociados a Nómina</v>
      </c>
      <c r="U65" s="131">
        <f t="shared" ref="U65:AJ65" si="65">SUM(U66:U69)+U81</f>
        <v>815343813</v>
      </c>
      <c r="V65" s="124">
        <f t="shared" si="65"/>
        <v>20000000</v>
      </c>
      <c r="W65" s="124">
        <f t="shared" si="65"/>
        <v>13655677</v>
      </c>
      <c r="X65" s="132">
        <f t="shared" si="65"/>
        <v>848999490</v>
      </c>
      <c r="Y65" s="131">
        <f t="shared" si="65"/>
        <v>142226489</v>
      </c>
      <c r="Z65" s="124">
        <f t="shared" si="65"/>
        <v>66709165</v>
      </c>
      <c r="AA65" s="133">
        <f t="shared" si="65"/>
        <v>208935654</v>
      </c>
      <c r="AB65" s="131">
        <f t="shared" si="65"/>
        <v>142226489</v>
      </c>
      <c r="AC65" s="124">
        <f t="shared" si="65"/>
        <v>66709165</v>
      </c>
      <c r="AD65" s="133">
        <f t="shared" si="65"/>
        <v>208935654</v>
      </c>
      <c r="AE65" s="131">
        <f t="shared" si="65"/>
        <v>124013801</v>
      </c>
      <c r="AF65" s="124">
        <f t="shared" si="65"/>
        <v>50269042</v>
      </c>
      <c r="AG65" s="133">
        <f t="shared" si="65"/>
        <v>174282843</v>
      </c>
      <c r="AH65" s="131">
        <f t="shared" si="65"/>
        <v>640063836</v>
      </c>
      <c r="AI65" s="124">
        <f t="shared" si="65"/>
        <v>640063836</v>
      </c>
      <c r="AJ65" s="133">
        <f t="shared" si="65"/>
        <v>674716647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+IF(FEBRERO!A66=0,"",FEBRERO!A66)</f>
        <v>1130114</v>
      </c>
      <c r="B66" s="653" t="str">
        <f>+IF(FEBRERO!B66=0,"",FEBRERO!B66)</f>
        <v xml:space="preserve">COMPAÑIAS DE SEGUROS  - PLANES DE SALUD  </v>
      </c>
      <c r="C66" s="43">
        <f t="shared" ref="C66:N66" si="66">SUM(C67:C68)</f>
        <v>338898</v>
      </c>
      <c r="D66" s="44">
        <f t="shared" si="66"/>
        <v>0</v>
      </c>
      <c r="E66" s="44">
        <f t="shared" si="66"/>
        <v>0</v>
      </c>
      <c r="F66" s="44">
        <f t="shared" si="66"/>
        <v>338898</v>
      </c>
      <c r="G66" s="44">
        <f t="shared" si="66"/>
        <v>78500</v>
      </c>
      <c r="H66" s="44">
        <f t="shared" si="66"/>
        <v>0</v>
      </c>
      <c r="I66" s="44">
        <f t="shared" si="66"/>
        <v>78500</v>
      </c>
      <c r="J66" s="44">
        <f t="shared" si="66"/>
        <v>78500</v>
      </c>
      <c r="K66" s="44">
        <f t="shared" si="66"/>
        <v>0</v>
      </c>
      <c r="L66" s="44">
        <f t="shared" si="66"/>
        <v>78500</v>
      </c>
      <c r="M66" s="44">
        <f t="shared" si="66"/>
        <v>260398</v>
      </c>
      <c r="N66" s="45">
        <f t="shared" si="66"/>
        <v>260398</v>
      </c>
      <c r="P66" s="43">
        <f>SUM(P67:P68)</f>
        <v>0</v>
      </c>
      <c r="Q66" s="45">
        <f>SUM(Q67:Q68)</f>
        <v>0</v>
      </c>
      <c r="R66" s="9"/>
      <c r="S66" s="719">
        <f>+IF(FEBRERO!S66=0,"",FEBRERO!S66)</f>
        <v>1020101</v>
      </c>
      <c r="T66" s="737" t="str">
        <f>+IF(FEBRERO!T66=0,"",FEBRERO!T66)</f>
        <v>Sueldos del Personal de nómina</v>
      </c>
      <c r="U66" s="29">
        <f>+ENERO!U66</f>
        <v>641065344</v>
      </c>
      <c r="V66" s="15">
        <f>FEBRERO!V66+MARZO!AL66</f>
        <v>0</v>
      </c>
      <c r="W66" s="15">
        <f>FEBRERO!W66+MARZO!AM66</f>
        <v>0</v>
      </c>
      <c r="X66" s="18">
        <f>SUM(U66:W66)</f>
        <v>641065344</v>
      </c>
      <c r="Y66" s="19">
        <f>FEBRERO!AA66</f>
        <v>106844224</v>
      </c>
      <c r="Z66" s="377">
        <v>52656980</v>
      </c>
      <c r="AA66" s="16">
        <f>SUM(Y66:Z66)</f>
        <v>159501204</v>
      </c>
      <c r="AB66" s="19">
        <f>FEBRERO!AD66</f>
        <v>106844224</v>
      </c>
      <c r="AC66" s="377">
        <v>52656980</v>
      </c>
      <c r="AD66" s="16">
        <f>SUM(AB66:AC66)</f>
        <v>159501204</v>
      </c>
      <c r="AE66" s="19">
        <f>FEBRERO!AG66</f>
        <v>97175310</v>
      </c>
      <c r="AF66" s="377">
        <v>39252603</v>
      </c>
      <c r="AG66" s="16">
        <f>SUM(AE66:AF66)</f>
        <v>136427913</v>
      </c>
      <c r="AH66" s="19">
        <f>X66-AA66</f>
        <v>481564140</v>
      </c>
      <c r="AI66" s="15">
        <f>X66-AD66</f>
        <v>481564140</v>
      </c>
      <c r="AJ66" s="16">
        <f>X66-AG66</f>
        <v>504637431</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+IF(FEBRERO!A67=0,"",FEBRERO!A67)</f>
        <v>1130114-1</v>
      </c>
      <c r="B67" s="654" t="str">
        <f>+CONCATENATE("Vigencia ",INSTRUCCIONES!$F$3)</f>
        <v>Vigencia 2015</v>
      </c>
      <c r="C67" s="375">
        <f>+ENERO!C67</f>
        <v>338898</v>
      </c>
      <c r="D67" s="376">
        <f>FEBRERO!D67+MARZO!P67</f>
        <v>0</v>
      </c>
      <c r="E67" s="376">
        <f>FEBRERO!E67+MARZO!Q67</f>
        <v>0</v>
      </c>
      <c r="F67" s="376">
        <f>SUM(C67:E67)</f>
        <v>338898</v>
      </c>
      <c r="G67" s="376">
        <f>FEBRERO!I67</f>
        <v>0</v>
      </c>
      <c r="H67" s="377">
        <v>0</v>
      </c>
      <c r="I67" s="376">
        <f>SUM(G67:H67)</f>
        <v>0</v>
      </c>
      <c r="J67" s="376">
        <f>FEBRERO!L67</f>
        <v>0</v>
      </c>
      <c r="K67" s="377">
        <v>0</v>
      </c>
      <c r="L67" s="376">
        <f>SUM(J67:K67)</f>
        <v>0</v>
      </c>
      <c r="M67" s="376">
        <f>F67-I67</f>
        <v>338898</v>
      </c>
      <c r="N67" s="146">
        <f>F67-L67</f>
        <v>338898</v>
      </c>
      <c r="O67" s="385"/>
      <c r="P67" s="375">
        <v>0</v>
      </c>
      <c r="Q67" s="378">
        <v>0</v>
      </c>
      <c r="R67" s="9"/>
      <c r="S67" s="719">
        <f>+IF(FEBRERO!S67=0,"",FEBRERO!S67)</f>
        <v>1020102</v>
      </c>
      <c r="T67" s="737" t="str">
        <f>+IF(FEBRERO!T67=0,"",FEBRERO!T67)</f>
        <v>Horas Extras,Dominic.,Festivos y Rec. Nocturnos</v>
      </c>
      <c r="U67" s="29">
        <f>+ENERO!U67</f>
        <v>57949728</v>
      </c>
      <c r="V67" s="15">
        <f>FEBRERO!V67+MARZO!AL67</f>
        <v>20000000</v>
      </c>
      <c r="W67" s="15">
        <f>FEBRERO!W67+MARZO!AM67</f>
        <v>0</v>
      </c>
      <c r="X67" s="18">
        <f>SUM(U67:W67)</f>
        <v>77949728</v>
      </c>
      <c r="Y67" s="19">
        <f>FEBRERO!AA67</f>
        <v>21580588</v>
      </c>
      <c r="Z67" s="377">
        <v>11925449</v>
      </c>
      <c r="AA67" s="16">
        <f>SUM(Y67:Z67)</f>
        <v>33506037</v>
      </c>
      <c r="AB67" s="19">
        <f>FEBRERO!AD67</f>
        <v>21580588</v>
      </c>
      <c r="AC67" s="377">
        <v>11925449</v>
      </c>
      <c r="AD67" s="16">
        <f>SUM(AB67:AC67)</f>
        <v>33506037</v>
      </c>
      <c r="AE67" s="19">
        <f>FEBRERO!AG67</f>
        <v>19575244</v>
      </c>
      <c r="AF67" s="377">
        <v>8889703</v>
      </c>
      <c r="AG67" s="16">
        <f>SUM(AE67:AF67)</f>
        <v>28464947</v>
      </c>
      <c r="AH67" s="19">
        <f>X67-AA67</f>
        <v>44443691</v>
      </c>
      <c r="AI67" s="15">
        <f>X67-AD67</f>
        <v>44443691</v>
      </c>
      <c r="AJ67" s="16">
        <f>X67-AG67</f>
        <v>49484781</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+IF(FEBRERO!A68=0,"",FEBRERO!A68)</f>
        <v>1130114-2</v>
      </c>
      <c r="B68" s="654" t="str">
        <f>+IF(FEBRERO!B68=0,"",FEBRERO!B68)</f>
        <v>Vigencia Anterior</v>
      </c>
      <c r="C68" s="375">
        <f>+ENERO!C68</f>
        <v>0</v>
      </c>
      <c r="D68" s="376">
        <f>FEBRERO!D68+MARZO!P68</f>
        <v>0</v>
      </c>
      <c r="E68" s="376">
        <f>FEBRERO!E68+MARZO!Q68</f>
        <v>0</v>
      </c>
      <c r="F68" s="376">
        <f>SUM(C68:E68)</f>
        <v>0</v>
      </c>
      <c r="G68" s="376">
        <f>FEBRERO!I68</f>
        <v>78500</v>
      </c>
      <c r="H68" s="377">
        <v>0</v>
      </c>
      <c r="I68" s="376">
        <f>SUM(G68:H68)</f>
        <v>78500</v>
      </c>
      <c r="J68" s="376">
        <f>FEBRERO!L68</f>
        <v>78500</v>
      </c>
      <c r="K68" s="377">
        <v>0</v>
      </c>
      <c r="L68" s="376">
        <f>SUM(J68:K68)</f>
        <v>78500</v>
      </c>
      <c r="M68" s="376">
        <f>F68-I68</f>
        <v>-78500</v>
      </c>
      <c r="N68" s="146">
        <f>F68-L68</f>
        <v>-78500</v>
      </c>
      <c r="O68" s="385"/>
      <c r="P68" s="375">
        <v>0</v>
      </c>
      <c r="Q68" s="378">
        <v>0</v>
      </c>
      <c r="R68" s="9"/>
      <c r="S68" s="719">
        <f>+IF(FEBRERO!S68=0,"",FEBRERO!S68)</f>
        <v>1020103</v>
      </c>
      <c r="T68" s="737" t="str">
        <f>+IF(FEBRERO!T68=0,"",FEBRERO!T68)</f>
        <v>Prima Técnica</v>
      </c>
      <c r="U68" s="29">
        <f>+ENERO!U68</f>
        <v>0</v>
      </c>
      <c r="V68" s="15">
        <f>FEBRERO!V68+MARZO!AL68</f>
        <v>0</v>
      </c>
      <c r="W68" s="15">
        <f>FEBRERO!W68+MARZO!AM68</f>
        <v>0</v>
      </c>
      <c r="X68" s="18">
        <f>SUM(U68:W68)</f>
        <v>0</v>
      </c>
      <c r="Y68" s="19">
        <f>FEBRERO!AA68</f>
        <v>0</v>
      </c>
      <c r="Z68" s="377">
        <v>0</v>
      </c>
      <c r="AA68" s="16">
        <f>SUM(Y68:Z68)</f>
        <v>0</v>
      </c>
      <c r="AB68" s="19">
        <f>FEBRERO!AD68</f>
        <v>0</v>
      </c>
      <c r="AC68" s="377">
        <v>0</v>
      </c>
      <c r="AD68" s="16">
        <f>SUM(AB68:AC68)</f>
        <v>0</v>
      </c>
      <c r="AE68" s="19">
        <f>FEBRERO!AG68</f>
        <v>0</v>
      </c>
      <c r="AF68" s="377">
        <v>0</v>
      </c>
      <c r="AG68" s="16">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+IF(FEBRERO!A69=0,"",FEBRERO!A69)</f>
        <v>1130115</v>
      </c>
      <c r="B69" s="653" t="str">
        <f>+IF(FEBRERO!B69=0,"",FEBRERO!B69)</f>
        <v>ENTIDADES DE REGIMEN ESPECIAL (Magisterio, Fuerza Pca.)</v>
      </c>
      <c r="C69" s="43">
        <f t="shared" ref="C69:N69" si="67">SUM(C70:C71)</f>
        <v>53468516</v>
      </c>
      <c r="D69" s="44">
        <f t="shared" si="67"/>
        <v>0</v>
      </c>
      <c r="E69" s="44">
        <f t="shared" si="67"/>
        <v>27541841</v>
      </c>
      <c r="F69" s="44">
        <f t="shared" si="67"/>
        <v>81010357</v>
      </c>
      <c r="G69" s="44">
        <f t="shared" si="67"/>
        <v>20549246</v>
      </c>
      <c r="H69" s="44">
        <f t="shared" si="67"/>
        <v>4975283</v>
      </c>
      <c r="I69" s="44">
        <f t="shared" si="67"/>
        <v>25524529</v>
      </c>
      <c r="J69" s="44">
        <f t="shared" si="67"/>
        <v>13644902</v>
      </c>
      <c r="K69" s="44">
        <f t="shared" si="67"/>
        <v>0</v>
      </c>
      <c r="L69" s="44">
        <f t="shared" si="67"/>
        <v>13644902</v>
      </c>
      <c r="M69" s="44">
        <f t="shared" si="67"/>
        <v>55485828</v>
      </c>
      <c r="N69" s="45">
        <f t="shared" si="67"/>
        <v>67365455</v>
      </c>
      <c r="P69" s="43">
        <f>SUM(P70:P71)</f>
        <v>0</v>
      </c>
      <c r="Q69" s="45">
        <f>SUM(Q70:Q71)</f>
        <v>0</v>
      </c>
      <c r="R69" s="9"/>
      <c r="S69" s="719">
        <f>+IF(FEBRERO!S69=0,"",FEBRERO!S69)</f>
        <v>1020104</v>
      </c>
      <c r="T69" s="737" t="str">
        <f>+IF(FEBRERO!T69=0,"",FEBRERO!T69)</f>
        <v>Otros</v>
      </c>
      <c r="U69" s="29">
        <f t="shared" ref="U69:AJ69" si="68">SUM(U70:U80)</f>
        <v>116328741</v>
      </c>
      <c r="V69" s="15">
        <f t="shared" si="68"/>
        <v>0</v>
      </c>
      <c r="W69" s="15">
        <f t="shared" si="68"/>
        <v>0</v>
      </c>
      <c r="X69" s="18">
        <f t="shared" si="68"/>
        <v>116328741</v>
      </c>
      <c r="Y69" s="19">
        <f t="shared" si="68"/>
        <v>146000</v>
      </c>
      <c r="Z69" s="145">
        <f t="shared" si="68"/>
        <v>2126736</v>
      </c>
      <c r="AA69" s="16">
        <f t="shared" si="68"/>
        <v>2272736</v>
      </c>
      <c r="AB69" s="19">
        <f t="shared" si="68"/>
        <v>146000</v>
      </c>
      <c r="AC69" s="145">
        <f t="shared" si="68"/>
        <v>2126736</v>
      </c>
      <c r="AD69" s="16">
        <f t="shared" si="68"/>
        <v>2272736</v>
      </c>
      <c r="AE69" s="19">
        <f t="shared" si="68"/>
        <v>132749</v>
      </c>
      <c r="AF69" s="145">
        <f t="shared" si="68"/>
        <v>2126736</v>
      </c>
      <c r="AG69" s="16">
        <f t="shared" si="68"/>
        <v>2259485</v>
      </c>
      <c r="AH69" s="19">
        <f t="shared" si="68"/>
        <v>114056005</v>
      </c>
      <c r="AI69" s="15">
        <f t="shared" si="68"/>
        <v>114056005</v>
      </c>
      <c r="AJ69" s="16">
        <f t="shared" si="68"/>
        <v>114069256</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+IF(FEBRERO!A70=0,"",FEBRERO!A70)</f>
        <v>1130115-1</v>
      </c>
      <c r="B70" s="654" t="str">
        <f>+CONCATENATE("Vigencia ",INSTRUCCIONES!$F$3)</f>
        <v>Vigencia 2015</v>
      </c>
      <c r="C70" s="375">
        <f>+ENERO!C70</f>
        <v>53468516</v>
      </c>
      <c r="D70" s="376">
        <f>FEBRERO!D70+MARZO!P70</f>
        <v>0</v>
      </c>
      <c r="E70" s="376">
        <f>FEBRERO!E70+MARZO!Q70</f>
        <v>0</v>
      </c>
      <c r="F70" s="376">
        <f>SUM(C70:E70)</f>
        <v>53468516</v>
      </c>
      <c r="G70" s="376">
        <f>FEBRERO!I70</f>
        <v>6904344</v>
      </c>
      <c r="H70" s="377">
        <v>4975283</v>
      </c>
      <c r="I70" s="376">
        <f>SUM(G70:H70)</f>
        <v>11879627</v>
      </c>
      <c r="J70" s="376">
        <f>FEBRERO!L70</f>
        <v>0</v>
      </c>
      <c r="K70" s="377">
        <v>0</v>
      </c>
      <c r="L70" s="376">
        <f>SUM(J70:K70)</f>
        <v>0</v>
      </c>
      <c r="M70" s="376">
        <f>F70-I70</f>
        <v>41588889</v>
      </c>
      <c r="N70" s="146">
        <f>F70-L70</f>
        <v>53468516</v>
      </c>
      <c r="O70" s="385"/>
      <c r="P70" s="375">
        <v>0</v>
      </c>
      <c r="Q70" s="378">
        <v>0</v>
      </c>
      <c r="R70" s="9"/>
      <c r="S70" s="720" t="str">
        <f>+IF(FEBRERO!S70=0,"",FEBRERO!S70)</f>
        <v>1020104-1</v>
      </c>
      <c r="T70" s="738" t="str">
        <f>+IF(FEBRERO!T70=0,"",FEBRERO!T70)</f>
        <v xml:space="preserve">Prima de Navidad </v>
      </c>
      <c r="U70" s="29">
        <f>+ENERO!U70</f>
        <v>57873955</v>
      </c>
      <c r="V70" s="15">
        <f>FEBRERO!V70+MARZO!AL70</f>
        <v>0</v>
      </c>
      <c r="W70" s="15">
        <f>FEBRERO!W70+MARZO!AM70</f>
        <v>0</v>
      </c>
      <c r="X70" s="18">
        <f t="shared" ref="X70:X81" si="69">SUM(U70:W70)</f>
        <v>57873955</v>
      </c>
      <c r="Y70" s="19">
        <f>FEBRERO!AA70</f>
        <v>0</v>
      </c>
      <c r="Z70" s="377">
        <v>0</v>
      </c>
      <c r="AA70" s="16">
        <f t="shared" ref="AA70:AA81" si="70">SUM(Y70:Z70)</f>
        <v>0</v>
      </c>
      <c r="AB70" s="19">
        <f>FEBRERO!AD70</f>
        <v>0</v>
      </c>
      <c r="AC70" s="377">
        <v>0</v>
      </c>
      <c r="AD70" s="16">
        <f t="shared" ref="AD70:AD81" si="71">SUM(AB70:AC70)</f>
        <v>0</v>
      </c>
      <c r="AE70" s="19">
        <f>FEBRERO!AG70</f>
        <v>0</v>
      </c>
      <c r="AF70" s="377">
        <v>0</v>
      </c>
      <c r="AG70" s="16">
        <f t="shared" ref="AG70:AG81" si="72">SUM(AE70:AF70)</f>
        <v>0</v>
      </c>
      <c r="AH70" s="19">
        <f t="shared" ref="AH70:AH81" si="73">X70-AA70</f>
        <v>57873955</v>
      </c>
      <c r="AI70" s="15">
        <f t="shared" ref="AI70:AI81" si="74">X70-AD70</f>
        <v>57873955</v>
      </c>
      <c r="AJ70" s="16">
        <f t="shared" ref="AJ70:AJ81" si="75">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+IF(FEBRERO!A71=0,"",FEBRERO!A71)</f>
        <v>1130115-2</v>
      </c>
      <c r="B71" s="654" t="str">
        <f>+IF(FEBRERO!B71=0,"",FEBRERO!B71)</f>
        <v>Vigencia Anterior</v>
      </c>
      <c r="C71" s="375">
        <f>+ENERO!C71</f>
        <v>0</v>
      </c>
      <c r="D71" s="376">
        <f>FEBRERO!D71+MARZO!P71</f>
        <v>0</v>
      </c>
      <c r="E71" s="376">
        <f>FEBRERO!E71+MARZO!Q71</f>
        <v>27541841</v>
      </c>
      <c r="F71" s="376">
        <f>SUM(C71:E71)</f>
        <v>27541841</v>
      </c>
      <c r="G71" s="376">
        <f>FEBRERO!I71</f>
        <v>13644902</v>
      </c>
      <c r="H71" s="377">
        <v>0</v>
      </c>
      <c r="I71" s="376">
        <f>SUM(G71:H71)</f>
        <v>13644902</v>
      </c>
      <c r="J71" s="376">
        <f>FEBRERO!L71</f>
        <v>13644902</v>
      </c>
      <c r="K71" s="377">
        <v>0</v>
      </c>
      <c r="L71" s="376">
        <f>SUM(J71:K71)</f>
        <v>13644902</v>
      </c>
      <c r="M71" s="376">
        <f>F71-I71</f>
        <v>13896939</v>
      </c>
      <c r="N71" s="146">
        <f>F71-L71</f>
        <v>13896939</v>
      </c>
      <c r="O71" s="385"/>
      <c r="P71" s="375">
        <v>0</v>
      </c>
      <c r="Q71" s="378">
        <v>0</v>
      </c>
      <c r="R71" s="9"/>
      <c r="S71" s="720" t="str">
        <f>+IF(FEBRERO!S71=0,"",FEBRERO!S71)</f>
        <v>1020104-2</v>
      </c>
      <c r="T71" s="738" t="str">
        <f>+IF(FEBRERO!T71=0,"",FEBRERO!T71)</f>
        <v>Prima Vida Cara</v>
      </c>
      <c r="U71" s="29">
        <f>+ENERO!U71</f>
        <v>0</v>
      </c>
      <c r="V71" s="15">
        <f>FEBRERO!V71+MARZO!AL71</f>
        <v>0</v>
      </c>
      <c r="W71" s="15">
        <f>FEBRERO!W71+MARZO!AM71</f>
        <v>0</v>
      </c>
      <c r="X71" s="18">
        <f t="shared" si="69"/>
        <v>0</v>
      </c>
      <c r="Y71" s="19">
        <f>FEBRERO!AA71</f>
        <v>0</v>
      </c>
      <c r="Z71" s="377">
        <v>0</v>
      </c>
      <c r="AA71" s="16">
        <f t="shared" si="70"/>
        <v>0</v>
      </c>
      <c r="AB71" s="19">
        <f>FEBRERO!AD71</f>
        <v>0</v>
      </c>
      <c r="AC71" s="377">
        <v>0</v>
      </c>
      <c r="AD71" s="16">
        <f t="shared" si="71"/>
        <v>0</v>
      </c>
      <c r="AE71" s="19">
        <f>FEBRERO!AG71</f>
        <v>0</v>
      </c>
      <c r="AF71" s="377">
        <v>0</v>
      </c>
      <c r="AG71" s="16">
        <f t="shared" si="72"/>
        <v>0</v>
      </c>
      <c r="AH71" s="19">
        <f t="shared" si="73"/>
        <v>0</v>
      </c>
      <c r="AI71" s="15">
        <f t="shared" si="74"/>
        <v>0</v>
      </c>
      <c r="AJ71" s="16">
        <f t="shared" si="75"/>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+IF(FEBRERO!A72=0,"",FEBRERO!A72)</f>
        <v>1130116</v>
      </c>
      <c r="B72" s="653" t="str">
        <f>+IF(FEBRERO!B72=0,"",FEBRERO!B72)</f>
        <v>ADMINISTRADORAS DE RIESGOS PROFESIONALES</v>
      </c>
      <c r="C72" s="43">
        <f t="shared" ref="C72:N72" si="76">SUM(C73:C74)</f>
        <v>47982534</v>
      </c>
      <c r="D72" s="44">
        <f t="shared" si="76"/>
        <v>0</v>
      </c>
      <c r="E72" s="44">
        <f t="shared" si="76"/>
        <v>7739704</v>
      </c>
      <c r="F72" s="44">
        <f t="shared" si="76"/>
        <v>55722238</v>
      </c>
      <c r="G72" s="44">
        <f t="shared" si="76"/>
        <v>13319115</v>
      </c>
      <c r="H72" s="44">
        <f t="shared" si="76"/>
        <v>5428601</v>
      </c>
      <c r="I72" s="44">
        <f t="shared" si="76"/>
        <v>18747716</v>
      </c>
      <c r="J72" s="44">
        <f t="shared" si="76"/>
        <v>6143418</v>
      </c>
      <c r="K72" s="44">
        <f t="shared" si="76"/>
        <v>6182666</v>
      </c>
      <c r="L72" s="44">
        <f t="shared" si="76"/>
        <v>12326084</v>
      </c>
      <c r="M72" s="44">
        <f t="shared" si="76"/>
        <v>36974522</v>
      </c>
      <c r="N72" s="45">
        <f t="shared" si="76"/>
        <v>43396154</v>
      </c>
      <c r="P72" s="43">
        <f>SUM(P73:P74)</f>
        <v>0</v>
      </c>
      <c r="Q72" s="45">
        <f>SUM(Q73:Q74)</f>
        <v>0</v>
      </c>
      <c r="R72" s="9"/>
      <c r="S72" s="720" t="str">
        <f>+IF(FEBRERO!S72=0,"",FEBRERO!S72)</f>
        <v>1020104-3</v>
      </c>
      <c r="T72" s="738" t="str">
        <f>+IF(FEBRERO!T72=0,"",FEBRERO!T72)</f>
        <v>Prima de Vacaciones</v>
      </c>
      <c r="U72" s="29">
        <f>+ENERO!U72</f>
        <v>26711056</v>
      </c>
      <c r="V72" s="15">
        <f>FEBRERO!V72+MARZO!AL72</f>
        <v>0</v>
      </c>
      <c r="W72" s="15">
        <f>FEBRERO!W72+MARZO!AM72</f>
        <v>0</v>
      </c>
      <c r="X72" s="18">
        <f t="shared" si="69"/>
        <v>26711056</v>
      </c>
      <c r="Y72" s="19">
        <f>FEBRERO!AA72</f>
        <v>0</v>
      </c>
      <c r="Z72" s="377">
        <v>1876532</v>
      </c>
      <c r="AA72" s="16">
        <f t="shared" si="70"/>
        <v>1876532</v>
      </c>
      <c r="AB72" s="19">
        <f>FEBRERO!AD72</f>
        <v>0</v>
      </c>
      <c r="AC72" s="377">
        <v>1876532</v>
      </c>
      <c r="AD72" s="16">
        <f t="shared" si="71"/>
        <v>1876532</v>
      </c>
      <c r="AE72" s="19">
        <f>FEBRERO!AG72</f>
        <v>0</v>
      </c>
      <c r="AF72" s="377">
        <v>1876532</v>
      </c>
      <c r="AG72" s="16">
        <f t="shared" si="72"/>
        <v>1876532</v>
      </c>
      <c r="AH72" s="19">
        <f t="shared" si="73"/>
        <v>24834524</v>
      </c>
      <c r="AI72" s="15">
        <f t="shared" si="74"/>
        <v>24834524</v>
      </c>
      <c r="AJ72" s="16">
        <f t="shared" si="75"/>
        <v>24834524</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+IF(FEBRERO!A73=0,"",FEBRERO!A73)</f>
        <v>1130116-1</v>
      </c>
      <c r="B73" s="654" t="str">
        <f>+CONCATENATE("Vigencia ",INSTRUCCIONES!$F$3)</f>
        <v>Vigencia 2015</v>
      </c>
      <c r="C73" s="375">
        <f>+ENERO!C73</f>
        <v>47982534</v>
      </c>
      <c r="D73" s="376">
        <f>FEBRERO!D73+MARZO!P73</f>
        <v>0</v>
      </c>
      <c r="E73" s="376">
        <f>FEBRERO!E73+MARZO!Q73</f>
        <v>0</v>
      </c>
      <c r="F73" s="376">
        <f>SUM(C73:E73)</f>
        <v>47982534</v>
      </c>
      <c r="G73" s="376">
        <f>FEBRERO!I73</f>
        <v>7175697</v>
      </c>
      <c r="H73" s="377">
        <v>4464670</v>
      </c>
      <c r="I73" s="376">
        <f>SUM(G73:H73)</f>
        <v>11640367</v>
      </c>
      <c r="J73" s="376">
        <f>FEBRERO!L73</f>
        <v>0</v>
      </c>
      <c r="K73" s="377">
        <v>5218735</v>
      </c>
      <c r="L73" s="376">
        <f>SUM(J73:K73)</f>
        <v>5218735</v>
      </c>
      <c r="M73" s="376">
        <f>F73-I73</f>
        <v>36342167</v>
      </c>
      <c r="N73" s="146">
        <f>F73-L73</f>
        <v>42763799</v>
      </c>
      <c r="O73" s="385"/>
      <c r="P73" s="375">
        <v>0</v>
      </c>
      <c r="Q73" s="378">
        <v>0</v>
      </c>
      <c r="R73" s="9"/>
      <c r="S73" s="720" t="str">
        <f>+IF(FEBRERO!S73=0,"",FEBRERO!S73)</f>
        <v>1020104-4</v>
      </c>
      <c r="T73" s="738" t="str">
        <f>+IF(FEBRERO!T73=0,"",FEBRERO!T73)</f>
        <v>Prima Clima</v>
      </c>
      <c r="U73" s="29">
        <f>+ENERO!U73</f>
        <v>0</v>
      </c>
      <c r="V73" s="15">
        <f>FEBRERO!V73+MARZO!AL73</f>
        <v>0</v>
      </c>
      <c r="W73" s="15">
        <f>FEBRERO!W73+MARZO!AM73</f>
        <v>0</v>
      </c>
      <c r="X73" s="18">
        <f t="shared" si="69"/>
        <v>0</v>
      </c>
      <c r="Y73" s="19">
        <f>FEBRERO!AA73</f>
        <v>0</v>
      </c>
      <c r="Z73" s="377">
        <v>0</v>
      </c>
      <c r="AA73" s="16">
        <f t="shared" si="70"/>
        <v>0</v>
      </c>
      <c r="AB73" s="19">
        <f>FEBRERO!AD73</f>
        <v>0</v>
      </c>
      <c r="AC73" s="377">
        <v>0</v>
      </c>
      <c r="AD73" s="16">
        <f t="shared" si="71"/>
        <v>0</v>
      </c>
      <c r="AE73" s="19">
        <f>FEBRERO!AG73</f>
        <v>0</v>
      </c>
      <c r="AF73" s="377">
        <v>0</v>
      </c>
      <c r="AG73" s="16">
        <f t="shared" si="72"/>
        <v>0</v>
      </c>
      <c r="AH73" s="19">
        <f t="shared" si="73"/>
        <v>0</v>
      </c>
      <c r="AI73" s="15">
        <f t="shared" si="74"/>
        <v>0</v>
      </c>
      <c r="AJ73" s="16">
        <f t="shared" si="75"/>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+IF(FEBRERO!A74=0,"",FEBRERO!A74)</f>
        <v>1130116-2</v>
      </c>
      <c r="B74" s="654" t="str">
        <f>+IF(FEBRERO!B74=0,"",FEBRERO!B74)</f>
        <v>Vigencia Anterior</v>
      </c>
      <c r="C74" s="375">
        <f>+ENERO!C74</f>
        <v>0</v>
      </c>
      <c r="D74" s="376">
        <f>FEBRERO!D74+MARZO!P74</f>
        <v>0</v>
      </c>
      <c r="E74" s="376">
        <f>FEBRERO!E74+MARZO!Q74</f>
        <v>7739704</v>
      </c>
      <c r="F74" s="376">
        <f>SUM(C74:E74)</f>
        <v>7739704</v>
      </c>
      <c r="G74" s="376">
        <f>FEBRERO!I74</f>
        <v>6143418</v>
      </c>
      <c r="H74" s="377">
        <v>963931</v>
      </c>
      <c r="I74" s="376">
        <f>SUM(G74:H74)</f>
        <v>7107349</v>
      </c>
      <c r="J74" s="376">
        <f>FEBRERO!L74</f>
        <v>6143418</v>
      </c>
      <c r="K74" s="377">
        <v>963931</v>
      </c>
      <c r="L74" s="376">
        <f>SUM(J74:K74)</f>
        <v>7107349</v>
      </c>
      <c r="M74" s="376">
        <f>F74-I74</f>
        <v>632355</v>
      </c>
      <c r="N74" s="146">
        <f>F74-L74</f>
        <v>632355</v>
      </c>
      <c r="O74" s="385"/>
      <c r="P74" s="375">
        <v>0</v>
      </c>
      <c r="Q74" s="378">
        <v>0</v>
      </c>
      <c r="R74" s="9"/>
      <c r="S74" s="720" t="str">
        <f>+IF(FEBRERO!S74=0,"",FEBRERO!S74)</f>
        <v>1020104-5</v>
      </c>
      <c r="T74" s="738" t="str">
        <f>+IF(FEBRERO!T74=0,"",FEBRERO!T74)</f>
        <v>Prima de Servicios</v>
      </c>
      <c r="U74" s="29">
        <f>+ENERO!U74</f>
        <v>26711056</v>
      </c>
      <c r="V74" s="15">
        <f>FEBRERO!V74+MARZO!AL74</f>
        <v>0</v>
      </c>
      <c r="W74" s="15">
        <f>FEBRERO!W74+MARZO!AM74</f>
        <v>0</v>
      </c>
      <c r="X74" s="18">
        <f t="shared" si="69"/>
        <v>26711056</v>
      </c>
      <c r="Y74" s="19">
        <f>FEBRERO!AA74</f>
        <v>0</v>
      </c>
      <c r="Z74" s="377">
        <v>0</v>
      </c>
      <c r="AA74" s="16">
        <f t="shared" si="70"/>
        <v>0</v>
      </c>
      <c r="AB74" s="19">
        <f>FEBRERO!AD74</f>
        <v>0</v>
      </c>
      <c r="AC74" s="377">
        <v>0</v>
      </c>
      <c r="AD74" s="16">
        <f t="shared" si="71"/>
        <v>0</v>
      </c>
      <c r="AE74" s="19">
        <f>FEBRERO!AG74</f>
        <v>0</v>
      </c>
      <c r="AF74" s="377">
        <v>0</v>
      </c>
      <c r="AG74" s="16">
        <f t="shared" si="72"/>
        <v>0</v>
      </c>
      <c r="AH74" s="19">
        <f t="shared" si="73"/>
        <v>26711056</v>
      </c>
      <c r="AI74" s="15">
        <f t="shared" si="74"/>
        <v>26711056</v>
      </c>
      <c r="AJ74" s="16">
        <f t="shared" si="75"/>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+IF(FEBRERO!A75=0,"",FEBRERO!A75)</f>
        <v>1130117</v>
      </c>
      <c r="B75" s="653" t="str">
        <f>+IF(FEBRERO!B75=0,"",FEBRERO!B75)</f>
        <v>CUOTAS DE RECUPERACION</v>
      </c>
      <c r="C75" s="43">
        <f t="shared" ref="C75:N75" si="77">SUM(C76:C77)</f>
        <v>0</v>
      </c>
      <c r="D75" s="44">
        <f t="shared" si="77"/>
        <v>0</v>
      </c>
      <c r="E75" s="44">
        <f t="shared" si="77"/>
        <v>0</v>
      </c>
      <c r="F75" s="44">
        <f t="shared" si="77"/>
        <v>0</v>
      </c>
      <c r="G75" s="44">
        <f t="shared" si="77"/>
        <v>0</v>
      </c>
      <c r="H75" s="44">
        <f t="shared" si="77"/>
        <v>0</v>
      </c>
      <c r="I75" s="44">
        <f t="shared" si="77"/>
        <v>0</v>
      </c>
      <c r="J75" s="44">
        <f t="shared" si="77"/>
        <v>0</v>
      </c>
      <c r="K75" s="44">
        <f t="shared" si="77"/>
        <v>0</v>
      </c>
      <c r="L75" s="44">
        <f t="shared" si="77"/>
        <v>0</v>
      </c>
      <c r="M75" s="44">
        <f t="shared" si="77"/>
        <v>0</v>
      </c>
      <c r="N75" s="45">
        <f t="shared" si="77"/>
        <v>0</v>
      </c>
      <c r="P75" s="43">
        <f>SUM(P76:P77)</f>
        <v>0</v>
      </c>
      <c r="Q75" s="45">
        <f>SUM(Q76:Q77)</f>
        <v>0</v>
      </c>
      <c r="R75" s="9"/>
      <c r="S75" s="720" t="str">
        <f>+IF(FEBRERO!S75=0,"",FEBRERO!S75)</f>
        <v>1020104-8</v>
      </c>
      <c r="T75" s="738" t="str">
        <f>+IF(FEBRERO!T75=0,"",FEBRERO!T75)</f>
        <v>Bonific. por Servicios Prestados (Convencional)</v>
      </c>
      <c r="U75" s="29">
        <f>+ENERO!U75</f>
        <v>0</v>
      </c>
      <c r="V75" s="15">
        <f>FEBRERO!V75+MARZO!AL75</f>
        <v>0</v>
      </c>
      <c r="W75" s="15">
        <f>FEBRERO!W75+MARZO!AM75</f>
        <v>0</v>
      </c>
      <c r="X75" s="18">
        <f t="shared" si="69"/>
        <v>0</v>
      </c>
      <c r="Y75" s="19">
        <f>FEBRERO!AA75</f>
        <v>0</v>
      </c>
      <c r="Z75" s="377">
        <v>0</v>
      </c>
      <c r="AA75" s="16">
        <f t="shared" si="70"/>
        <v>0</v>
      </c>
      <c r="AB75" s="19">
        <f>FEBRERO!AD75</f>
        <v>0</v>
      </c>
      <c r="AC75" s="377">
        <v>0</v>
      </c>
      <c r="AD75" s="16">
        <f t="shared" si="71"/>
        <v>0</v>
      </c>
      <c r="AE75" s="19">
        <f>FEBRERO!AG75</f>
        <v>0</v>
      </c>
      <c r="AF75" s="377">
        <v>0</v>
      </c>
      <c r="AG75" s="16">
        <f t="shared" si="72"/>
        <v>0</v>
      </c>
      <c r="AH75" s="19">
        <f t="shared" si="73"/>
        <v>0</v>
      </c>
      <c r="AI75" s="15">
        <f t="shared" si="74"/>
        <v>0</v>
      </c>
      <c r="AJ75" s="16">
        <f t="shared" si="75"/>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+IF(FEBRERO!A76=0,"",FEBRERO!A76)</f>
        <v>1130117-1</v>
      </c>
      <c r="B76" s="654" t="str">
        <f>+CONCATENATE("Vigencia ",INSTRUCCIONES!$F$3)</f>
        <v>Vigencia 2015</v>
      </c>
      <c r="C76" s="375">
        <f>+ENERO!C76</f>
        <v>0</v>
      </c>
      <c r="D76" s="376">
        <f>FEBRERO!D76+MARZO!P76</f>
        <v>0</v>
      </c>
      <c r="E76" s="376">
        <f>FEBRERO!E76+MARZO!Q76</f>
        <v>0</v>
      </c>
      <c r="F76" s="376">
        <f t="shared" ref="F76:F83" si="78">SUM(C76:E76)</f>
        <v>0</v>
      </c>
      <c r="G76" s="376">
        <f>FEBRERO!I76</f>
        <v>0</v>
      </c>
      <c r="H76" s="377">
        <v>0</v>
      </c>
      <c r="I76" s="376">
        <f t="shared" ref="I76:I83" si="79">SUM(G76:H76)</f>
        <v>0</v>
      </c>
      <c r="J76" s="376">
        <f>FEBRERO!L76</f>
        <v>0</v>
      </c>
      <c r="K76" s="377">
        <v>0</v>
      </c>
      <c r="L76" s="376">
        <f t="shared" ref="L76:L83" si="80">SUM(J76:K76)</f>
        <v>0</v>
      </c>
      <c r="M76" s="376">
        <f t="shared" ref="M76:M83" si="81">F76-I76</f>
        <v>0</v>
      </c>
      <c r="N76" s="146">
        <f t="shared" ref="N76:N83" si="82">F76-L76</f>
        <v>0</v>
      </c>
      <c r="O76" s="385"/>
      <c r="P76" s="375">
        <v>0</v>
      </c>
      <c r="Q76" s="378">
        <v>0</v>
      </c>
      <c r="R76" s="9"/>
      <c r="S76" s="720" t="str">
        <f>+IF(FEBRERO!S76=0,"",FEBRERO!S76)</f>
        <v>1020104-9</v>
      </c>
      <c r="T76" s="738" t="str">
        <f>+IF(FEBRERO!T76=0,"",FEBRERO!T76)</f>
        <v>Auxilio de Transporte</v>
      </c>
      <c r="U76" s="29">
        <f>+ENERO!U76</f>
        <v>1471200</v>
      </c>
      <c r="V76" s="15">
        <f>FEBRERO!V76+MARZO!AL76</f>
        <v>0</v>
      </c>
      <c r="W76" s="15">
        <f>FEBRERO!W76+MARZO!AM76</f>
        <v>0</v>
      </c>
      <c r="X76" s="18">
        <f t="shared" si="69"/>
        <v>1471200</v>
      </c>
      <c r="Y76" s="19">
        <f>FEBRERO!AA76</f>
        <v>146000</v>
      </c>
      <c r="Z76" s="377">
        <v>0</v>
      </c>
      <c r="AA76" s="16">
        <f t="shared" si="70"/>
        <v>146000</v>
      </c>
      <c r="AB76" s="19">
        <f>FEBRERO!AD76</f>
        <v>146000</v>
      </c>
      <c r="AC76" s="377">
        <v>0</v>
      </c>
      <c r="AD76" s="16">
        <f t="shared" si="71"/>
        <v>146000</v>
      </c>
      <c r="AE76" s="19">
        <f>FEBRERO!AG76</f>
        <v>132749</v>
      </c>
      <c r="AF76" s="377">
        <v>0</v>
      </c>
      <c r="AG76" s="16">
        <f t="shared" si="72"/>
        <v>132749</v>
      </c>
      <c r="AH76" s="19">
        <f t="shared" si="73"/>
        <v>1325200</v>
      </c>
      <c r="AI76" s="15">
        <f t="shared" si="74"/>
        <v>1325200</v>
      </c>
      <c r="AJ76" s="16">
        <f t="shared" si="75"/>
        <v>1338451</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+IF(FEBRERO!A77=0,"",FEBRERO!A77)</f>
        <v>1130117-2</v>
      </c>
      <c r="B77" s="654" t="str">
        <f>+IF(FEBRERO!B77=0,"",FEBRERO!B77)</f>
        <v>Vigencia Anterior</v>
      </c>
      <c r="C77" s="375">
        <f>+ENERO!C77</f>
        <v>0</v>
      </c>
      <c r="D77" s="376">
        <f>FEBRERO!D77+MARZO!P77</f>
        <v>0</v>
      </c>
      <c r="E77" s="376">
        <f>FEBRERO!E77+MARZO!Q77</f>
        <v>0</v>
      </c>
      <c r="F77" s="376">
        <f t="shared" si="78"/>
        <v>0</v>
      </c>
      <c r="G77" s="376">
        <f>FEBRERO!I77</f>
        <v>0</v>
      </c>
      <c r="H77" s="377">
        <v>0</v>
      </c>
      <c r="I77" s="376">
        <f t="shared" si="79"/>
        <v>0</v>
      </c>
      <c r="J77" s="376">
        <f>FEBRERO!L77</f>
        <v>0</v>
      </c>
      <c r="K77" s="377">
        <v>0</v>
      </c>
      <c r="L77" s="376">
        <f t="shared" si="80"/>
        <v>0</v>
      </c>
      <c r="M77" s="376">
        <f t="shared" si="81"/>
        <v>0</v>
      </c>
      <c r="N77" s="146">
        <f t="shared" si="82"/>
        <v>0</v>
      </c>
      <c r="O77" s="385"/>
      <c r="P77" s="375">
        <v>0</v>
      </c>
      <c r="Q77" s="378">
        <v>0</v>
      </c>
      <c r="R77" s="9"/>
      <c r="S77" s="720" t="str">
        <f>+IF(FEBRERO!S77=0,"",FEBRERO!S77)</f>
        <v>1020104-10</v>
      </c>
      <c r="T77" s="738" t="str">
        <f>+IF(FEBRERO!T77=0,"",FEBRERO!T77)</f>
        <v>Subsidio de Alimentación</v>
      </c>
      <c r="U77" s="29">
        <f>+ENERO!U77</f>
        <v>0</v>
      </c>
      <c r="V77" s="15">
        <f>FEBRERO!V77+MARZO!AL77</f>
        <v>0</v>
      </c>
      <c r="W77" s="15">
        <f>FEBRERO!W77+MARZO!AM77</f>
        <v>0</v>
      </c>
      <c r="X77" s="18">
        <f t="shared" si="69"/>
        <v>0</v>
      </c>
      <c r="Y77" s="19">
        <f>FEBRERO!AA77</f>
        <v>0</v>
      </c>
      <c r="Z77" s="377">
        <v>0</v>
      </c>
      <c r="AA77" s="16">
        <f t="shared" si="70"/>
        <v>0</v>
      </c>
      <c r="AB77" s="19">
        <f>FEBRERO!AD77</f>
        <v>0</v>
      </c>
      <c r="AC77" s="377">
        <v>0</v>
      </c>
      <c r="AD77" s="16">
        <f t="shared" si="71"/>
        <v>0</v>
      </c>
      <c r="AE77" s="19">
        <f>FEBRERO!AG77</f>
        <v>0</v>
      </c>
      <c r="AF77" s="377">
        <v>0</v>
      </c>
      <c r="AG77" s="16">
        <f t="shared" si="72"/>
        <v>0</v>
      </c>
      <c r="AH77" s="19">
        <f t="shared" si="73"/>
        <v>0</v>
      </c>
      <c r="AI77" s="15">
        <f t="shared" si="74"/>
        <v>0</v>
      </c>
      <c r="AJ77" s="16">
        <f t="shared" si="75"/>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+IF(FEBRERO!A78=0,"",FEBRERO!A78)</f>
        <v>1130118</v>
      </c>
      <c r="B78" s="653" t="str">
        <f>+IF(FEBRERO!B78=0,"",FEBRERO!B78)</f>
        <v>PARTICULARES   (Venta de Contado)</v>
      </c>
      <c r="C78" s="43">
        <f>SUM(C79:C80)</f>
        <v>151788162</v>
      </c>
      <c r="D78" s="44">
        <f>SUM(D79:D80)</f>
        <v>0</v>
      </c>
      <c r="E78" s="44">
        <f>SUM(E79:E80)</f>
        <v>0</v>
      </c>
      <c r="F78" s="44">
        <f t="shared" si="78"/>
        <v>151788162</v>
      </c>
      <c r="G78" s="44">
        <f>SUM(G79:G80)</f>
        <v>22262925</v>
      </c>
      <c r="H78" s="44">
        <f>SUM(H79:H80)</f>
        <v>11113050</v>
      </c>
      <c r="I78" s="44">
        <f t="shared" si="79"/>
        <v>33375975</v>
      </c>
      <c r="J78" s="44">
        <f>SUM(J79:J80)</f>
        <v>22262925</v>
      </c>
      <c r="K78" s="44">
        <f>SUM(K79:K80)</f>
        <v>11113050</v>
      </c>
      <c r="L78" s="44">
        <f t="shared" si="80"/>
        <v>33375975</v>
      </c>
      <c r="M78" s="44">
        <f t="shared" si="81"/>
        <v>118412187</v>
      </c>
      <c r="N78" s="45">
        <f t="shared" si="82"/>
        <v>118412187</v>
      </c>
      <c r="O78" s="385"/>
      <c r="P78" s="43">
        <f>SUM(P79:P80)</f>
        <v>0</v>
      </c>
      <c r="Q78" s="45">
        <f>SUM(Q79:Q80)</f>
        <v>0</v>
      </c>
      <c r="R78" s="9"/>
      <c r="S78" s="720" t="str">
        <f>+IF(FEBRERO!S78=0,"",FEBRERO!S78)</f>
        <v>1020104-12</v>
      </c>
      <c r="T78" s="738" t="str">
        <f>+IF(FEBRERO!T78=0,"",FEBRERO!T78)</f>
        <v>Indemnizaciones por Vacaciones o Supresión de Cargos por Reestructuración</v>
      </c>
      <c r="U78" s="29">
        <f>+ENERO!U78</f>
        <v>0</v>
      </c>
      <c r="V78" s="15">
        <f>FEBRERO!V78+MARZO!AL78</f>
        <v>0</v>
      </c>
      <c r="W78" s="15">
        <f>FEBRERO!W78+MARZO!AM78</f>
        <v>0</v>
      </c>
      <c r="X78" s="18">
        <f t="shared" si="69"/>
        <v>0</v>
      </c>
      <c r="Y78" s="19">
        <f>FEBRERO!AA78</f>
        <v>0</v>
      </c>
      <c r="Z78" s="377">
        <v>0</v>
      </c>
      <c r="AA78" s="16">
        <f t="shared" si="70"/>
        <v>0</v>
      </c>
      <c r="AB78" s="19">
        <f>FEBRERO!AD78</f>
        <v>0</v>
      </c>
      <c r="AC78" s="377">
        <v>0</v>
      </c>
      <c r="AD78" s="16">
        <f t="shared" si="71"/>
        <v>0</v>
      </c>
      <c r="AE78" s="19">
        <f>FEBRERO!AG78</f>
        <v>0</v>
      </c>
      <c r="AF78" s="377">
        <v>0</v>
      </c>
      <c r="AG78" s="16">
        <f t="shared" si="72"/>
        <v>0</v>
      </c>
      <c r="AH78" s="19">
        <f t="shared" si="73"/>
        <v>0</v>
      </c>
      <c r="AI78" s="15">
        <f t="shared" si="74"/>
        <v>0</v>
      </c>
      <c r="AJ78" s="16">
        <f t="shared" si="75"/>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+IF(FEBRERO!A79=0,"",FEBRERO!A79)</f>
        <v>1130118-1</v>
      </c>
      <c r="B79" s="654" t="str">
        <f>+CONCATENATE("Vigencia ",INSTRUCCIONES!$F$3)</f>
        <v>Vigencia 2015</v>
      </c>
      <c r="C79" s="375">
        <f>+ENERO!C79</f>
        <v>151788162</v>
      </c>
      <c r="D79" s="376">
        <f>FEBRERO!D79+MARZO!P79</f>
        <v>0</v>
      </c>
      <c r="E79" s="376">
        <f>FEBRERO!E79+MARZO!Q79</f>
        <v>0</v>
      </c>
      <c r="F79" s="376">
        <f t="shared" si="78"/>
        <v>151788162</v>
      </c>
      <c r="G79" s="376">
        <f>FEBRERO!I79</f>
        <v>22262925</v>
      </c>
      <c r="H79" s="377">
        <v>11113050</v>
      </c>
      <c r="I79" s="376">
        <f t="shared" si="79"/>
        <v>33375975</v>
      </c>
      <c r="J79" s="376">
        <f>FEBRERO!L79</f>
        <v>22262925</v>
      </c>
      <c r="K79" s="377">
        <v>11113050</v>
      </c>
      <c r="L79" s="376">
        <f t="shared" si="80"/>
        <v>33375975</v>
      </c>
      <c r="M79" s="376">
        <f t="shared" si="81"/>
        <v>118412187</v>
      </c>
      <c r="N79" s="146">
        <f t="shared" si="82"/>
        <v>118412187</v>
      </c>
      <c r="P79" s="375">
        <v>0</v>
      </c>
      <c r="Q79" s="378">
        <v>0</v>
      </c>
      <c r="R79" s="9"/>
      <c r="S79" s="720" t="str">
        <f>+IF(FEBRERO!S79=0,"",FEBRERO!S79)</f>
        <v>1020104-13</v>
      </c>
      <c r="T79" s="738" t="str">
        <f>+IF(FEBRERO!T79=0,"",FEBRERO!T79)</f>
        <v>Bonificación Especial por Recreación</v>
      </c>
      <c r="U79" s="29">
        <f>+ENERO!U79</f>
        <v>3561474</v>
      </c>
      <c r="V79" s="15">
        <f>FEBRERO!V79+MARZO!AL79</f>
        <v>0</v>
      </c>
      <c r="W79" s="15">
        <f>FEBRERO!W79+MARZO!AM79</f>
        <v>0</v>
      </c>
      <c r="X79" s="18">
        <f t="shared" si="69"/>
        <v>3561474</v>
      </c>
      <c r="Y79" s="19">
        <f>FEBRERO!AA79</f>
        <v>0</v>
      </c>
      <c r="Z79" s="377">
        <v>250204</v>
      </c>
      <c r="AA79" s="16">
        <f t="shared" si="70"/>
        <v>250204</v>
      </c>
      <c r="AB79" s="19">
        <f>FEBRERO!AD79</f>
        <v>0</v>
      </c>
      <c r="AC79" s="377">
        <v>250204</v>
      </c>
      <c r="AD79" s="16">
        <f t="shared" si="71"/>
        <v>250204</v>
      </c>
      <c r="AE79" s="19">
        <f>FEBRERO!AG79</f>
        <v>0</v>
      </c>
      <c r="AF79" s="377">
        <v>250204</v>
      </c>
      <c r="AG79" s="16">
        <f t="shared" si="72"/>
        <v>250204</v>
      </c>
      <c r="AH79" s="19">
        <f t="shared" si="73"/>
        <v>3311270</v>
      </c>
      <c r="AI79" s="15">
        <f t="shared" si="74"/>
        <v>3311270</v>
      </c>
      <c r="AJ79" s="16">
        <f t="shared" si="75"/>
        <v>3311270</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+IF(FEBRERO!A80=0,"",FEBRERO!A80)</f>
        <v>1130118-2</v>
      </c>
      <c r="B80" s="654" t="str">
        <f>+IF(FEBRERO!B80=0,"",FEBRERO!B80)</f>
        <v>Vigencia Anterior</v>
      </c>
      <c r="C80" s="375">
        <f>+ENERO!C80</f>
        <v>0</v>
      </c>
      <c r="D80" s="376">
        <f>FEBRERO!D80+MARZO!P80</f>
        <v>0</v>
      </c>
      <c r="E80" s="376">
        <f>FEBRERO!E80+MARZO!Q80</f>
        <v>0</v>
      </c>
      <c r="F80" s="376">
        <f t="shared" si="78"/>
        <v>0</v>
      </c>
      <c r="G80" s="376">
        <f>FEBRERO!I80</f>
        <v>0</v>
      </c>
      <c r="H80" s="377">
        <v>0</v>
      </c>
      <c r="I80" s="376">
        <f t="shared" si="79"/>
        <v>0</v>
      </c>
      <c r="J80" s="376">
        <f>FEBRERO!L80</f>
        <v>0</v>
      </c>
      <c r="K80" s="377">
        <v>0</v>
      </c>
      <c r="L80" s="376">
        <f t="shared" si="80"/>
        <v>0</v>
      </c>
      <c r="M80" s="376">
        <f t="shared" si="81"/>
        <v>0</v>
      </c>
      <c r="N80" s="146">
        <f t="shared" si="82"/>
        <v>0</v>
      </c>
      <c r="O80" s="385"/>
      <c r="P80" s="375">
        <v>0</v>
      </c>
      <c r="Q80" s="378">
        <v>0</v>
      </c>
      <c r="S80" s="720" t="str">
        <f>+IF(FEBRERO!S80=0,"",FEBRERO!S80)</f>
        <v>1020104-14</v>
      </c>
      <c r="T80" s="738" t="str">
        <f>+IF(FEBRERO!T80=0,"",FEBRERO!T80)</f>
        <v/>
      </c>
      <c r="U80" s="29">
        <f>+ENERO!U80</f>
        <v>0</v>
      </c>
      <c r="V80" s="15">
        <f>FEBRERO!V80+MARZO!AL80</f>
        <v>0</v>
      </c>
      <c r="W80" s="15">
        <f>FEBRERO!W80+MARZO!AM80</f>
        <v>0</v>
      </c>
      <c r="X80" s="18">
        <f t="shared" si="69"/>
        <v>0</v>
      </c>
      <c r="Y80" s="19">
        <f>FEBRERO!AA80</f>
        <v>0</v>
      </c>
      <c r="Z80" s="377">
        <v>0</v>
      </c>
      <c r="AA80" s="16">
        <f t="shared" si="70"/>
        <v>0</v>
      </c>
      <c r="AB80" s="19">
        <f>FEBRERO!AD80</f>
        <v>0</v>
      </c>
      <c r="AC80" s="377">
        <v>0</v>
      </c>
      <c r="AD80" s="16">
        <f t="shared" si="71"/>
        <v>0</v>
      </c>
      <c r="AE80" s="19">
        <f>FEBRERO!AG80</f>
        <v>0</v>
      </c>
      <c r="AF80" s="377">
        <v>0</v>
      </c>
      <c r="AG80" s="16">
        <f t="shared" si="72"/>
        <v>0</v>
      </c>
      <c r="AH80" s="19">
        <f t="shared" si="73"/>
        <v>0</v>
      </c>
      <c r="AI80" s="15">
        <f t="shared" si="74"/>
        <v>0</v>
      </c>
      <c r="AJ80" s="16">
        <f t="shared" si="75"/>
        <v>0</v>
      </c>
      <c r="AL80" s="375">
        <v>0</v>
      </c>
      <c r="AM80" s="378">
        <v>0</v>
      </c>
      <c r="AO80" s="297"/>
      <c r="AP80" s="297"/>
      <c r="AQ80" s="297"/>
      <c r="AR80" s="297"/>
      <c r="AS80" s="297"/>
      <c r="AT80" s="297"/>
      <c r="AU80" s="297"/>
      <c r="AV80" s="297"/>
      <c r="AW80" s="297"/>
      <c r="AX80" s="297"/>
      <c r="AY80" s="297"/>
      <c r="AZ80" s="297"/>
      <c r="BA80" s="385"/>
      <c r="BC80" s="385"/>
      <c r="BD80" s="385"/>
      <c r="BE80" s="385"/>
      <c r="BF80" s="385"/>
      <c r="BL80" s="385"/>
      <c r="BM80" s="385"/>
      <c r="BN80" s="385"/>
      <c r="BO80" s="385"/>
      <c r="BP80" s="385"/>
      <c r="BQ80" s="385"/>
      <c r="BR80" s="385"/>
    </row>
    <row r="81" spans="1:70" s="385" customFormat="1" ht="24.95" customHeight="1" x14ac:dyDescent="0.2">
      <c r="A81" s="747">
        <f>+IF(FEBRERO!A81=0,"",FEBRERO!A81)</f>
        <v>1130119</v>
      </c>
      <c r="B81" s="657" t="str">
        <f>+IF(FEBRERO!B81=0,"",FEBRERO!B81)</f>
        <v>Digitar nombre de Nuevo Rubro. Si lo Requiere</v>
      </c>
      <c r="C81" s="43">
        <f>ENERO!C81</f>
        <v>0</v>
      </c>
      <c r="D81" s="44">
        <f t="shared" ref="D81:Q81" si="83">SUM(D82:D83)</f>
        <v>0</v>
      </c>
      <c r="E81" s="44">
        <f t="shared" si="83"/>
        <v>0</v>
      </c>
      <c r="F81" s="44">
        <f t="shared" si="83"/>
        <v>0</v>
      </c>
      <c r="G81" s="44">
        <f t="shared" si="83"/>
        <v>0</v>
      </c>
      <c r="H81" s="44">
        <f t="shared" si="83"/>
        <v>0</v>
      </c>
      <c r="I81" s="44">
        <f t="shared" si="83"/>
        <v>0</v>
      </c>
      <c r="J81" s="44">
        <f t="shared" si="83"/>
        <v>0</v>
      </c>
      <c r="K81" s="44">
        <f t="shared" si="83"/>
        <v>0</v>
      </c>
      <c r="L81" s="44">
        <f t="shared" si="83"/>
        <v>0</v>
      </c>
      <c r="M81" s="44">
        <f t="shared" si="83"/>
        <v>0</v>
      </c>
      <c r="N81" s="45">
        <f t="shared" si="83"/>
        <v>0</v>
      </c>
      <c r="P81" s="43">
        <f t="shared" si="83"/>
        <v>0</v>
      </c>
      <c r="Q81" s="45">
        <f t="shared" si="83"/>
        <v>0</v>
      </c>
      <c r="R81" s="9"/>
      <c r="S81" s="719">
        <f>+IF(FEBRERO!S81=0,"",FEBRERO!S81)</f>
        <v>1020199</v>
      </c>
      <c r="T81" s="737" t="str">
        <f>+IF(FEBRERO!T81=0,"",FEBRERO!T81)</f>
        <v>Vigencias Anteriores</v>
      </c>
      <c r="U81" s="29">
        <f>+ENERO!U81</f>
        <v>0</v>
      </c>
      <c r="V81" s="15">
        <f>FEBRERO!V81+MARZO!AL81</f>
        <v>0</v>
      </c>
      <c r="W81" s="15">
        <f>FEBRERO!W81+MARZO!AM81</f>
        <v>13655677</v>
      </c>
      <c r="X81" s="18">
        <f t="shared" si="69"/>
        <v>13655677</v>
      </c>
      <c r="Y81" s="19">
        <f>FEBRERO!AA81</f>
        <v>13655677</v>
      </c>
      <c r="Z81" s="377">
        <v>0</v>
      </c>
      <c r="AA81" s="16">
        <f t="shared" si="70"/>
        <v>13655677</v>
      </c>
      <c r="AB81" s="19">
        <f>FEBRERO!AD81</f>
        <v>13655677</v>
      </c>
      <c r="AC81" s="377">
        <v>0</v>
      </c>
      <c r="AD81" s="16">
        <f t="shared" si="71"/>
        <v>13655677</v>
      </c>
      <c r="AE81" s="19">
        <f>FEBRERO!AG81</f>
        <v>7130498</v>
      </c>
      <c r="AF81" s="377">
        <v>0</v>
      </c>
      <c r="AG81" s="16">
        <f t="shared" si="72"/>
        <v>7130498</v>
      </c>
      <c r="AH81" s="19">
        <f t="shared" si="73"/>
        <v>0</v>
      </c>
      <c r="AI81" s="15">
        <f t="shared" si="74"/>
        <v>0</v>
      </c>
      <c r="AJ81" s="16">
        <f t="shared" si="75"/>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+IF(FEBRERO!A82=0,"",FEBRERO!A82)</f>
        <v>1130119-1</v>
      </c>
      <c r="B82" s="654" t="str">
        <f>+CONCATENATE("Vigencia ",INSTRUCCIONES!$F$3)</f>
        <v>Vigencia 2015</v>
      </c>
      <c r="C82" s="375">
        <f>+ENERO!C82</f>
        <v>0</v>
      </c>
      <c r="D82" s="376">
        <f>FEBRERO!D82+MARZO!P82</f>
        <v>0</v>
      </c>
      <c r="E82" s="376">
        <f>FEBRERO!E82+MARZO!Q82</f>
        <v>0</v>
      </c>
      <c r="F82" s="376">
        <f t="shared" si="78"/>
        <v>0</v>
      </c>
      <c r="G82" s="376">
        <f>FEBRERO!I82</f>
        <v>0</v>
      </c>
      <c r="H82" s="377">
        <v>0</v>
      </c>
      <c r="I82" s="376">
        <f t="shared" si="79"/>
        <v>0</v>
      </c>
      <c r="J82" s="376">
        <f>FEBRERO!L82</f>
        <v>0</v>
      </c>
      <c r="K82" s="377">
        <v>0</v>
      </c>
      <c r="L82" s="376">
        <f t="shared" si="80"/>
        <v>0</v>
      </c>
      <c r="M82" s="376">
        <f t="shared" si="81"/>
        <v>0</v>
      </c>
      <c r="N82" s="146">
        <f t="shared" si="82"/>
        <v>0</v>
      </c>
      <c r="P82" s="375">
        <v>0</v>
      </c>
      <c r="Q82" s="378">
        <v>0</v>
      </c>
      <c r="R82" s="9"/>
      <c r="S82" s="369" t="str">
        <f>+IF(FEBRERO!S82=0,"",FEBRERO!S82)</f>
        <v/>
      </c>
      <c r="T82" s="708" t="str">
        <f>+IF(FEBRERO!T82=0,"",FEBRERO!T82)</f>
        <v/>
      </c>
      <c r="U82" s="370"/>
      <c r="V82" s="164"/>
      <c r="W82" s="164"/>
      <c r="X82" s="164"/>
      <c r="Y82" s="370"/>
      <c r="Z82" s="164"/>
      <c r="AA82" s="169"/>
      <c r="AB82" s="370"/>
      <c r="AC82" s="164"/>
      <c r="AD82" s="169"/>
      <c r="AE82" s="370"/>
      <c r="AF82" s="164"/>
      <c r="AG82" s="169"/>
      <c r="AH82" s="370"/>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+IF(FEBRERO!A83=0,"",FEBRERO!A83)</f>
        <v>1130119-2</v>
      </c>
      <c r="B83" s="658" t="str">
        <f>+IF(FEBRERO!B83=0,"",FEBRERO!B83)</f>
        <v>Vigencia Anterior</v>
      </c>
      <c r="C83" s="387">
        <f>+ENERO!C83</f>
        <v>0</v>
      </c>
      <c r="D83" s="388">
        <f>FEBRERO!D83+MARZO!P83</f>
        <v>0</v>
      </c>
      <c r="E83" s="388">
        <f>FEBRERO!E83+MARZO!Q83</f>
        <v>0</v>
      </c>
      <c r="F83" s="388">
        <f t="shared" si="78"/>
        <v>0</v>
      </c>
      <c r="G83" s="388">
        <f>FEBRERO!I83</f>
        <v>0</v>
      </c>
      <c r="H83" s="391">
        <v>0</v>
      </c>
      <c r="I83" s="388">
        <f t="shared" si="79"/>
        <v>0</v>
      </c>
      <c r="J83" s="388">
        <f>FEBRERO!L83</f>
        <v>0</v>
      </c>
      <c r="K83" s="391">
        <v>0</v>
      </c>
      <c r="L83" s="388">
        <f t="shared" si="80"/>
        <v>0</v>
      </c>
      <c r="M83" s="388">
        <f t="shared" si="81"/>
        <v>0</v>
      </c>
      <c r="N83" s="389">
        <f t="shared" si="82"/>
        <v>0</v>
      </c>
      <c r="P83" s="375">
        <v>0</v>
      </c>
      <c r="Q83" s="378">
        <v>0</v>
      </c>
      <c r="R83" s="9"/>
      <c r="S83" s="718">
        <f>+IF(FEBRERO!S83=0,"",FEBRERO!S83)</f>
        <v>1020200</v>
      </c>
      <c r="T83" s="736" t="str">
        <f>+IF(FEBRERO!T83=0,"",FEBRERO!T83)</f>
        <v>Servicios Personales Indirectos</v>
      </c>
      <c r="U83" s="131">
        <f t="shared" ref="U83:AJ83" si="84">SUM(U84:U88)</f>
        <v>151257124</v>
      </c>
      <c r="V83" s="124">
        <f t="shared" si="84"/>
        <v>0</v>
      </c>
      <c r="W83" s="124">
        <f t="shared" si="84"/>
        <v>6884000</v>
      </c>
      <c r="X83" s="132">
        <f t="shared" si="84"/>
        <v>158141124</v>
      </c>
      <c r="Y83" s="131">
        <f t="shared" si="84"/>
        <v>65422000</v>
      </c>
      <c r="Z83" s="124">
        <f t="shared" si="84"/>
        <v>9306667</v>
      </c>
      <c r="AA83" s="133">
        <f t="shared" si="84"/>
        <v>74728667</v>
      </c>
      <c r="AB83" s="131">
        <f t="shared" si="84"/>
        <v>24898000</v>
      </c>
      <c r="AC83" s="124">
        <f t="shared" si="84"/>
        <v>12748000</v>
      </c>
      <c r="AD83" s="133">
        <f t="shared" si="84"/>
        <v>37646000</v>
      </c>
      <c r="AE83" s="131">
        <f t="shared" si="84"/>
        <v>16850000</v>
      </c>
      <c r="AF83" s="124">
        <f t="shared" si="84"/>
        <v>10688000</v>
      </c>
      <c r="AG83" s="133">
        <f t="shared" si="84"/>
        <v>27538000</v>
      </c>
      <c r="AH83" s="131">
        <f t="shared" si="84"/>
        <v>83412457</v>
      </c>
      <c r="AI83" s="124">
        <f t="shared" si="84"/>
        <v>120495124</v>
      </c>
      <c r="AJ83" s="133">
        <f t="shared" si="84"/>
        <v>130603124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+IF(FEBRERO!A84=0,"",FEBRERO!A84)</f>
        <v/>
      </c>
      <c r="B84" s="659" t="str">
        <f>+IF(FEBRERO!B84=0,"",FEBRERO!B84)</f>
        <v/>
      </c>
      <c r="C84" s="297"/>
      <c r="D84" s="297"/>
      <c r="E84" s="297"/>
      <c r="F84" s="297"/>
      <c r="G84" s="297"/>
      <c r="H84" s="297"/>
      <c r="I84" s="297"/>
      <c r="J84" s="297"/>
      <c r="K84" s="297"/>
      <c r="L84" s="297"/>
      <c r="M84" s="297"/>
      <c r="N84" s="466"/>
      <c r="O84" s="464"/>
      <c r="P84" s="470"/>
      <c r="Q84" s="394"/>
      <c r="R84" s="9"/>
      <c r="S84" s="719" t="str">
        <f>+IF(FEBRERO!S84=0,"",FEBRERO!S84)</f>
        <v>1020200-1</v>
      </c>
      <c r="T84" s="737" t="str">
        <f>+IF(FEBRERO!T84=0,"",FEBRERO!T84)</f>
        <v>Remuneración y Honorarios por Servicios Técnicos y Profesionales</v>
      </c>
      <c r="U84" s="29">
        <f>+ENERO!U84</f>
        <v>151257124</v>
      </c>
      <c r="V84" s="15">
        <f>FEBRERO!V84+MARZO!AL84</f>
        <v>0</v>
      </c>
      <c r="W84" s="15">
        <f>FEBRERO!W84+MARZO!AM84</f>
        <v>0</v>
      </c>
      <c r="X84" s="18">
        <f>SUM(U84:W84)</f>
        <v>151257124</v>
      </c>
      <c r="Y84" s="19">
        <f>FEBRERO!AA84</f>
        <v>58538000</v>
      </c>
      <c r="Z84" s="377">
        <v>9306667</v>
      </c>
      <c r="AA84" s="16">
        <f>SUM(Y84:Z84)</f>
        <v>67844667</v>
      </c>
      <c r="AB84" s="19">
        <f>FEBRERO!AD84</f>
        <v>18014000</v>
      </c>
      <c r="AC84" s="377">
        <v>12748000</v>
      </c>
      <c r="AD84" s="16">
        <f>SUM(AB84:AC84)</f>
        <v>30762000</v>
      </c>
      <c r="AE84" s="19">
        <f>FEBRERO!AG84</f>
        <v>9966000</v>
      </c>
      <c r="AF84" s="377">
        <v>10688000</v>
      </c>
      <c r="AG84" s="16">
        <f>SUM(AE84:AF84)</f>
        <v>20654000</v>
      </c>
      <c r="AH84" s="19">
        <f>X84-AA84</f>
        <v>83412457</v>
      </c>
      <c r="AI84" s="15">
        <f>X84-AD84</f>
        <v>120495124</v>
      </c>
      <c r="AJ84" s="16">
        <f>X84-AG84</f>
        <v>130603124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+IF(FEBRERO!A85=0,"",FEBRERO!A85)</f>
        <v>11302</v>
      </c>
      <c r="B85" s="660" t="str">
        <f>+IF(FEBRERO!B85=0,"",FEBRERO!B85)</f>
        <v>Otras Ventas de Servicios de Salud</v>
      </c>
      <c r="C85" s="625">
        <f t="shared" ref="C85:N85" si="85">SUM(C86:C92)</f>
        <v>74000000</v>
      </c>
      <c r="D85" s="623">
        <f t="shared" si="85"/>
        <v>0</v>
      </c>
      <c r="E85" s="623">
        <f t="shared" si="85"/>
        <v>0</v>
      </c>
      <c r="F85" s="623">
        <f t="shared" si="85"/>
        <v>74000000</v>
      </c>
      <c r="G85" s="623">
        <f t="shared" si="85"/>
        <v>2400000</v>
      </c>
      <c r="H85" s="623">
        <f t="shared" si="85"/>
        <v>13404519</v>
      </c>
      <c r="I85" s="623">
        <f t="shared" si="85"/>
        <v>15804519</v>
      </c>
      <c r="J85" s="623">
        <f t="shared" si="85"/>
        <v>0</v>
      </c>
      <c r="K85" s="623">
        <f t="shared" si="85"/>
        <v>0</v>
      </c>
      <c r="L85" s="623">
        <f t="shared" si="85"/>
        <v>0</v>
      </c>
      <c r="M85" s="623">
        <f t="shared" si="85"/>
        <v>58195481</v>
      </c>
      <c r="N85" s="624">
        <f t="shared" si="85"/>
        <v>74000000</v>
      </c>
      <c r="P85" s="43">
        <f>SUM(P86:P92)</f>
        <v>0</v>
      </c>
      <c r="Q85" s="45">
        <f>SUM(Q86:Q92)</f>
        <v>0</v>
      </c>
      <c r="R85" s="9"/>
      <c r="S85" s="719" t="str">
        <f>+IF(FEBRERO!S85=0,"",FEBRERO!S85)</f>
        <v>1020200-2</v>
      </c>
      <c r="T85" s="737" t="str">
        <f>+IF(FEBRERO!T85=0,"",FEBRERO!T85)</f>
        <v>Personal Supernumerario</v>
      </c>
      <c r="U85" s="29">
        <f>+ENERO!U85</f>
        <v>0</v>
      </c>
      <c r="V85" s="15">
        <f>FEBRERO!V85+MARZO!AL85</f>
        <v>0</v>
      </c>
      <c r="W85" s="15">
        <f>FEBRERO!W85+MARZO!AM85</f>
        <v>0</v>
      </c>
      <c r="X85" s="18">
        <f>SUM(U85:W85)</f>
        <v>0</v>
      </c>
      <c r="Y85" s="19">
        <f>FEBRERO!AA85</f>
        <v>0</v>
      </c>
      <c r="Z85" s="377">
        <v>0</v>
      </c>
      <c r="AA85" s="16">
        <f>SUM(Y85:Z85)</f>
        <v>0</v>
      </c>
      <c r="AB85" s="19">
        <f>FEBRERO!AD85</f>
        <v>0</v>
      </c>
      <c r="AC85" s="377">
        <v>0</v>
      </c>
      <c r="AD85" s="16">
        <f>SUM(AB85:AC85)</f>
        <v>0</v>
      </c>
      <c r="AE85" s="19">
        <f>FEBRERO!AG85</f>
        <v>0</v>
      </c>
      <c r="AF85" s="377">
        <v>0</v>
      </c>
      <c r="AG85" s="16">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+IF(FEBRERO!A86=0,"",FEBRERO!A86)</f>
        <v>1130201</v>
      </c>
      <c r="B86" s="634" t="str">
        <f>+IF(FEBRERO!B86=0,"",FEBRERO!B86)</f>
        <v/>
      </c>
      <c r="C86" s="401">
        <f>+ENERO!C86</f>
        <v>0</v>
      </c>
      <c r="D86" s="376">
        <f>FEBRERO!D86+MARZO!P86</f>
        <v>0</v>
      </c>
      <c r="E86" s="376">
        <f>FEBRERO!E86+MARZO!Q86</f>
        <v>0</v>
      </c>
      <c r="F86" s="376">
        <f t="shared" ref="F86:F92" si="86">SUM(C86:E86)</f>
        <v>0</v>
      </c>
      <c r="G86" s="376">
        <f>FEBRERO!I86</f>
        <v>0</v>
      </c>
      <c r="H86" s="377">
        <v>0</v>
      </c>
      <c r="I86" s="376">
        <f t="shared" ref="I86:I92" si="87">SUM(G86:H86)</f>
        <v>0</v>
      </c>
      <c r="J86" s="376">
        <f>FEBRERO!L86</f>
        <v>0</v>
      </c>
      <c r="K86" s="377">
        <v>0</v>
      </c>
      <c r="L86" s="376">
        <f t="shared" ref="L86:L92" si="88">SUM(J86:K86)</f>
        <v>0</v>
      </c>
      <c r="M86" s="376">
        <f t="shared" ref="M86:M92" si="89">F86-I86</f>
        <v>0</v>
      </c>
      <c r="N86" s="146">
        <f t="shared" ref="N86:N92" si="90">F86-L86</f>
        <v>0</v>
      </c>
      <c r="O86" s="385"/>
      <c r="P86" s="375">
        <v>0</v>
      </c>
      <c r="Q86" s="378">
        <v>0</v>
      </c>
      <c r="S86" s="719" t="str">
        <f>+IF(FEBRERO!S86=0,"",FEBRERO!S86)</f>
        <v>1020200-4</v>
      </c>
      <c r="T86" s="737" t="str">
        <f>+IF(FEBRERO!T86=0,"",FEBRERO!T86)</f>
        <v>Otros Honorarios (Servicios de Cooperativa)</v>
      </c>
      <c r="U86" s="29">
        <f>+ENERO!U86</f>
        <v>0</v>
      </c>
      <c r="V86" s="15">
        <f>FEBRERO!V86+MARZO!AL86</f>
        <v>0</v>
      </c>
      <c r="W86" s="15">
        <f>FEBRERO!W86+MARZO!AM86</f>
        <v>0</v>
      </c>
      <c r="X86" s="18">
        <f>SUM(U86:W86)</f>
        <v>0</v>
      </c>
      <c r="Y86" s="19">
        <f>FEBRERO!AA86</f>
        <v>0</v>
      </c>
      <c r="Z86" s="377">
        <v>0</v>
      </c>
      <c r="AA86" s="16">
        <f>SUM(Y86:Z86)</f>
        <v>0</v>
      </c>
      <c r="AB86" s="19">
        <f>FEBRERO!AD86</f>
        <v>0</v>
      </c>
      <c r="AC86" s="377">
        <v>0</v>
      </c>
      <c r="AD86" s="16">
        <f>SUM(AB86:AC86)</f>
        <v>0</v>
      </c>
      <c r="AE86" s="19">
        <f>FEBRERO!AG86</f>
        <v>0</v>
      </c>
      <c r="AF86" s="377">
        <v>0</v>
      </c>
      <c r="AG86" s="16">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F86" s="385"/>
      <c r="BL86" s="385"/>
      <c r="BM86" s="385"/>
      <c r="BN86" s="385"/>
      <c r="BO86" s="385"/>
      <c r="BP86" s="385"/>
      <c r="BQ86" s="385"/>
      <c r="BR86" s="385"/>
    </row>
    <row r="87" spans="1:70" s="385" customFormat="1" ht="24.95" customHeight="1" x14ac:dyDescent="0.2">
      <c r="A87" s="752">
        <f>+IF(FEBRERO!A87=0,"",FEBRERO!A87)</f>
        <v>1130202</v>
      </c>
      <c r="B87" s="634" t="str">
        <f>+IF(FEBRERO!B87=0,"",FEBRERO!B87)</f>
        <v/>
      </c>
      <c r="C87" s="401">
        <f>+ENERO!C87</f>
        <v>0</v>
      </c>
      <c r="D87" s="376">
        <f>FEBRERO!D87+MARZO!P87</f>
        <v>0</v>
      </c>
      <c r="E87" s="376">
        <f>FEBRERO!E87+MARZO!Q87</f>
        <v>0</v>
      </c>
      <c r="F87" s="376">
        <f t="shared" si="86"/>
        <v>0</v>
      </c>
      <c r="G87" s="376">
        <f>FEBRERO!I87</f>
        <v>0</v>
      </c>
      <c r="H87" s="377">
        <v>0</v>
      </c>
      <c r="I87" s="376">
        <f t="shared" si="87"/>
        <v>0</v>
      </c>
      <c r="J87" s="376">
        <f>FEBRERO!L87</f>
        <v>0</v>
      </c>
      <c r="K87" s="377">
        <v>0</v>
      </c>
      <c r="L87" s="376">
        <f t="shared" si="88"/>
        <v>0</v>
      </c>
      <c r="M87" s="376">
        <f t="shared" si="89"/>
        <v>0</v>
      </c>
      <c r="N87" s="146">
        <f t="shared" si="90"/>
        <v>0</v>
      </c>
      <c r="P87" s="375">
        <v>0</v>
      </c>
      <c r="Q87" s="378">
        <v>0</v>
      </c>
      <c r="R87" s="9"/>
      <c r="S87" s="719" t="str">
        <f>+IF(FEBRERO!S87=0,"",FEBRERO!S87)</f>
        <v/>
      </c>
      <c r="T87" s="737" t="str">
        <f>+IF(FEBRERO!T87=0,"",FEBRERO!T87)</f>
        <v/>
      </c>
      <c r="U87" s="29">
        <f>+ENERO!U87</f>
        <v>0</v>
      </c>
      <c r="V87" s="15">
        <f>FEBRERO!V87+MARZO!AL87</f>
        <v>0</v>
      </c>
      <c r="W87" s="15">
        <f>FEBRERO!W87+MARZO!AM87</f>
        <v>0</v>
      </c>
      <c r="X87" s="18">
        <f>SUM(U87:W87)</f>
        <v>0</v>
      </c>
      <c r="Y87" s="19">
        <f>FEBRERO!AA87</f>
        <v>0</v>
      </c>
      <c r="Z87" s="377">
        <v>0</v>
      </c>
      <c r="AA87" s="16">
        <f>SUM(Y87:Z87)</f>
        <v>0</v>
      </c>
      <c r="AB87" s="19">
        <f>FEBRERO!AD87</f>
        <v>0</v>
      </c>
      <c r="AC87" s="377">
        <v>0</v>
      </c>
      <c r="AD87" s="16">
        <f>SUM(AB87:AC87)</f>
        <v>0</v>
      </c>
      <c r="AE87" s="19">
        <f>FEBRERO!AG87</f>
        <v>0</v>
      </c>
      <c r="AF87" s="377">
        <v>0</v>
      </c>
      <c r="AG87" s="16">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+IF(FEBRERO!A88=0,"",FEBRERO!A88)</f>
        <v>1130203</v>
      </c>
      <c r="B88" s="635" t="str">
        <f>+IF(FEBRERO!B88=0,"",FEBRERO!B88)</f>
        <v>CONVENIOS CON LA NACION LIGADOS A LA VENTA DE SERVICIOS</v>
      </c>
      <c r="C88" s="401">
        <f>+ENERO!C88</f>
        <v>0</v>
      </c>
      <c r="D88" s="376">
        <f>FEBRERO!D88+MARZO!P88</f>
        <v>0</v>
      </c>
      <c r="E88" s="376">
        <f>FEBRERO!E88+MARZO!Q88</f>
        <v>0</v>
      </c>
      <c r="F88" s="376">
        <f t="shared" si="86"/>
        <v>0</v>
      </c>
      <c r="G88" s="376">
        <f>FEBRERO!I88</f>
        <v>0</v>
      </c>
      <c r="H88" s="377">
        <v>0</v>
      </c>
      <c r="I88" s="376">
        <f t="shared" si="87"/>
        <v>0</v>
      </c>
      <c r="J88" s="376">
        <f>FEBRERO!L88</f>
        <v>0</v>
      </c>
      <c r="K88" s="377">
        <v>0</v>
      </c>
      <c r="L88" s="376">
        <f t="shared" si="88"/>
        <v>0</v>
      </c>
      <c r="M88" s="376">
        <f t="shared" si="89"/>
        <v>0</v>
      </c>
      <c r="N88" s="146">
        <f t="shared" si="90"/>
        <v>0</v>
      </c>
      <c r="P88" s="375">
        <v>0</v>
      </c>
      <c r="Q88" s="378">
        <v>0</v>
      </c>
      <c r="R88" s="9"/>
      <c r="S88" s="719">
        <f>+IF(FEBRERO!S88=0,"",FEBRERO!S88)</f>
        <v>1020299</v>
      </c>
      <c r="T88" s="737" t="str">
        <f>+IF(FEBRERO!T88=0,"",FEBRERO!T88)</f>
        <v>Vigencias Anteriores</v>
      </c>
      <c r="U88" s="29">
        <f>+ENERO!U88</f>
        <v>0</v>
      </c>
      <c r="V88" s="15">
        <f>FEBRERO!V88+MARZO!AL88</f>
        <v>0</v>
      </c>
      <c r="W88" s="15">
        <f>FEBRERO!W88+MARZO!AM88</f>
        <v>6884000</v>
      </c>
      <c r="X88" s="18">
        <f>SUM(U88:W88)</f>
        <v>6884000</v>
      </c>
      <c r="Y88" s="19">
        <f>FEBRERO!AA88</f>
        <v>6884000</v>
      </c>
      <c r="Z88" s="377">
        <v>0</v>
      </c>
      <c r="AA88" s="16">
        <f>SUM(Y88:Z88)</f>
        <v>6884000</v>
      </c>
      <c r="AB88" s="19">
        <f>FEBRERO!AD88</f>
        <v>6884000</v>
      </c>
      <c r="AC88" s="377">
        <v>0</v>
      </c>
      <c r="AD88" s="16">
        <f>SUM(AB88:AC88)</f>
        <v>6884000</v>
      </c>
      <c r="AE88" s="19">
        <f>FEBRERO!AG88</f>
        <v>6884000</v>
      </c>
      <c r="AF88" s="377">
        <v>0</v>
      </c>
      <c r="AG88" s="16">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+IF(FEBRERO!A89=0,"",FEBRERO!A89)</f>
        <v>1130204</v>
      </c>
      <c r="B89" s="635" t="str">
        <f>+IF(FEBRERO!B89=0,"",FEBRERO!B89)</f>
        <v>CONVENIOS CON EL DEPARTAMENTO LIGADOS A LA VENTA SERVICIOS</v>
      </c>
      <c r="C89" s="401">
        <f>+ENERO!C89</f>
        <v>50000000</v>
      </c>
      <c r="D89" s="376">
        <f>FEBRERO!D89+MARZO!P89</f>
        <v>0</v>
      </c>
      <c r="E89" s="376">
        <f>FEBRERO!E89+MARZO!Q89</f>
        <v>0</v>
      </c>
      <c r="F89" s="376">
        <f t="shared" si="86"/>
        <v>50000000</v>
      </c>
      <c r="G89" s="376">
        <f>FEBRERO!I89</f>
        <v>0</v>
      </c>
      <c r="H89" s="377">
        <v>12364519</v>
      </c>
      <c r="I89" s="376">
        <f t="shared" si="87"/>
        <v>12364519</v>
      </c>
      <c r="J89" s="376">
        <f>FEBRERO!L89</f>
        <v>0</v>
      </c>
      <c r="K89" s="377">
        <v>0</v>
      </c>
      <c r="L89" s="376">
        <f t="shared" si="88"/>
        <v>0</v>
      </c>
      <c r="M89" s="376">
        <f t="shared" si="89"/>
        <v>37635481</v>
      </c>
      <c r="N89" s="146">
        <f t="shared" si="90"/>
        <v>50000000</v>
      </c>
      <c r="P89" s="375">
        <v>0</v>
      </c>
      <c r="Q89" s="378">
        <v>0</v>
      </c>
      <c r="R89" s="9"/>
      <c r="S89" s="369" t="str">
        <f>+IF(FEBRERO!S89=0,"",FEBRERO!S89)</f>
        <v/>
      </c>
      <c r="T89" s="708" t="str">
        <f>+IF(FEBRERO!T89=0,"",FEBRERO!T89)</f>
        <v/>
      </c>
      <c r="U89" s="370"/>
      <c r="V89" s="164"/>
      <c r="W89" s="164"/>
      <c r="X89" s="164"/>
      <c r="Y89" s="370"/>
      <c r="Z89" s="164"/>
      <c r="AA89" s="169"/>
      <c r="AB89" s="370"/>
      <c r="AC89" s="164"/>
      <c r="AD89" s="169"/>
      <c r="AE89" s="370"/>
      <c r="AF89" s="164"/>
      <c r="AG89" s="169"/>
      <c r="AH89" s="370"/>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+IF(FEBRERO!A90=0,"",FEBRERO!A90)</f>
        <v>1130205</v>
      </c>
      <c r="B90" s="635" t="str">
        <f>+IF(FEBRERO!B90=0,"",FEBRERO!B90)</f>
        <v>CONVENIOS CON EL MUNICIPIO LIGADOS A LA VENTA DE SERVICIOS</v>
      </c>
      <c r="C90" s="401">
        <f>+ENERO!C90</f>
        <v>24000000</v>
      </c>
      <c r="D90" s="376">
        <f>FEBRERO!D90+MARZO!P90</f>
        <v>0</v>
      </c>
      <c r="E90" s="376">
        <f>FEBRERO!E90+MARZO!Q90</f>
        <v>0</v>
      </c>
      <c r="F90" s="376">
        <f t="shared" si="86"/>
        <v>24000000</v>
      </c>
      <c r="G90" s="376">
        <f>FEBRERO!I90</f>
        <v>2400000</v>
      </c>
      <c r="H90" s="377">
        <v>1040000</v>
      </c>
      <c r="I90" s="376">
        <f t="shared" si="87"/>
        <v>3440000</v>
      </c>
      <c r="J90" s="376">
        <f>FEBRERO!L90</f>
        <v>0</v>
      </c>
      <c r="K90" s="377">
        <v>0</v>
      </c>
      <c r="L90" s="376">
        <f t="shared" si="88"/>
        <v>0</v>
      </c>
      <c r="M90" s="376">
        <f t="shared" si="89"/>
        <v>20560000</v>
      </c>
      <c r="N90" s="146">
        <f t="shared" si="90"/>
        <v>24000000</v>
      </c>
      <c r="O90" s="385"/>
      <c r="P90" s="375">
        <v>0</v>
      </c>
      <c r="Q90" s="378">
        <v>0</v>
      </c>
      <c r="R90" s="30"/>
      <c r="S90" s="718">
        <f>+IF(FEBRERO!S90=0,"",FEBRERO!S90)</f>
        <v>1020300</v>
      </c>
      <c r="T90" s="736" t="str">
        <f>+IF(FEBRERO!T90=0,"",FEBRERO!T90)</f>
        <v>Contribuciones Inherentes nómina al Sector Privado</v>
      </c>
      <c r="U90" s="131">
        <f t="shared" ref="U90:AJ90" si="91">U91+U96+U102</f>
        <v>269700847</v>
      </c>
      <c r="V90" s="124">
        <f t="shared" si="91"/>
        <v>0</v>
      </c>
      <c r="W90" s="124">
        <f t="shared" si="91"/>
        <v>54740941</v>
      </c>
      <c r="X90" s="132">
        <f t="shared" si="91"/>
        <v>324441788</v>
      </c>
      <c r="Y90" s="131">
        <f t="shared" si="91"/>
        <v>89077367</v>
      </c>
      <c r="Z90" s="124">
        <f t="shared" si="91"/>
        <v>17393994</v>
      </c>
      <c r="AA90" s="133">
        <f t="shared" si="91"/>
        <v>106471361</v>
      </c>
      <c r="AB90" s="131">
        <f t="shared" si="91"/>
        <v>89077367</v>
      </c>
      <c r="AC90" s="124">
        <f t="shared" si="91"/>
        <v>17393994</v>
      </c>
      <c r="AD90" s="133">
        <f t="shared" si="91"/>
        <v>106471361</v>
      </c>
      <c r="AE90" s="131">
        <f t="shared" si="91"/>
        <v>84722962</v>
      </c>
      <c r="AF90" s="124">
        <f t="shared" si="91"/>
        <v>14999281</v>
      </c>
      <c r="AG90" s="133">
        <f t="shared" si="91"/>
        <v>99722243</v>
      </c>
      <c r="AH90" s="131">
        <f t="shared" si="91"/>
        <v>217970427</v>
      </c>
      <c r="AI90" s="124">
        <f t="shared" si="91"/>
        <v>217970427</v>
      </c>
      <c r="AJ90" s="133">
        <f t="shared" si="91"/>
        <v>224719545</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+IF(FEBRERO!A91=0,"",FEBRERO!A91)</f>
        <v>1130206</v>
      </c>
      <c r="B91" s="635" t="str">
        <f>+IF(FEBRERO!B91=0,"",FEBRERO!B91)</f>
        <v>OTROS CONVENIOS LIGADOS A LA VENTA DE SERVICIOS</v>
      </c>
      <c r="C91" s="401">
        <f>+ENERO!C91</f>
        <v>0</v>
      </c>
      <c r="D91" s="376">
        <f>FEBRERO!D91+MARZO!P91</f>
        <v>0</v>
      </c>
      <c r="E91" s="376">
        <f>FEBRERO!E91+MARZO!Q91</f>
        <v>0</v>
      </c>
      <c r="F91" s="376">
        <f t="shared" si="86"/>
        <v>0</v>
      </c>
      <c r="G91" s="376">
        <f>FEBRERO!I91</f>
        <v>0</v>
      </c>
      <c r="H91" s="377">
        <v>0</v>
      </c>
      <c r="I91" s="376">
        <f t="shared" si="87"/>
        <v>0</v>
      </c>
      <c r="J91" s="376">
        <f>FEBRERO!L91</f>
        <v>0</v>
      </c>
      <c r="K91" s="377">
        <v>0</v>
      </c>
      <c r="L91" s="376">
        <f t="shared" si="88"/>
        <v>0</v>
      </c>
      <c r="M91" s="376">
        <f t="shared" si="89"/>
        <v>0</v>
      </c>
      <c r="N91" s="146">
        <f t="shared" si="90"/>
        <v>0</v>
      </c>
      <c r="O91" s="385"/>
      <c r="P91" s="375">
        <v>0</v>
      </c>
      <c r="Q91" s="378">
        <v>0</v>
      </c>
      <c r="R91" s="30"/>
      <c r="S91" s="719">
        <f>+IF(FEBRERO!S91=0,"",FEBRERO!S91)</f>
        <v>1020301</v>
      </c>
      <c r="T91" s="737" t="str">
        <f>+IF(FEBRERO!T91=0,"",FEBRERO!T91)</f>
        <v>Contribuciones - Sin Situación de Fondos</v>
      </c>
      <c r="U91" s="29">
        <f t="shared" ref="U91:AJ91" si="92">SUM(U92:U95)</f>
        <v>230094736</v>
      </c>
      <c r="V91" s="15">
        <f t="shared" si="92"/>
        <v>0</v>
      </c>
      <c r="W91" s="15">
        <f t="shared" si="92"/>
        <v>0</v>
      </c>
      <c r="X91" s="18">
        <f t="shared" si="92"/>
        <v>230094736</v>
      </c>
      <c r="Y91" s="19">
        <f t="shared" si="92"/>
        <v>29288526</v>
      </c>
      <c r="Z91" s="145">
        <f t="shared" si="92"/>
        <v>14810694</v>
      </c>
      <c r="AA91" s="16">
        <f t="shared" si="92"/>
        <v>44099220</v>
      </c>
      <c r="AB91" s="19">
        <f t="shared" si="92"/>
        <v>29288526</v>
      </c>
      <c r="AC91" s="145">
        <f t="shared" si="92"/>
        <v>14810694</v>
      </c>
      <c r="AD91" s="16">
        <f t="shared" si="92"/>
        <v>44099220</v>
      </c>
      <c r="AE91" s="19">
        <f t="shared" si="92"/>
        <v>29288526</v>
      </c>
      <c r="AF91" s="145">
        <f t="shared" si="92"/>
        <v>12424681</v>
      </c>
      <c r="AG91" s="16">
        <f t="shared" si="92"/>
        <v>41713207</v>
      </c>
      <c r="AH91" s="19">
        <f t="shared" si="92"/>
        <v>185995516</v>
      </c>
      <c r="AI91" s="15">
        <f t="shared" si="92"/>
        <v>185995516</v>
      </c>
      <c r="AJ91" s="16">
        <f t="shared" si="92"/>
        <v>188381529</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+IF(FEBRERO!A92=0,"",FEBRERO!A92)</f>
        <v>1130207</v>
      </c>
      <c r="B92" s="636" t="str">
        <f>+IF(FEBRERO!B92=0,"",FEBRERO!B92)</f>
        <v>Vigencia Anterior</v>
      </c>
      <c r="C92" s="491">
        <f>+ENERO!C92</f>
        <v>0</v>
      </c>
      <c r="D92" s="388">
        <f>FEBRERO!D92+MARZO!P92</f>
        <v>0</v>
      </c>
      <c r="E92" s="388">
        <f>FEBRERO!E92+MARZO!Q92</f>
        <v>0</v>
      </c>
      <c r="F92" s="388">
        <f t="shared" si="86"/>
        <v>0</v>
      </c>
      <c r="G92" s="388">
        <f>FEBRERO!I92</f>
        <v>0</v>
      </c>
      <c r="H92" s="391">
        <v>0</v>
      </c>
      <c r="I92" s="388">
        <f t="shared" si="87"/>
        <v>0</v>
      </c>
      <c r="J92" s="388">
        <f>FEBRERO!L92</f>
        <v>0</v>
      </c>
      <c r="K92" s="391">
        <v>0</v>
      </c>
      <c r="L92" s="388">
        <f t="shared" si="88"/>
        <v>0</v>
      </c>
      <c r="M92" s="388">
        <f t="shared" si="89"/>
        <v>0</v>
      </c>
      <c r="N92" s="389">
        <f t="shared" si="90"/>
        <v>0</v>
      </c>
      <c r="O92" s="385"/>
      <c r="P92" s="375">
        <v>0</v>
      </c>
      <c r="Q92" s="378">
        <v>0</v>
      </c>
      <c r="R92" s="30"/>
      <c r="S92" s="720" t="str">
        <f>+IF(FEBRERO!S92=0,"",FEBRERO!S92)</f>
        <v>1020301-1</v>
      </c>
      <c r="T92" s="738" t="str">
        <f>+IF(FEBRERO!T92=0,"",FEBRERO!T92)</f>
        <v>Aportes a E.P.S.- Sin sit. Fondos</v>
      </c>
      <c r="U92" s="29">
        <f>+ENERO!U92</f>
        <v>59416260</v>
      </c>
      <c r="V92" s="15">
        <f>FEBRERO!V92+MARZO!AL92</f>
        <v>0</v>
      </c>
      <c r="W92" s="15">
        <f>FEBRERO!W92+MARZO!AM92</f>
        <v>0</v>
      </c>
      <c r="X92" s="18">
        <f>SUM(U92:W92)</f>
        <v>59416260</v>
      </c>
      <c r="Y92" s="19">
        <f>FEBRERO!AA92</f>
        <v>10916105</v>
      </c>
      <c r="Z92" s="377">
        <v>5489503</v>
      </c>
      <c r="AA92" s="16">
        <f>SUM(Y92:Z92)</f>
        <v>16405608</v>
      </c>
      <c r="AB92" s="19">
        <f>FEBRERO!AD92</f>
        <v>10916105</v>
      </c>
      <c r="AC92" s="377">
        <v>5489503</v>
      </c>
      <c r="AD92" s="16">
        <f>SUM(AB92:AC92)</f>
        <v>16405608</v>
      </c>
      <c r="AE92" s="19">
        <f>FEBRERO!AG92</f>
        <v>10916105</v>
      </c>
      <c r="AF92" s="377">
        <v>5489503</v>
      </c>
      <c r="AG92" s="16">
        <f>SUM(AE92:AF92)</f>
        <v>16405608</v>
      </c>
      <c r="AH92" s="19">
        <f>X92-AA92</f>
        <v>43010652</v>
      </c>
      <c r="AI92" s="15">
        <f>X92-AD92</f>
        <v>43010652</v>
      </c>
      <c r="AJ92" s="16">
        <f>X92-AG92</f>
        <v>43010652</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+IF(FEBRERO!A93=0,"",FEBRERO!A93)</f>
        <v/>
      </c>
      <c r="B93" s="659" t="str">
        <f>+IF(FEBRERO!B93=0,"",FEBRERO!B93)</f>
        <v/>
      </c>
      <c r="C93" s="297"/>
      <c r="D93" s="297"/>
      <c r="E93" s="297"/>
      <c r="F93" s="297"/>
      <c r="G93" s="297"/>
      <c r="H93" s="297"/>
      <c r="I93" s="297"/>
      <c r="J93" s="297"/>
      <c r="K93" s="297"/>
      <c r="L93" s="297"/>
      <c r="M93" s="297"/>
      <c r="N93" s="466"/>
      <c r="P93" s="470"/>
      <c r="Q93" s="394"/>
      <c r="R93" s="30"/>
      <c r="S93" s="720" t="str">
        <f>+IF(FEBRERO!S93=0,"",FEBRERO!S93)</f>
        <v>1020301-2</v>
      </c>
      <c r="T93" s="738" t="str">
        <f>+IF(FEBRERO!T93=0,"",FEBRERO!T93)</f>
        <v>Aportes Fondos Pensionales - Sin Sit. Fondos</v>
      </c>
      <c r="U93" s="29">
        <f>+ENERO!U93</f>
        <v>81857136</v>
      </c>
      <c r="V93" s="15">
        <f>FEBRERO!V93+MARZO!AL93</f>
        <v>0</v>
      </c>
      <c r="W93" s="15">
        <f>FEBRERO!W93+MARZO!AM93</f>
        <v>0</v>
      </c>
      <c r="X93" s="18">
        <f>SUM(U93:W93)</f>
        <v>81857136</v>
      </c>
      <c r="Y93" s="19">
        <f>FEBRERO!AA93</f>
        <v>15410974</v>
      </c>
      <c r="Z93" s="377">
        <v>7749890</v>
      </c>
      <c r="AA93" s="16">
        <f>SUM(Y93:Z93)</f>
        <v>23160864</v>
      </c>
      <c r="AB93" s="19">
        <f>FEBRERO!AD93</f>
        <v>15410974</v>
      </c>
      <c r="AC93" s="377">
        <v>7749890</v>
      </c>
      <c r="AD93" s="16">
        <f>SUM(AB93:AC93)</f>
        <v>23160864</v>
      </c>
      <c r="AE93" s="19">
        <f>FEBRERO!AG93</f>
        <v>15410974</v>
      </c>
      <c r="AF93" s="377">
        <v>5363877</v>
      </c>
      <c r="AG93" s="16">
        <f>SUM(AE93:AF93)</f>
        <v>20774851</v>
      </c>
      <c r="AH93" s="19">
        <f>X93-AA93</f>
        <v>58696272</v>
      </c>
      <c r="AI93" s="15">
        <f>X93-AD93</f>
        <v>58696272</v>
      </c>
      <c r="AJ93" s="16">
        <f>X93-AG93</f>
        <v>61082285</v>
      </c>
      <c r="AK93" s="9"/>
      <c r="AL93" s="375">
        <v>0</v>
      </c>
      <c r="AM93" s="378">
        <v>0</v>
      </c>
      <c r="AN93" s="30"/>
      <c r="AO93" s="463"/>
      <c r="AP93" s="463"/>
      <c r="AQ93" s="463"/>
      <c r="AR93" s="463"/>
      <c r="AS93" s="463"/>
      <c r="AT93" s="463"/>
      <c r="AU93" s="463"/>
      <c r="AV93" s="463"/>
      <c r="AW93" s="463"/>
      <c r="AX93" s="463"/>
      <c r="AY93" s="463"/>
      <c r="AZ93" s="463"/>
      <c r="BL93" s="30"/>
    </row>
    <row r="94" spans="1:70" s="464" customFormat="1" ht="37.5" customHeight="1" x14ac:dyDescent="0.2">
      <c r="A94" s="753">
        <f>+IF(FEBRERO!A94=0,"",FEBRERO!A94)</f>
        <v>11303</v>
      </c>
      <c r="B94" s="626" t="str">
        <f>+IF(FEBRERO!B94=0,"",FEBRERO!B94)</f>
        <v>Aportes (No ligados a la venta de servicios de salud)</v>
      </c>
      <c r="C94" s="625">
        <f>SUM(C95:C102)</f>
        <v>0</v>
      </c>
      <c r="D94" s="623">
        <f t="shared" ref="D94:N94" si="93">SUM(D95:D102)</f>
        <v>0</v>
      </c>
      <c r="E94" s="623">
        <f t="shared" si="93"/>
        <v>0</v>
      </c>
      <c r="F94" s="623">
        <f t="shared" si="93"/>
        <v>0</v>
      </c>
      <c r="G94" s="623">
        <f t="shared" si="93"/>
        <v>0</v>
      </c>
      <c r="H94" s="623">
        <f t="shared" si="93"/>
        <v>0</v>
      </c>
      <c r="I94" s="623">
        <f t="shared" si="93"/>
        <v>0</v>
      </c>
      <c r="J94" s="623">
        <f t="shared" si="93"/>
        <v>0</v>
      </c>
      <c r="K94" s="623">
        <f t="shared" si="93"/>
        <v>0</v>
      </c>
      <c r="L94" s="623">
        <f t="shared" si="93"/>
        <v>0</v>
      </c>
      <c r="M94" s="623">
        <f t="shared" si="93"/>
        <v>0</v>
      </c>
      <c r="N94" s="624">
        <f t="shared" si="93"/>
        <v>0</v>
      </c>
      <c r="O94" s="385"/>
      <c r="P94" s="43">
        <f>SUM(P95:P102)</f>
        <v>0</v>
      </c>
      <c r="Q94" s="45">
        <f>SUM(Q95:Q102)</f>
        <v>0</v>
      </c>
      <c r="R94" s="30"/>
      <c r="S94" s="720" t="str">
        <f>+IF(FEBRERO!S94=0,"",FEBRERO!S94)</f>
        <v>1020301-3</v>
      </c>
      <c r="T94" s="738" t="str">
        <f>+IF(FEBRERO!T94=0,"",FEBRERO!T94)</f>
        <v xml:space="preserve">Aportes a Fondos de Cesantia - Sin Sit. de Fondos </v>
      </c>
      <c r="U94" s="29">
        <f>+ENERO!U94</f>
        <v>71793333</v>
      </c>
      <c r="V94" s="15">
        <f>FEBRERO!V94+MARZO!AL94</f>
        <v>0</v>
      </c>
      <c r="W94" s="15">
        <f>FEBRERO!W94+MARZO!AM94</f>
        <v>0</v>
      </c>
      <c r="X94" s="18">
        <f>SUM(U94:W94)</f>
        <v>71793333</v>
      </c>
      <c r="Y94" s="19">
        <f>FEBRERO!AA94</f>
        <v>0</v>
      </c>
      <c r="Z94" s="377">
        <v>0</v>
      </c>
      <c r="AA94" s="16">
        <f>SUM(Y94:Z94)</f>
        <v>0</v>
      </c>
      <c r="AB94" s="19">
        <f>FEBRERO!AD94</f>
        <v>0</v>
      </c>
      <c r="AC94" s="377">
        <v>0</v>
      </c>
      <c r="AD94" s="16">
        <f>SUM(AB94:AC94)</f>
        <v>0</v>
      </c>
      <c r="AE94" s="19">
        <f>FEBRERO!AG94</f>
        <v>0</v>
      </c>
      <c r="AF94" s="377">
        <v>0</v>
      </c>
      <c r="AG94" s="16">
        <f>SUM(AE94:AF94)</f>
        <v>0</v>
      </c>
      <c r="AH94" s="19">
        <f>X94-AA94</f>
        <v>71793333</v>
      </c>
      <c r="AI94" s="15">
        <f>X94-AD94</f>
        <v>71793333</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+IF(FEBRERO!A95=0,"",FEBRERO!A95)</f>
        <v>11303-1</v>
      </c>
      <c r="B95" s="627" t="str">
        <f>+IF(FEBRERO!B95=0,"",FEBRERO!B95)</f>
        <v>NACION</v>
      </c>
      <c r="C95" s="401">
        <f>+ENERO!C95</f>
        <v>0</v>
      </c>
      <c r="D95" s="376">
        <f>FEBRERO!D95+MARZO!P95</f>
        <v>0</v>
      </c>
      <c r="E95" s="376">
        <f>FEBRERO!E95+MARZO!Q95</f>
        <v>0</v>
      </c>
      <c r="F95" s="376">
        <f t="shared" ref="F95:F102" si="94">SUM(C95:E95)</f>
        <v>0</v>
      </c>
      <c r="G95" s="376">
        <f>FEBRERO!I95</f>
        <v>0</v>
      </c>
      <c r="H95" s="377">
        <v>0</v>
      </c>
      <c r="I95" s="376">
        <f t="shared" ref="I95:I102" si="95">SUM(G95:H95)</f>
        <v>0</v>
      </c>
      <c r="J95" s="376">
        <f>FEBRERO!L95</f>
        <v>0</v>
      </c>
      <c r="K95" s="377">
        <v>0</v>
      </c>
      <c r="L95" s="376">
        <f t="shared" ref="L95:L102" si="96">SUM(J95:K95)</f>
        <v>0</v>
      </c>
      <c r="M95" s="376">
        <f t="shared" ref="M95:M102" si="97">F95-I95</f>
        <v>0</v>
      </c>
      <c r="N95" s="146">
        <f t="shared" ref="N95:N102" si="98">F95-L95</f>
        <v>0</v>
      </c>
      <c r="O95" s="385"/>
      <c r="P95" s="375">
        <v>0</v>
      </c>
      <c r="Q95" s="378">
        <v>0</v>
      </c>
      <c r="R95" s="30"/>
      <c r="S95" s="720" t="str">
        <f>+IF(FEBRERO!S95=0,"",FEBRERO!S95)</f>
        <v>1020301-4</v>
      </c>
      <c r="T95" s="738" t="str">
        <f>+IF(FEBRERO!T95=0,"",FEBRERO!T95)</f>
        <v>Aporte a ARL. - Sin Sit. de Fondos</v>
      </c>
      <c r="U95" s="29">
        <f>+ENERO!U95</f>
        <v>17028007</v>
      </c>
      <c r="V95" s="15">
        <f>FEBRERO!V95+MARZO!AL95</f>
        <v>0</v>
      </c>
      <c r="W95" s="15">
        <f>FEBRERO!W95+MARZO!AM95</f>
        <v>0</v>
      </c>
      <c r="X95" s="18">
        <f>SUM(U95:W95)</f>
        <v>17028007</v>
      </c>
      <c r="Y95" s="19">
        <f>FEBRERO!AA95</f>
        <v>2961447</v>
      </c>
      <c r="Z95" s="377">
        <v>1571301</v>
      </c>
      <c r="AA95" s="16">
        <f>SUM(Y95:Z95)</f>
        <v>4532748</v>
      </c>
      <c r="AB95" s="19">
        <f>FEBRERO!AD95</f>
        <v>2961447</v>
      </c>
      <c r="AC95" s="377">
        <v>1571301</v>
      </c>
      <c r="AD95" s="16">
        <f>SUM(AB95:AC95)</f>
        <v>4532748</v>
      </c>
      <c r="AE95" s="19">
        <f>FEBRERO!AG95</f>
        <v>2961447</v>
      </c>
      <c r="AF95" s="377">
        <v>1571301</v>
      </c>
      <c r="AG95" s="16">
        <f>SUM(AE95:AF95)</f>
        <v>4532748</v>
      </c>
      <c r="AH95" s="19">
        <f>X95-AA95</f>
        <v>12495259</v>
      </c>
      <c r="AI95" s="15">
        <f>X95-AD95</f>
        <v>12495259</v>
      </c>
      <c r="AJ95" s="16">
        <f>X95-AG95</f>
        <v>12495259</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+IF(FEBRERO!A96=0,"",FEBRERO!A96)</f>
        <v>11303-2</v>
      </c>
      <c r="B96" s="627" t="str">
        <f>+IF(FEBRERO!B96=0,"",FEBRERO!B96)</f>
        <v>DEPARTAMENTO</v>
      </c>
      <c r="C96" s="401">
        <f>+ENERO!C96</f>
        <v>0</v>
      </c>
      <c r="D96" s="376">
        <f>FEBRERO!D96+MARZO!P96</f>
        <v>0</v>
      </c>
      <c r="E96" s="376">
        <f>FEBRERO!E96+MARZO!Q96</f>
        <v>0</v>
      </c>
      <c r="F96" s="376">
        <f t="shared" si="94"/>
        <v>0</v>
      </c>
      <c r="G96" s="376">
        <f>FEBRERO!I96</f>
        <v>0</v>
      </c>
      <c r="H96" s="377">
        <v>0</v>
      </c>
      <c r="I96" s="376">
        <f t="shared" si="95"/>
        <v>0</v>
      </c>
      <c r="J96" s="376">
        <f>FEBRERO!L96</f>
        <v>0</v>
      </c>
      <c r="K96" s="377">
        <v>0</v>
      </c>
      <c r="L96" s="376">
        <f t="shared" si="96"/>
        <v>0</v>
      </c>
      <c r="M96" s="376">
        <f t="shared" si="97"/>
        <v>0</v>
      </c>
      <c r="N96" s="146">
        <f t="shared" si="98"/>
        <v>0</v>
      </c>
      <c r="O96" s="385"/>
      <c r="P96" s="375">
        <v>0</v>
      </c>
      <c r="Q96" s="378">
        <v>0</v>
      </c>
      <c r="S96" s="719">
        <f>+IF(FEBRERO!S96=0,"",FEBRERO!S96)</f>
        <v>1020302</v>
      </c>
      <c r="T96" s="737" t="str">
        <f>+IF(FEBRERO!T96=0,"",FEBRERO!T96)</f>
        <v>Contribuciones - Otros</v>
      </c>
      <c r="U96" s="29">
        <f t="shared" ref="U96:AJ96" si="99">SUM(U97:U101)</f>
        <v>39606111</v>
      </c>
      <c r="V96" s="15">
        <f t="shared" si="99"/>
        <v>0</v>
      </c>
      <c r="W96" s="15">
        <f t="shared" si="99"/>
        <v>0</v>
      </c>
      <c r="X96" s="18">
        <f t="shared" si="99"/>
        <v>39606111</v>
      </c>
      <c r="Y96" s="19">
        <f t="shared" si="99"/>
        <v>5047900</v>
      </c>
      <c r="Z96" s="145">
        <f t="shared" si="99"/>
        <v>2583300</v>
      </c>
      <c r="AA96" s="16">
        <f t="shared" si="99"/>
        <v>7631200</v>
      </c>
      <c r="AB96" s="19">
        <f t="shared" si="99"/>
        <v>5047900</v>
      </c>
      <c r="AC96" s="145">
        <f t="shared" si="99"/>
        <v>2583300</v>
      </c>
      <c r="AD96" s="16">
        <f t="shared" si="99"/>
        <v>7631200</v>
      </c>
      <c r="AE96" s="19">
        <f t="shared" si="99"/>
        <v>2473300</v>
      </c>
      <c r="AF96" s="145">
        <f t="shared" si="99"/>
        <v>2574600</v>
      </c>
      <c r="AG96" s="16">
        <f t="shared" si="99"/>
        <v>5047900</v>
      </c>
      <c r="AH96" s="19">
        <f t="shared" si="99"/>
        <v>31974911</v>
      </c>
      <c r="AI96" s="15">
        <f t="shared" si="99"/>
        <v>31974911</v>
      </c>
      <c r="AJ96" s="16">
        <f t="shared" si="99"/>
        <v>34558211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F96" s="464"/>
      <c r="BL96" s="464"/>
      <c r="BM96" s="464"/>
      <c r="BN96" s="464"/>
      <c r="BO96" s="464"/>
      <c r="BP96" s="464"/>
      <c r="BQ96" s="464"/>
      <c r="BR96" s="464"/>
    </row>
    <row r="97" spans="1:70" s="464" customFormat="1" ht="24.95" customHeight="1" x14ac:dyDescent="0.2">
      <c r="A97" s="754" t="str">
        <f>+IF(FEBRERO!A97=0,"",FEBRERO!A97)</f>
        <v>11303-3</v>
      </c>
      <c r="B97" s="627" t="str">
        <f>+IF(FEBRERO!B97=0,"",FEBRERO!B97)</f>
        <v>MUNICIPIO</v>
      </c>
      <c r="C97" s="401">
        <f>+ENERO!C97</f>
        <v>0</v>
      </c>
      <c r="D97" s="376">
        <f>FEBRERO!D97+MARZO!P97</f>
        <v>0</v>
      </c>
      <c r="E97" s="376">
        <f>FEBRERO!E97+MARZO!Q97</f>
        <v>0</v>
      </c>
      <c r="F97" s="376">
        <f t="shared" si="94"/>
        <v>0</v>
      </c>
      <c r="G97" s="376">
        <f>FEBRERO!I97</f>
        <v>0</v>
      </c>
      <c r="H97" s="377">
        <v>0</v>
      </c>
      <c r="I97" s="376">
        <f t="shared" si="95"/>
        <v>0</v>
      </c>
      <c r="J97" s="376">
        <f>FEBRERO!L97</f>
        <v>0</v>
      </c>
      <c r="K97" s="377">
        <v>0</v>
      </c>
      <c r="L97" s="376">
        <f t="shared" si="96"/>
        <v>0</v>
      </c>
      <c r="M97" s="376">
        <f t="shared" si="97"/>
        <v>0</v>
      </c>
      <c r="N97" s="146">
        <f t="shared" si="98"/>
        <v>0</v>
      </c>
      <c r="O97" s="385"/>
      <c r="P97" s="375">
        <v>0</v>
      </c>
      <c r="Q97" s="378">
        <v>0</v>
      </c>
      <c r="R97" s="30"/>
      <c r="S97" s="720" t="str">
        <f>+IF(FEBRERO!S97=0,"",FEBRERO!S97)</f>
        <v>1020302-1</v>
      </c>
      <c r="T97" s="738" t="str">
        <f>+IF(FEBRERO!T97=0,"",FEBRERO!T97)</f>
        <v>Aportes a E.P.S.- Con sit. Fondos</v>
      </c>
      <c r="U97" s="29">
        <f>+ENERO!U97</f>
        <v>1005165</v>
      </c>
      <c r="V97" s="15">
        <f>FEBRERO!V97+MARZO!AL97</f>
        <v>0</v>
      </c>
      <c r="W97" s="15">
        <f>FEBRERO!W97+MARZO!AM97</f>
        <v>0</v>
      </c>
      <c r="X97" s="18">
        <f t="shared" ref="X97:X102" si="100">SUM(U97:W97)</f>
        <v>1005165</v>
      </c>
      <c r="Y97" s="19">
        <f>FEBRERO!AA97</f>
        <v>0</v>
      </c>
      <c r="Z97" s="377">
        <v>0</v>
      </c>
      <c r="AA97" s="16">
        <f t="shared" ref="AA97:AA102" si="101">SUM(Y97:Z97)</f>
        <v>0</v>
      </c>
      <c r="AB97" s="19">
        <f>FEBRERO!AD97</f>
        <v>0</v>
      </c>
      <c r="AC97" s="377">
        <v>0</v>
      </c>
      <c r="AD97" s="16">
        <f t="shared" ref="AD97:AD102" si="102">SUM(AB97:AC97)</f>
        <v>0</v>
      </c>
      <c r="AE97" s="19">
        <f>FEBRERO!AG97</f>
        <v>0</v>
      </c>
      <c r="AF97" s="377">
        <v>0</v>
      </c>
      <c r="AG97" s="16">
        <f t="shared" ref="AG97:AG102" si="103">SUM(AE97:AF97)</f>
        <v>0</v>
      </c>
      <c r="AH97" s="19">
        <f t="shared" ref="AH97:AH102" si="104">X97-AA97</f>
        <v>1005165</v>
      </c>
      <c r="AI97" s="15">
        <f t="shared" ref="AI97:AI102" si="105">X97-AD97</f>
        <v>1005165</v>
      </c>
      <c r="AJ97" s="16">
        <f t="shared" ref="AJ97:AJ102" si="106">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+IF(FEBRERO!A98=0,"",FEBRERO!A98)</f>
        <v>11303-4</v>
      </c>
      <c r="B98" s="627" t="str">
        <f>+IF(FEBRERO!B98=0,"",FEBRERO!B98)</f>
        <v>CONVENIOS (EMPRESTITO)</v>
      </c>
      <c r="C98" s="401">
        <f>+ENERO!C98</f>
        <v>0</v>
      </c>
      <c r="D98" s="376">
        <f>FEBRERO!D98+MARZO!P98</f>
        <v>0</v>
      </c>
      <c r="E98" s="376">
        <f>FEBRERO!E98+MARZO!Q98</f>
        <v>0</v>
      </c>
      <c r="F98" s="376">
        <f t="shared" si="94"/>
        <v>0</v>
      </c>
      <c r="G98" s="376">
        <f>FEBRERO!I98</f>
        <v>0</v>
      </c>
      <c r="H98" s="377">
        <v>0</v>
      </c>
      <c r="I98" s="376">
        <f t="shared" si="95"/>
        <v>0</v>
      </c>
      <c r="J98" s="376">
        <f>FEBRERO!L98</f>
        <v>0</v>
      </c>
      <c r="K98" s="377">
        <v>0</v>
      </c>
      <c r="L98" s="376">
        <f t="shared" si="96"/>
        <v>0</v>
      </c>
      <c r="M98" s="376">
        <f t="shared" si="97"/>
        <v>0</v>
      </c>
      <c r="N98" s="146">
        <f t="shared" si="98"/>
        <v>0</v>
      </c>
      <c r="O98" s="385"/>
      <c r="P98" s="375">
        <v>0</v>
      </c>
      <c r="Q98" s="378">
        <v>0</v>
      </c>
      <c r="R98" s="30"/>
      <c r="S98" s="720" t="str">
        <f>+IF(FEBRERO!S98=0,"",FEBRERO!S98)</f>
        <v>1020302-2</v>
      </c>
      <c r="T98" s="738" t="str">
        <f>+IF(FEBRERO!T98=0,"",FEBRERO!T98)</f>
        <v>Aportes Fondos Pensionales - Con Sit. Fondos</v>
      </c>
      <c r="U98" s="29">
        <f>+ENERO!U98</f>
        <v>3635130</v>
      </c>
      <c r="V98" s="15">
        <f>FEBRERO!V98+MARZO!AL98</f>
        <v>0</v>
      </c>
      <c r="W98" s="15">
        <f>FEBRERO!W98+MARZO!AM98</f>
        <v>0</v>
      </c>
      <c r="X98" s="18">
        <f t="shared" si="100"/>
        <v>3635130</v>
      </c>
      <c r="Y98" s="19">
        <f>FEBRERO!AA98</f>
        <v>0</v>
      </c>
      <c r="Z98" s="377">
        <v>0</v>
      </c>
      <c r="AA98" s="16">
        <f t="shared" si="101"/>
        <v>0</v>
      </c>
      <c r="AB98" s="19">
        <f>FEBRERO!AD98</f>
        <v>0</v>
      </c>
      <c r="AC98" s="377">
        <v>0</v>
      </c>
      <c r="AD98" s="16">
        <f t="shared" si="102"/>
        <v>0</v>
      </c>
      <c r="AE98" s="19">
        <f>FEBRERO!AG98</f>
        <v>0</v>
      </c>
      <c r="AF98" s="377">
        <v>0</v>
      </c>
      <c r="AG98" s="16">
        <f t="shared" si="103"/>
        <v>0</v>
      </c>
      <c r="AH98" s="19">
        <f t="shared" si="104"/>
        <v>3635130</v>
      </c>
      <c r="AI98" s="15">
        <f t="shared" si="105"/>
        <v>3635130</v>
      </c>
      <c r="AJ98" s="16">
        <f t="shared" si="106"/>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+IF(FEBRERO!A99=0,"",FEBRERO!A99)</f>
        <v>11303-5</v>
      </c>
      <c r="B99" s="627" t="str">
        <f>+IF(FEBRERO!B99=0,"",FEBRERO!B99)</f>
        <v>APORTES PATRONALES - MUNICIPIO / DEPARTAMENTO</v>
      </c>
      <c r="C99" s="681">
        <f>+ENERO!C99</f>
        <v>0</v>
      </c>
      <c r="D99" s="376">
        <f>FEBRERO!D99+MARZO!P99</f>
        <v>0</v>
      </c>
      <c r="E99" s="376">
        <f>FEBRERO!E99+MARZO!Q99</f>
        <v>0</v>
      </c>
      <c r="F99" s="376">
        <f t="shared" si="94"/>
        <v>0</v>
      </c>
      <c r="G99" s="376">
        <f>FEBRERO!I99</f>
        <v>0</v>
      </c>
      <c r="H99" s="682">
        <v>0</v>
      </c>
      <c r="I99" s="376">
        <f t="shared" si="95"/>
        <v>0</v>
      </c>
      <c r="J99" s="376">
        <f>FEBRERO!L99</f>
        <v>0</v>
      </c>
      <c r="K99" s="682">
        <v>0</v>
      </c>
      <c r="L99" s="376">
        <f t="shared" si="96"/>
        <v>0</v>
      </c>
      <c r="M99" s="376">
        <f t="shared" si="97"/>
        <v>0</v>
      </c>
      <c r="N99" s="146">
        <f t="shared" si="98"/>
        <v>0</v>
      </c>
      <c r="O99" s="385"/>
      <c r="P99" s="683">
        <v>0</v>
      </c>
      <c r="Q99" s="684">
        <v>0</v>
      </c>
      <c r="R99" s="30"/>
      <c r="S99" s="720" t="str">
        <f>+IF(FEBRERO!S99=0,"",FEBRERO!S99)</f>
        <v>1020302-3</v>
      </c>
      <c r="T99" s="738" t="str">
        <f>+IF(FEBRERO!T99=0,"",FEBRERO!T99)</f>
        <v xml:space="preserve">Aportes a Fondos de Cesantia - Con Sit. de Fondos </v>
      </c>
      <c r="U99" s="29">
        <f>+ENERO!U99</f>
        <v>2469908</v>
      </c>
      <c r="V99" s="15">
        <f>FEBRERO!V99+MARZO!AL99</f>
        <v>0</v>
      </c>
      <c r="W99" s="15">
        <f>FEBRERO!W99+MARZO!AM99</f>
        <v>0</v>
      </c>
      <c r="X99" s="18">
        <f t="shared" si="100"/>
        <v>2469908</v>
      </c>
      <c r="Y99" s="19">
        <f>FEBRERO!AA99</f>
        <v>0</v>
      </c>
      <c r="Z99" s="377">
        <v>0</v>
      </c>
      <c r="AA99" s="16">
        <f t="shared" si="101"/>
        <v>0</v>
      </c>
      <c r="AB99" s="19">
        <f>FEBRERO!AD99</f>
        <v>0</v>
      </c>
      <c r="AC99" s="377">
        <v>0</v>
      </c>
      <c r="AD99" s="16">
        <f t="shared" si="102"/>
        <v>0</v>
      </c>
      <c r="AE99" s="19">
        <f>FEBRERO!AG99</f>
        <v>0</v>
      </c>
      <c r="AF99" s="377">
        <v>0</v>
      </c>
      <c r="AG99" s="16">
        <f t="shared" si="103"/>
        <v>0</v>
      </c>
      <c r="AH99" s="19">
        <f t="shared" si="104"/>
        <v>2469908</v>
      </c>
      <c r="AI99" s="15">
        <f t="shared" si="105"/>
        <v>2469908</v>
      </c>
      <c r="AJ99" s="16">
        <f t="shared" si="106"/>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+IF(FEBRERO!A100=0,"",FEBRERO!A100)</f>
        <v>11303-6</v>
      </c>
      <c r="B100" s="627" t="str">
        <f>+IF(FEBRERO!B100=0,"",FEBRERO!B100)</f>
        <v>RECURSOS PARA PROGRAMA DE SANEAMIENTO FINANCIERO</v>
      </c>
      <c r="C100" s="401">
        <v>0</v>
      </c>
      <c r="D100" s="376">
        <f>FEBRERO!D100+MARZO!P100</f>
        <v>0</v>
      </c>
      <c r="E100" s="376">
        <f>FEBRERO!E100+MARZO!Q100</f>
        <v>0</v>
      </c>
      <c r="F100" s="376">
        <f t="shared" si="94"/>
        <v>0</v>
      </c>
      <c r="G100" s="376">
        <f>FEBRERO!I100</f>
        <v>0</v>
      </c>
      <c r="H100" s="377">
        <v>0</v>
      </c>
      <c r="I100" s="376">
        <f t="shared" si="95"/>
        <v>0</v>
      </c>
      <c r="J100" s="376">
        <f>FEBRERO!L100</f>
        <v>0</v>
      </c>
      <c r="K100" s="377">
        <v>0</v>
      </c>
      <c r="L100" s="376">
        <f t="shared" si="96"/>
        <v>0</v>
      </c>
      <c r="M100" s="376">
        <f t="shared" si="97"/>
        <v>0</v>
      </c>
      <c r="N100" s="146">
        <f t="shared" si="98"/>
        <v>0</v>
      </c>
      <c r="P100" s="375">
        <v>0</v>
      </c>
      <c r="Q100" s="378">
        <v>0</v>
      </c>
      <c r="R100" s="9"/>
      <c r="S100" s="720" t="str">
        <f>+IF(FEBRERO!S100=0,"",FEBRERO!S100)</f>
        <v>1020302-4</v>
      </c>
      <c r="T100" s="738" t="str">
        <f>+IF(FEBRERO!T100=0,"",FEBRERO!T100)</f>
        <v>Aporte a ARL. - Con Sit. de Fondos</v>
      </c>
      <c r="U100" s="29">
        <f>+ENERO!U100</f>
        <v>0</v>
      </c>
      <c r="V100" s="15">
        <f>FEBRERO!V100+MARZO!AL100</f>
        <v>0</v>
      </c>
      <c r="W100" s="15">
        <f>FEBRERO!W100+MARZO!AM100</f>
        <v>0</v>
      </c>
      <c r="X100" s="18">
        <f t="shared" si="100"/>
        <v>0</v>
      </c>
      <c r="Y100" s="19">
        <f>FEBRERO!AA100</f>
        <v>0</v>
      </c>
      <c r="Z100" s="377">
        <v>0</v>
      </c>
      <c r="AA100" s="16">
        <f t="shared" si="101"/>
        <v>0</v>
      </c>
      <c r="AB100" s="19">
        <f>FEBRERO!AD100</f>
        <v>0</v>
      </c>
      <c r="AC100" s="377">
        <v>0</v>
      </c>
      <c r="AD100" s="16">
        <f t="shared" si="102"/>
        <v>0</v>
      </c>
      <c r="AE100" s="19">
        <f>FEBRERO!AG100</f>
        <v>0</v>
      </c>
      <c r="AF100" s="377">
        <v>0</v>
      </c>
      <c r="AG100" s="16">
        <f t="shared" si="103"/>
        <v>0</v>
      </c>
      <c r="AH100" s="19">
        <f t="shared" si="104"/>
        <v>0</v>
      </c>
      <c r="AI100" s="15">
        <f t="shared" si="105"/>
        <v>0</v>
      </c>
      <c r="AJ100" s="16">
        <f t="shared" si="106"/>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+IF(FEBRERO!A101=0,"",FEBRERO!A101)</f>
        <v>11303-7</v>
      </c>
      <c r="B101" s="627" t="str">
        <f>+IF(FEBRERO!B101=0,"",FEBRERO!B101)</f>
        <v xml:space="preserve">SANEAMIENTO APORTES PATRONALES </v>
      </c>
      <c r="C101" s="401">
        <f>+ENERO!C101</f>
        <v>0</v>
      </c>
      <c r="D101" s="376">
        <f>FEBRERO!D101+MARZO!P101</f>
        <v>0</v>
      </c>
      <c r="E101" s="376">
        <f>FEBRERO!E101+MARZO!Q101</f>
        <v>0</v>
      </c>
      <c r="F101" s="376">
        <f t="shared" si="94"/>
        <v>0</v>
      </c>
      <c r="G101" s="376">
        <f>FEBRERO!I101</f>
        <v>0</v>
      </c>
      <c r="H101" s="377">
        <v>0</v>
      </c>
      <c r="I101" s="376">
        <f t="shared" si="95"/>
        <v>0</v>
      </c>
      <c r="J101" s="376">
        <f>FEBRERO!L101</f>
        <v>0</v>
      </c>
      <c r="K101" s="377">
        <v>0</v>
      </c>
      <c r="L101" s="376">
        <f t="shared" si="96"/>
        <v>0</v>
      </c>
      <c r="M101" s="376">
        <f t="shared" si="97"/>
        <v>0</v>
      </c>
      <c r="N101" s="146">
        <f t="shared" si="98"/>
        <v>0</v>
      </c>
      <c r="P101" s="375">
        <v>0</v>
      </c>
      <c r="Q101" s="378">
        <v>0</v>
      </c>
      <c r="R101" s="9"/>
      <c r="S101" s="720" t="str">
        <f>+IF(FEBRERO!S101=0,"",FEBRERO!S101)</f>
        <v>1020302-5</v>
      </c>
      <c r="T101" s="738" t="str">
        <f>+IF(FEBRERO!T101=0,"",FEBRERO!T101)</f>
        <v>Aporte a Caja Compensación Familiar</v>
      </c>
      <c r="U101" s="29">
        <f>+ENERO!U101</f>
        <v>32495908</v>
      </c>
      <c r="V101" s="15">
        <f>FEBRERO!V101+MARZO!AL101</f>
        <v>0</v>
      </c>
      <c r="W101" s="15">
        <f>FEBRERO!W101+MARZO!AM101</f>
        <v>0</v>
      </c>
      <c r="X101" s="18">
        <f t="shared" si="100"/>
        <v>32495908</v>
      </c>
      <c r="Y101" s="19">
        <f>FEBRERO!AA101</f>
        <v>5047900</v>
      </c>
      <c r="Z101" s="377">
        <v>2583300</v>
      </c>
      <c r="AA101" s="16">
        <f t="shared" si="101"/>
        <v>7631200</v>
      </c>
      <c r="AB101" s="19">
        <f>FEBRERO!AD101</f>
        <v>5047900</v>
      </c>
      <c r="AC101" s="377">
        <v>2583300</v>
      </c>
      <c r="AD101" s="16">
        <f t="shared" si="102"/>
        <v>7631200</v>
      </c>
      <c r="AE101" s="19">
        <f>FEBRERO!AG101</f>
        <v>2473300</v>
      </c>
      <c r="AF101" s="377">
        <v>2574600</v>
      </c>
      <c r="AG101" s="16">
        <f t="shared" si="103"/>
        <v>5047900</v>
      </c>
      <c r="AH101" s="19">
        <f t="shared" si="104"/>
        <v>24864708</v>
      </c>
      <c r="AI101" s="15">
        <f t="shared" si="105"/>
        <v>24864708</v>
      </c>
      <c r="AJ101" s="16">
        <f t="shared" si="106"/>
        <v>27448008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+IF(FEBRERO!A102=0,"",FEBRERO!A102)</f>
        <v>11303-8</v>
      </c>
      <c r="B102" s="636" t="str">
        <f>+IF(FEBRERO!B102=0,"",FEBRERO!B102)</f>
        <v>Vigencia Anterior</v>
      </c>
      <c r="C102" s="491">
        <f>+ENERO!C102</f>
        <v>0</v>
      </c>
      <c r="D102" s="388">
        <f>FEBRERO!D102+MARZO!P102</f>
        <v>0</v>
      </c>
      <c r="E102" s="388">
        <f>FEBRERO!E102+MARZO!Q102</f>
        <v>0</v>
      </c>
      <c r="F102" s="388">
        <f t="shared" si="94"/>
        <v>0</v>
      </c>
      <c r="G102" s="388">
        <f>FEBRERO!I102</f>
        <v>0</v>
      </c>
      <c r="H102" s="391">
        <v>0</v>
      </c>
      <c r="I102" s="388">
        <f t="shared" si="95"/>
        <v>0</v>
      </c>
      <c r="J102" s="388">
        <f>FEBRERO!L102</f>
        <v>0</v>
      </c>
      <c r="K102" s="391">
        <v>0</v>
      </c>
      <c r="L102" s="388">
        <f t="shared" si="96"/>
        <v>0</v>
      </c>
      <c r="M102" s="388">
        <f t="shared" si="97"/>
        <v>0</v>
      </c>
      <c r="N102" s="389">
        <f t="shared" si="98"/>
        <v>0</v>
      </c>
      <c r="P102" s="375">
        <v>0</v>
      </c>
      <c r="Q102" s="378">
        <v>0</v>
      </c>
      <c r="R102" s="9"/>
      <c r="S102" s="719">
        <f>+IF(FEBRERO!S102=0,"",FEBRERO!S102)</f>
        <v>1020399</v>
      </c>
      <c r="T102" s="737" t="str">
        <f>+IF(FEBRERO!T102=0,"",FEBRERO!T102)</f>
        <v>Vigencias Anteriores</v>
      </c>
      <c r="U102" s="29">
        <f>+ENERO!U102</f>
        <v>0</v>
      </c>
      <c r="V102" s="15">
        <f>FEBRERO!V102+MARZO!AL102</f>
        <v>0</v>
      </c>
      <c r="W102" s="15">
        <f>FEBRERO!W102+MARZO!AM102</f>
        <v>54740941</v>
      </c>
      <c r="X102" s="18">
        <f t="shared" si="100"/>
        <v>54740941</v>
      </c>
      <c r="Y102" s="19">
        <f>FEBRERO!AA102</f>
        <v>54740941</v>
      </c>
      <c r="Z102" s="377">
        <v>0</v>
      </c>
      <c r="AA102" s="16">
        <f t="shared" si="101"/>
        <v>54740941</v>
      </c>
      <c r="AB102" s="19">
        <f>FEBRERO!AD102</f>
        <v>54740941</v>
      </c>
      <c r="AC102" s="377">
        <v>0</v>
      </c>
      <c r="AD102" s="16">
        <f t="shared" si="102"/>
        <v>54740941</v>
      </c>
      <c r="AE102" s="19">
        <f>FEBRERO!AG102</f>
        <v>52961136</v>
      </c>
      <c r="AF102" s="377">
        <v>0</v>
      </c>
      <c r="AG102" s="16">
        <f t="shared" si="103"/>
        <v>52961136</v>
      </c>
      <c r="AH102" s="19">
        <f t="shared" si="104"/>
        <v>0</v>
      </c>
      <c r="AI102" s="15">
        <f t="shared" si="105"/>
        <v>0</v>
      </c>
      <c r="AJ102" s="16">
        <f t="shared" si="106"/>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+IF(FEBRERO!A103=0,"",FEBRERO!A103)</f>
        <v/>
      </c>
      <c r="B103" s="661" t="str">
        <f>+IF(FEBRERO!B103=0,"",FEBRERO!B103)</f>
        <v/>
      </c>
      <c r="C103" s="483"/>
      <c r="D103" s="483"/>
      <c r="E103" s="483"/>
      <c r="F103" s="483"/>
      <c r="G103" s="483"/>
      <c r="H103" s="483"/>
      <c r="I103" s="483"/>
      <c r="J103" s="483"/>
      <c r="K103" s="483"/>
      <c r="L103" s="483"/>
      <c r="M103" s="483"/>
      <c r="N103" s="484"/>
      <c r="P103" s="485"/>
      <c r="Q103" s="484"/>
      <c r="R103" s="9"/>
      <c r="S103" s="369" t="str">
        <f>+IF(FEBRERO!S103=0,"",FEBRERO!S103)</f>
        <v/>
      </c>
      <c r="T103" s="708" t="str">
        <f>+IF(FEBRERO!T103=0,"",FEBRERO!T103)</f>
        <v/>
      </c>
      <c r="U103" s="370"/>
      <c r="V103" s="164"/>
      <c r="W103" s="164"/>
      <c r="X103" s="164"/>
      <c r="Y103" s="370"/>
      <c r="Z103" s="164"/>
      <c r="AA103" s="169"/>
      <c r="AB103" s="370"/>
      <c r="AC103" s="164"/>
      <c r="AD103" s="169"/>
      <c r="AE103" s="370"/>
      <c r="AF103" s="164"/>
      <c r="AG103" s="169"/>
      <c r="AH103" s="370"/>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+IF(FEBRERO!A104=0,"",FEBRERO!A104)</f>
        <v>11304</v>
      </c>
      <c r="B104" s="626" t="str">
        <f>+IF(FEBRERO!B104=0,"",FEBRERO!B104)</f>
        <v>Otros ingresos corrientes</v>
      </c>
      <c r="C104" s="625">
        <f>SUM(C105:C111)</f>
        <v>107181679</v>
      </c>
      <c r="D104" s="623">
        <f t="shared" ref="D104:N104" si="107">SUM(D105:D111)</f>
        <v>0</v>
      </c>
      <c r="E104" s="623">
        <f t="shared" si="107"/>
        <v>0</v>
      </c>
      <c r="F104" s="623">
        <f t="shared" si="107"/>
        <v>107181679</v>
      </c>
      <c r="G104" s="623">
        <f t="shared" si="107"/>
        <v>19017232</v>
      </c>
      <c r="H104" s="623">
        <f t="shared" si="107"/>
        <v>9078900</v>
      </c>
      <c r="I104" s="623">
        <f t="shared" si="107"/>
        <v>28096132</v>
      </c>
      <c r="J104" s="623">
        <f t="shared" si="107"/>
        <v>19017232</v>
      </c>
      <c r="K104" s="623">
        <f t="shared" si="107"/>
        <v>9078900</v>
      </c>
      <c r="L104" s="623">
        <f t="shared" si="107"/>
        <v>28096132</v>
      </c>
      <c r="M104" s="623">
        <f t="shared" si="107"/>
        <v>79085547</v>
      </c>
      <c r="N104" s="624">
        <f t="shared" si="107"/>
        <v>79085547</v>
      </c>
      <c r="P104" s="43">
        <f>SUM(P105:P111)</f>
        <v>0</v>
      </c>
      <c r="Q104" s="45">
        <f>SUM(Q105:Q111)</f>
        <v>0</v>
      </c>
      <c r="R104" s="9"/>
      <c r="S104" s="718">
        <f>+IF(FEBRERO!S104=0,"",FEBRERO!S104)</f>
        <v>1020400</v>
      </c>
      <c r="T104" s="736" t="str">
        <f>+IF(FEBRERO!T104=0,"",FEBRERO!T104)</f>
        <v>Contribuciones Inherentes nómina del Sector Publico</v>
      </c>
      <c r="U104" s="131">
        <f t="shared" ref="U104:AJ104" si="108">U105+U108</f>
        <v>40619885</v>
      </c>
      <c r="V104" s="124">
        <f t="shared" si="108"/>
        <v>0</v>
      </c>
      <c r="W104" s="124">
        <f t="shared" si="108"/>
        <v>3013800</v>
      </c>
      <c r="X104" s="132">
        <f t="shared" si="108"/>
        <v>43633685</v>
      </c>
      <c r="Y104" s="131">
        <f t="shared" si="108"/>
        <v>9323400</v>
      </c>
      <c r="Z104" s="124">
        <f t="shared" si="108"/>
        <v>3228900</v>
      </c>
      <c r="AA104" s="133">
        <f t="shared" si="108"/>
        <v>12552300</v>
      </c>
      <c r="AB104" s="131">
        <f t="shared" si="108"/>
        <v>9323400</v>
      </c>
      <c r="AC104" s="124">
        <f t="shared" si="108"/>
        <v>3228900</v>
      </c>
      <c r="AD104" s="133">
        <f t="shared" si="108"/>
        <v>12552300</v>
      </c>
      <c r="AE104" s="131">
        <f t="shared" si="108"/>
        <v>6105300</v>
      </c>
      <c r="AF104" s="124">
        <f t="shared" si="108"/>
        <v>3218100</v>
      </c>
      <c r="AG104" s="133">
        <f t="shared" si="108"/>
        <v>9323400</v>
      </c>
      <c r="AH104" s="131">
        <f t="shared" si="108"/>
        <v>31081385</v>
      </c>
      <c r="AI104" s="124">
        <f t="shared" si="108"/>
        <v>31081385</v>
      </c>
      <c r="AJ104" s="133">
        <f t="shared" si="108"/>
        <v>34310285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+IF(FEBRERO!A105=0,"",FEBRERO!A105)</f>
        <v>11304-1</v>
      </c>
      <c r="B105" s="627" t="str">
        <f>+IF(FEBRERO!B105=0,"",FEBRERO!B105)</f>
        <v>ARRENDAMIENTO Y ALQUILER DE BIENES MUEBLES E INMUEBLES</v>
      </c>
      <c r="C105" s="401">
        <f>+ENERO!C105</f>
        <v>916364</v>
      </c>
      <c r="D105" s="376">
        <f>FEBRERO!D105+MARZO!P105</f>
        <v>0</v>
      </c>
      <c r="E105" s="376">
        <f>FEBRERO!E105+MARZO!Q105</f>
        <v>0</v>
      </c>
      <c r="F105" s="376">
        <f t="shared" ref="F105:F111" si="109">SUM(C105:E105)</f>
        <v>916364</v>
      </c>
      <c r="G105" s="376">
        <f>FEBRERO!I105</f>
        <v>80000</v>
      </c>
      <c r="H105" s="377">
        <v>80000</v>
      </c>
      <c r="I105" s="376">
        <f t="shared" ref="I105:I111" si="110">SUM(G105:H105)</f>
        <v>160000</v>
      </c>
      <c r="J105" s="376">
        <f>FEBRERO!L105</f>
        <v>80000</v>
      </c>
      <c r="K105" s="377">
        <v>80000</v>
      </c>
      <c r="L105" s="376">
        <f t="shared" ref="L105:L111" si="111">SUM(J105:K105)</f>
        <v>160000</v>
      </c>
      <c r="M105" s="376">
        <f t="shared" ref="M105:M111" si="112">F105-I105</f>
        <v>756364</v>
      </c>
      <c r="N105" s="146">
        <f t="shared" ref="N105:N111" si="113">F105-L105</f>
        <v>756364</v>
      </c>
      <c r="P105" s="375">
        <v>0</v>
      </c>
      <c r="Q105" s="378">
        <v>0</v>
      </c>
      <c r="R105" s="9"/>
      <c r="S105" s="719">
        <f>+IF(FEBRERO!S105=0,"",FEBRERO!S105)</f>
        <v>1020402</v>
      </c>
      <c r="T105" s="737" t="str">
        <f>+IF(FEBRERO!T105=0,"",FEBRERO!T105)</f>
        <v>Contribuciones - Otros</v>
      </c>
      <c r="U105" s="29">
        <f t="shared" ref="U105:AJ105" si="114">SUM(U106:U107)</f>
        <v>40619885</v>
      </c>
      <c r="V105" s="15">
        <f t="shared" si="114"/>
        <v>0</v>
      </c>
      <c r="W105" s="15">
        <f t="shared" si="114"/>
        <v>0</v>
      </c>
      <c r="X105" s="18">
        <f t="shared" si="114"/>
        <v>40619885</v>
      </c>
      <c r="Y105" s="19">
        <f t="shared" si="114"/>
        <v>6309600</v>
      </c>
      <c r="Z105" s="145">
        <f t="shared" si="114"/>
        <v>3228900</v>
      </c>
      <c r="AA105" s="16">
        <f t="shared" si="114"/>
        <v>9538500</v>
      </c>
      <c r="AB105" s="19">
        <f t="shared" si="114"/>
        <v>6309600</v>
      </c>
      <c r="AC105" s="145">
        <f t="shared" si="114"/>
        <v>3228900</v>
      </c>
      <c r="AD105" s="16">
        <f t="shared" si="114"/>
        <v>9538500</v>
      </c>
      <c r="AE105" s="19">
        <f t="shared" si="114"/>
        <v>3091500</v>
      </c>
      <c r="AF105" s="145">
        <f t="shared" si="114"/>
        <v>3218100</v>
      </c>
      <c r="AG105" s="16">
        <f t="shared" si="114"/>
        <v>6309600</v>
      </c>
      <c r="AH105" s="19">
        <f t="shared" si="114"/>
        <v>31081385</v>
      </c>
      <c r="AI105" s="15">
        <f t="shared" si="114"/>
        <v>31081385</v>
      </c>
      <c r="AJ105" s="16">
        <f t="shared" si="114"/>
        <v>34310285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+IF(FEBRERO!A106=0,"",FEBRERO!A106)</f>
        <v>11304-2</v>
      </c>
      <c r="B106" s="628" t="str">
        <f>+IF(FEBRERO!B106=0,"",FEBRERO!B106)</f>
        <v>COMERCIALIZACIÓN DE MERCANCÍAS</v>
      </c>
      <c r="C106" s="401">
        <f>+ENERO!C106</f>
        <v>105119431</v>
      </c>
      <c r="D106" s="376">
        <f>FEBRERO!D106+MARZO!P106</f>
        <v>0</v>
      </c>
      <c r="E106" s="376">
        <f>FEBRERO!E106+MARZO!Q106</f>
        <v>0</v>
      </c>
      <c r="F106" s="376">
        <f t="shared" si="109"/>
        <v>105119431</v>
      </c>
      <c r="G106" s="376">
        <f>FEBRERO!I106</f>
        <v>16799200</v>
      </c>
      <c r="H106" s="377">
        <v>8877943</v>
      </c>
      <c r="I106" s="376">
        <f t="shared" si="110"/>
        <v>25677143</v>
      </c>
      <c r="J106" s="376">
        <f>FEBRERO!L106</f>
        <v>16799200</v>
      </c>
      <c r="K106" s="377">
        <v>8877943</v>
      </c>
      <c r="L106" s="376">
        <f t="shared" si="111"/>
        <v>25677143</v>
      </c>
      <c r="M106" s="376">
        <f t="shared" si="112"/>
        <v>79442288</v>
      </c>
      <c r="N106" s="146">
        <f t="shared" si="113"/>
        <v>79442288</v>
      </c>
      <c r="P106" s="375">
        <v>0</v>
      </c>
      <c r="Q106" s="378">
        <v>0</v>
      </c>
      <c r="R106" s="9"/>
      <c r="S106" s="720" t="str">
        <f>+IF(FEBRERO!S106=0,"",FEBRERO!S106)</f>
        <v>1020402-1</v>
      </c>
      <c r="T106" s="737" t="str">
        <f>+IF(FEBRERO!T106=0,"",FEBRERO!T106)</f>
        <v>S.E.N.A.</v>
      </c>
      <c r="U106" s="29">
        <f>+ENERO!U106</f>
        <v>16247954</v>
      </c>
      <c r="V106" s="15">
        <f>FEBRERO!V106+MARZO!AL106</f>
        <v>0</v>
      </c>
      <c r="W106" s="15">
        <f>FEBRERO!W106+MARZO!AM106</f>
        <v>0</v>
      </c>
      <c r="X106" s="18">
        <f>SUM(U106:W106)</f>
        <v>16247954</v>
      </c>
      <c r="Y106" s="19">
        <f>FEBRERO!AA106</f>
        <v>2524100</v>
      </c>
      <c r="Z106" s="377">
        <v>1291500</v>
      </c>
      <c r="AA106" s="16">
        <f>SUM(Y106:Z106)</f>
        <v>3815600</v>
      </c>
      <c r="AB106" s="19">
        <f>FEBRERO!AD106</f>
        <v>2524100</v>
      </c>
      <c r="AC106" s="377">
        <v>1291500</v>
      </c>
      <c r="AD106" s="16">
        <f>SUM(AB106:AC106)</f>
        <v>3815600</v>
      </c>
      <c r="AE106" s="19">
        <f>FEBRERO!AG106</f>
        <v>1236900</v>
      </c>
      <c r="AF106" s="377">
        <v>1287200</v>
      </c>
      <c r="AG106" s="16">
        <f>SUM(AE106:AF106)</f>
        <v>2524100</v>
      </c>
      <c r="AH106" s="19">
        <f>X106-AA106</f>
        <v>12432354</v>
      </c>
      <c r="AI106" s="15">
        <f>X106-AD106</f>
        <v>12432354</v>
      </c>
      <c r="AJ106" s="16">
        <f>X106-AG106</f>
        <v>13723854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+IF(FEBRERO!A107=0,"",FEBRERO!A107)</f>
        <v>11304-3</v>
      </c>
      <c r="B107" s="627" t="str">
        <f>+IF(FEBRERO!B107=0,"",FEBRERO!B107)</f>
        <v>Bienestar Social</v>
      </c>
      <c r="C107" s="401">
        <f>+ENERO!C107</f>
        <v>0</v>
      </c>
      <c r="D107" s="376">
        <f>FEBRERO!D107+MARZO!P107</f>
        <v>0</v>
      </c>
      <c r="E107" s="376">
        <f>FEBRERO!E107+MARZO!Q107</f>
        <v>0</v>
      </c>
      <c r="F107" s="376">
        <f t="shared" si="109"/>
        <v>0</v>
      </c>
      <c r="G107" s="376">
        <f>FEBRERO!I107</f>
        <v>0</v>
      </c>
      <c r="H107" s="377">
        <v>0</v>
      </c>
      <c r="I107" s="376">
        <f t="shared" si="110"/>
        <v>0</v>
      </c>
      <c r="J107" s="376">
        <f>FEBRERO!L107</f>
        <v>0</v>
      </c>
      <c r="K107" s="377">
        <v>0</v>
      </c>
      <c r="L107" s="376">
        <f t="shared" si="111"/>
        <v>0</v>
      </c>
      <c r="M107" s="376">
        <f t="shared" si="112"/>
        <v>0</v>
      </c>
      <c r="N107" s="146">
        <f t="shared" si="113"/>
        <v>0</v>
      </c>
      <c r="P107" s="375">
        <v>0</v>
      </c>
      <c r="Q107" s="378">
        <v>0</v>
      </c>
      <c r="R107" s="9"/>
      <c r="S107" s="720" t="str">
        <f>+IF(FEBRERO!S107=0,"",FEBRERO!S107)</f>
        <v>1020402-2</v>
      </c>
      <c r="T107" s="737" t="str">
        <f>+IF(FEBRERO!T107=0,"",FEBRERO!T107)</f>
        <v>I.C.B.F.</v>
      </c>
      <c r="U107" s="29">
        <f>+ENERO!U107</f>
        <v>24371931</v>
      </c>
      <c r="V107" s="15">
        <f>FEBRERO!V107+MARZO!AL107</f>
        <v>0</v>
      </c>
      <c r="W107" s="15">
        <f>FEBRERO!W107+MARZO!AM107</f>
        <v>0</v>
      </c>
      <c r="X107" s="18">
        <f>SUM(U107:W107)</f>
        <v>24371931</v>
      </c>
      <c r="Y107" s="19">
        <f>FEBRERO!AA107</f>
        <v>3785500</v>
      </c>
      <c r="Z107" s="377">
        <v>1937400</v>
      </c>
      <c r="AA107" s="16">
        <f>SUM(Y107:Z107)</f>
        <v>5722900</v>
      </c>
      <c r="AB107" s="19">
        <f>FEBRERO!AD107</f>
        <v>3785500</v>
      </c>
      <c r="AC107" s="377">
        <v>1937400</v>
      </c>
      <c r="AD107" s="16">
        <f>SUM(AB107:AC107)</f>
        <v>5722900</v>
      </c>
      <c r="AE107" s="19">
        <f>FEBRERO!AG107</f>
        <v>1854600</v>
      </c>
      <c r="AF107" s="377">
        <v>1930900</v>
      </c>
      <c r="AG107" s="16">
        <f>SUM(AE107:AF107)</f>
        <v>3785500</v>
      </c>
      <c r="AH107" s="19">
        <f>X107-AA107</f>
        <v>18649031</v>
      </c>
      <c r="AI107" s="15">
        <f>X107-AD107</f>
        <v>18649031</v>
      </c>
      <c r="AJ107" s="16">
        <f>X107-AG107</f>
        <v>20586431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+IF(FEBRERO!A108=0,"",FEBRERO!A108)</f>
        <v>11304-4</v>
      </c>
      <c r="B108" s="627" t="str">
        <f>+IF(FEBRERO!B108=0,"",FEBRERO!B108)</f>
        <v>Fondo de la Vivienda</v>
      </c>
      <c r="C108" s="401">
        <f>+ENERO!C108</f>
        <v>0</v>
      </c>
      <c r="D108" s="376">
        <f>FEBRERO!D108+MARZO!P108</f>
        <v>0</v>
      </c>
      <c r="E108" s="376">
        <f>FEBRERO!E108+MARZO!Q108</f>
        <v>0</v>
      </c>
      <c r="F108" s="376">
        <f t="shared" si="109"/>
        <v>0</v>
      </c>
      <c r="G108" s="376">
        <f>FEBRERO!I108</f>
        <v>0</v>
      </c>
      <c r="H108" s="377">
        <v>0</v>
      </c>
      <c r="I108" s="376">
        <f t="shared" si="110"/>
        <v>0</v>
      </c>
      <c r="J108" s="376">
        <f>FEBRERO!L108</f>
        <v>0</v>
      </c>
      <c r="K108" s="377">
        <v>0</v>
      </c>
      <c r="L108" s="376">
        <f t="shared" si="111"/>
        <v>0</v>
      </c>
      <c r="M108" s="376">
        <f t="shared" si="112"/>
        <v>0</v>
      </c>
      <c r="N108" s="146">
        <f t="shared" si="113"/>
        <v>0</v>
      </c>
      <c r="P108" s="375">
        <v>0</v>
      </c>
      <c r="Q108" s="378">
        <v>0</v>
      </c>
      <c r="R108" s="9"/>
      <c r="S108" s="719">
        <f>+IF(FEBRERO!S108=0,"",FEBRERO!S108)</f>
        <v>1020499</v>
      </c>
      <c r="T108" s="737" t="str">
        <f>+IF(FEBRERO!T108=0,"",FEBRERO!T108)</f>
        <v>Vigencias Anteriores</v>
      </c>
      <c r="U108" s="29">
        <f>+ENERO!U108</f>
        <v>0</v>
      </c>
      <c r="V108" s="15">
        <f>FEBRERO!V108+MARZO!AL108</f>
        <v>0</v>
      </c>
      <c r="W108" s="15">
        <f>FEBRERO!W108+MARZO!AM108</f>
        <v>3013800</v>
      </c>
      <c r="X108" s="18">
        <f>SUM(U108:W108)</f>
        <v>3013800</v>
      </c>
      <c r="Y108" s="19">
        <f>FEBRERO!AA108</f>
        <v>3013800</v>
      </c>
      <c r="Z108" s="377">
        <v>0</v>
      </c>
      <c r="AA108" s="16">
        <f>SUM(Y108:Z108)</f>
        <v>3013800</v>
      </c>
      <c r="AB108" s="19">
        <f>FEBRERO!AD108</f>
        <v>3013800</v>
      </c>
      <c r="AC108" s="377">
        <v>0</v>
      </c>
      <c r="AD108" s="16">
        <f>SUM(AB108:AC108)</f>
        <v>3013800</v>
      </c>
      <c r="AE108" s="19">
        <f>FEBRERO!AG108</f>
        <v>3013800</v>
      </c>
      <c r="AF108" s="377">
        <v>0</v>
      </c>
      <c r="AG108" s="16">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+IF(FEBRERO!A109=0,"",FEBRERO!A109)</f>
        <v>11304-5</v>
      </c>
      <c r="B109" s="627" t="str">
        <f>+IF(FEBRERO!B109=0,"",FEBRERO!B109)</f>
        <v xml:space="preserve">Aprovechamientos </v>
      </c>
      <c r="C109" s="401">
        <f>+ENERO!C109</f>
        <v>1145884</v>
      </c>
      <c r="D109" s="376">
        <f>FEBRERO!D109+MARZO!P109</f>
        <v>0</v>
      </c>
      <c r="E109" s="376">
        <f>FEBRERO!E109+MARZO!Q109</f>
        <v>0</v>
      </c>
      <c r="F109" s="376">
        <f t="shared" si="109"/>
        <v>1145884</v>
      </c>
      <c r="G109" s="376">
        <f>FEBRERO!I109</f>
        <v>2029697</v>
      </c>
      <c r="H109" s="377">
        <v>120957</v>
      </c>
      <c r="I109" s="376">
        <f t="shared" si="110"/>
        <v>2150654</v>
      </c>
      <c r="J109" s="376">
        <f>FEBRERO!L109</f>
        <v>2029697</v>
      </c>
      <c r="K109" s="377">
        <v>120957</v>
      </c>
      <c r="L109" s="376">
        <f t="shared" si="111"/>
        <v>2150654</v>
      </c>
      <c r="M109" s="376">
        <f t="shared" si="112"/>
        <v>-1004770</v>
      </c>
      <c r="N109" s="146">
        <f t="shared" si="113"/>
        <v>-1004770</v>
      </c>
      <c r="P109" s="375">
        <v>0</v>
      </c>
      <c r="Q109" s="378">
        <v>0</v>
      </c>
      <c r="R109" s="9"/>
      <c r="S109" s="369" t="str">
        <f>+IF(FEBRERO!S109=0,"",FEBRERO!S109)</f>
        <v/>
      </c>
      <c r="T109" s="708" t="str">
        <f>+IF(FEBRERO!T109=0,"",FEBRERO!T109)</f>
        <v/>
      </c>
      <c r="U109" s="370"/>
      <c r="V109" s="164"/>
      <c r="W109" s="164"/>
      <c r="X109" s="164"/>
      <c r="Y109" s="370"/>
      <c r="Z109" s="164"/>
      <c r="AA109" s="169"/>
      <c r="AB109" s="370"/>
      <c r="AC109" s="164"/>
      <c r="AD109" s="169"/>
      <c r="AE109" s="370"/>
      <c r="AF109" s="164"/>
      <c r="AG109" s="169"/>
      <c r="AH109" s="370"/>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+IF(FEBRERO!A110=0,"",FEBRERO!A110)</f>
        <v>11304-6</v>
      </c>
      <c r="B110" s="627" t="str">
        <f>+IF(FEBRERO!B110=0,"",FEBRERO!B110)</f>
        <v>Otros</v>
      </c>
      <c r="C110" s="401">
        <f>+ENERO!C110</f>
        <v>0</v>
      </c>
      <c r="D110" s="376">
        <f>FEBRERO!D110+MARZO!P110</f>
        <v>0</v>
      </c>
      <c r="E110" s="376">
        <f>FEBRERO!E110+MARZO!Q110</f>
        <v>0</v>
      </c>
      <c r="F110" s="376">
        <f t="shared" si="109"/>
        <v>0</v>
      </c>
      <c r="G110" s="376">
        <f>FEBRERO!I110</f>
        <v>28335</v>
      </c>
      <c r="H110" s="377">
        <v>0</v>
      </c>
      <c r="I110" s="376">
        <f t="shared" si="110"/>
        <v>28335</v>
      </c>
      <c r="J110" s="376">
        <f>FEBRERO!L110</f>
        <v>28335</v>
      </c>
      <c r="K110" s="377">
        <v>0</v>
      </c>
      <c r="L110" s="376">
        <f t="shared" si="111"/>
        <v>28335</v>
      </c>
      <c r="M110" s="376">
        <f t="shared" si="112"/>
        <v>-28335</v>
      </c>
      <c r="N110" s="146">
        <f t="shared" si="113"/>
        <v>-28335</v>
      </c>
      <c r="P110" s="375">
        <v>0</v>
      </c>
      <c r="Q110" s="378">
        <v>0</v>
      </c>
      <c r="R110" s="9"/>
      <c r="S110" s="717">
        <f>+IF(FEBRERO!S110=0,"",FEBRERO!S110)</f>
        <v>2000000</v>
      </c>
      <c r="T110" s="739" t="str">
        <f>+IF(FEBRERO!T110=0,"",FEBRERO!T110)</f>
        <v>GASTOS GENERALES</v>
      </c>
      <c r="U110" s="382">
        <f t="shared" ref="U110:AJ110" si="115">U112+U145</f>
        <v>505626661</v>
      </c>
      <c r="V110" s="474">
        <f t="shared" si="115"/>
        <v>25000000</v>
      </c>
      <c r="W110" s="474">
        <f t="shared" si="115"/>
        <v>186156240</v>
      </c>
      <c r="X110" s="475">
        <f t="shared" si="115"/>
        <v>716782901</v>
      </c>
      <c r="Y110" s="382">
        <f t="shared" si="115"/>
        <v>308496434</v>
      </c>
      <c r="Z110" s="474">
        <f t="shared" si="115"/>
        <v>32950881</v>
      </c>
      <c r="AA110" s="383">
        <f t="shared" si="115"/>
        <v>341447315</v>
      </c>
      <c r="AB110" s="382">
        <f t="shared" si="115"/>
        <v>219821006</v>
      </c>
      <c r="AC110" s="474">
        <f t="shared" si="115"/>
        <v>53521169</v>
      </c>
      <c r="AD110" s="383">
        <f t="shared" si="115"/>
        <v>273342175</v>
      </c>
      <c r="AE110" s="382">
        <f t="shared" si="115"/>
        <v>63336906</v>
      </c>
      <c r="AF110" s="474">
        <f t="shared" si="115"/>
        <v>53600024</v>
      </c>
      <c r="AG110" s="383">
        <f t="shared" si="115"/>
        <v>116936930</v>
      </c>
      <c r="AH110" s="382">
        <f t="shared" si="115"/>
        <v>375335586</v>
      </c>
      <c r="AI110" s="474">
        <f t="shared" si="115"/>
        <v>443440726</v>
      </c>
      <c r="AJ110" s="383">
        <f t="shared" si="115"/>
        <v>599845971</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+IF(FEBRERO!A111=0,"",FEBRERO!A111)</f>
        <v>11304-7</v>
      </c>
      <c r="B111" s="662" t="str">
        <f>+IF(FEBRERO!B111=0,"",FEBRERO!B111)</f>
        <v>Vigencia Anterior</v>
      </c>
      <c r="C111" s="491">
        <f>+ENERO!C111</f>
        <v>0</v>
      </c>
      <c r="D111" s="388">
        <f>FEBRERO!D111+MARZO!P111</f>
        <v>0</v>
      </c>
      <c r="E111" s="388">
        <f>FEBRERO!E111+MARZO!Q111</f>
        <v>0</v>
      </c>
      <c r="F111" s="388">
        <f t="shared" si="109"/>
        <v>0</v>
      </c>
      <c r="G111" s="388">
        <f>FEBRERO!I111</f>
        <v>80000</v>
      </c>
      <c r="H111" s="391">
        <v>0</v>
      </c>
      <c r="I111" s="388">
        <f t="shared" si="110"/>
        <v>80000</v>
      </c>
      <c r="J111" s="388">
        <f>FEBRERO!L111</f>
        <v>80000</v>
      </c>
      <c r="K111" s="391">
        <v>0</v>
      </c>
      <c r="L111" s="388">
        <f t="shared" si="111"/>
        <v>80000</v>
      </c>
      <c r="M111" s="388">
        <f t="shared" si="112"/>
        <v>-80000</v>
      </c>
      <c r="N111" s="389">
        <f t="shared" si="113"/>
        <v>-80000</v>
      </c>
      <c r="P111" s="375">
        <v>0</v>
      </c>
      <c r="Q111" s="378">
        <v>0</v>
      </c>
      <c r="R111" s="9"/>
      <c r="S111" s="369" t="str">
        <f>+IF(FEBRERO!S111=0,"",FEBRERO!S111)</f>
        <v/>
      </c>
      <c r="T111" s="708" t="str">
        <f>+IF(FEBRERO!T111=0,"",FEBRERO!T111)</f>
        <v/>
      </c>
      <c r="U111" s="370"/>
      <c r="V111" s="164"/>
      <c r="W111" s="164"/>
      <c r="X111" s="164"/>
      <c r="Y111" s="370"/>
      <c r="Z111" s="164"/>
      <c r="AA111" s="169"/>
      <c r="AB111" s="370"/>
      <c r="AC111" s="164"/>
      <c r="AD111" s="169"/>
      <c r="AE111" s="370"/>
      <c r="AF111" s="164"/>
      <c r="AG111" s="169"/>
      <c r="AH111" s="370"/>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+IF(FEBRERO!A112=0,"",FEBRERO!A112)</f>
        <v/>
      </c>
      <c r="B112" s="661" t="str">
        <f>+IF(FEBRERO!B112=0,"",FEBRERO!B112)</f>
        <v/>
      </c>
      <c r="C112" s="483"/>
      <c r="D112" s="483"/>
      <c r="E112" s="483"/>
      <c r="F112" s="483"/>
      <c r="G112" s="483"/>
      <c r="H112" s="483"/>
      <c r="I112" s="483"/>
      <c r="J112" s="483"/>
      <c r="K112" s="483"/>
      <c r="L112" s="483"/>
      <c r="M112" s="483"/>
      <c r="N112" s="484"/>
      <c r="P112" s="485"/>
      <c r="Q112" s="484"/>
      <c r="R112" s="9"/>
      <c r="S112" s="717">
        <f>+IF(FEBRERO!S112=0,"",FEBRERO!S112)</f>
        <v>2010000</v>
      </c>
      <c r="T112" s="735" t="str">
        <f>+IF(FEBRERO!T112=0,"",FEBRERO!T112)</f>
        <v>Gastos de Administración</v>
      </c>
      <c r="U112" s="131">
        <f t="shared" ref="U112:AJ112" si="116">U114+U123+U141</f>
        <v>181650786</v>
      </c>
      <c r="V112" s="124">
        <f t="shared" si="116"/>
        <v>0</v>
      </c>
      <c r="W112" s="124">
        <f t="shared" si="116"/>
        <v>75057052</v>
      </c>
      <c r="X112" s="132">
        <f t="shared" si="116"/>
        <v>256707838</v>
      </c>
      <c r="Y112" s="131">
        <f t="shared" si="116"/>
        <v>80179591</v>
      </c>
      <c r="Z112" s="124">
        <f t="shared" si="116"/>
        <v>14499080</v>
      </c>
      <c r="AA112" s="133">
        <f t="shared" si="116"/>
        <v>94678671</v>
      </c>
      <c r="AB112" s="131">
        <f t="shared" si="116"/>
        <v>78289353</v>
      </c>
      <c r="AC112" s="124">
        <f t="shared" si="116"/>
        <v>15069080</v>
      </c>
      <c r="AD112" s="133">
        <f t="shared" si="116"/>
        <v>93358433</v>
      </c>
      <c r="AE112" s="131">
        <f t="shared" si="116"/>
        <v>18565991</v>
      </c>
      <c r="AF112" s="124">
        <f t="shared" si="116"/>
        <v>20368017</v>
      </c>
      <c r="AG112" s="133">
        <f t="shared" si="116"/>
        <v>38934008</v>
      </c>
      <c r="AH112" s="131">
        <f t="shared" si="116"/>
        <v>162029167</v>
      </c>
      <c r="AI112" s="124">
        <f t="shared" si="116"/>
        <v>163349405</v>
      </c>
      <c r="AJ112" s="133">
        <f t="shared" si="116"/>
        <v>217773830</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+IF(FEBRERO!A113=0,"",FEBRERO!A113)</f>
        <v>2000</v>
      </c>
      <c r="B113" s="648" t="str">
        <f>+IF(FEBRERO!B113=0,"",FEBRERO!B113)</f>
        <v>INGRESOS DE CAPITAL</v>
      </c>
      <c r="C113" s="631">
        <f>SUM(C115:C124)</f>
        <v>32659146</v>
      </c>
      <c r="D113" s="632">
        <f>SUM(D115:D124)</f>
        <v>0</v>
      </c>
      <c r="E113" s="632">
        <f t="shared" ref="E113:N113" si="117">SUM(E115:E124)</f>
        <v>0</v>
      </c>
      <c r="F113" s="632">
        <f t="shared" si="117"/>
        <v>32659146</v>
      </c>
      <c r="G113" s="632">
        <f t="shared" si="117"/>
        <v>347527</v>
      </c>
      <c r="H113" s="632">
        <f t="shared" si="117"/>
        <v>9955</v>
      </c>
      <c r="I113" s="632">
        <f t="shared" si="117"/>
        <v>357482</v>
      </c>
      <c r="J113" s="632">
        <f t="shared" si="117"/>
        <v>347527</v>
      </c>
      <c r="K113" s="632">
        <f t="shared" si="117"/>
        <v>9955</v>
      </c>
      <c r="L113" s="632">
        <f t="shared" si="117"/>
        <v>357482</v>
      </c>
      <c r="M113" s="632">
        <f t="shared" si="117"/>
        <v>32301664</v>
      </c>
      <c r="N113" s="633">
        <f t="shared" si="117"/>
        <v>32301664</v>
      </c>
      <c r="O113" s="464"/>
      <c r="P113" s="177">
        <f>SUM(P115:P124)</f>
        <v>0</v>
      </c>
      <c r="Q113" s="178">
        <f>SUM(Q115:Q124)</f>
        <v>0</v>
      </c>
      <c r="R113" s="9"/>
      <c r="S113" s="369" t="str">
        <f>+IF(FEBRERO!S113=0,"",FEBRERO!S113)</f>
        <v/>
      </c>
      <c r="T113" s="708" t="str">
        <f>+IF(FEBRERO!T113=0,"",FEBRERO!T113)</f>
        <v/>
      </c>
      <c r="U113" s="370"/>
      <c r="V113" s="164"/>
      <c r="W113" s="164"/>
      <c r="X113" s="164"/>
      <c r="Y113" s="370"/>
      <c r="Z113" s="164"/>
      <c r="AA113" s="169"/>
      <c r="AB113" s="370"/>
      <c r="AC113" s="164"/>
      <c r="AD113" s="169"/>
      <c r="AE113" s="370"/>
      <c r="AF113" s="164"/>
      <c r="AG113" s="169"/>
      <c r="AH113" s="370"/>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+IF(FEBRERO!A114=0,"",FEBRERO!A114)</f>
        <v/>
      </c>
      <c r="B114" s="661" t="str">
        <f>+IF(FEBRERO!B114=0,"",FEBRERO!B114)</f>
        <v/>
      </c>
      <c r="C114" s="483"/>
      <c r="D114" s="483"/>
      <c r="E114" s="483"/>
      <c r="F114" s="483"/>
      <c r="G114" s="483"/>
      <c r="H114" s="483"/>
      <c r="I114" s="483"/>
      <c r="J114" s="483"/>
      <c r="K114" s="483"/>
      <c r="L114" s="483"/>
      <c r="M114" s="483"/>
      <c r="N114" s="484"/>
      <c r="P114" s="485"/>
      <c r="Q114" s="484"/>
      <c r="R114" s="9"/>
      <c r="S114" s="718">
        <f>+IF(FEBRERO!S114=0,"",FEBRERO!S114)</f>
        <v>2010100</v>
      </c>
      <c r="T114" s="736" t="str">
        <f>+IF(FEBRERO!T114=0,"",FEBRERO!T114)</f>
        <v>Adquisición de bienes</v>
      </c>
      <c r="U114" s="131">
        <f t="shared" ref="U114:AJ114" si="118">SUM(U115:U121)</f>
        <v>29771433</v>
      </c>
      <c r="V114" s="124">
        <f t="shared" si="118"/>
        <v>0</v>
      </c>
      <c r="W114" s="124">
        <f t="shared" si="118"/>
        <v>42179864</v>
      </c>
      <c r="X114" s="132">
        <f t="shared" si="118"/>
        <v>71951297</v>
      </c>
      <c r="Y114" s="131">
        <f t="shared" si="118"/>
        <v>19363185</v>
      </c>
      <c r="Z114" s="124">
        <f t="shared" si="118"/>
        <v>5089069</v>
      </c>
      <c r="AA114" s="133">
        <f t="shared" si="118"/>
        <v>24452254</v>
      </c>
      <c r="AB114" s="131">
        <f t="shared" si="118"/>
        <v>19363185</v>
      </c>
      <c r="AC114" s="124">
        <f t="shared" si="118"/>
        <v>5089069</v>
      </c>
      <c r="AD114" s="133">
        <f t="shared" si="118"/>
        <v>24452254</v>
      </c>
      <c r="AE114" s="131">
        <f t="shared" si="118"/>
        <v>3725342</v>
      </c>
      <c r="AF114" s="124">
        <f t="shared" si="118"/>
        <v>9926974</v>
      </c>
      <c r="AG114" s="133">
        <f t="shared" si="118"/>
        <v>13652316</v>
      </c>
      <c r="AH114" s="131">
        <f t="shared" si="118"/>
        <v>47499043</v>
      </c>
      <c r="AI114" s="124">
        <f t="shared" si="118"/>
        <v>47499043</v>
      </c>
      <c r="AJ114" s="133">
        <f t="shared" si="118"/>
        <v>58298981</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+IF(FEBRERO!A115=0,"",FEBRERO!A115)</f>
        <v>2100</v>
      </c>
      <c r="B115" s="634" t="str">
        <f>+IF(FEBRERO!B115=0,"",FEBRERO!B115)</f>
        <v>CREDITO INTERNO</v>
      </c>
      <c r="C115" s="375">
        <f>+ENERO!C115</f>
        <v>0</v>
      </c>
      <c r="D115" s="467">
        <f>FEBRERO!D115+MARZO!P115</f>
        <v>0</v>
      </c>
      <c r="E115" s="467">
        <f>FEBRERO!E115+MARZO!Q115</f>
        <v>0</v>
      </c>
      <c r="F115" s="471">
        <f t="shared" ref="F115:F124" si="119">SUM(C115:E115)</f>
        <v>0</v>
      </c>
      <c r="G115" s="469">
        <f>FEBRERO!I115</f>
        <v>0</v>
      </c>
      <c r="H115" s="377">
        <v>0</v>
      </c>
      <c r="I115" s="471">
        <f t="shared" ref="I115:I124" si="120">SUM(G115:H115)</f>
        <v>0</v>
      </c>
      <c r="J115" s="469">
        <f>FEBRERO!L115</f>
        <v>0</v>
      </c>
      <c r="K115" s="377">
        <v>0</v>
      </c>
      <c r="L115" s="468">
        <f t="shared" ref="L115:L124" si="121">SUM(J115:K115)</f>
        <v>0</v>
      </c>
      <c r="M115" s="472">
        <f t="shared" ref="M115:M124" si="122">F115-I115</f>
        <v>0</v>
      </c>
      <c r="N115" s="468">
        <f t="shared" ref="N115:N124" si="123">F115-L115</f>
        <v>0</v>
      </c>
      <c r="O115" s="464"/>
      <c r="P115" s="375">
        <v>0</v>
      </c>
      <c r="Q115" s="378">
        <v>0</v>
      </c>
      <c r="R115" s="9"/>
      <c r="S115" s="719" t="str">
        <f>+IF(FEBRERO!S115=0,"",FEBRERO!S115)</f>
        <v>2010100-1</v>
      </c>
      <c r="T115" s="737" t="str">
        <f>+IF(FEBRERO!T115=0,"",FEBRERO!T115)</f>
        <v>Compra de Equipos</v>
      </c>
      <c r="U115" s="29">
        <f>+ENERO!U115</f>
        <v>0</v>
      </c>
      <c r="V115" s="15">
        <f>FEBRERO!V115+MARZO!AL115</f>
        <v>0</v>
      </c>
      <c r="W115" s="15">
        <f>FEBRERO!W115+MARZO!AM115</f>
        <v>30000000</v>
      </c>
      <c r="X115" s="18">
        <f t="shared" ref="X115:X121" si="124">SUM(U115:W115)</f>
        <v>30000000</v>
      </c>
      <c r="Y115" s="19">
        <f>FEBRERO!AA115</f>
        <v>0</v>
      </c>
      <c r="Z115" s="377">
        <v>2513720</v>
      </c>
      <c r="AA115" s="16">
        <f t="shared" ref="AA115:AA121" si="125">SUM(Y115:Z115)</f>
        <v>2513720</v>
      </c>
      <c r="AB115" s="19">
        <f>FEBRERO!AD115</f>
        <v>0</v>
      </c>
      <c r="AC115" s="377">
        <v>2513720</v>
      </c>
      <c r="AD115" s="16">
        <f t="shared" ref="AD115:AD121" si="126">SUM(AB115:AC115)</f>
        <v>2513720</v>
      </c>
      <c r="AE115" s="19">
        <f>FEBRERO!AG115</f>
        <v>0</v>
      </c>
      <c r="AF115" s="377">
        <v>0</v>
      </c>
      <c r="AG115" s="16">
        <f t="shared" ref="AG115:AG121" si="127">SUM(AE115:AF115)</f>
        <v>0</v>
      </c>
      <c r="AH115" s="19">
        <f t="shared" ref="AH115:AH121" si="128">X115-AA115</f>
        <v>27486280</v>
      </c>
      <c r="AI115" s="15">
        <f t="shared" ref="AI115:AI121" si="129">X115-AD115</f>
        <v>27486280</v>
      </c>
      <c r="AJ115" s="16">
        <f t="shared" ref="AJ115:AJ121" si="130">X115-AG115</f>
        <v>30000000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+IF(FEBRERO!A116=0,"",FEBRERO!A116)</f>
        <v>2100-1</v>
      </c>
      <c r="B116" s="635" t="str">
        <f>+IF(FEBRERO!B116=0,"",FEBRERO!B116)</f>
        <v>Vigencia Anterior</v>
      </c>
      <c r="C116" s="375">
        <f>+ENERO!C116</f>
        <v>0</v>
      </c>
      <c r="D116" s="467">
        <f>FEBRERO!D116+MARZO!P116</f>
        <v>0</v>
      </c>
      <c r="E116" s="467">
        <f>FEBRERO!E116+MARZO!Q116</f>
        <v>0</v>
      </c>
      <c r="F116" s="471">
        <f t="shared" si="119"/>
        <v>0</v>
      </c>
      <c r="G116" s="469">
        <f>FEBRERO!I116</f>
        <v>0</v>
      </c>
      <c r="H116" s="377">
        <v>0</v>
      </c>
      <c r="I116" s="471">
        <f t="shared" si="120"/>
        <v>0</v>
      </c>
      <c r="J116" s="469">
        <f>FEBRERO!L116</f>
        <v>0</v>
      </c>
      <c r="K116" s="377">
        <v>0</v>
      </c>
      <c r="L116" s="468">
        <f t="shared" si="121"/>
        <v>0</v>
      </c>
      <c r="M116" s="472">
        <f t="shared" si="122"/>
        <v>0</v>
      </c>
      <c r="N116" s="468">
        <f t="shared" si="123"/>
        <v>0</v>
      </c>
      <c r="O116" s="464"/>
      <c r="P116" s="375">
        <v>0</v>
      </c>
      <c r="Q116" s="378">
        <v>0</v>
      </c>
      <c r="R116" s="9"/>
      <c r="S116" s="719" t="str">
        <f>+IF(FEBRERO!S116=0,"",FEBRERO!S116)</f>
        <v>2010100-2</v>
      </c>
      <c r="T116" s="737" t="str">
        <f>+IF(FEBRERO!T116=0,"",FEBRERO!T116)</f>
        <v>Materiales</v>
      </c>
      <c r="U116" s="29">
        <f>+ENERO!U116</f>
        <v>29771433</v>
      </c>
      <c r="V116" s="15">
        <f>FEBRERO!V116+MARZO!AL116</f>
        <v>0</v>
      </c>
      <c r="W116" s="15">
        <f>FEBRERO!W116+MARZO!AM116</f>
        <v>0</v>
      </c>
      <c r="X116" s="18">
        <f t="shared" si="124"/>
        <v>29771433</v>
      </c>
      <c r="Y116" s="19">
        <f>FEBRERO!AA116</f>
        <v>7183321</v>
      </c>
      <c r="Z116" s="377">
        <v>2575349</v>
      </c>
      <c r="AA116" s="16">
        <f t="shared" si="125"/>
        <v>9758670</v>
      </c>
      <c r="AB116" s="19">
        <f>FEBRERO!AD116</f>
        <v>7183321</v>
      </c>
      <c r="AC116" s="377">
        <v>2575349</v>
      </c>
      <c r="AD116" s="16">
        <f t="shared" si="126"/>
        <v>9758670</v>
      </c>
      <c r="AE116" s="19">
        <f>FEBRERO!AG116</f>
        <v>0</v>
      </c>
      <c r="AF116" s="377">
        <v>1855652</v>
      </c>
      <c r="AG116" s="16">
        <f t="shared" si="127"/>
        <v>1855652</v>
      </c>
      <c r="AH116" s="19">
        <f t="shared" si="128"/>
        <v>20012763</v>
      </c>
      <c r="AI116" s="15">
        <f t="shared" si="129"/>
        <v>20012763</v>
      </c>
      <c r="AJ116" s="16">
        <f t="shared" si="130"/>
        <v>27915781</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+IF(FEBRERO!A117=0,"",FEBRERO!A117)</f>
        <v>2200</v>
      </c>
      <c r="B117" s="634" t="str">
        <f>+IF(FEBRERO!B117=0,"",FEBRERO!B117)</f>
        <v>CREDITO EXTERNO</v>
      </c>
      <c r="C117" s="375">
        <f>+ENERO!C117</f>
        <v>0</v>
      </c>
      <c r="D117" s="467">
        <f>FEBRERO!D117+MARZO!P117</f>
        <v>0</v>
      </c>
      <c r="E117" s="467">
        <f>FEBRERO!E117+MARZO!Q117</f>
        <v>0</v>
      </c>
      <c r="F117" s="471">
        <f t="shared" si="119"/>
        <v>0</v>
      </c>
      <c r="G117" s="469">
        <f>FEBRERO!I117</f>
        <v>0</v>
      </c>
      <c r="H117" s="377">
        <v>0</v>
      </c>
      <c r="I117" s="471">
        <f t="shared" si="120"/>
        <v>0</v>
      </c>
      <c r="J117" s="469">
        <f>FEBRERO!L117</f>
        <v>0</v>
      </c>
      <c r="K117" s="377">
        <v>0</v>
      </c>
      <c r="L117" s="468">
        <f t="shared" si="121"/>
        <v>0</v>
      </c>
      <c r="M117" s="472">
        <f t="shared" si="122"/>
        <v>0</v>
      </c>
      <c r="N117" s="468">
        <f t="shared" si="123"/>
        <v>0</v>
      </c>
      <c r="O117" s="464"/>
      <c r="P117" s="375">
        <v>0</v>
      </c>
      <c r="Q117" s="378">
        <v>0</v>
      </c>
      <c r="R117" s="9"/>
      <c r="S117" s="719" t="str">
        <f>+IF(FEBRERO!S117=0,"",FEBRERO!S117)</f>
        <v>2010100-3</v>
      </c>
      <c r="T117" s="737" t="str">
        <f>+IF(FEBRERO!T117=0,"",FEBRERO!T117)</f>
        <v>Salud Ocupacional</v>
      </c>
      <c r="U117" s="29">
        <f>+ENERO!U117</f>
        <v>0</v>
      </c>
      <c r="V117" s="15">
        <f>FEBRERO!V117+MARZO!AL117</f>
        <v>0</v>
      </c>
      <c r="W117" s="15">
        <f>FEBRERO!W117+MARZO!AM117</f>
        <v>0</v>
      </c>
      <c r="X117" s="18">
        <f t="shared" si="124"/>
        <v>0</v>
      </c>
      <c r="Y117" s="19">
        <f>FEBRERO!AA117</f>
        <v>0</v>
      </c>
      <c r="Z117" s="377">
        <v>0</v>
      </c>
      <c r="AA117" s="16">
        <f t="shared" si="125"/>
        <v>0</v>
      </c>
      <c r="AB117" s="19">
        <f>FEBRERO!AD117</f>
        <v>0</v>
      </c>
      <c r="AC117" s="377">
        <v>0</v>
      </c>
      <c r="AD117" s="16">
        <f t="shared" si="126"/>
        <v>0</v>
      </c>
      <c r="AE117" s="19">
        <f>FEBRERO!AG117</f>
        <v>0</v>
      </c>
      <c r="AF117" s="377">
        <v>0</v>
      </c>
      <c r="AG117" s="16">
        <f t="shared" si="127"/>
        <v>0</v>
      </c>
      <c r="AH117" s="19">
        <f t="shared" si="128"/>
        <v>0</v>
      </c>
      <c r="AI117" s="15">
        <f t="shared" si="129"/>
        <v>0</v>
      </c>
      <c r="AJ117" s="16">
        <f t="shared" si="130"/>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+IF(FEBRERO!A118=0,"",FEBRERO!A118)</f>
        <v>2200-1</v>
      </c>
      <c r="B118" s="635" t="str">
        <f>+IF(FEBRERO!B118=0,"",FEBRERO!B118)</f>
        <v>Vigencia Anterior</v>
      </c>
      <c r="C118" s="375">
        <f>+ENERO!C118</f>
        <v>0</v>
      </c>
      <c r="D118" s="467">
        <f>FEBRERO!D118+MARZO!P118</f>
        <v>0</v>
      </c>
      <c r="E118" s="467">
        <f>FEBRERO!E118+MARZO!Q118</f>
        <v>0</v>
      </c>
      <c r="F118" s="471">
        <f t="shared" si="119"/>
        <v>0</v>
      </c>
      <c r="G118" s="469">
        <f>FEBRERO!I118</f>
        <v>0</v>
      </c>
      <c r="H118" s="377">
        <v>0</v>
      </c>
      <c r="I118" s="471">
        <f t="shared" si="120"/>
        <v>0</v>
      </c>
      <c r="J118" s="469">
        <f>FEBRERO!L118</f>
        <v>0</v>
      </c>
      <c r="K118" s="377">
        <v>0</v>
      </c>
      <c r="L118" s="468">
        <f t="shared" si="121"/>
        <v>0</v>
      </c>
      <c r="M118" s="472">
        <f t="shared" si="122"/>
        <v>0</v>
      </c>
      <c r="N118" s="468">
        <f t="shared" si="123"/>
        <v>0</v>
      </c>
      <c r="O118" s="464"/>
      <c r="P118" s="375">
        <v>0</v>
      </c>
      <c r="Q118" s="378">
        <v>0</v>
      </c>
      <c r="R118" s="9"/>
      <c r="S118" s="719" t="str">
        <f>+IF(FEBRERO!S118=0,"",FEBRERO!S118)</f>
        <v>2010100-4</v>
      </c>
      <c r="T118" s="737" t="str">
        <f>+IF(FEBRERO!T118=0,"",FEBRERO!T118)</f>
        <v/>
      </c>
      <c r="U118" s="29">
        <f>+ENERO!U118</f>
        <v>0</v>
      </c>
      <c r="V118" s="15">
        <f>FEBRERO!V118+MARZO!AL118</f>
        <v>0</v>
      </c>
      <c r="W118" s="15">
        <f>FEBRERO!W118+MARZO!AM118</f>
        <v>0</v>
      </c>
      <c r="X118" s="18">
        <f t="shared" si="124"/>
        <v>0</v>
      </c>
      <c r="Y118" s="19">
        <f>FEBRERO!AA118</f>
        <v>0</v>
      </c>
      <c r="Z118" s="377">
        <v>0</v>
      </c>
      <c r="AA118" s="16">
        <f t="shared" si="125"/>
        <v>0</v>
      </c>
      <c r="AB118" s="19">
        <f>FEBRERO!AD118</f>
        <v>0</v>
      </c>
      <c r="AC118" s="377">
        <v>0</v>
      </c>
      <c r="AD118" s="16">
        <f t="shared" si="126"/>
        <v>0</v>
      </c>
      <c r="AE118" s="19">
        <f>FEBRERO!AG118</f>
        <v>0</v>
      </c>
      <c r="AF118" s="377">
        <v>0</v>
      </c>
      <c r="AG118" s="16">
        <f t="shared" si="127"/>
        <v>0</v>
      </c>
      <c r="AH118" s="19">
        <f t="shared" si="128"/>
        <v>0</v>
      </c>
      <c r="AI118" s="15">
        <f t="shared" si="129"/>
        <v>0</v>
      </c>
      <c r="AJ118" s="16">
        <f t="shared" si="130"/>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+IF(FEBRERO!A119=0,"",FEBRERO!A119)</f>
        <v>2300</v>
      </c>
      <c r="B119" s="634" t="str">
        <f>+IF(FEBRERO!B119=0,"",FEBRERO!B119)</f>
        <v>RENDIMIENTOS FINANCIEROS</v>
      </c>
      <c r="C119" s="375">
        <f>+ENERO!C119</f>
        <v>594347</v>
      </c>
      <c r="D119" s="467">
        <f>FEBRERO!D119+MARZO!P119</f>
        <v>0</v>
      </c>
      <c r="E119" s="467">
        <f>FEBRERO!E119+MARZO!Q119</f>
        <v>0</v>
      </c>
      <c r="F119" s="471">
        <f t="shared" si="119"/>
        <v>594347</v>
      </c>
      <c r="G119" s="222">
        <f>FEBRERO!I119</f>
        <v>28386</v>
      </c>
      <c r="H119" s="377">
        <v>7398</v>
      </c>
      <c r="I119" s="476">
        <f t="shared" si="120"/>
        <v>35784</v>
      </c>
      <c r="J119" s="222">
        <f>FEBRERO!L119</f>
        <v>28386</v>
      </c>
      <c r="K119" s="377">
        <v>7398</v>
      </c>
      <c r="L119" s="146">
        <f t="shared" si="121"/>
        <v>35784</v>
      </c>
      <c r="M119" s="441">
        <f t="shared" si="122"/>
        <v>558563</v>
      </c>
      <c r="N119" s="146">
        <f t="shared" si="123"/>
        <v>558563</v>
      </c>
      <c r="O119" s="464"/>
      <c r="P119" s="375">
        <v>0</v>
      </c>
      <c r="Q119" s="378">
        <v>0</v>
      </c>
      <c r="R119" s="9"/>
      <c r="S119" s="719" t="str">
        <f>+IF(FEBRERO!S119=0,"",FEBRERO!S119)</f>
        <v>2010100-5</v>
      </c>
      <c r="T119" s="737" t="str">
        <f>+IF(FEBRERO!T119=0,"",FEBRERO!T119)</f>
        <v/>
      </c>
      <c r="U119" s="29">
        <f>+ENERO!U119</f>
        <v>0</v>
      </c>
      <c r="V119" s="15">
        <f>FEBRERO!V119+MARZO!AL119</f>
        <v>0</v>
      </c>
      <c r="W119" s="15">
        <f>FEBRERO!W119+MARZO!AM119</f>
        <v>0</v>
      </c>
      <c r="X119" s="18">
        <f t="shared" si="124"/>
        <v>0</v>
      </c>
      <c r="Y119" s="19">
        <f>FEBRERO!AA119</f>
        <v>0</v>
      </c>
      <c r="Z119" s="377">
        <v>0</v>
      </c>
      <c r="AA119" s="16">
        <f t="shared" si="125"/>
        <v>0</v>
      </c>
      <c r="AB119" s="19">
        <f>FEBRERO!AD119</f>
        <v>0</v>
      </c>
      <c r="AC119" s="377">
        <v>0</v>
      </c>
      <c r="AD119" s="16">
        <f t="shared" si="126"/>
        <v>0</v>
      </c>
      <c r="AE119" s="19">
        <f>FEBRERO!AG119</f>
        <v>0</v>
      </c>
      <c r="AF119" s="377">
        <v>0</v>
      </c>
      <c r="AG119" s="16">
        <f t="shared" si="127"/>
        <v>0</v>
      </c>
      <c r="AH119" s="19">
        <f t="shared" si="128"/>
        <v>0</v>
      </c>
      <c r="AI119" s="15">
        <f t="shared" si="129"/>
        <v>0</v>
      </c>
      <c r="AJ119" s="16">
        <f t="shared" si="130"/>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+IF(FEBRERO!A120=0,"",FEBRERO!A120)</f>
        <v>2400</v>
      </c>
      <c r="B120" s="635" t="str">
        <f>+IF(FEBRERO!B120=0,"",FEBRERO!B120)</f>
        <v>VENTA DE ACTIVOS</v>
      </c>
      <c r="C120" s="375">
        <f>+ENERO!C120</f>
        <v>0</v>
      </c>
      <c r="D120" s="467">
        <f>FEBRERO!D120+MARZO!P120</f>
        <v>0</v>
      </c>
      <c r="E120" s="467">
        <f>FEBRERO!E120+MARZO!Q120</f>
        <v>0</v>
      </c>
      <c r="F120" s="471">
        <f t="shared" si="119"/>
        <v>0</v>
      </c>
      <c r="G120" s="222">
        <f>FEBRERO!I120</f>
        <v>0</v>
      </c>
      <c r="H120" s="377">
        <v>0</v>
      </c>
      <c r="I120" s="476">
        <f t="shared" si="120"/>
        <v>0</v>
      </c>
      <c r="J120" s="222">
        <f>FEBRERO!L120</f>
        <v>0</v>
      </c>
      <c r="K120" s="377">
        <v>0</v>
      </c>
      <c r="L120" s="146">
        <f t="shared" si="121"/>
        <v>0</v>
      </c>
      <c r="M120" s="441">
        <f t="shared" si="122"/>
        <v>0</v>
      </c>
      <c r="N120" s="146">
        <f t="shared" si="123"/>
        <v>0</v>
      </c>
      <c r="P120" s="375">
        <v>0</v>
      </c>
      <c r="Q120" s="378">
        <v>0</v>
      </c>
      <c r="R120" s="9"/>
      <c r="S120" s="719" t="str">
        <f>+IF(FEBRERO!S120=0,"",FEBRERO!S120)</f>
        <v>2010100-6</v>
      </c>
      <c r="T120" s="737" t="str">
        <f>+IF(FEBRERO!T120=0,"",FEBRERO!T120)</f>
        <v/>
      </c>
      <c r="U120" s="29">
        <f>+ENERO!U120</f>
        <v>0</v>
      </c>
      <c r="V120" s="15">
        <f>FEBRERO!V120+MARZO!AL120</f>
        <v>0</v>
      </c>
      <c r="W120" s="15">
        <f>FEBRERO!W120+MARZO!AM120</f>
        <v>0</v>
      </c>
      <c r="X120" s="18">
        <f t="shared" si="124"/>
        <v>0</v>
      </c>
      <c r="Y120" s="19">
        <f>FEBRERO!AA120</f>
        <v>0</v>
      </c>
      <c r="Z120" s="377">
        <v>0</v>
      </c>
      <c r="AA120" s="16">
        <f t="shared" si="125"/>
        <v>0</v>
      </c>
      <c r="AB120" s="19">
        <f>FEBRERO!AD120</f>
        <v>0</v>
      </c>
      <c r="AC120" s="377">
        <v>0</v>
      </c>
      <c r="AD120" s="16">
        <f t="shared" si="126"/>
        <v>0</v>
      </c>
      <c r="AE120" s="19">
        <f>FEBRERO!AG120</f>
        <v>0</v>
      </c>
      <c r="AF120" s="377">
        <v>0</v>
      </c>
      <c r="AG120" s="16">
        <f t="shared" si="127"/>
        <v>0</v>
      </c>
      <c r="AH120" s="19">
        <f t="shared" si="128"/>
        <v>0</v>
      </c>
      <c r="AI120" s="15">
        <f t="shared" si="129"/>
        <v>0</v>
      </c>
      <c r="AJ120" s="16">
        <f t="shared" si="130"/>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+IF(FEBRERO!A121=0,"",FEBRERO!A121)</f>
        <v>2500</v>
      </c>
      <c r="B121" s="635" t="str">
        <f>+IF(FEBRERO!B121=0,"",FEBRERO!B121)</f>
        <v>DONACIONES</v>
      </c>
      <c r="C121" s="375">
        <f>+ENERO!C121</f>
        <v>0</v>
      </c>
      <c r="D121" s="467">
        <f>FEBRERO!D121+MARZO!P121</f>
        <v>0</v>
      </c>
      <c r="E121" s="467">
        <f>FEBRERO!E121+MARZO!Q121</f>
        <v>0</v>
      </c>
      <c r="F121" s="471">
        <f t="shared" si="119"/>
        <v>0</v>
      </c>
      <c r="G121" s="222">
        <f>FEBRERO!I121</f>
        <v>0</v>
      </c>
      <c r="H121" s="377">
        <v>0</v>
      </c>
      <c r="I121" s="476">
        <f t="shared" si="120"/>
        <v>0</v>
      </c>
      <c r="J121" s="222">
        <f>FEBRERO!L121</f>
        <v>0</v>
      </c>
      <c r="K121" s="377">
        <v>0</v>
      </c>
      <c r="L121" s="146">
        <f t="shared" si="121"/>
        <v>0</v>
      </c>
      <c r="M121" s="441">
        <f t="shared" si="122"/>
        <v>0</v>
      </c>
      <c r="N121" s="146">
        <f t="shared" si="123"/>
        <v>0</v>
      </c>
      <c r="P121" s="375">
        <v>0</v>
      </c>
      <c r="Q121" s="378">
        <v>0</v>
      </c>
      <c r="R121" s="9"/>
      <c r="S121" s="719">
        <f>+IF(FEBRERO!S121=0,"",FEBRERO!S121)</f>
        <v>2010199</v>
      </c>
      <c r="T121" s="737" t="str">
        <f>+IF(FEBRERO!T121=0,"",FEBRERO!T121)</f>
        <v>Vigencias Anteriores</v>
      </c>
      <c r="U121" s="29">
        <f>+ENERO!U121</f>
        <v>0</v>
      </c>
      <c r="V121" s="15">
        <f>FEBRERO!V121+MARZO!AL121</f>
        <v>0</v>
      </c>
      <c r="W121" s="15">
        <f>FEBRERO!W121+MARZO!AM121</f>
        <v>12179864</v>
      </c>
      <c r="X121" s="18">
        <f t="shared" si="124"/>
        <v>12179864</v>
      </c>
      <c r="Y121" s="19">
        <f>FEBRERO!AA121</f>
        <v>12179864</v>
      </c>
      <c r="Z121" s="377">
        <v>0</v>
      </c>
      <c r="AA121" s="16">
        <f t="shared" si="125"/>
        <v>12179864</v>
      </c>
      <c r="AB121" s="19">
        <f>FEBRERO!AD121</f>
        <v>12179864</v>
      </c>
      <c r="AC121" s="377">
        <v>0</v>
      </c>
      <c r="AD121" s="16">
        <f t="shared" si="126"/>
        <v>12179864</v>
      </c>
      <c r="AE121" s="19">
        <f>FEBRERO!AG121</f>
        <v>3725342</v>
      </c>
      <c r="AF121" s="377">
        <v>8071322</v>
      </c>
      <c r="AG121" s="16">
        <f t="shared" si="127"/>
        <v>11796664</v>
      </c>
      <c r="AH121" s="19">
        <f t="shared" si="128"/>
        <v>0</v>
      </c>
      <c r="AI121" s="15">
        <f t="shared" si="129"/>
        <v>0</v>
      </c>
      <c r="AJ121" s="16">
        <f t="shared" si="130"/>
        <v>383200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+IF(FEBRERO!A122=0,"",FEBRERO!A122)</f>
        <v>2600</v>
      </c>
      <c r="B122" s="635" t="str">
        <f>+IF(FEBRERO!B122=0,"",FEBRERO!B122)</f>
        <v>RECUPERACIÓN DE CARTERA (AÑO 2013 Y ANTERIORES)</v>
      </c>
      <c r="C122" s="375">
        <f>+ENERO!C122</f>
        <v>32064799</v>
      </c>
      <c r="D122" s="467">
        <f>FEBRERO!D122+MARZO!P122</f>
        <v>0</v>
      </c>
      <c r="E122" s="467">
        <f>FEBRERO!E122+MARZO!Q122</f>
        <v>0</v>
      </c>
      <c r="F122" s="471">
        <f t="shared" si="119"/>
        <v>32064799</v>
      </c>
      <c r="G122" s="222">
        <f>FEBRERO!I122</f>
        <v>319141</v>
      </c>
      <c r="H122" s="377">
        <v>0</v>
      </c>
      <c r="I122" s="476">
        <f t="shared" si="120"/>
        <v>319141</v>
      </c>
      <c r="J122" s="222">
        <f>FEBRERO!L122</f>
        <v>319141</v>
      </c>
      <c r="K122" s="377">
        <v>0</v>
      </c>
      <c r="L122" s="146">
        <f t="shared" si="121"/>
        <v>319141</v>
      </c>
      <c r="M122" s="441">
        <f t="shared" si="122"/>
        <v>31745658</v>
      </c>
      <c r="N122" s="146">
        <f t="shared" si="123"/>
        <v>31745658</v>
      </c>
      <c r="P122" s="375">
        <v>0</v>
      </c>
      <c r="Q122" s="378">
        <v>0</v>
      </c>
      <c r="R122" s="9"/>
      <c r="S122" s="369" t="str">
        <f>+IF(FEBRERO!S122=0,"",FEBRERO!S122)</f>
        <v/>
      </c>
      <c r="T122" s="708" t="str">
        <f>+IF(FEBRERO!T122=0,"",FEBRERO!T122)</f>
        <v/>
      </c>
      <c r="U122" s="370"/>
      <c r="V122" s="164"/>
      <c r="W122" s="164"/>
      <c r="X122" s="164"/>
      <c r="Y122" s="370"/>
      <c r="Z122" s="164"/>
      <c r="AA122" s="169"/>
      <c r="AB122" s="370"/>
      <c r="AC122" s="164"/>
      <c r="AD122" s="169"/>
      <c r="AE122" s="370"/>
      <c r="AF122" s="164"/>
      <c r="AG122" s="169"/>
      <c r="AH122" s="370"/>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+IF(FEBRERO!A123=0,"",FEBRERO!A123)</f>
        <v>2700</v>
      </c>
      <c r="B123" s="635" t="str">
        <f>+IF(FEBRERO!B123=0,"",FEBRERO!B123)</f>
        <v>OTROS INGRESOS DE CAPITAL</v>
      </c>
      <c r="C123" s="375">
        <f>+ENERO!C123</f>
        <v>0</v>
      </c>
      <c r="D123" s="467">
        <f>FEBRERO!D123+MARZO!P123</f>
        <v>0</v>
      </c>
      <c r="E123" s="467">
        <f>FEBRERO!E123+MARZO!Q123</f>
        <v>0</v>
      </c>
      <c r="F123" s="471">
        <f t="shared" si="119"/>
        <v>0</v>
      </c>
      <c r="G123" s="222">
        <f>FEBRERO!I123</f>
        <v>0</v>
      </c>
      <c r="H123" s="377">
        <v>2557</v>
      </c>
      <c r="I123" s="476">
        <f t="shared" si="120"/>
        <v>2557</v>
      </c>
      <c r="J123" s="222">
        <f>FEBRERO!L123</f>
        <v>0</v>
      </c>
      <c r="K123" s="377">
        <v>2557</v>
      </c>
      <c r="L123" s="146">
        <f t="shared" si="121"/>
        <v>2557</v>
      </c>
      <c r="M123" s="441">
        <f t="shared" si="122"/>
        <v>-2557</v>
      </c>
      <c r="N123" s="146">
        <f t="shared" si="123"/>
        <v>-2557</v>
      </c>
      <c r="P123" s="375">
        <v>0</v>
      </c>
      <c r="Q123" s="378">
        <v>0</v>
      </c>
      <c r="R123" s="9"/>
      <c r="S123" s="718">
        <f>+IF(FEBRERO!S123=0,"",FEBRERO!S123)</f>
        <v>2010200</v>
      </c>
      <c r="T123" s="736" t="str">
        <f>+IF(FEBRERO!T123=0,"",FEBRERO!T123)</f>
        <v>Adquisición de Servicios</v>
      </c>
      <c r="U123" s="131">
        <f t="shared" ref="U123:AJ123" si="131">SUM(U124:U139)</f>
        <v>141098390</v>
      </c>
      <c r="V123" s="124">
        <f t="shared" si="131"/>
        <v>0</v>
      </c>
      <c r="W123" s="124">
        <f t="shared" si="131"/>
        <v>31389245</v>
      </c>
      <c r="X123" s="132">
        <f t="shared" si="131"/>
        <v>172487635</v>
      </c>
      <c r="Y123" s="131">
        <f t="shared" si="131"/>
        <v>59328463</v>
      </c>
      <c r="Z123" s="124">
        <f t="shared" si="131"/>
        <v>7594482</v>
      </c>
      <c r="AA123" s="133">
        <f t="shared" si="131"/>
        <v>66922945</v>
      </c>
      <c r="AB123" s="131">
        <f t="shared" si="131"/>
        <v>57438225</v>
      </c>
      <c r="AC123" s="124">
        <f t="shared" si="131"/>
        <v>8164482</v>
      </c>
      <c r="AD123" s="133">
        <f t="shared" si="131"/>
        <v>65602707</v>
      </c>
      <c r="AE123" s="131">
        <f t="shared" si="131"/>
        <v>14840649</v>
      </c>
      <c r="AF123" s="124">
        <f t="shared" si="131"/>
        <v>10441043</v>
      </c>
      <c r="AG123" s="133">
        <f t="shared" si="131"/>
        <v>25281692</v>
      </c>
      <c r="AH123" s="131">
        <f t="shared" si="131"/>
        <v>105564690</v>
      </c>
      <c r="AI123" s="124">
        <f t="shared" si="131"/>
        <v>106884928</v>
      </c>
      <c r="AJ123" s="133">
        <f t="shared" si="131"/>
        <v>147205943</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+IF(FEBRERO!A124=0,"",FEBRERO!A124)</f>
        <v>2800</v>
      </c>
      <c r="B124" s="663" t="str">
        <f>+IF(FEBRERO!B124=0,"",FEBRERO!B124)</f>
        <v/>
      </c>
      <c r="C124" s="387">
        <f>+ENERO!C124</f>
        <v>0</v>
      </c>
      <c r="D124" s="465">
        <f>FEBRERO!D124+MARZO!P124</f>
        <v>0</v>
      </c>
      <c r="E124" s="465">
        <f>FEBRERO!E124+MARZO!Q124</f>
        <v>0</v>
      </c>
      <c r="F124" s="477">
        <f t="shared" si="119"/>
        <v>0</v>
      </c>
      <c r="G124" s="390">
        <f>FEBRERO!I124</f>
        <v>0</v>
      </c>
      <c r="H124" s="391">
        <v>0</v>
      </c>
      <c r="I124" s="478">
        <f t="shared" si="120"/>
        <v>0</v>
      </c>
      <c r="J124" s="390">
        <f>FEBRERO!L124</f>
        <v>0</v>
      </c>
      <c r="K124" s="391">
        <v>0</v>
      </c>
      <c r="L124" s="389">
        <f t="shared" si="121"/>
        <v>0</v>
      </c>
      <c r="M124" s="479">
        <f t="shared" si="122"/>
        <v>0</v>
      </c>
      <c r="N124" s="389">
        <f t="shared" si="123"/>
        <v>0</v>
      </c>
      <c r="P124" s="387">
        <v>0</v>
      </c>
      <c r="Q124" s="392">
        <v>0</v>
      </c>
      <c r="R124" s="9"/>
      <c r="S124" s="719" t="str">
        <f>+IF(FEBRERO!S124=0,"",FEBRERO!S124)</f>
        <v>2010200-1</v>
      </c>
      <c r="T124" s="737" t="str">
        <f>+IF(FEBRERO!T124=0,"",FEBRERO!T124)</f>
        <v>Seguros</v>
      </c>
      <c r="U124" s="29">
        <f>+ENERO!U124</f>
        <v>17953987</v>
      </c>
      <c r="V124" s="15">
        <f>FEBRERO!V124+MARZO!AL124</f>
        <v>0</v>
      </c>
      <c r="W124" s="15">
        <f>FEBRERO!W124+MARZO!AM124</f>
        <v>5000000</v>
      </c>
      <c r="X124" s="18">
        <f t="shared" ref="X124:X139" si="132">SUM(U124:W124)</f>
        <v>22953987</v>
      </c>
      <c r="Y124" s="19">
        <f>FEBRERO!AA124</f>
        <v>17953987</v>
      </c>
      <c r="Z124" s="377">
        <v>0</v>
      </c>
      <c r="AA124" s="16">
        <f t="shared" ref="AA124:AA139" si="133">SUM(Y124:Z124)</f>
        <v>17953987</v>
      </c>
      <c r="AB124" s="19">
        <f>FEBRERO!AD124</f>
        <v>17953987</v>
      </c>
      <c r="AC124" s="377">
        <v>0</v>
      </c>
      <c r="AD124" s="16">
        <f t="shared" ref="AD124:AD139" si="134">SUM(AB124:AC124)</f>
        <v>17953987</v>
      </c>
      <c r="AE124" s="19">
        <f>FEBRERO!AG124</f>
        <v>0</v>
      </c>
      <c r="AF124" s="377">
        <v>3347776</v>
      </c>
      <c r="AG124" s="16">
        <f t="shared" ref="AG124:AG139" si="135">SUM(AE124:AF124)</f>
        <v>3347776</v>
      </c>
      <c r="AH124" s="19">
        <f t="shared" ref="AH124:AH139" si="136">X124-AA124</f>
        <v>5000000</v>
      </c>
      <c r="AI124" s="15">
        <f t="shared" ref="AI124:AI139" si="137">X124-AD124</f>
        <v>5000000</v>
      </c>
      <c r="AJ124" s="16">
        <f t="shared" ref="AJ124:AJ139" si="138">X124-AG124</f>
        <v>19606211</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+IF(FEBRERO!S125=0,"",FEBRERO!S125)</f>
        <v>2010200-2</v>
      </c>
      <c r="T125" s="737" t="str">
        <f>+IF(FEBRERO!T125=0,"",FEBRERO!T125)</f>
        <v>Impresos y Publicaciones</v>
      </c>
      <c r="U125" s="29">
        <f>+ENERO!U125</f>
        <v>3151827</v>
      </c>
      <c r="V125" s="15">
        <f>FEBRERO!V125+MARZO!AL125</f>
        <v>0</v>
      </c>
      <c r="W125" s="15">
        <f>FEBRERO!W125+MARZO!AM125</f>
        <v>0</v>
      </c>
      <c r="X125" s="18">
        <f t="shared" si="132"/>
        <v>3151827</v>
      </c>
      <c r="Y125" s="19">
        <f>FEBRERO!AA125</f>
        <v>0</v>
      </c>
      <c r="Z125" s="377">
        <v>65000</v>
      </c>
      <c r="AA125" s="16">
        <f t="shared" si="133"/>
        <v>65000</v>
      </c>
      <c r="AB125" s="19">
        <f>FEBRERO!AD125</f>
        <v>0</v>
      </c>
      <c r="AC125" s="377">
        <v>65000</v>
      </c>
      <c r="AD125" s="16">
        <f t="shared" si="134"/>
        <v>65000</v>
      </c>
      <c r="AE125" s="19">
        <f>FEBRERO!AG125</f>
        <v>0</v>
      </c>
      <c r="AF125" s="377">
        <v>65000</v>
      </c>
      <c r="AG125" s="16">
        <f t="shared" si="135"/>
        <v>65000</v>
      </c>
      <c r="AH125" s="19">
        <f t="shared" si="136"/>
        <v>3086827</v>
      </c>
      <c r="AI125" s="15">
        <f t="shared" si="137"/>
        <v>3086827</v>
      </c>
      <c r="AJ125" s="16">
        <f t="shared" si="138"/>
        <v>3086827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39">C8-C128</f>
        <v>3103636215</v>
      </c>
      <c r="D126" s="480">
        <f t="shared" si="139"/>
        <v>0</v>
      </c>
      <c r="E126" s="480">
        <f t="shared" si="139"/>
        <v>107622734</v>
      </c>
      <c r="F126" s="480">
        <f t="shared" si="139"/>
        <v>3211258949</v>
      </c>
      <c r="G126" s="480">
        <f t="shared" si="139"/>
        <v>518966699</v>
      </c>
      <c r="H126" s="480">
        <f t="shared" si="139"/>
        <v>279410808</v>
      </c>
      <c r="I126" s="480">
        <f t="shared" si="139"/>
        <v>798377507</v>
      </c>
      <c r="J126" s="480">
        <f t="shared" si="139"/>
        <v>259436453</v>
      </c>
      <c r="K126" s="480">
        <f t="shared" si="139"/>
        <v>102993836</v>
      </c>
      <c r="L126" s="480">
        <f t="shared" si="139"/>
        <v>362111148</v>
      </c>
      <c r="M126" s="480">
        <f t="shared" si="139"/>
        <v>2444627100</v>
      </c>
      <c r="N126" s="621">
        <f t="shared" si="139"/>
        <v>2849147801</v>
      </c>
      <c r="P126" s="481">
        <f>P8-P128</f>
        <v>0</v>
      </c>
      <c r="Q126" s="482">
        <f>Q8-Q128</f>
        <v>0</v>
      </c>
      <c r="R126" s="9"/>
      <c r="S126" s="719" t="str">
        <f>+IF(FEBRERO!S126=0,"",FEBRERO!S126)</f>
        <v>2010200-3</v>
      </c>
      <c r="T126" s="737" t="str">
        <f>+IF(FEBRERO!T126=0,"",FEBRERO!T126)</f>
        <v xml:space="preserve">Servicios Públicos </v>
      </c>
      <c r="U126" s="29">
        <f>+ENERO!U126</f>
        <v>55492147</v>
      </c>
      <c r="V126" s="15">
        <f>FEBRERO!V126+MARZO!AL126</f>
        <v>0</v>
      </c>
      <c r="W126" s="15">
        <f>FEBRERO!W126+MARZO!AM126</f>
        <v>0</v>
      </c>
      <c r="X126" s="18">
        <f t="shared" si="132"/>
        <v>55492147</v>
      </c>
      <c r="Y126" s="19">
        <f>FEBRERO!AA126</f>
        <v>7172587</v>
      </c>
      <c r="Z126" s="377">
        <v>4795580</v>
      </c>
      <c r="AA126" s="16">
        <f t="shared" si="133"/>
        <v>11968167</v>
      </c>
      <c r="AB126" s="19">
        <f>FEBRERO!AD126</f>
        <v>7172587</v>
      </c>
      <c r="AC126" s="377">
        <v>4795580</v>
      </c>
      <c r="AD126" s="16">
        <f t="shared" si="134"/>
        <v>11968167</v>
      </c>
      <c r="AE126" s="19">
        <f>FEBRERO!AG126</f>
        <v>4328036</v>
      </c>
      <c r="AF126" s="377">
        <v>2832551</v>
      </c>
      <c r="AG126" s="16">
        <f t="shared" si="135"/>
        <v>7160587</v>
      </c>
      <c r="AH126" s="19">
        <f t="shared" si="136"/>
        <v>43523980</v>
      </c>
      <c r="AI126" s="15">
        <f t="shared" si="137"/>
        <v>43523980</v>
      </c>
      <c r="AJ126" s="16">
        <f t="shared" si="138"/>
        <v>48331560</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+IF(FEBRERO!S127=0,"",FEBRERO!S127)</f>
        <v>2010200-4</v>
      </c>
      <c r="T127" s="737" t="str">
        <f>+IF(FEBRERO!T127=0,"",FEBRERO!T127)</f>
        <v>Comunicaciones y Transportes</v>
      </c>
      <c r="U127" s="29">
        <f>+ENERO!U127</f>
        <v>14481572</v>
      </c>
      <c r="V127" s="15">
        <f>FEBRERO!V127+MARZO!AL127</f>
        <v>0</v>
      </c>
      <c r="W127" s="15">
        <f>FEBRERO!W127+MARZO!AM127</f>
        <v>0</v>
      </c>
      <c r="X127" s="18">
        <f t="shared" si="132"/>
        <v>14481572</v>
      </c>
      <c r="Y127" s="19">
        <f>FEBRERO!AA127</f>
        <v>4862618</v>
      </c>
      <c r="Z127" s="377">
        <v>366300</v>
      </c>
      <c r="AA127" s="16">
        <f t="shared" si="133"/>
        <v>5228918</v>
      </c>
      <c r="AB127" s="19">
        <f>FEBRERO!AD127</f>
        <v>1098600</v>
      </c>
      <c r="AC127" s="377">
        <v>936300</v>
      </c>
      <c r="AD127" s="16">
        <f t="shared" si="134"/>
        <v>2034900</v>
      </c>
      <c r="AE127" s="19">
        <f>FEBRERO!AG127</f>
        <v>253600</v>
      </c>
      <c r="AF127" s="377">
        <v>366300</v>
      </c>
      <c r="AG127" s="16">
        <f t="shared" si="135"/>
        <v>619900</v>
      </c>
      <c r="AH127" s="19">
        <f t="shared" si="136"/>
        <v>9252654</v>
      </c>
      <c r="AI127" s="15">
        <f t="shared" si="137"/>
        <v>12446672</v>
      </c>
      <c r="AJ127" s="16">
        <f t="shared" si="138"/>
        <v>13861672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186192364</v>
      </c>
      <c r="H128" s="486">
        <f>SUMIF($B8:$B$122,$B$24,H8:H122)+H122</f>
        <v>91160684</v>
      </c>
      <c r="I128" s="486">
        <f>SUMIF($B8:$B$122,$B$24,I8:I122)+I122</f>
        <v>277353048</v>
      </c>
      <c r="J128" s="486">
        <f>SUMIF($B8:$B$122,$B$24,J8:J122)+J1212</f>
        <v>185873223</v>
      </c>
      <c r="K128" s="486">
        <f>SUMIF($B8:$B$122,$B$24,K8:K122)+K122</f>
        <v>91160684</v>
      </c>
      <c r="L128" s="486">
        <f>SUMIF($B8:$B$122,$B$24,L8:L122)+L122</f>
        <v>277353048</v>
      </c>
      <c r="M128" s="486">
        <f>SUMIF($B8:$B$122,$B$24,M8:M122)+M12</f>
        <v>268352521</v>
      </c>
      <c r="N128" s="622">
        <f>SUMIF($B8:$B$122,$B$24,N8:N122)+N122</f>
        <v>300098179</v>
      </c>
      <c r="O128" s="464"/>
      <c r="P128" s="486">
        <f>SUMIF($B8:$B$122,$B$24,P8:P122)+P122</f>
        <v>0</v>
      </c>
      <c r="Q128" s="487">
        <f>SUMIF($B8:$B$122,$B$24,Q8:Q122)+Q122</f>
        <v>0</v>
      </c>
      <c r="R128" s="9"/>
      <c r="S128" s="719" t="str">
        <f>+IF(FEBRERO!S128=0,"",FEBRERO!S128)</f>
        <v>2010200-5</v>
      </c>
      <c r="T128" s="737" t="str">
        <f>+IF(FEBRERO!T128=0,"",FEBRERO!T128)</f>
        <v>Viáticos y Gastos de Viaje</v>
      </c>
      <c r="U128" s="29">
        <f>+ENERO!U128</f>
        <v>12695514</v>
      </c>
      <c r="V128" s="15">
        <f>FEBRERO!V128+MARZO!AL128</f>
        <v>0</v>
      </c>
      <c r="W128" s="15">
        <f>FEBRERO!W128+MARZO!AM128</f>
        <v>0</v>
      </c>
      <c r="X128" s="18">
        <f t="shared" si="132"/>
        <v>12695514</v>
      </c>
      <c r="Y128" s="19">
        <f>FEBRERO!AA128</f>
        <v>1865316</v>
      </c>
      <c r="Z128" s="377">
        <v>1922770</v>
      </c>
      <c r="AA128" s="16">
        <f t="shared" si="133"/>
        <v>3788086</v>
      </c>
      <c r="AB128" s="19">
        <f>FEBRERO!AD128</f>
        <v>1865316</v>
      </c>
      <c r="AC128" s="377">
        <v>1922770</v>
      </c>
      <c r="AD128" s="16">
        <f t="shared" si="134"/>
        <v>3788086</v>
      </c>
      <c r="AE128" s="19">
        <f>FEBRERO!AG128</f>
        <v>1808064</v>
      </c>
      <c r="AF128" s="377">
        <v>1933189</v>
      </c>
      <c r="AG128" s="16">
        <f t="shared" si="135"/>
        <v>3741253</v>
      </c>
      <c r="AH128" s="19">
        <f t="shared" si="136"/>
        <v>8907428</v>
      </c>
      <c r="AI128" s="15">
        <f t="shared" si="137"/>
        <v>8907428</v>
      </c>
      <c r="AJ128" s="16">
        <f t="shared" si="138"/>
        <v>8954261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+IF(FEBRERO!S129=0,"",FEBRERO!S129)</f>
        <v>2010200-6</v>
      </c>
      <c r="T129" s="737" t="str">
        <f>+IF(FEBRERO!T129=0,"",FEBRERO!T129)</f>
        <v>Arrendamientos</v>
      </c>
      <c r="U129" s="29">
        <f>+ENERO!U129</f>
        <v>0</v>
      </c>
      <c r="V129" s="15">
        <f>FEBRERO!V129+MARZO!AL129</f>
        <v>0</v>
      </c>
      <c r="W129" s="15">
        <f>FEBRERO!W129+MARZO!AM129</f>
        <v>0</v>
      </c>
      <c r="X129" s="18">
        <f t="shared" si="132"/>
        <v>0</v>
      </c>
      <c r="Y129" s="19">
        <f>FEBRERO!AA129</f>
        <v>0</v>
      </c>
      <c r="Z129" s="377">
        <v>0</v>
      </c>
      <c r="AA129" s="16">
        <f t="shared" si="133"/>
        <v>0</v>
      </c>
      <c r="AB129" s="19">
        <f>FEBRERO!AD129</f>
        <v>0</v>
      </c>
      <c r="AC129" s="377">
        <v>0</v>
      </c>
      <c r="AD129" s="16">
        <f t="shared" si="134"/>
        <v>0</v>
      </c>
      <c r="AE129" s="19">
        <f>FEBRERO!AG129</f>
        <v>0</v>
      </c>
      <c r="AF129" s="377">
        <v>0</v>
      </c>
      <c r="AG129" s="16">
        <f t="shared" si="135"/>
        <v>0</v>
      </c>
      <c r="AH129" s="19">
        <f t="shared" si="136"/>
        <v>0</v>
      </c>
      <c r="AI129" s="15">
        <f t="shared" si="137"/>
        <v>0</v>
      </c>
      <c r="AJ129" s="16">
        <f t="shared" si="138"/>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0">C128+C126</f>
        <v>3135701014</v>
      </c>
      <c r="D130" s="489">
        <f t="shared" si="140"/>
        <v>0</v>
      </c>
      <c r="E130" s="489">
        <f t="shared" si="140"/>
        <v>653009162</v>
      </c>
      <c r="F130" s="490">
        <f t="shared" si="140"/>
        <v>3788710176</v>
      </c>
      <c r="G130" s="488">
        <f t="shared" si="140"/>
        <v>705159063</v>
      </c>
      <c r="H130" s="489">
        <f t="shared" si="140"/>
        <v>370571492</v>
      </c>
      <c r="I130" s="490">
        <f t="shared" si="140"/>
        <v>1075730555</v>
      </c>
      <c r="J130" s="488">
        <f t="shared" si="140"/>
        <v>445309676</v>
      </c>
      <c r="K130" s="489">
        <f t="shared" si="140"/>
        <v>194154520</v>
      </c>
      <c r="L130" s="490">
        <f t="shared" si="140"/>
        <v>639464196</v>
      </c>
      <c r="M130" s="488">
        <f t="shared" si="140"/>
        <v>2712979621</v>
      </c>
      <c r="N130" s="490">
        <f t="shared" si="140"/>
        <v>3149245980</v>
      </c>
      <c r="P130" s="481">
        <f>P128+P126</f>
        <v>0</v>
      </c>
      <c r="Q130" s="482">
        <f>Q128+Q126</f>
        <v>0</v>
      </c>
      <c r="R130" s="9"/>
      <c r="S130" s="719" t="str">
        <f>+IF(FEBRERO!S130=0,"",FEBRERO!S130)</f>
        <v>2010200-7</v>
      </c>
      <c r="T130" s="737" t="str">
        <f>+IF(FEBRERO!T130=0,"",FEBRERO!T130)</f>
        <v>Vigilancia y Aseo</v>
      </c>
      <c r="U130" s="29">
        <f>+ENERO!U130</f>
        <v>0</v>
      </c>
      <c r="V130" s="15">
        <f>FEBRERO!V130+MARZO!AL130</f>
        <v>0</v>
      </c>
      <c r="W130" s="15">
        <f>FEBRERO!W130+MARZO!AM130</f>
        <v>0</v>
      </c>
      <c r="X130" s="18">
        <f t="shared" si="132"/>
        <v>0</v>
      </c>
      <c r="Y130" s="19">
        <f>FEBRERO!AA130</f>
        <v>0</v>
      </c>
      <c r="Z130" s="377">
        <v>0</v>
      </c>
      <c r="AA130" s="16">
        <f t="shared" si="133"/>
        <v>0</v>
      </c>
      <c r="AB130" s="19">
        <f>FEBRERO!AD130</f>
        <v>0</v>
      </c>
      <c r="AC130" s="377">
        <v>0</v>
      </c>
      <c r="AD130" s="16">
        <f t="shared" si="134"/>
        <v>0</v>
      </c>
      <c r="AE130" s="19">
        <f>FEBRERO!AG130</f>
        <v>0</v>
      </c>
      <c r="AF130" s="377">
        <v>0</v>
      </c>
      <c r="AG130" s="16">
        <f t="shared" si="135"/>
        <v>0</v>
      </c>
      <c r="AH130" s="19">
        <f t="shared" si="136"/>
        <v>0</v>
      </c>
      <c r="AI130" s="15">
        <f t="shared" si="137"/>
        <v>0</v>
      </c>
      <c r="AJ130" s="16">
        <f t="shared" si="138"/>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+IF(FEBRERO!S131=0,"",FEBRERO!S131)</f>
        <v>2010200-8</v>
      </c>
      <c r="T131" s="737" t="str">
        <f>+IF(FEBRERO!T131=0,"",FEBRERO!T131)</f>
        <v>Bienestar Social</v>
      </c>
      <c r="U131" s="29">
        <f>+ENERO!U131</f>
        <v>28364135</v>
      </c>
      <c r="V131" s="15">
        <f>FEBRERO!V131+MARZO!AL131</f>
        <v>0</v>
      </c>
      <c r="W131" s="15">
        <f>FEBRERO!W131+MARZO!AM131</f>
        <v>81553</v>
      </c>
      <c r="X131" s="18">
        <f t="shared" si="132"/>
        <v>28445688</v>
      </c>
      <c r="Y131" s="19">
        <f>FEBRERO!AA131</f>
        <v>2127650</v>
      </c>
      <c r="Z131" s="377">
        <v>0</v>
      </c>
      <c r="AA131" s="16">
        <f t="shared" si="133"/>
        <v>2127650</v>
      </c>
      <c r="AB131" s="19">
        <f>FEBRERO!AD131</f>
        <v>2127650</v>
      </c>
      <c r="AC131" s="377">
        <v>0</v>
      </c>
      <c r="AD131" s="16">
        <f t="shared" si="134"/>
        <v>2127650</v>
      </c>
      <c r="AE131" s="19">
        <f>FEBRERO!AG131</f>
        <v>0</v>
      </c>
      <c r="AF131" s="377">
        <v>0</v>
      </c>
      <c r="AG131" s="16">
        <f t="shared" si="135"/>
        <v>0</v>
      </c>
      <c r="AH131" s="19">
        <f t="shared" si="136"/>
        <v>26318038</v>
      </c>
      <c r="AI131" s="15">
        <f t="shared" si="137"/>
        <v>26318038</v>
      </c>
      <c r="AJ131" s="16">
        <f t="shared" si="138"/>
        <v>28445688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+IF(FEBRERO!S132=0,"",FEBRERO!S132)</f>
        <v>2010200-9</v>
      </c>
      <c r="T132" s="737" t="str">
        <f>+IF(FEBRERO!T132=0,"",FEBRERO!T132)</f>
        <v>Capacitación, estimulos, incentivos, programa de calidad</v>
      </c>
      <c r="U132" s="29">
        <f>+ENERO!U132</f>
        <v>3982443</v>
      </c>
      <c r="V132" s="15">
        <f>FEBRERO!V132+MARZO!AL132</f>
        <v>0</v>
      </c>
      <c r="W132" s="15">
        <f>FEBRERO!W132+MARZO!AM132</f>
        <v>0</v>
      </c>
      <c r="X132" s="18">
        <f t="shared" si="132"/>
        <v>3982443</v>
      </c>
      <c r="Y132" s="19">
        <f>FEBRERO!AA132</f>
        <v>0</v>
      </c>
      <c r="Z132" s="377">
        <v>0</v>
      </c>
      <c r="AA132" s="16">
        <f t="shared" si="133"/>
        <v>0</v>
      </c>
      <c r="AB132" s="19">
        <f>FEBRERO!AD132</f>
        <v>0</v>
      </c>
      <c r="AC132" s="377">
        <v>0</v>
      </c>
      <c r="AD132" s="16">
        <f t="shared" si="134"/>
        <v>0</v>
      </c>
      <c r="AE132" s="19">
        <f>FEBRERO!AG132</f>
        <v>0</v>
      </c>
      <c r="AF132" s="377">
        <v>0</v>
      </c>
      <c r="AG132" s="16">
        <f t="shared" si="135"/>
        <v>0</v>
      </c>
      <c r="AH132" s="19">
        <f t="shared" si="136"/>
        <v>3982443</v>
      </c>
      <c r="AI132" s="15">
        <f t="shared" si="137"/>
        <v>3982443</v>
      </c>
      <c r="AJ132" s="16">
        <f t="shared" si="138"/>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+IF(FEBRERO!S133=0,"",FEBRERO!S133)</f>
        <v>2010200-10</v>
      </c>
      <c r="T133" s="737" t="str">
        <f>+IF(FEBRERO!T133=0,"",FEBRERO!T133)</f>
        <v>Pagos otras IPS</v>
      </c>
      <c r="U133" s="29">
        <f>+ENERO!U133</f>
        <v>0</v>
      </c>
      <c r="V133" s="15">
        <f>FEBRERO!V133+MARZO!AL133</f>
        <v>0</v>
      </c>
      <c r="W133" s="15">
        <f>FEBRERO!W133+MARZO!AM133</f>
        <v>0</v>
      </c>
      <c r="X133" s="18">
        <f t="shared" si="132"/>
        <v>0</v>
      </c>
      <c r="Y133" s="19">
        <f>FEBRERO!AA133</f>
        <v>0</v>
      </c>
      <c r="Z133" s="377">
        <v>0</v>
      </c>
      <c r="AA133" s="16">
        <f t="shared" si="133"/>
        <v>0</v>
      </c>
      <c r="AB133" s="19">
        <f>FEBRERO!AD133</f>
        <v>0</v>
      </c>
      <c r="AC133" s="377">
        <v>0</v>
      </c>
      <c r="AD133" s="16">
        <f t="shared" si="134"/>
        <v>0</v>
      </c>
      <c r="AE133" s="19">
        <f>FEBRERO!AG133</f>
        <v>0</v>
      </c>
      <c r="AF133" s="377">
        <v>0</v>
      </c>
      <c r="AG133" s="16">
        <f t="shared" si="135"/>
        <v>0</v>
      </c>
      <c r="AH133" s="19">
        <f t="shared" si="136"/>
        <v>0</v>
      </c>
      <c r="AI133" s="15">
        <f t="shared" si="137"/>
        <v>0</v>
      </c>
      <c r="AJ133" s="16">
        <f t="shared" si="138"/>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+IF(FEBRERO!S134=0,"",FEBRERO!S134)</f>
        <v>2010200-11</v>
      </c>
      <c r="T134" s="737" t="str">
        <f>+IF(FEBRERO!T134=0,"",FEBRERO!T134)</f>
        <v>Gastos financieros</v>
      </c>
      <c r="U134" s="29">
        <f>+ENERO!U134</f>
        <v>4976765</v>
      </c>
      <c r="V134" s="15">
        <f>FEBRERO!V134+MARZO!AL134</f>
        <v>0</v>
      </c>
      <c r="W134" s="15">
        <f>FEBRERO!W134+MARZO!AM134</f>
        <v>0</v>
      </c>
      <c r="X134" s="18">
        <f t="shared" si="132"/>
        <v>4976765</v>
      </c>
      <c r="Y134" s="19">
        <f>FEBRERO!AA134</f>
        <v>912393</v>
      </c>
      <c r="Z134" s="377">
        <v>444832</v>
      </c>
      <c r="AA134" s="16">
        <f t="shared" si="133"/>
        <v>1357225</v>
      </c>
      <c r="AB134" s="19">
        <f>FEBRERO!AD134</f>
        <v>912393</v>
      </c>
      <c r="AC134" s="377">
        <v>444832</v>
      </c>
      <c r="AD134" s="16">
        <f t="shared" si="134"/>
        <v>1357225</v>
      </c>
      <c r="AE134" s="19">
        <f>FEBRERO!AG134</f>
        <v>912393</v>
      </c>
      <c r="AF134" s="377">
        <v>444832</v>
      </c>
      <c r="AG134" s="16">
        <f t="shared" si="135"/>
        <v>1357225</v>
      </c>
      <c r="AH134" s="19">
        <f t="shared" si="136"/>
        <v>3619540</v>
      </c>
      <c r="AI134" s="15">
        <f t="shared" si="137"/>
        <v>3619540</v>
      </c>
      <c r="AJ134" s="16">
        <f t="shared" si="138"/>
        <v>3619540</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+IF(FEBRERO!S135=0,"",FEBRERO!S135)</f>
        <v>2010200-12</v>
      </c>
      <c r="T135" s="737" t="str">
        <f>+IF(FEBRERO!T135=0,"",FEBRERO!T135)</f>
        <v/>
      </c>
      <c r="U135" s="29">
        <f>+ENERO!U135</f>
        <v>0</v>
      </c>
      <c r="V135" s="15">
        <f>FEBRERO!V135+MARZO!AL135</f>
        <v>0</v>
      </c>
      <c r="W135" s="15">
        <f>FEBRERO!W135+MARZO!AM135</f>
        <v>0</v>
      </c>
      <c r="X135" s="18">
        <f t="shared" si="132"/>
        <v>0</v>
      </c>
      <c r="Y135" s="19">
        <f>FEBRERO!AA135</f>
        <v>0</v>
      </c>
      <c r="Z135" s="377">
        <v>0</v>
      </c>
      <c r="AA135" s="16">
        <f t="shared" si="133"/>
        <v>0</v>
      </c>
      <c r="AB135" s="19">
        <f>FEBRERO!AD135</f>
        <v>0</v>
      </c>
      <c r="AC135" s="377">
        <v>0</v>
      </c>
      <c r="AD135" s="16">
        <f t="shared" si="134"/>
        <v>0</v>
      </c>
      <c r="AE135" s="19">
        <f>FEBRERO!AG135</f>
        <v>0</v>
      </c>
      <c r="AF135" s="377">
        <v>0</v>
      </c>
      <c r="AG135" s="16">
        <f t="shared" si="135"/>
        <v>0</v>
      </c>
      <c r="AH135" s="19">
        <f t="shared" si="136"/>
        <v>0</v>
      </c>
      <c r="AI135" s="15">
        <f t="shared" si="137"/>
        <v>0</v>
      </c>
      <c r="AJ135" s="16">
        <f t="shared" si="138"/>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+IF(FEBRERO!S136=0,"",FEBRERO!S136)</f>
        <v>2010200-13</v>
      </c>
      <c r="T136" s="737" t="str">
        <f>+IF(FEBRERO!T136=0,"",FEBRERO!T136)</f>
        <v/>
      </c>
      <c r="U136" s="29">
        <f>+ENERO!U136</f>
        <v>0</v>
      </c>
      <c r="V136" s="15">
        <f>FEBRERO!V136+MARZO!AL136</f>
        <v>0</v>
      </c>
      <c r="W136" s="15">
        <f>FEBRERO!W136+MARZO!AM136</f>
        <v>0</v>
      </c>
      <c r="X136" s="18">
        <f t="shared" si="132"/>
        <v>0</v>
      </c>
      <c r="Y136" s="19">
        <f>FEBRERO!AA136</f>
        <v>0</v>
      </c>
      <c r="Z136" s="377">
        <v>0</v>
      </c>
      <c r="AA136" s="16">
        <f t="shared" si="133"/>
        <v>0</v>
      </c>
      <c r="AB136" s="19">
        <f>FEBRERO!AD136</f>
        <v>0</v>
      </c>
      <c r="AC136" s="377">
        <v>0</v>
      </c>
      <c r="AD136" s="16">
        <f t="shared" si="134"/>
        <v>0</v>
      </c>
      <c r="AE136" s="19">
        <f>FEBRERO!AG136</f>
        <v>0</v>
      </c>
      <c r="AF136" s="377">
        <v>0</v>
      </c>
      <c r="AG136" s="16">
        <f t="shared" si="135"/>
        <v>0</v>
      </c>
      <c r="AH136" s="19">
        <f t="shared" si="136"/>
        <v>0</v>
      </c>
      <c r="AI136" s="15">
        <f t="shared" si="137"/>
        <v>0</v>
      </c>
      <c r="AJ136" s="16">
        <f t="shared" si="138"/>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+IF(FEBRERO!S137=0,"",FEBRERO!S137)</f>
        <v>2010020-14</v>
      </c>
      <c r="T137" s="737" t="str">
        <f>+IF(FEBRERO!T137=0,"",FEBRERO!T137)</f>
        <v/>
      </c>
      <c r="U137" s="29">
        <f>+ENERO!U137</f>
        <v>0</v>
      </c>
      <c r="V137" s="15">
        <f>FEBRERO!V137+MARZO!AL137</f>
        <v>0</v>
      </c>
      <c r="W137" s="15">
        <f>FEBRERO!W137+MARZO!AM137</f>
        <v>0</v>
      </c>
      <c r="X137" s="18">
        <f t="shared" si="132"/>
        <v>0</v>
      </c>
      <c r="Y137" s="19">
        <f>FEBRERO!AA137</f>
        <v>0</v>
      </c>
      <c r="Z137" s="377">
        <v>0</v>
      </c>
      <c r="AA137" s="16">
        <f t="shared" si="133"/>
        <v>0</v>
      </c>
      <c r="AB137" s="19">
        <f>FEBRERO!AD137</f>
        <v>0</v>
      </c>
      <c r="AC137" s="377">
        <v>0</v>
      </c>
      <c r="AD137" s="16">
        <f t="shared" si="134"/>
        <v>0</v>
      </c>
      <c r="AE137" s="19">
        <f>FEBRERO!AG137</f>
        <v>0</v>
      </c>
      <c r="AF137" s="377">
        <v>0</v>
      </c>
      <c r="AG137" s="16">
        <f t="shared" si="135"/>
        <v>0</v>
      </c>
      <c r="AH137" s="19">
        <f t="shared" si="136"/>
        <v>0</v>
      </c>
      <c r="AI137" s="15">
        <f t="shared" si="137"/>
        <v>0</v>
      </c>
      <c r="AJ137" s="16">
        <f t="shared" si="138"/>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+IF(FEBRERO!S138=0,"",FEBRERO!S138)</f>
        <v>2010200-15</v>
      </c>
      <c r="T138" s="737" t="str">
        <f>+IF(FEBRERO!T138=0,"",FEBRERO!T138)</f>
        <v/>
      </c>
      <c r="U138" s="29">
        <f>+ENERO!U138</f>
        <v>0</v>
      </c>
      <c r="V138" s="15">
        <f>FEBRERO!V138+MARZO!AL138</f>
        <v>0</v>
      </c>
      <c r="W138" s="15">
        <f>FEBRERO!W138+MARZO!AM138</f>
        <v>0</v>
      </c>
      <c r="X138" s="18">
        <f t="shared" si="132"/>
        <v>0</v>
      </c>
      <c r="Y138" s="19">
        <f>FEBRERO!AA138</f>
        <v>0</v>
      </c>
      <c r="Z138" s="377">
        <v>0</v>
      </c>
      <c r="AA138" s="16">
        <f t="shared" si="133"/>
        <v>0</v>
      </c>
      <c r="AB138" s="19">
        <f>FEBRERO!AD138</f>
        <v>0</v>
      </c>
      <c r="AC138" s="377">
        <v>0</v>
      </c>
      <c r="AD138" s="16">
        <f t="shared" si="134"/>
        <v>0</v>
      </c>
      <c r="AE138" s="19">
        <f>FEBRERO!AG138</f>
        <v>0</v>
      </c>
      <c r="AF138" s="377">
        <v>0</v>
      </c>
      <c r="AG138" s="16">
        <f t="shared" si="135"/>
        <v>0</v>
      </c>
      <c r="AH138" s="19">
        <f t="shared" si="136"/>
        <v>0</v>
      </c>
      <c r="AI138" s="15">
        <f t="shared" si="137"/>
        <v>0</v>
      </c>
      <c r="AJ138" s="16">
        <f t="shared" si="138"/>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+IF(FEBRERO!S139=0,"",FEBRERO!S139)</f>
        <v>2010299</v>
      </c>
      <c r="T139" s="737" t="str">
        <f>+IF(FEBRERO!T139=0,"",FEBRERO!T139)</f>
        <v>Vigencias Anteriores</v>
      </c>
      <c r="U139" s="29">
        <f>+ENERO!U139</f>
        <v>0</v>
      </c>
      <c r="V139" s="15">
        <f>FEBRERO!V139+MARZO!AL139</f>
        <v>0</v>
      </c>
      <c r="W139" s="15">
        <f>FEBRERO!W139+MARZO!AM139</f>
        <v>26307692</v>
      </c>
      <c r="X139" s="18">
        <f t="shared" si="132"/>
        <v>26307692</v>
      </c>
      <c r="Y139" s="19">
        <f>FEBRERO!AA139</f>
        <v>24433912</v>
      </c>
      <c r="Z139" s="377">
        <v>0</v>
      </c>
      <c r="AA139" s="16">
        <f t="shared" si="133"/>
        <v>24433912</v>
      </c>
      <c r="AB139" s="19">
        <f>FEBRERO!AD139</f>
        <v>26307692</v>
      </c>
      <c r="AC139" s="377">
        <v>0</v>
      </c>
      <c r="AD139" s="16">
        <f t="shared" si="134"/>
        <v>26307692</v>
      </c>
      <c r="AE139" s="19">
        <f>FEBRERO!AG139</f>
        <v>7538556</v>
      </c>
      <c r="AF139" s="377">
        <v>1451395</v>
      </c>
      <c r="AG139" s="16">
        <f t="shared" si="135"/>
        <v>8989951</v>
      </c>
      <c r="AH139" s="19">
        <f t="shared" si="136"/>
        <v>1873780</v>
      </c>
      <c r="AI139" s="15">
        <f t="shared" si="137"/>
        <v>0</v>
      </c>
      <c r="AJ139" s="16">
        <f t="shared" si="138"/>
        <v>17317741</v>
      </c>
      <c r="AK139" s="9"/>
      <c r="AL139" s="375">
        <v>0</v>
      </c>
      <c r="AM139" s="378">
        <v>0</v>
      </c>
      <c r="AN139" s="9"/>
      <c r="AO139" s="297"/>
      <c r="AP139" s="297"/>
      <c r="AQ139" s="297"/>
    </row>
    <row r="140" spans="1:52" s="385" customFormat="1" ht="24.95" customHeight="1" x14ac:dyDescent="0.2">
      <c r="A140" s="767"/>
      <c r="B140" s="668"/>
      <c r="N140" s="9"/>
      <c r="R140" s="9"/>
      <c r="S140" s="369" t="str">
        <f>+IF(FEBRERO!S140=0,"",FEBRERO!S140)</f>
        <v/>
      </c>
      <c r="T140" s="708" t="str">
        <f>+IF(FEBRERO!T140=0,"",FEBRERO!T140)</f>
        <v/>
      </c>
      <c r="U140" s="370"/>
      <c r="V140" s="164"/>
      <c r="W140" s="164"/>
      <c r="X140" s="164"/>
      <c r="Y140" s="370"/>
      <c r="Z140" s="164"/>
      <c r="AA140" s="169"/>
      <c r="AB140" s="370"/>
      <c r="AC140" s="164"/>
      <c r="AD140" s="169"/>
      <c r="AE140" s="370"/>
      <c r="AF140" s="164"/>
      <c r="AG140" s="169"/>
      <c r="AH140" s="370"/>
      <c r="AI140" s="164"/>
      <c r="AJ140" s="169"/>
      <c r="AK140" s="10"/>
      <c r="AL140" s="175"/>
      <c r="AM140" s="176"/>
      <c r="AN140" s="9"/>
    </row>
    <row r="141" spans="1:52" s="385" customFormat="1" ht="24.95" customHeight="1" x14ac:dyDescent="0.2">
      <c r="A141" s="767"/>
      <c r="B141" s="668"/>
      <c r="N141" s="9"/>
      <c r="R141" s="9"/>
      <c r="S141" s="718">
        <f>+IF(FEBRERO!S141=0,"",FEBRERO!S141)</f>
        <v>2010300</v>
      </c>
      <c r="T141" s="736" t="str">
        <f>+IF(FEBRERO!T141=0,"",FEBRERO!T141)</f>
        <v>Impuestos y Multas</v>
      </c>
      <c r="U141" s="131">
        <f t="shared" ref="U141:AJ141" si="141">U142+U143</f>
        <v>10780963</v>
      </c>
      <c r="V141" s="124">
        <f t="shared" si="141"/>
        <v>0</v>
      </c>
      <c r="W141" s="124">
        <f t="shared" si="141"/>
        <v>1487943</v>
      </c>
      <c r="X141" s="132">
        <f t="shared" si="141"/>
        <v>12268906</v>
      </c>
      <c r="Y141" s="131">
        <f t="shared" si="141"/>
        <v>1487943</v>
      </c>
      <c r="Z141" s="124">
        <f t="shared" si="141"/>
        <v>1815529</v>
      </c>
      <c r="AA141" s="133">
        <f t="shared" si="141"/>
        <v>3303472</v>
      </c>
      <c r="AB141" s="131">
        <f t="shared" si="141"/>
        <v>1487943</v>
      </c>
      <c r="AC141" s="124">
        <f t="shared" si="141"/>
        <v>1815529</v>
      </c>
      <c r="AD141" s="133">
        <f t="shared" si="141"/>
        <v>3303472</v>
      </c>
      <c r="AE141" s="131">
        <f t="shared" si="141"/>
        <v>0</v>
      </c>
      <c r="AF141" s="124">
        <f t="shared" si="141"/>
        <v>0</v>
      </c>
      <c r="AG141" s="133">
        <f t="shared" si="141"/>
        <v>0</v>
      </c>
      <c r="AH141" s="131">
        <f t="shared" si="141"/>
        <v>8965434</v>
      </c>
      <c r="AI141" s="124">
        <f t="shared" si="141"/>
        <v>8965434</v>
      </c>
      <c r="AJ141" s="133">
        <f t="shared" si="141"/>
        <v>12268906</v>
      </c>
      <c r="AK141" s="10"/>
      <c r="AL141" s="131">
        <f>AL142+AL143</f>
        <v>0</v>
      </c>
      <c r="AM141" s="133">
        <f>AM142+AM143</f>
        <v>0</v>
      </c>
      <c r="AN141" s="9"/>
    </row>
    <row r="142" spans="1:52" s="385" customFormat="1" ht="24.95" customHeight="1" x14ac:dyDescent="0.2">
      <c r="A142" s="767"/>
      <c r="B142" s="668"/>
      <c r="N142" s="9"/>
      <c r="R142" s="9"/>
      <c r="S142" s="719" t="str">
        <f>+IF(FEBRERO!S142=0,"",FEBRERO!S142)</f>
        <v>2010300-1</v>
      </c>
      <c r="T142" s="737" t="str">
        <f>+IF(FEBRERO!T142=0,"",FEBRERO!T142)</f>
        <v>Impuestos (Predial, Vehiculos, Otros)</v>
      </c>
      <c r="U142" s="29">
        <f>+ENERO!U142</f>
        <v>10780963</v>
      </c>
      <c r="V142" s="15">
        <f>FEBRERO!V142+MARZO!AL142</f>
        <v>0</v>
      </c>
      <c r="W142" s="15">
        <f>FEBRERO!W142+MARZO!AM142</f>
        <v>0</v>
      </c>
      <c r="X142" s="18">
        <f>SUM(U142:W142)</f>
        <v>10780963</v>
      </c>
      <c r="Y142" s="19">
        <f>FEBRERO!AA142</f>
        <v>0</v>
      </c>
      <c r="Z142" s="377">
        <v>1815529</v>
      </c>
      <c r="AA142" s="16">
        <f>SUM(Y142:Z142)</f>
        <v>1815529</v>
      </c>
      <c r="AB142" s="19">
        <f>FEBRERO!AD142</f>
        <v>0</v>
      </c>
      <c r="AC142" s="377">
        <v>1815529</v>
      </c>
      <c r="AD142" s="16">
        <f>SUM(AB142:AC142)</f>
        <v>1815529</v>
      </c>
      <c r="AE142" s="19">
        <f>FEBRERO!AG142</f>
        <v>0</v>
      </c>
      <c r="AF142" s="377">
        <v>0</v>
      </c>
      <c r="AG142" s="16">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+IF(FEBRERO!S143=0,"",FEBRERO!S143)</f>
        <v>2010399</v>
      </c>
      <c r="T143" s="737" t="str">
        <f>+IF(FEBRERO!T143=0,"",FEBRERO!T143)</f>
        <v>Vigencias Anteriores</v>
      </c>
      <c r="U143" s="29">
        <f>+ENERO!U143</f>
        <v>0</v>
      </c>
      <c r="V143" s="15">
        <f>FEBRERO!V143+MARZO!AL143</f>
        <v>0</v>
      </c>
      <c r="W143" s="15">
        <f>FEBRERO!W143+MARZO!AM143</f>
        <v>1487943</v>
      </c>
      <c r="X143" s="18">
        <f>SUM(U143:W143)</f>
        <v>1487943</v>
      </c>
      <c r="Y143" s="19">
        <f>FEBRERO!AA143</f>
        <v>1487943</v>
      </c>
      <c r="Z143" s="377">
        <v>0</v>
      </c>
      <c r="AA143" s="16">
        <f>SUM(Y143:Z143)</f>
        <v>1487943</v>
      </c>
      <c r="AB143" s="19">
        <f>FEBRERO!AD143</f>
        <v>1487943</v>
      </c>
      <c r="AC143" s="377">
        <v>0</v>
      </c>
      <c r="AD143" s="16">
        <f>SUM(AB143:AC143)</f>
        <v>1487943</v>
      </c>
      <c r="AE143" s="19">
        <f>FEBRERO!AG143</f>
        <v>0</v>
      </c>
      <c r="AF143" s="377">
        <v>0</v>
      </c>
      <c r="AG143" s="16">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+IF(FEBRERO!S144=0,"",FEBRERO!S144)</f>
        <v/>
      </c>
      <c r="T144" s="708" t="str">
        <f>+IF(FEBRERO!T144=0,"",FEBRERO!T144)</f>
        <v/>
      </c>
      <c r="U144" s="370"/>
      <c r="V144" s="164"/>
      <c r="W144" s="164"/>
      <c r="X144" s="164"/>
      <c r="Y144" s="370"/>
      <c r="Z144" s="164"/>
      <c r="AA144" s="169"/>
      <c r="AB144" s="370"/>
      <c r="AC144" s="164"/>
      <c r="AD144" s="169"/>
      <c r="AE144" s="370"/>
      <c r="AF144" s="164"/>
      <c r="AG144" s="169"/>
      <c r="AH144" s="370"/>
      <c r="AI144" s="164"/>
      <c r="AJ144" s="169"/>
      <c r="AK144" s="9"/>
      <c r="AL144" s="175"/>
      <c r="AM144" s="176"/>
      <c r="AN144" s="9"/>
    </row>
    <row r="145" spans="1:40" s="385" customFormat="1" ht="24.95" customHeight="1" x14ac:dyDescent="0.2">
      <c r="A145" s="767"/>
      <c r="B145" s="668"/>
      <c r="N145" s="9"/>
      <c r="R145" s="9"/>
      <c r="S145" s="717">
        <f>+IF(FEBRERO!S145=0,"",FEBRERO!S145)</f>
        <v>2020010</v>
      </c>
      <c r="T145" s="735" t="str">
        <f>+IF(FEBRERO!T145=0,"",FEBRERO!T145)</f>
        <v>Gastos de Operación</v>
      </c>
      <c r="U145" s="131">
        <f t="shared" ref="U145:AJ145" si="142">U147+U155</f>
        <v>323975875</v>
      </c>
      <c r="V145" s="124">
        <f t="shared" si="142"/>
        <v>25000000</v>
      </c>
      <c r="W145" s="124">
        <f t="shared" si="142"/>
        <v>111099188</v>
      </c>
      <c r="X145" s="132">
        <f t="shared" si="142"/>
        <v>460075063</v>
      </c>
      <c r="Y145" s="131">
        <f t="shared" si="142"/>
        <v>228316843</v>
      </c>
      <c r="Z145" s="124">
        <f t="shared" si="142"/>
        <v>18451801</v>
      </c>
      <c r="AA145" s="133">
        <f t="shared" si="142"/>
        <v>246768644</v>
      </c>
      <c r="AB145" s="131">
        <f t="shared" si="142"/>
        <v>141531653</v>
      </c>
      <c r="AC145" s="124">
        <f t="shared" si="142"/>
        <v>38452089</v>
      </c>
      <c r="AD145" s="133">
        <f t="shared" si="142"/>
        <v>179983742</v>
      </c>
      <c r="AE145" s="131">
        <f t="shared" si="142"/>
        <v>44770915</v>
      </c>
      <c r="AF145" s="124">
        <f t="shared" si="142"/>
        <v>33232007</v>
      </c>
      <c r="AG145" s="133">
        <f t="shared" si="142"/>
        <v>78002922</v>
      </c>
      <c r="AH145" s="131">
        <f t="shared" si="142"/>
        <v>213306419</v>
      </c>
      <c r="AI145" s="124">
        <f t="shared" si="142"/>
        <v>280091321</v>
      </c>
      <c r="AJ145" s="133">
        <f t="shared" si="142"/>
        <v>382072141</v>
      </c>
      <c r="AK145" s="10"/>
      <c r="AL145" s="131">
        <f>AL147+AL155</f>
        <v>0</v>
      </c>
      <c r="AM145" s="133">
        <f>AM147+AM155</f>
        <v>0</v>
      </c>
      <c r="AN145" s="9"/>
    </row>
    <row r="146" spans="1:40" s="385" customFormat="1" ht="24.95" customHeight="1" x14ac:dyDescent="0.2">
      <c r="A146" s="767"/>
      <c r="B146" s="668"/>
      <c r="N146" s="9"/>
      <c r="R146" s="9"/>
      <c r="S146" s="720" t="str">
        <f>+IF(FEBRERO!S146=0,"",FEBRERO!S146)</f>
        <v/>
      </c>
      <c r="T146" s="738" t="str">
        <f>+IF(FEBRERO!T146=0,"",FEBRERO!T146)</f>
        <v/>
      </c>
      <c r="U146" s="19"/>
      <c r="V146" s="15"/>
      <c r="W146" s="15"/>
      <c r="X146" s="18"/>
      <c r="Y146" s="19"/>
      <c r="Z146" s="15"/>
      <c r="AA146" s="16"/>
      <c r="AB146" s="19"/>
      <c r="AC146" s="15"/>
      <c r="AD146" s="16"/>
      <c r="AE146" s="19"/>
      <c r="AF146" s="15"/>
      <c r="AG146" s="16"/>
      <c r="AH146" s="19"/>
      <c r="AI146" s="15"/>
      <c r="AJ146" s="16"/>
      <c r="AK146" s="9"/>
      <c r="AL146" s="175"/>
      <c r="AM146" s="176"/>
      <c r="AN146" s="9"/>
    </row>
    <row r="147" spans="1:40" s="385" customFormat="1" ht="24.95" customHeight="1" x14ac:dyDescent="0.2">
      <c r="A147" s="767"/>
      <c r="B147" s="668"/>
      <c r="N147" s="9"/>
      <c r="R147" s="9"/>
      <c r="S147" s="718">
        <f>+IF(FEBRERO!S147=0,"",FEBRERO!S147)</f>
        <v>2020100</v>
      </c>
      <c r="T147" s="736" t="str">
        <f>+IF(FEBRERO!T147=0,"",FEBRERO!T147)</f>
        <v>Adquisición de bienes</v>
      </c>
      <c r="U147" s="131">
        <f t="shared" ref="U147:AJ147" si="143">SUM(U148:U149)+U153</f>
        <v>113248636</v>
      </c>
      <c r="V147" s="124">
        <f t="shared" si="143"/>
        <v>2000000</v>
      </c>
      <c r="W147" s="124">
        <f t="shared" si="143"/>
        <v>75561517</v>
      </c>
      <c r="X147" s="132">
        <f t="shared" si="143"/>
        <v>190810153</v>
      </c>
      <c r="Y147" s="131">
        <f t="shared" si="143"/>
        <v>56652078</v>
      </c>
      <c r="Z147" s="124">
        <f t="shared" si="143"/>
        <v>10860162</v>
      </c>
      <c r="AA147" s="133">
        <f t="shared" si="143"/>
        <v>67512240</v>
      </c>
      <c r="AB147" s="131">
        <f t="shared" si="143"/>
        <v>56652078</v>
      </c>
      <c r="AC147" s="124">
        <f t="shared" si="143"/>
        <v>10860162</v>
      </c>
      <c r="AD147" s="133">
        <f t="shared" si="143"/>
        <v>67512240</v>
      </c>
      <c r="AE147" s="131">
        <f t="shared" si="143"/>
        <v>17843136</v>
      </c>
      <c r="AF147" s="124">
        <f t="shared" si="143"/>
        <v>8774128</v>
      </c>
      <c r="AG147" s="133">
        <f t="shared" si="143"/>
        <v>26617264</v>
      </c>
      <c r="AH147" s="131">
        <f t="shared" si="143"/>
        <v>123297913</v>
      </c>
      <c r="AI147" s="124">
        <f t="shared" si="143"/>
        <v>123297913</v>
      </c>
      <c r="AJ147" s="133">
        <f t="shared" si="143"/>
        <v>164192889</v>
      </c>
      <c r="AK147" s="9"/>
      <c r="AL147" s="131">
        <f>SUM(AL148:AL149)+AL153</f>
        <v>0</v>
      </c>
      <c r="AM147" s="133">
        <f>SUM(AM148:AM149)+AM153</f>
        <v>0</v>
      </c>
      <c r="AN147" s="9"/>
    </row>
    <row r="148" spans="1:40" s="385" customFormat="1" ht="24.95" customHeight="1" x14ac:dyDescent="0.2">
      <c r="A148" s="767"/>
      <c r="B148" s="668"/>
      <c r="N148" s="9"/>
      <c r="R148" s="9"/>
      <c r="S148" s="719">
        <f>+IF(FEBRERO!S148=0,"",FEBRERO!S148)</f>
        <v>2020101</v>
      </c>
      <c r="T148" s="737" t="str">
        <f>+IF(FEBRERO!T148=0,"",FEBRERO!T148)</f>
        <v>Mantenimiento Hospitalario</v>
      </c>
      <c r="U148" s="29">
        <f>+ENERO!U148</f>
        <v>74533223</v>
      </c>
      <c r="V148" s="15">
        <f>FEBRERO!V148+MARZO!AL148</f>
        <v>0</v>
      </c>
      <c r="W148" s="15">
        <f>FEBRERO!W148+MARZO!AM148</f>
        <v>0</v>
      </c>
      <c r="X148" s="18">
        <f>SUM(U148:W148)</f>
        <v>74533223</v>
      </c>
      <c r="Y148" s="19">
        <f>FEBRERO!AA148</f>
        <v>17128240</v>
      </c>
      <c r="Z148" s="377">
        <v>7428101</v>
      </c>
      <c r="AA148" s="16">
        <f>SUM(Y148:Z148)</f>
        <v>24556341</v>
      </c>
      <c r="AB148" s="19">
        <f>FEBRERO!AD148</f>
        <v>17128240</v>
      </c>
      <c r="AC148" s="377">
        <v>7428101</v>
      </c>
      <c r="AD148" s="16">
        <f>SUM(AB148:AC148)</f>
        <v>24556341</v>
      </c>
      <c r="AE148" s="19">
        <f>FEBRERO!AG148</f>
        <v>3259179</v>
      </c>
      <c r="AF148" s="377">
        <v>4219577</v>
      </c>
      <c r="AG148" s="16">
        <f>SUM(AE148:AF148)</f>
        <v>7478756</v>
      </c>
      <c r="AH148" s="19">
        <f>X148-AA148</f>
        <v>49976882</v>
      </c>
      <c r="AI148" s="15">
        <f>X148-AD148</f>
        <v>49976882</v>
      </c>
      <c r="AJ148" s="16">
        <f>X148-AG148</f>
        <v>67054467</v>
      </c>
      <c r="AK148" s="9"/>
      <c r="AL148" s="375">
        <v>0</v>
      </c>
      <c r="AM148" s="378">
        <v>0</v>
      </c>
      <c r="AN148" s="9"/>
    </row>
    <row r="149" spans="1:40" s="385" customFormat="1" ht="24.95" customHeight="1" x14ac:dyDescent="0.2">
      <c r="A149" s="767"/>
      <c r="B149" s="668"/>
      <c r="N149" s="9"/>
      <c r="R149" s="9"/>
      <c r="S149" s="719">
        <f>+IF(FEBRERO!S149=0,"",FEBRERO!S149)</f>
        <v>2020102</v>
      </c>
      <c r="T149" s="737" t="str">
        <f>+IF(FEBRERO!T149=0,"",FEBRERO!T149)</f>
        <v>Otros</v>
      </c>
      <c r="U149" s="29">
        <f t="shared" ref="U149:AJ149" si="144">SUM(U150:U152)</f>
        <v>38715413</v>
      </c>
      <c r="V149" s="15">
        <f t="shared" si="144"/>
        <v>2000000</v>
      </c>
      <c r="W149" s="15">
        <f t="shared" si="144"/>
        <v>41780673</v>
      </c>
      <c r="X149" s="18">
        <f t="shared" si="144"/>
        <v>82496086</v>
      </c>
      <c r="Y149" s="19">
        <f t="shared" si="144"/>
        <v>5742994</v>
      </c>
      <c r="Z149" s="145">
        <f t="shared" si="144"/>
        <v>3432061</v>
      </c>
      <c r="AA149" s="16">
        <f t="shared" si="144"/>
        <v>9175055</v>
      </c>
      <c r="AB149" s="19">
        <f t="shared" si="144"/>
        <v>5742994</v>
      </c>
      <c r="AC149" s="145">
        <f t="shared" si="144"/>
        <v>3432061</v>
      </c>
      <c r="AD149" s="16">
        <f t="shared" si="144"/>
        <v>9175055</v>
      </c>
      <c r="AE149" s="19">
        <f t="shared" si="144"/>
        <v>0</v>
      </c>
      <c r="AF149" s="145">
        <f t="shared" si="144"/>
        <v>0</v>
      </c>
      <c r="AG149" s="16">
        <f t="shared" si="144"/>
        <v>0</v>
      </c>
      <c r="AH149" s="19">
        <f t="shared" si="144"/>
        <v>73321031</v>
      </c>
      <c r="AI149" s="15">
        <f t="shared" si="144"/>
        <v>73321031</v>
      </c>
      <c r="AJ149" s="16">
        <f t="shared" si="144"/>
        <v>82496086</v>
      </c>
      <c r="AK149" s="9"/>
      <c r="AL149" s="29">
        <f>SUM(AL150:AL152)</f>
        <v>0</v>
      </c>
      <c r="AM149" s="26">
        <f>SUM(AM150:AM152)</f>
        <v>0</v>
      </c>
      <c r="AN149" s="9"/>
    </row>
    <row r="150" spans="1:40" s="385" customFormat="1" ht="24.95" customHeight="1" x14ac:dyDescent="0.2">
      <c r="A150" s="767"/>
      <c r="B150" s="668"/>
      <c r="N150" s="9"/>
      <c r="R150" s="9"/>
      <c r="S150" s="720" t="str">
        <f>+IF(FEBRERO!S150=0,"",FEBRERO!S150)</f>
        <v>2020102-1</v>
      </c>
      <c r="T150" s="737" t="str">
        <f>+IF(FEBRERO!T150=0,"",FEBRERO!T150)</f>
        <v>Compra de Equipo e Instr. Mco. y Laborat.</v>
      </c>
      <c r="U150" s="29">
        <f>+ENERO!U150</f>
        <v>0</v>
      </c>
      <c r="V150" s="15">
        <f>FEBRERO!V150+MARZO!AL150</f>
        <v>0</v>
      </c>
      <c r="W150" s="15">
        <f>FEBRERO!W150+MARZO!AM150</f>
        <v>40000000</v>
      </c>
      <c r="X150" s="18">
        <f>SUM(U150:W150)</f>
        <v>40000000</v>
      </c>
      <c r="Y150" s="19">
        <f>FEBRERO!AA150</f>
        <v>0</v>
      </c>
      <c r="Z150" s="377">
        <v>0</v>
      </c>
      <c r="AA150" s="16">
        <f>SUM(Y150:Z150)</f>
        <v>0</v>
      </c>
      <c r="AB150" s="19">
        <f>FEBRERO!AD150</f>
        <v>0</v>
      </c>
      <c r="AC150" s="377">
        <v>0</v>
      </c>
      <c r="AD150" s="16">
        <f>SUM(AB150:AC150)</f>
        <v>0</v>
      </c>
      <c r="AE150" s="19">
        <f>FEBRERO!AG150</f>
        <v>0</v>
      </c>
      <c r="AF150" s="377">
        <v>0</v>
      </c>
      <c r="AG150" s="16">
        <f>SUM(AE150:AF150)</f>
        <v>0</v>
      </c>
      <c r="AH150" s="19">
        <f>X150-AA150</f>
        <v>40000000</v>
      </c>
      <c r="AI150" s="15">
        <f>X150-AD150</f>
        <v>40000000</v>
      </c>
      <c r="AJ150" s="16">
        <f>X150-AG150</f>
        <v>40000000</v>
      </c>
      <c r="AK150" s="9"/>
      <c r="AL150" s="375">
        <v>0</v>
      </c>
      <c r="AM150" s="378">
        <v>0</v>
      </c>
      <c r="AN150" s="9"/>
    </row>
    <row r="151" spans="1:40" s="385" customFormat="1" ht="24.95" customHeight="1" x14ac:dyDescent="0.2">
      <c r="A151" s="767"/>
      <c r="B151" s="668"/>
      <c r="N151" s="9"/>
      <c r="R151" s="9"/>
      <c r="S151" s="720" t="str">
        <f>+IF(FEBRERO!S151=0,"",FEBRERO!S151)</f>
        <v>2020102-2</v>
      </c>
      <c r="T151" s="737" t="str">
        <f>+IF(FEBRERO!T151=0,"",FEBRERO!T151)</f>
        <v>Materiales</v>
      </c>
      <c r="U151" s="29">
        <f>+ENERO!U151</f>
        <v>15288294</v>
      </c>
      <c r="V151" s="15">
        <f>FEBRERO!V151+MARZO!AL151</f>
        <v>2000000</v>
      </c>
      <c r="W151" s="15">
        <f>FEBRERO!W151+MARZO!AM151</f>
        <v>1780673</v>
      </c>
      <c r="X151" s="18">
        <f>SUM(U151:W151)</f>
        <v>19068967</v>
      </c>
      <c r="Y151" s="19">
        <f>FEBRERO!AA151</f>
        <v>1859480</v>
      </c>
      <c r="Z151" s="377">
        <v>1966587</v>
      </c>
      <c r="AA151" s="16">
        <f>SUM(Y151:Z151)</f>
        <v>3826067</v>
      </c>
      <c r="AB151" s="19">
        <f>FEBRERO!AD151</f>
        <v>1859480</v>
      </c>
      <c r="AC151" s="377">
        <v>1966587</v>
      </c>
      <c r="AD151" s="16">
        <f>SUM(AB151:AC151)</f>
        <v>3826067</v>
      </c>
      <c r="AE151" s="19">
        <f>FEBRERO!AG151</f>
        <v>0</v>
      </c>
      <c r="AF151" s="377">
        <v>0</v>
      </c>
      <c r="AG151" s="16">
        <f>SUM(AE151:AF151)</f>
        <v>0</v>
      </c>
      <c r="AH151" s="19">
        <f>X151-AA151</f>
        <v>15242900</v>
      </c>
      <c r="AI151" s="15">
        <f>X151-AD151</f>
        <v>15242900</v>
      </c>
      <c r="AJ151" s="16">
        <f>X151-AG151</f>
        <v>19068967</v>
      </c>
      <c r="AK151" s="9"/>
      <c r="AL151" s="375">
        <v>0</v>
      </c>
      <c r="AM151" s="378">
        <v>0</v>
      </c>
      <c r="AN151" s="9"/>
    </row>
    <row r="152" spans="1:40" s="385" customFormat="1" ht="24.95" customHeight="1" x14ac:dyDescent="0.2">
      <c r="A152" s="767"/>
      <c r="B152" s="668"/>
      <c r="N152" s="9"/>
      <c r="R152" s="9"/>
      <c r="S152" s="720" t="str">
        <f>+IF(FEBRERO!S152=0,"",FEBRERO!S152)</f>
        <v>2020102-3</v>
      </c>
      <c r="T152" s="737" t="str">
        <f>+IF(FEBRERO!T152=0,"",FEBRERO!T152)</f>
        <v>Combustible</v>
      </c>
      <c r="U152" s="29">
        <f>+ENERO!U152</f>
        <v>23427119</v>
      </c>
      <c r="V152" s="15">
        <f>FEBRERO!V152+MARZO!AL152</f>
        <v>0</v>
      </c>
      <c r="W152" s="15">
        <f>FEBRERO!W152+MARZO!AM152</f>
        <v>0</v>
      </c>
      <c r="X152" s="18">
        <f>SUM(U152:W152)</f>
        <v>23427119</v>
      </c>
      <c r="Y152" s="19">
        <f>FEBRERO!AA152</f>
        <v>3883514</v>
      </c>
      <c r="Z152" s="377">
        <v>1465474</v>
      </c>
      <c r="AA152" s="16">
        <f>SUM(Y152:Z152)</f>
        <v>5348988</v>
      </c>
      <c r="AB152" s="19">
        <f>FEBRERO!AD152</f>
        <v>3883514</v>
      </c>
      <c r="AC152" s="377">
        <v>1465474</v>
      </c>
      <c r="AD152" s="16">
        <f>SUM(AB152:AC152)</f>
        <v>5348988</v>
      </c>
      <c r="AE152" s="19">
        <f>FEBRERO!AG152</f>
        <v>0</v>
      </c>
      <c r="AF152" s="377">
        <v>0</v>
      </c>
      <c r="AG152" s="16">
        <f>SUM(AE152:AF152)</f>
        <v>0</v>
      </c>
      <c r="AH152" s="19">
        <f>X152-AA152</f>
        <v>18078131</v>
      </c>
      <c r="AI152" s="15">
        <f>X152-AD152</f>
        <v>18078131</v>
      </c>
      <c r="AJ152" s="16">
        <f>X152-AG152</f>
        <v>23427119</v>
      </c>
      <c r="AK152" s="9"/>
      <c r="AL152" s="375">
        <v>0</v>
      </c>
      <c r="AM152" s="378">
        <v>0</v>
      </c>
      <c r="AN152" s="9"/>
    </row>
    <row r="153" spans="1:40" s="385" customFormat="1" ht="24.95" customHeight="1" x14ac:dyDescent="0.2">
      <c r="A153" s="767"/>
      <c r="B153" s="668"/>
      <c r="N153" s="9"/>
      <c r="R153" s="9"/>
      <c r="S153" s="719">
        <f>+IF(FEBRERO!S153=0,"",FEBRERO!S153)</f>
        <v>2020199</v>
      </c>
      <c r="T153" s="737" t="str">
        <f>+IF(FEBRERO!T153=0,"",FEBRERO!T153)</f>
        <v>Vigencias Anteriores</v>
      </c>
      <c r="U153" s="29">
        <f>+ENERO!U153</f>
        <v>0</v>
      </c>
      <c r="V153" s="15">
        <f>FEBRERO!V153+MARZO!AL153</f>
        <v>0</v>
      </c>
      <c r="W153" s="15">
        <f>FEBRERO!W153+MARZO!AM153</f>
        <v>33780844</v>
      </c>
      <c r="X153" s="18">
        <f>SUM(U153:W153)</f>
        <v>33780844</v>
      </c>
      <c r="Y153" s="19">
        <f>FEBRERO!AA153</f>
        <v>33780844</v>
      </c>
      <c r="Z153" s="377">
        <v>0</v>
      </c>
      <c r="AA153" s="16">
        <f>SUM(Y153:Z153)</f>
        <v>33780844</v>
      </c>
      <c r="AB153" s="19">
        <f>FEBRERO!AD153</f>
        <v>33780844</v>
      </c>
      <c r="AC153" s="377">
        <v>0</v>
      </c>
      <c r="AD153" s="16">
        <f>SUM(AB153:AC153)</f>
        <v>33780844</v>
      </c>
      <c r="AE153" s="19">
        <f>FEBRERO!AG153</f>
        <v>14583957</v>
      </c>
      <c r="AF153" s="377">
        <v>4554551</v>
      </c>
      <c r="AG153" s="16">
        <f>SUM(AE153:AF153)</f>
        <v>19138508</v>
      </c>
      <c r="AH153" s="19">
        <f>X153-AA153</f>
        <v>0</v>
      </c>
      <c r="AI153" s="15">
        <f>X153-AD153</f>
        <v>0</v>
      </c>
      <c r="AJ153" s="16">
        <f>X153-AG153</f>
        <v>14642336</v>
      </c>
      <c r="AK153" s="9"/>
      <c r="AL153" s="375">
        <v>0</v>
      </c>
      <c r="AM153" s="378">
        <v>0</v>
      </c>
      <c r="AN153" s="9"/>
    </row>
    <row r="154" spans="1:40" s="385" customFormat="1" ht="24.95" customHeight="1" x14ac:dyDescent="0.2">
      <c r="A154" s="767"/>
      <c r="B154" s="668"/>
      <c r="N154" s="9"/>
      <c r="R154" s="9"/>
      <c r="S154" s="369" t="str">
        <f>+IF(FEBRERO!S154=0,"",FEBRERO!S154)</f>
        <v/>
      </c>
      <c r="T154" s="708" t="str">
        <f>+IF(FEBRERO!T154=0,"",FEBRERO!T154)</f>
        <v/>
      </c>
      <c r="U154" s="370"/>
      <c r="V154" s="164"/>
      <c r="W154" s="164"/>
      <c r="X154" s="164"/>
      <c r="Y154" s="370"/>
      <c r="Z154" s="164"/>
      <c r="AA154" s="169"/>
      <c r="AB154" s="370"/>
      <c r="AC154" s="164"/>
      <c r="AD154" s="169"/>
      <c r="AE154" s="370"/>
      <c r="AF154" s="164"/>
      <c r="AG154" s="169"/>
      <c r="AH154" s="370"/>
      <c r="AI154" s="164"/>
      <c r="AJ154" s="169"/>
      <c r="AK154" s="9"/>
      <c r="AL154" s="175"/>
      <c r="AM154" s="176"/>
      <c r="AN154" s="9"/>
    </row>
    <row r="155" spans="1:40" s="385" customFormat="1" ht="24.95" customHeight="1" x14ac:dyDescent="0.2">
      <c r="A155" s="767"/>
      <c r="B155" s="668"/>
      <c r="N155" s="9"/>
      <c r="R155" s="9"/>
      <c r="S155" s="718">
        <f>+IF(FEBRERO!S155=0,"",FEBRERO!S155)</f>
        <v>2020200</v>
      </c>
      <c r="T155" s="736" t="str">
        <f>+IF(FEBRERO!T155=0,"",FEBRERO!T155)</f>
        <v>Adquisición de Servicios</v>
      </c>
      <c r="U155" s="131">
        <f t="shared" ref="U155:AJ155" si="145">SUM(U156:U157)+U168</f>
        <v>210727239</v>
      </c>
      <c r="V155" s="124">
        <f t="shared" si="145"/>
        <v>23000000</v>
      </c>
      <c r="W155" s="124">
        <f t="shared" si="145"/>
        <v>35537671</v>
      </c>
      <c r="X155" s="132">
        <f t="shared" si="145"/>
        <v>269264910</v>
      </c>
      <c r="Y155" s="131">
        <f t="shared" si="145"/>
        <v>171664765</v>
      </c>
      <c r="Z155" s="124">
        <f t="shared" si="145"/>
        <v>7591639</v>
      </c>
      <c r="AA155" s="133">
        <f t="shared" si="145"/>
        <v>179256404</v>
      </c>
      <c r="AB155" s="131">
        <f t="shared" si="145"/>
        <v>84879575</v>
      </c>
      <c r="AC155" s="124">
        <f t="shared" si="145"/>
        <v>27591927</v>
      </c>
      <c r="AD155" s="133">
        <f t="shared" si="145"/>
        <v>112471502</v>
      </c>
      <c r="AE155" s="131">
        <f t="shared" si="145"/>
        <v>26927779</v>
      </c>
      <c r="AF155" s="124">
        <f t="shared" si="145"/>
        <v>24457879</v>
      </c>
      <c r="AG155" s="133">
        <f t="shared" si="145"/>
        <v>51385658</v>
      </c>
      <c r="AH155" s="131">
        <f t="shared" si="145"/>
        <v>90008506</v>
      </c>
      <c r="AI155" s="124">
        <f t="shared" si="145"/>
        <v>156793408</v>
      </c>
      <c r="AJ155" s="133">
        <f t="shared" si="145"/>
        <v>217879252</v>
      </c>
      <c r="AK155" s="9"/>
      <c r="AL155" s="131">
        <f>SUM(AL156:AL157)+AL168</f>
        <v>0</v>
      </c>
      <c r="AM155" s="133">
        <f>SUM(AM156:AM157)+AM168</f>
        <v>0</v>
      </c>
      <c r="AN155" s="9"/>
    </row>
    <row r="156" spans="1:40" s="385" customFormat="1" ht="24.95" customHeight="1" x14ac:dyDescent="0.2">
      <c r="A156" s="767"/>
      <c r="B156" s="668"/>
      <c r="N156" s="9"/>
      <c r="P156" s="9"/>
      <c r="Q156" s="9"/>
      <c r="R156" s="9"/>
      <c r="S156" s="719">
        <f>+IF(FEBRERO!S156=0,"",FEBRERO!S156)</f>
        <v>2020201</v>
      </c>
      <c r="T156" s="737" t="str">
        <f>+IF(FEBRERO!T156=0,"",FEBRERO!T156)</f>
        <v>Mantenimiento Hospitalario</v>
      </c>
      <c r="U156" s="29">
        <f>+ENERO!U156</f>
        <v>82251828</v>
      </c>
      <c r="V156" s="15">
        <f>FEBRERO!V156+MARZO!AL156</f>
        <v>0</v>
      </c>
      <c r="W156" s="15">
        <f>FEBRERO!W156+MARZO!AM156</f>
        <v>0</v>
      </c>
      <c r="X156" s="18">
        <f>SUM(U156:W156)</f>
        <v>82251828</v>
      </c>
      <c r="Y156" s="19">
        <f>FEBRERO!AA156</f>
        <v>45080030</v>
      </c>
      <c r="Z156" s="377">
        <v>1364840</v>
      </c>
      <c r="AA156" s="16">
        <f>SUM(Y156:Z156)</f>
        <v>46444870</v>
      </c>
      <c r="AB156" s="19">
        <f>FEBRERO!AD156</f>
        <v>20707030</v>
      </c>
      <c r="AC156" s="377">
        <v>15510995</v>
      </c>
      <c r="AD156" s="16">
        <f>SUM(AB156:AC156)</f>
        <v>36218025</v>
      </c>
      <c r="AE156" s="19">
        <f>FEBRERO!AG156</f>
        <v>13967630</v>
      </c>
      <c r="AF156" s="377">
        <v>17906095</v>
      </c>
      <c r="AG156" s="16">
        <f>SUM(AE156:AF156)</f>
        <v>31873725</v>
      </c>
      <c r="AH156" s="19">
        <f>X156-AA156</f>
        <v>35806958</v>
      </c>
      <c r="AI156" s="15">
        <f>X156-AD156</f>
        <v>46033803</v>
      </c>
      <c r="AJ156" s="16">
        <f>X156-AG156</f>
        <v>50378103</v>
      </c>
      <c r="AK156" s="9"/>
      <c r="AL156" s="375">
        <v>0</v>
      </c>
      <c r="AM156" s="378">
        <v>0</v>
      </c>
      <c r="AN156" s="9"/>
    </row>
    <row r="157" spans="1:40" s="385" customFormat="1" ht="24.95" customHeight="1" x14ac:dyDescent="0.2">
      <c r="A157" s="767"/>
      <c r="B157" s="668"/>
      <c r="N157" s="9"/>
      <c r="P157" s="9"/>
      <c r="Q157" s="9"/>
      <c r="R157" s="9"/>
      <c r="S157" s="719">
        <f>+IF(FEBRERO!S157=0,"",FEBRERO!S157)</f>
        <v>2020202</v>
      </c>
      <c r="T157" s="737" t="str">
        <f>+IF(FEBRERO!T157=0,"",FEBRERO!T157)</f>
        <v>Otros</v>
      </c>
      <c r="U157" s="29">
        <f t="shared" ref="U157:AJ157" si="146">SUM(U158:U167)</f>
        <v>128475411</v>
      </c>
      <c r="V157" s="27">
        <f t="shared" si="146"/>
        <v>23000000</v>
      </c>
      <c r="W157" s="27">
        <f t="shared" si="146"/>
        <v>7000000</v>
      </c>
      <c r="X157" s="191">
        <f t="shared" si="146"/>
        <v>158475411</v>
      </c>
      <c r="Y157" s="29">
        <f t="shared" si="146"/>
        <v>98047064</v>
      </c>
      <c r="Z157" s="27">
        <f t="shared" si="146"/>
        <v>6226799</v>
      </c>
      <c r="AA157" s="174">
        <f t="shared" si="146"/>
        <v>104273863</v>
      </c>
      <c r="AB157" s="29">
        <f t="shared" si="146"/>
        <v>35634874</v>
      </c>
      <c r="AC157" s="27">
        <f t="shared" si="146"/>
        <v>12080932</v>
      </c>
      <c r="AD157" s="174">
        <f t="shared" si="146"/>
        <v>47715806</v>
      </c>
      <c r="AE157" s="29">
        <f t="shared" si="146"/>
        <v>899112</v>
      </c>
      <c r="AF157" s="27">
        <f t="shared" si="146"/>
        <v>3575904</v>
      </c>
      <c r="AG157" s="174">
        <f t="shared" si="146"/>
        <v>4475016</v>
      </c>
      <c r="AH157" s="29">
        <f t="shared" si="146"/>
        <v>54201548</v>
      </c>
      <c r="AI157" s="27">
        <f t="shared" si="146"/>
        <v>110759605</v>
      </c>
      <c r="AJ157" s="174">
        <f t="shared" si="146"/>
        <v>154000395</v>
      </c>
      <c r="AK157" s="10"/>
      <c r="AL157" s="29">
        <f>SUM(AL158:AL167)</f>
        <v>0</v>
      </c>
      <c r="AM157" s="26">
        <f>SUM(AM158:AM167)</f>
        <v>0</v>
      </c>
      <c r="AN157" s="9"/>
    </row>
    <row r="158" spans="1:40" s="385" customFormat="1" ht="24.95" customHeight="1" x14ac:dyDescent="0.2">
      <c r="A158" s="767"/>
      <c r="B158" s="668"/>
      <c r="N158" s="9"/>
      <c r="P158" s="9"/>
      <c r="Q158" s="9"/>
      <c r="R158" s="9"/>
      <c r="S158" s="720" t="str">
        <f>+IF(FEBRERO!S158=0,"",FEBRERO!S158)</f>
        <v>2020202-1</v>
      </c>
      <c r="T158" s="738" t="str">
        <f>+IF(FEBRERO!T158=0,"",FEBRERO!T158)</f>
        <v>Seguros</v>
      </c>
      <c r="U158" s="29">
        <f>+ENERO!U158</f>
        <v>15745455</v>
      </c>
      <c r="V158" s="15">
        <f>FEBRERO!V158+MARZO!AL158</f>
        <v>0</v>
      </c>
      <c r="W158" s="15">
        <f>FEBRERO!W158+MARZO!AM158</f>
        <v>5000000</v>
      </c>
      <c r="X158" s="18">
        <f t="shared" ref="X158:X168" si="147">SUM(U158:W158)</f>
        <v>20745455</v>
      </c>
      <c r="Y158" s="19">
        <f>FEBRERO!AA158</f>
        <v>18029036</v>
      </c>
      <c r="Z158" s="377">
        <v>0</v>
      </c>
      <c r="AA158" s="16">
        <f t="shared" ref="AA158:AA168" si="148">SUM(Y158:Z158)</f>
        <v>18029036</v>
      </c>
      <c r="AB158" s="19">
        <f>FEBRERO!AD158</f>
        <v>18029036</v>
      </c>
      <c r="AC158" s="377">
        <v>0</v>
      </c>
      <c r="AD158" s="16">
        <f t="shared" ref="AD158:AD168" si="149">SUM(AB158:AC158)</f>
        <v>18029036</v>
      </c>
      <c r="AE158" s="19">
        <f>FEBRERO!AG158</f>
        <v>682700</v>
      </c>
      <c r="AF158" s="377">
        <v>2778880</v>
      </c>
      <c r="AG158" s="16">
        <f t="shared" ref="AG158:AG168" si="150">SUM(AE158:AF158)</f>
        <v>3461580</v>
      </c>
      <c r="AH158" s="19">
        <f t="shared" ref="AH158:AH168" si="151">X158-AA158</f>
        <v>2716419</v>
      </c>
      <c r="AI158" s="15">
        <f t="shared" ref="AI158:AI168" si="152">X158-AD158</f>
        <v>2716419</v>
      </c>
      <c r="AJ158" s="16">
        <f t="shared" ref="AJ158:AJ168" si="153">X158-AG158</f>
        <v>17283875</v>
      </c>
      <c r="AK158" s="9"/>
      <c r="AL158" s="375">
        <v>0</v>
      </c>
      <c r="AM158" s="378">
        <v>0</v>
      </c>
      <c r="AN158" s="9"/>
    </row>
    <row r="159" spans="1:40" s="385" customFormat="1" ht="24.95" customHeight="1" x14ac:dyDescent="0.2">
      <c r="A159" s="767"/>
      <c r="B159" s="668"/>
      <c r="N159" s="9"/>
      <c r="P159" s="9"/>
      <c r="Q159" s="9"/>
      <c r="R159" s="9"/>
      <c r="S159" s="720" t="str">
        <f>+IF(FEBRERO!S159=0,"",FEBRERO!S159)</f>
        <v>2020202-2</v>
      </c>
      <c r="T159" s="738" t="str">
        <f>+IF(FEBRERO!T159=0,"",FEBRERO!T159)</f>
        <v>Impresos y Publicaciones</v>
      </c>
      <c r="U159" s="29">
        <f>+ENERO!U159</f>
        <v>0</v>
      </c>
      <c r="V159" s="15">
        <f>FEBRERO!V159+MARZO!AL159</f>
        <v>0</v>
      </c>
      <c r="W159" s="15">
        <f>FEBRERO!W159+MARZO!AM159</f>
        <v>0</v>
      </c>
      <c r="X159" s="18">
        <f t="shared" si="147"/>
        <v>0</v>
      </c>
      <c r="Y159" s="19">
        <f>FEBRERO!AA159</f>
        <v>0</v>
      </c>
      <c r="Z159" s="377">
        <v>0</v>
      </c>
      <c r="AA159" s="16">
        <f t="shared" si="148"/>
        <v>0</v>
      </c>
      <c r="AB159" s="19">
        <f>FEBRERO!AD159</f>
        <v>0</v>
      </c>
      <c r="AC159" s="377">
        <v>0</v>
      </c>
      <c r="AD159" s="16">
        <f t="shared" si="149"/>
        <v>0</v>
      </c>
      <c r="AE159" s="19">
        <f>FEBRERO!AG159</f>
        <v>0</v>
      </c>
      <c r="AF159" s="377">
        <v>0</v>
      </c>
      <c r="AG159" s="16">
        <f t="shared" si="150"/>
        <v>0</v>
      </c>
      <c r="AH159" s="19">
        <f t="shared" si="151"/>
        <v>0</v>
      </c>
      <c r="AI159" s="15">
        <f t="shared" si="152"/>
        <v>0</v>
      </c>
      <c r="AJ159" s="16">
        <f t="shared" si="153"/>
        <v>0</v>
      </c>
      <c r="AK159" s="9"/>
      <c r="AL159" s="375">
        <v>0</v>
      </c>
      <c r="AM159" s="378">
        <v>0</v>
      </c>
      <c r="AN159" s="9"/>
    </row>
    <row r="160" spans="1:40" s="385" customFormat="1" ht="24.95" customHeight="1" x14ac:dyDescent="0.2">
      <c r="A160" s="767"/>
      <c r="B160" s="668"/>
      <c r="N160" s="9"/>
      <c r="P160" s="9"/>
      <c r="Q160" s="9"/>
      <c r="R160" s="9"/>
      <c r="S160" s="720" t="str">
        <f>+IF(FEBRERO!S160=0,"",FEBRERO!S160)</f>
        <v>2020202-3</v>
      </c>
      <c r="T160" s="738" t="str">
        <f>+IF(FEBRERO!T160=0,"",FEBRERO!T160)</f>
        <v>Pago a otras IPS</v>
      </c>
      <c r="U160" s="29">
        <f>+ENERO!U160</f>
        <v>893693</v>
      </c>
      <c r="V160" s="15">
        <f>FEBRERO!V160+MARZO!AL160</f>
        <v>23000000</v>
      </c>
      <c r="W160" s="15">
        <f>FEBRERO!W160+MARZO!AM160</f>
        <v>2000000</v>
      </c>
      <c r="X160" s="18">
        <f t="shared" si="147"/>
        <v>25893693</v>
      </c>
      <c r="Y160" s="19">
        <f>FEBRERO!AA160</f>
        <v>151800</v>
      </c>
      <c r="Z160" s="377">
        <v>2741893</v>
      </c>
      <c r="AA160" s="16">
        <f t="shared" si="148"/>
        <v>2893693</v>
      </c>
      <c r="AB160" s="19">
        <f>FEBRERO!AD160</f>
        <v>151800</v>
      </c>
      <c r="AC160" s="377">
        <v>2741893</v>
      </c>
      <c r="AD160" s="16">
        <f t="shared" si="149"/>
        <v>2893693</v>
      </c>
      <c r="AE160" s="19">
        <f>FEBRERO!AG160</f>
        <v>55000</v>
      </c>
      <c r="AF160" s="377">
        <v>0</v>
      </c>
      <c r="AG160" s="16">
        <f t="shared" si="150"/>
        <v>55000</v>
      </c>
      <c r="AH160" s="19">
        <f t="shared" si="151"/>
        <v>23000000</v>
      </c>
      <c r="AI160" s="15">
        <f t="shared" si="152"/>
        <v>23000000</v>
      </c>
      <c r="AJ160" s="16">
        <f t="shared" si="153"/>
        <v>25838693</v>
      </c>
      <c r="AK160" s="9"/>
      <c r="AL160" s="375">
        <v>0</v>
      </c>
      <c r="AM160" s="378">
        <v>0</v>
      </c>
      <c r="AN160" s="9"/>
    </row>
    <row r="161" spans="1:40" s="385" customFormat="1" ht="24.95" customHeight="1" x14ac:dyDescent="0.2">
      <c r="A161" s="767"/>
      <c r="B161" s="668"/>
      <c r="N161" s="9"/>
      <c r="P161" s="9"/>
      <c r="Q161" s="9"/>
      <c r="R161" s="9"/>
      <c r="S161" s="720" t="str">
        <f>+IF(FEBRERO!S161=0,"",FEBRERO!S161)</f>
        <v>2020202-4</v>
      </c>
      <c r="T161" s="738" t="str">
        <f>+IF(FEBRERO!T161=0,"",FEBRERO!T161)</f>
        <v>Comunicaciones y Transportes</v>
      </c>
      <c r="U161" s="29">
        <f>+ENERO!U161</f>
        <v>9528246</v>
      </c>
      <c r="V161" s="15">
        <f>FEBRERO!V161+MARZO!AL161</f>
        <v>0</v>
      </c>
      <c r="W161" s="15">
        <f>FEBRERO!W161+MARZO!AM161</f>
        <v>0</v>
      </c>
      <c r="X161" s="18">
        <f t="shared" si="147"/>
        <v>9528246</v>
      </c>
      <c r="Y161" s="19">
        <f>FEBRERO!AA161</f>
        <v>843745</v>
      </c>
      <c r="Z161" s="377">
        <v>114679</v>
      </c>
      <c r="AA161" s="16">
        <f t="shared" si="148"/>
        <v>958424</v>
      </c>
      <c r="AB161" s="19">
        <f>FEBRERO!AD161</f>
        <v>843745</v>
      </c>
      <c r="AC161" s="377">
        <v>114679</v>
      </c>
      <c r="AD161" s="16">
        <f t="shared" si="149"/>
        <v>958424</v>
      </c>
      <c r="AE161" s="19">
        <f>FEBRERO!AG161</f>
        <v>82200</v>
      </c>
      <c r="AF161" s="377">
        <v>456212</v>
      </c>
      <c r="AG161" s="16">
        <f t="shared" si="150"/>
        <v>538412</v>
      </c>
      <c r="AH161" s="19">
        <f t="shared" si="151"/>
        <v>8569822</v>
      </c>
      <c r="AI161" s="15">
        <f t="shared" si="152"/>
        <v>8569822</v>
      </c>
      <c r="AJ161" s="16">
        <f t="shared" si="153"/>
        <v>8989834</v>
      </c>
      <c r="AK161" s="9"/>
      <c r="AL161" s="375">
        <v>0</v>
      </c>
      <c r="AM161" s="378">
        <v>0</v>
      </c>
      <c r="AN161" s="9"/>
    </row>
    <row r="162" spans="1:40" s="385" customFormat="1" ht="24.95" customHeight="1" x14ac:dyDescent="0.2">
      <c r="A162" s="767"/>
      <c r="B162" s="668"/>
      <c r="N162" s="9"/>
      <c r="P162" s="9"/>
      <c r="Q162" s="9"/>
      <c r="R162" s="9"/>
      <c r="S162" s="720" t="str">
        <f>+IF(FEBRERO!S162=0,"",FEBRERO!S162)</f>
        <v>2020202-5</v>
      </c>
      <c r="T162" s="738" t="str">
        <f>+IF(FEBRERO!T162=0,"",FEBRERO!T162)</f>
        <v>Viáticos y Gastos de Viaje</v>
      </c>
      <c r="U162" s="29">
        <f>+ENERO!U162</f>
        <v>3326745</v>
      </c>
      <c r="V162" s="15">
        <f>FEBRERO!V162+MARZO!AL162</f>
        <v>0</v>
      </c>
      <c r="W162" s="15">
        <f>FEBRERO!W162+MARZO!AM162</f>
        <v>0</v>
      </c>
      <c r="X162" s="18">
        <f t="shared" si="147"/>
        <v>3326745</v>
      </c>
      <c r="Y162" s="19">
        <f>FEBRERO!AA162</f>
        <v>85913</v>
      </c>
      <c r="Z162" s="377">
        <v>231827</v>
      </c>
      <c r="AA162" s="16">
        <f t="shared" si="148"/>
        <v>317740</v>
      </c>
      <c r="AB162" s="19">
        <f>FEBRERO!AD162</f>
        <v>85913</v>
      </c>
      <c r="AC162" s="377">
        <v>231827</v>
      </c>
      <c r="AD162" s="16">
        <f t="shared" si="149"/>
        <v>317740</v>
      </c>
      <c r="AE162" s="19">
        <f>FEBRERO!AG162</f>
        <v>79212</v>
      </c>
      <c r="AF162" s="377">
        <v>172812</v>
      </c>
      <c r="AG162" s="16">
        <f t="shared" si="150"/>
        <v>252024</v>
      </c>
      <c r="AH162" s="19">
        <f t="shared" si="151"/>
        <v>3009005</v>
      </c>
      <c r="AI162" s="15">
        <f t="shared" si="152"/>
        <v>3009005</v>
      </c>
      <c r="AJ162" s="16">
        <f t="shared" si="153"/>
        <v>3074721</v>
      </c>
      <c r="AK162" s="9"/>
      <c r="AL162" s="375">
        <v>0</v>
      </c>
      <c r="AM162" s="378">
        <v>0</v>
      </c>
      <c r="AN162" s="9"/>
    </row>
    <row r="163" spans="1:40" s="385" customFormat="1" ht="24.95" customHeight="1" x14ac:dyDescent="0.2">
      <c r="A163" s="767"/>
      <c r="B163" s="668"/>
      <c r="N163" s="9"/>
      <c r="P163" s="9"/>
      <c r="Q163" s="9"/>
      <c r="R163" s="9"/>
      <c r="S163" s="720" t="str">
        <f>+IF(FEBRERO!S163=0,"",FEBRERO!S163)</f>
        <v>2020202-6</v>
      </c>
      <c r="T163" s="738" t="str">
        <f>+IF(FEBRERO!T163=0,"",FEBRERO!T163)</f>
        <v>Plan Integral de Manejo de Residuos Sólidos Hospitalarios</v>
      </c>
      <c r="U163" s="29">
        <f>+ENERO!U163</f>
        <v>10511470</v>
      </c>
      <c r="V163" s="15">
        <f>FEBRERO!V163+MARZO!AL163</f>
        <v>0</v>
      </c>
      <c r="W163" s="15">
        <f>FEBRERO!W163+MARZO!AM163</f>
        <v>0</v>
      </c>
      <c r="X163" s="18">
        <f t="shared" si="147"/>
        <v>10511470</v>
      </c>
      <c r="Y163" s="19">
        <f>FEBRERO!AA163</f>
        <v>10511470</v>
      </c>
      <c r="Z163" s="377">
        <v>0</v>
      </c>
      <c r="AA163" s="16">
        <f t="shared" si="148"/>
        <v>10511470</v>
      </c>
      <c r="AB163" s="19">
        <f>FEBRERO!AD163</f>
        <v>879640</v>
      </c>
      <c r="AC163" s="377">
        <v>469073</v>
      </c>
      <c r="AD163" s="16">
        <f t="shared" si="149"/>
        <v>1348713</v>
      </c>
      <c r="AE163" s="19">
        <f>FEBRERO!AG163</f>
        <v>0</v>
      </c>
      <c r="AF163" s="377">
        <v>0</v>
      </c>
      <c r="AG163" s="16">
        <f t="shared" si="150"/>
        <v>0</v>
      </c>
      <c r="AH163" s="19">
        <f t="shared" si="151"/>
        <v>0</v>
      </c>
      <c r="AI163" s="15">
        <f t="shared" si="152"/>
        <v>9162757</v>
      </c>
      <c r="AJ163" s="16">
        <f t="shared" si="153"/>
        <v>10511470</v>
      </c>
      <c r="AK163" s="9"/>
      <c r="AL163" s="375">
        <v>0</v>
      </c>
      <c r="AM163" s="378">
        <v>0</v>
      </c>
      <c r="AN163" s="9"/>
    </row>
    <row r="164" spans="1:40" s="385" customFormat="1" ht="24.95" customHeight="1" x14ac:dyDescent="0.2">
      <c r="A164" s="767"/>
      <c r="B164" s="668"/>
      <c r="N164" s="9"/>
      <c r="P164" s="9"/>
      <c r="Q164" s="9"/>
      <c r="R164" s="9"/>
      <c r="S164" s="720" t="str">
        <f>+IF(FEBRERO!S164=0,"",FEBRERO!S164)</f>
        <v>2020202-7</v>
      </c>
      <c r="T164" s="738" t="str">
        <f>+IF(FEBRERO!T164=0,"",FEBRERO!T164)</f>
        <v>Servicios de Laboratorio contratados con terceros</v>
      </c>
      <c r="U164" s="29">
        <f>+ENERO!U164</f>
        <v>21580478</v>
      </c>
      <c r="V164" s="15">
        <f>FEBRERO!V164+MARZO!AL164</f>
        <v>0</v>
      </c>
      <c r="W164" s="15">
        <f>FEBRERO!W164+MARZO!AM164</f>
        <v>0</v>
      </c>
      <c r="X164" s="18">
        <f t="shared" si="147"/>
        <v>21580478</v>
      </c>
      <c r="Y164" s="19">
        <f>FEBRERO!AA164</f>
        <v>4805400</v>
      </c>
      <c r="Z164" s="377">
        <v>3138400</v>
      </c>
      <c r="AA164" s="16">
        <f t="shared" si="148"/>
        <v>7943800</v>
      </c>
      <c r="AB164" s="19">
        <f>FEBRERO!AD164</f>
        <v>4805400</v>
      </c>
      <c r="AC164" s="377">
        <v>3138400</v>
      </c>
      <c r="AD164" s="16">
        <f t="shared" si="149"/>
        <v>7943800</v>
      </c>
      <c r="AE164" s="19">
        <f>FEBRERO!AG164</f>
        <v>0</v>
      </c>
      <c r="AF164" s="377">
        <v>168000</v>
      </c>
      <c r="AG164" s="16">
        <f t="shared" si="150"/>
        <v>168000</v>
      </c>
      <c r="AH164" s="19">
        <f t="shared" si="151"/>
        <v>13636678</v>
      </c>
      <c r="AI164" s="15">
        <f t="shared" si="152"/>
        <v>13636678</v>
      </c>
      <c r="AJ164" s="16">
        <f t="shared" si="153"/>
        <v>21412478</v>
      </c>
      <c r="AK164" s="9"/>
      <c r="AL164" s="375">
        <v>0</v>
      </c>
      <c r="AM164" s="378">
        <v>0</v>
      </c>
      <c r="AN164" s="9"/>
    </row>
    <row r="165" spans="1:40" s="385" customFormat="1" ht="24.95" customHeight="1" x14ac:dyDescent="0.2">
      <c r="A165" s="767"/>
      <c r="B165" s="668"/>
      <c r="N165" s="9"/>
      <c r="P165" s="9"/>
      <c r="Q165" s="9"/>
      <c r="R165" s="9"/>
      <c r="S165" s="720" t="str">
        <f>+IF(FEBRERO!S165=0,"",FEBRERO!S165)</f>
        <v>2020202-8</v>
      </c>
      <c r="T165" s="738" t="str">
        <f>+IF(FEBRERO!T165=0,"",FEBRERO!T165)</f>
        <v>Servicios de Rayos X e Imaginología contratado con terceros</v>
      </c>
      <c r="U165" s="29">
        <f>+ENERO!U165</f>
        <v>0</v>
      </c>
      <c r="V165" s="15">
        <f>FEBRERO!V165+MARZO!AL165</f>
        <v>0</v>
      </c>
      <c r="W165" s="15">
        <f>FEBRERO!W165+MARZO!AM165</f>
        <v>0</v>
      </c>
      <c r="X165" s="18">
        <f t="shared" si="147"/>
        <v>0</v>
      </c>
      <c r="Y165" s="19">
        <f>FEBRERO!AA165</f>
        <v>0</v>
      </c>
      <c r="Z165" s="377">
        <v>0</v>
      </c>
      <c r="AA165" s="16">
        <f t="shared" si="148"/>
        <v>0</v>
      </c>
      <c r="AB165" s="19">
        <f>FEBRERO!AD165</f>
        <v>0</v>
      </c>
      <c r="AC165" s="377">
        <v>0</v>
      </c>
      <c r="AD165" s="16">
        <f t="shared" si="149"/>
        <v>0</v>
      </c>
      <c r="AE165" s="19">
        <f>FEBRERO!AG165</f>
        <v>0</v>
      </c>
      <c r="AF165" s="377">
        <v>0</v>
      </c>
      <c r="AG165" s="16">
        <f t="shared" si="150"/>
        <v>0</v>
      </c>
      <c r="AH165" s="19">
        <f t="shared" si="151"/>
        <v>0</v>
      </c>
      <c r="AI165" s="15">
        <f t="shared" si="152"/>
        <v>0</v>
      </c>
      <c r="AJ165" s="16">
        <f t="shared" si="153"/>
        <v>0</v>
      </c>
      <c r="AK165" s="9"/>
      <c r="AL165" s="375">
        <v>0</v>
      </c>
      <c r="AM165" s="378">
        <v>0</v>
      </c>
      <c r="AN165" s="9"/>
    </row>
    <row r="166" spans="1:40" s="385" customFormat="1" ht="24.95" customHeight="1" x14ac:dyDescent="0.2">
      <c r="A166" s="767"/>
      <c r="B166" s="668"/>
      <c r="N166" s="9"/>
      <c r="P166" s="9"/>
      <c r="Q166" s="9"/>
      <c r="R166" s="9"/>
      <c r="S166" s="720" t="str">
        <f>+IF(FEBRERO!S166=0,"",FEBRERO!S166)</f>
        <v>2020202-9</v>
      </c>
      <c r="T166" s="738" t="str">
        <f>+IF(FEBRERO!T166=0,"",FEBRERO!T166)</f>
        <v>Arrendamientos</v>
      </c>
      <c r="U166" s="29">
        <f>+ENERO!U166</f>
        <v>66889324</v>
      </c>
      <c r="V166" s="15">
        <f>FEBRERO!V166+MARZO!AL166</f>
        <v>0</v>
      </c>
      <c r="W166" s="15">
        <f>FEBRERO!W166+MARZO!AM166</f>
        <v>0</v>
      </c>
      <c r="X166" s="18">
        <f t="shared" si="147"/>
        <v>66889324</v>
      </c>
      <c r="Y166" s="19">
        <f>FEBRERO!AA166</f>
        <v>63619700</v>
      </c>
      <c r="Z166" s="377">
        <v>0</v>
      </c>
      <c r="AA166" s="16">
        <f t="shared" si="148"/>
        <v>63619700</v>
      </c>
      <c r="AB166" s="19">
        <f>FEBRERO!AD166</f>
        <v>10839340</v>
      </c>
      <c r="AC166" s="377">
        <v>5385060</v>
      </c>
      <c r="AD166" s="16">
        <f t="shared" si="149"/>
        <v>16224400</v>
      </c>
      <c r="AE166" s="19">
        <f>FEBRERO!AG166</f>
        <v>0</v>
      </c>
      <c r="AF166" s="377">
        <v>0</v>
      </c>
      <c r="AG166" s="16">
        <f t="shared" si="150"/>
        <v>0</v>
      </c>
      <c r="AH166" s="19">
        <f t="shared" si="151"/>
        <v>3269624</v>
      </c>
      <c r="AI166" s="15">
        <f t="shared" si="152"/>
        <v>50664924</v>
      </c>
      <c r="AJ166" s="16">
        <f t="shared" si="153"/>
        <v>66889324</v>
      </c>
      <c r="AK166" s="9"/>
      <c r="AL166" s="375">
        <v>0</v>
      </c>
      <c r="AM166" s="378">
        <v>0</v>
      </c>
      <c r="AN166" s="9"/>
    </row>
    <row r="167" spans="1:40" s="385" customFormat="1" ht="24.95" customHeight="1" x14ac:dyDescent="0.2">
      <c r="A167" s="767"/>
      <c r="B167" s="668"/>
      <c r="N167" s="9"/>
      <c r="P167" s="9"/>
      <c r="Q167" s="9"/>
      <c r="R167" s="9"/>
      <c r="S167" s="720" t="str">
        <f>+IF(FEBRERO!S167=0,"",FEBRERO!S167)</f>
        <v>2020202-10</v>
      </c>
      <c r="T167" s="738" t="str">
        <f>+IF(FEBRERO!T167=0,"",FEBRERO!T167)</f>
        <v>Servicios Públicos</v>
      </c>
      <c r="U167" s="29">
        <f>+ENERO!U167</f>
        <v>0</v>
      </c>
      <c r="V167" s="15">
        <f>FEBRERO!V167+MARZO!AL167</f>
        <v>0</v>
      </c>
      <c r="W167" s="15">
        <f>FEBRERO!W167+MARZO!AM167</f>
        <v>0</v>
      </c>
      <c r="X167" s="18">
        <f>SUM(U167:W167)</f>
        <v>0</v>
      </c>
      <c r="Y167" s="19">
        <f>FEBRERO!AA167</f>
        <v>0</v>
      </c>
      <c r="Z167" s="377">
        <v>0</v>
      </c>
      <c r="AA167" s="16">
        <f t="shared" si="148"/>
        <v>0</v>
      </c>
      <c r="AB167" s="19">
        <f>FEBRERO!AD167</f>
        <v>0</v>
      </c>
      <c r="AC167" s="377">
        <v>0</v>
      </c>
      <c r="AD167" s="16">
        <f>SUM(AB167:AC167)</f>
        <v>0</v>
      </c>
      <c r="AE167" s="19">
        <f>FEBRERO!AG167</f>
        <v>0</v>
      </c>
      <c r="AF167" s="377">
        <v>0</v>
      </c>
      <c r="AG167" s="16">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+IF(FEBRERO!S168=0,"",FEBRERO!S168)</f>
        <v>2020299</v>
      </c>
      <c r="T168" s="737" t="str">
        <f>+IF(FEBRERO!T168=0,"",FEBRERO!T168)</f>
        <v>Vigencias Anteriores</v>
      </c>
      <c r="U168" s="29">
        <f>+ENERO!U168</f>
        <v>0</v>
      </c>
      <c r="V168" s="15">
        <f>FEBRERO!V168+MARZO!AL168</f>
        <v>0</v>
      </c>
      <c r="W168" s="15">
        <f>FEBRERO!W168+MARZO!AM168</f>
        <v>28537671</v>
      </c>
      <c r="X168" s="18">
        <f t="shared" si="147"/>
        <v>28537671</v>
      </c>
      <c r="Y168" s="19">
        <f>FEBRERO!AA168</f>
        <v>28537671</v>
      </c>
      <c r="Z168" s="377">
        <v>0</v>
      </c>
      <c r="AA168" s="16">
        <f t="shared" si="148"/>
        <v>28537671</v>
      </c>
      <c r="AB168" s="19">
        <f>FEBRERO!AD168</f>
        <v>28537671</v>
      </c>
      <c r="AC168" s="377">
        <v>0</v>
      </c>
      <c r="AD168" s="16">
        <f t="shared" si="149"/>
        <v>28537671</v>
      </c>
      <c r="AE168" s="19">
        <f>FEBRERO!AG168</f>
        <v>12061037</v>
      </c>
      <c r="AF168" s="377">
        <v>2975880</v>
      </c>
      <c r="AG168" s="16">
        <f t="shared" si="150"/>
        <v>15036917</v>
      </c>
      <c r="AH168" s="19">
        <f t="shared" si="151"/>
        <v>0</v>
      </c>
      <c r="AI168" s="15">
        <f t="shared" si="152"/>
        <v>0</v>
      </c>
      <c r="AJ168" s="16">
        <f t="shared" si="153"/>
        <v>13500754</v>
      </c>
      <c r="AK168" s="9"/>
      <c r="AL168" s="375">
        <v>0</v>
      </c>
      <c r="AM168" s="378">
        <v>0</v>
      </c>
      <c r="AN168" s="9"/>
    </row>
    <row r="169" spans="1:40" s="385" customFormat="1" ht="24.95" customHeight="1" x14ac:dyDescent="0.2">
      <c r="A169" s="767"/>
      <c r="B169" s="668"/>
      <c r="N169" s="9"/>
      <c r="P169" s="9"/>
      <c r="Q169" s="9"/>
      <c r="R169" s="9"/>
      <c r="S169" s="369" t="str">
        <f>+IF(FEBRERO!S169=0,"",FEBRERO!S169)</f>
        <v/>
      </c>
      <c r="T169" s="708" t="str">
        <f>+IF(FEBRERO!T169=0,"",FEBRERO!T169)</f>
        <v/>
      </c>
      <c r="U169" s="370"/>
      <c r="V169" s="164"/>
      <c r="W169" s="164"/>
      <c r="X169" s="164"/>
      <c r="Y169" s="370"/>
      <c r="Z169" s="164"/>
      <c r="AA169" s="169"/>
      <c r="AB169" s="370"/>
      <c r="AC169" s="164"/>
      <c r="AD169" s="169"/>
      <c r="AE169" s="370"/>
      <c r="AF169" s="164">
        <v>0</v>
      </c>
      <c r="AG169" s="169"/>
      <c r="AH169" s="370"/>
      <c r="AI169" s="164"/>
      <c r="AJ169" s="169"/>
      <c r="AK169" s="9"/>
      <c r="AL169" s="175"/>
      <c r="AM169" s="176"/>
      <c r="AN169" s="9"/>
    </row>
    <row r="170" spans="1:40" s="385" customFormat="1" ht="24.95" customHeight="1" x14ac:dyDescent="0.2">
      <c r="A170" s="767"/>
      <c r="B170" s="668"/>
      <c r="N170" s="9"/>
      <c r="P170" s="9"/>
      <c r="Q170" s="9"/>
      <c r="R170" s="9"/>
      <c r="S170" s="717">
        <f>+IF(FEBRERO!S170=0,"",FEBRERO!S170)</f>
        <v>3000000</v>
      </c>
      <c r="T170" s="739" t="str">
        <f>+IF(FEBRERO!T170=0,"",FEBRERO!T170)</f>
        <v>TRANSFERENCIAS CORRIENTES</v>
      </c>
      <c r="U170" s="382">
        <f t="shared" ref="U170:AJ170" si="154">U172+U176+U185</f>
        <v>60072284</v>
      </c>
      <c r="V170" s="474">
        <f t="shared" si="154"/>
        <v>0</v>
      </c>
      <c r="W170" s="474">
        <f t="shared" si="154"/>
        <v>14421810</v>
      </c>
      <c r="X170" s="475">
        <f t="shared" si="154"/>
        <v>74494094</v>
      </c>
      <c r="Y170" s="382">
        <f t="shared" si="154"/>
        <v>19146489</v>
      </c>
      <c r="Z170" s="474">
        <f t="shared" si="154"/>
        <v>2731934</v>
      </c>
      <c r="AA170" s="383">
        <f t="shared" si="154"/>
        <v>21878423</v>
      </c>
      <c r="AB170" s="382">
        <f t="shared" si="154"/>
        <v>19146489</v>
      </c>
      <c r="AC170" s="474">
        <f t="shared" si="154"/>
        <v>2731934</v>
      </c>
      <c r="AD170" s="383">
        <f t="shared" si="154"/>
        <v>21878423</v>
      </c>
      <c r="AE170" s="382">
        <f t="shared" si="154"/>
        <v>10968483</v>
      </c>
      <c r="AF170" s="474">
        <f t="shared" si="154"/>
        <v>3030378</v>
      </c>
      <c r="AG170" s="383">
        <f t="shared" si="154"/>
        <v>13998861</v>
      </c>
      <c r="AH170" s="382">
        <f t="shared" si="154"/>
        <v>52615671</v>
      </c>
      <c r="AI170" s="474">
        <f t="shared" si="154"/>
        <v>52615671</v>
      </c>
      <c r="AJ170" s="383">
        <f t="shared" si="154"/>
        <v>60495233</v>
      </c>
      <c r="AK170" s="9"/>
      <c r="AL170" s="131">
        <f>AL172+AL176+AL185</f>
        <v>0</v>
      </c>
      <c r="AM170" s="133">
        <f>AM172+AM176+AM185</f>
        <v>0</v>
      </c>
      <c r="AN170" s="9"/>
    </row>
    <row r="171" spans="1:40" s="385" customFormat="1" ht="24.95" customHeight="1" x14ac:dyDescent="0.2">
      <c r="A171" s="767"/>
      <c r="B171" s="668"/>
      <c r="N171" s="9"/>
      <c r="P171" s="9"/>
      <c r="Q171" s="9"/>
      <c r="R171" s="9"/>
      <c r="S171" s="369" t="str">
        <f>+IF(FEBRERO!S171=0,"",FEBRERO!S171)</f>
        <v/>
      </c>
      <c r="T171" s="708" t="str">
        <f>+IF(FEBRERO!T171=0,"",FEBRERO!T171)</f>
        <v/>
      </c>
      <c r="U171" s="370"/>
      <c r="V171" s="164"/>
      <c r="W171" s="164"/>
      <c r="X171" s="164"/>
      <c r="Y171" s="370"/>
      <c r="Z171" s="164"/>
      <c r="AA171" s="169"/>
      <c r="AB171" s="370"/>
      <c r="AC171" s="164"/>
      <c r="AD171" s="169"/>
      <c r="AE171" s="370"/>
      <c r="AF171" s="164"/>
      <c r="AG171" s="169"/>
      <c r="AH171" s="370"/>
      <c r="AI171" s="164"/>
      <c r="AJ171" s="169"/>
      <c r="AK171" s="9"/>
      <c r="AL171" s="175"/>
      <c r="AM171" s="176"/>
      <c r="AN171" s="9"/>
    </row>
    <row r="172" spans="1:40" s="385" customFormat="1" ht="24.95" customHeight="1" x14ac:dyDescent="0.2">
      <c r="A172" s="767"/>
      <c r="B172" s="668"/>
      <c r="N172" s="9"/>
      <c r="P172" s="9"/>
      <c r="Q172" s="9"/>
      <c r="R172" s="9"/>
      <c r="S172" s="718">
        <f>+IF(FEBRERO!S172=0,"",FEBRERO!S172)</f>
        <v>3100000</v>
      </c>
      <c r="T172" s="736" t="str">
        <f>+IF(FEBRERO!T172=0,"",FEBRERO!T172)</f>
        <v>Transferencias al Sector Público</v>
      </c>
      <c r="U172" s="131">
        <f t="shared" ref="U172:AJ172" si="155">SUM(U173:U174)</f>
        <v>5285000</v>
      </c>
      <c r="V172" s="124">
        <f t="shared" si="155"/>
        <v>0</v>
      </c>
      <c r="W172" s="124">
        <f t="shared" si="155"/>
        <v>243136</v>
      </c>
      <c r="X172" s="132">
        <f t="shared" si="155"/>
        <v>5528136</v>
      </c>
      <c r="Y172" s="131">
        <f t="shared" si="155"/>
        <v>243136</v>
      </c>
      <c r="Z172" s="124">
        <f t="shared" si="155"/>
        <v>0</v>
      </c>
      <c r="AA172" s="133">
        <f t="shared" si="155"/>
        <v>243136</v>
      </c>
      <c r="AB172" s="131">
        <f t="shared" si="155"/>
        <v>243136</v>
      </c>
      <c r="AC172" s="124">
        <f t="shared" si="155"/>
        <v>0</v>
      </c>
      <c r="AD172" s="133">
        <f t="shared" si="155"/>
        <v>243136</v>
      </c>
      <c r="AE172" s="131">
        <f t="shared" si="155"/>
        <v>243136</v>
      </c>
      <c r="AF172" s="124">
        <f t="shared" si="155"/>
        <v>0</v>
      </c>
      <c r="AG172" s="133">
        <f t="shared" si="155"/>
        <v>243136</v>
      </c>
      <c r="AH172" s="131">
        <f t="shared" si="155"/>
        <v>5285000</v>
      </c>
      <c r="AI172" s="124">
        <f t="shared" si="155"/>
        <v>5285000</v>
      </c>
      <c r="AJ172" s="133">
        <f t="shared" si="155"/>
        <v>5285000</v>
      </c>
      <c r="AK172" s="9"/>
      <c r="AL172" s="131">
        <f>SUM(AL173:AL174)</f>
        <v>0</v>
      </c>
      <c r="AM172" s="133">
        <f>SUM(AM173:AM174)</f>
        <v>0</v>
      </c>
      <c r="AN172" s="9"/>
    </row>
    <row r="173" spans="1:40" s="385" customFormat="1" ht="24.95" customHeight="1" x14ac:dyDescent="0.2">
      <c r="A173" s="767"/>
      <c r="B173" s="668"/>
      <c r="N173" s="9"/>
      <c r="P173" s="9"/>
      <c r="Q173" s="9"/>
      <c r="R173" s="9"/>
      <c r="S173" s="719">
        <f>+IF(FEBRERO!S173=0,"",FEBRERO!S173)</f>
        <v>3100003</v>
      </c>
      <c r="T173" s="737" t="str">
        <f>+IF(FEBRERO!T173=0,"",FEBRERO!T173)</f>
        <v>Entidades Públicas (Contraloria, Supersalud,…)</v>
      </c>
      <c r="U173" s="29">
        <f>+ENERO!U173</f>
        <v>5285000</v>
      </c>
      <c r="V173" s="15">
        <f>FEBRERO!V173+MARZO!AL173</f>
        <v>0</v>
      </c>
      <c r="W173" s="15">
        <f>FEBRERO!W173+MARZO!AM173</f>
        <v>0</v>
      </c>
      <c r="X173" s="18">
        <f>SUM(U173:W173)</f>
        <v>5285000</v>
      </c>
      <c r="Y173" s="19">
        <f>FEBRERO!AA173</f>
        <v>0</v>
      </c>
      <c r="Z173" s="377">
        <v>0</v>
      </c>
      <c r="AA173" s="16">
        <f>SUM(Y173:Z173)</f>
        <v>0</v>
      </c>
      <c r="AB173" s="19">
        <f>FEBRERO!AD173</f>
        <v>0</v>
      </c>
      <c r="AC173" s="377">
        <v>0</v>
      </c>
      <c r="AD173" s="16">
        <f>SUM(AB173:AC173)</f>
        <v>0</v>
      </c>
      <c r="AE173" s="19">
        <f>FEBRERO!AG173</f>
        <v>0</v>
      </c>
      <c r="AF173" s="377">
        <v>0</v>
      </c>
      <c r="AG173" s="16">
        <f>SUM(AE173:AF173)</f>
        <v>0</v>
      </c>
      <c r="AH173" s="19">
        <f>X173-AA173</f>
        <v>5285000</v>
      </c>
      <c r="AI173" s="15">
        <f>X173-AD173</f>
        <v>5285000</v>
      </c>
      <c r="AJ173" s="16">
        <f>X173-AG173</f>
        <v>5285000</v>
      </c>
      <c r="AK173" s="9"/>
      <c r="AL173" s="375">
        <v>0</v>
      </c>
      <c r="AM173" s="378">
        <v>0</v>
      </c>
      <c r="AN173" s="9"/>
    </row>
    <row r="174" spans="1:40" s="385" customFormat="1" ht="24.95" customHeight="1" x14ac:dyDescent="0.2">
      <c r="A174" s="767"/>
      <c r="B174" s="668"/>
      <c r="N174" s="9"/>
      <c r="P174" s="9"/>
      <c r="Q174" s="9"/>
      <c r="R174" s="9"/>
      <c r="S174" s="719">
        <f>+IF(FEBRERO!S174=0,"",FEBRERO!S174)</f>
        <v>3199999</v>
      </c>
      <c r="T174" s="737" t="str">
        <f>+IF(FEBRERO!T174=0,"",FEBRERO!T174)</f>
        <v>Vigencias Anteriores</v>
      </c>
      <c r="U174" s="29">
        <f>+ENERO!U174</f>
        <v>0</v>
      </c>
      <c r="V174" s="15">
        <f>FEBRERO!V174+MARZO!AL174</f>
        <v>0</v>
      </c>
      <c r="W174" s="15">
        <f>FEBRERO!W174+MARZO!AM174</f>
        <v>243136</v>
      </c>
      <c r="X174" s="18">
        <f>SUM(U174:W174)</f>
        <v>243136</v>
      </c>
      <c r="Y174" s="19">
        <f>FEBRERO!AA174</f>
        <v>243136</v>
      </c>
      <c r="Z174" s="377">
        <v>0</v>
      </c>
      <c r="AA174" s="16">
        <f>SUM(Y174:Z174)</f>
        <v>243136</v>
      </c>
      <c r="AB174" s="19">
        <f>FEBRERO!AD174</f>
        <v>243136</v>
      </c>
      <c r="AC174" s="377">
        <v>0</v>
      </c>
      <c r="AD174" s="16">
        <f>SUM(AB174:AC174)</f>
        <v>243136</v>
      </c>
      <c r="AE174" s="19">
        <f>FEBRERO!AG174</f>
        <v>243136</v>
      </c>
      <c r="AF174" s="377">
        <v>0</v>
      </c>
      <c r="AG174" s="16">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+IF(FEBRERO!S175=0,"",FEBRERO!S175)</f>
        <v/>
      </c>
      <c r="T175" s="708" t="str">
        <f>+IF(FEBRERO!T175=0,"",FEBRERO!T175)</f>
        <v/>
      </c>
      <c r="U175" s="370"/>
      <c r="V175" s="164"/>
      <c r="W175" s="164"/>
      <c r="X175" s="164"/>
      <c r="Y175" s="370"/>
      <c r="Z175" s="164"/>
      <c r="AA175" s="169"/>
      <c r="AB175" s="370"/>
      <c r="AC175" s="164"/>
      <c r="AD175" s="169"/>
      <c r="AE175" s="370"/>
      <c r="AF175" s="164"/>
      <c r="AG175" s="169"/>
      <c r="AH175" s="370"/>
      <c r="AI175" s="164"/>
      <c r="AJ175" s="169"/>
      <c r="AK175" s="10"/>
      <c r="AL175" s="175"/>
      <c r="AM175" s="176"/>
      <c r="AN175" s="9"/>
    </row>
    <row r="176" spans="1:40" s="385" customFormat="1" ht="24.95" customHeight="1" x14ac:dyDescent="0.2">
      <c r="A176" s="767"/>
      <c r="B176" s="668"/>
      <c r="N176" s="9"/>
      <c r="P176" s="9"/>
      <c r="Q176" s="9"/>
      <c r="R176" s="9"/>
      <c r="S176" s="718">
        <f>+IF(FEBRERO!S176=0,"",FEBRERO!S176)</f>
        <v>320000</v>
      </c>
      <c r="T176" s="736" t="str">
        <f>+IF(FEBRERO!T176=0,"",FEBRERO!T176)</f>
        <v>Transf. Previsión y Seguridad Social</v>
      </c>
      <c r="U176" s="131">
        <f t="shared" ref="U176:AJ176" si="156">SUM(U177:U183)</f>
        <v>51170820</v>
      </c>
      <c r="V176" s="124">
        <f t="shared" si="156"/>
        <v>0</v>
      </c>
      <c r="W176" s="124">
        <f t="shared" si="156"/>
        <v>8290292</v>
      </c>
      <c r="X176" s="132">
        <f t="shared" si="156"/>
        <v>59461112</v>
      </c>
      <c r="Y176" s="131">
        <f t="shared" si="156"/>
        <v>13379444</v>
      </c>
      <c r="Z176" s="124">
        <f t="shared" si="156"/>
        <v>2544030</v>
      </c>
      <c r="AA176" s="133">
        <f t="shared" si="156"/>
        <v>15923474</v>
      </c>
      <c r="AB176" s="131">
        <f t="shared" si="156"/>
        <v>13379444</v>
      </c>
      <c r="AC176" s="124">
        <f t="shared" si="156"/>
        <v>2544030</v>
      </c>
      <c r="AD176" s="133">
        <f t="shared" si="156"/>
        <v>15923474</v>
      </c>
      <c r="AE176" s="131">
        <f t="shared" si="156"/>
        <v>10725347</v>
      </c>
      <c r="AF176" s="124">
        <f t="shared" si="156"/>
        <v>2641996</v>
      </c>
      <c r="AG176" s="133">
        <f t="shared" si="156"/>
        <v>13367343</v>
      </c>
      <c r="AH176" s="131">
        <f t="shared" si="156"/>
        <v>43537638</v>
      </c>
      <c r="AI176" s="124">
        <f t="shared" si="156"/>
        <v>43537638</v>
      </c>
      <c r="AJ176" s="133">
        <f t="shared" si="156"/>
        <v>46093769</v>
      </c>
      <c r="AK176" s="9"/>
      <c r="AL176" s="131">
        <f>SUM(AL177:AL183)</f>
        <v>0</v>
      </c>
      <c r="AM176" s="133">
        <f>SUM(AM177:AM183)</f>
        <v>0</v>
      </c>
      <c r="AN176" s="9"/>
    </row>
    <row r="177" spans="1:40" s="385" customFormat="1" ht="24.95" customHeight="1" x14ac:dyDescent="0.2">
      <c r="A177" s="767"/>
      <c r="B177" s="668"/>
      <c r="N177" s="9"/>
      <c r="P177" s="9"/>
      <c r="Q177" s="9"/>
      <c r="R177" s="9"/>
      <c r="S177" s="719">
        <f>+IF(FEBRERO!S177=0,"",FEBRERO!S177)</f>
        <v>3200100</v>
      </c>
      <c r="T177" s="737" t="str">
        <f>+IF(FEBRERO!T177=0,"",FEBRERO!T177)</f>
        <v>Pensiones y Jubilaciones (Pago Directo)</v>
      </c>
      <c r="U177" s="29">
        <f>+ENERO!U177</f>
        <v>39279816</v>
      </c>
      <c r="V177" s="15">
        <f>FEBRERO!V177+MARZO!AL177</f>
        <v>0</v>
      </c>
      <c r="W177" s="15">
        <f>FEBRERO!W177+MARZO!AM177</f>
        <v>0</v>
      </c>
      <c r="X177" s="18">
        <f t="shared" ref="X177:X183" si="157">SUM(U177:W177)</f>
        <v>39279816</v>
      </c>
      <c r="Y177" s="19">
        <f>FEBRERO!AA177</f>
        <v>5089152</v>
      </c>
      <c r="Z177" s="377">
        <v>2544030</v>
      </c>
      <c r="AA177" s="16">
        <f t="shared" ref="AA177:AA183" si="158">SUM(Y177:Z177)</f>
        <v>7633182</v>
      </c>
      <c r="AB177" s="19">
        <f>FEBRERO!AD177</f>
        <v>5089152</v>
      </c>
      <c r="AC177" s="377">
        <v>2544030</v>
      </c>
      <c r="AD177" s="16">
        <f t="shared" ref="AD177:AD183" si="159">SUM(AB177:AC177)</f>
        <v>7633182</v>
      </c>
      <c r="AE177" s="19">
        <f>FEBRERO!AG177</f>
        <v>2457999</v>
      </c>
      <c r="AF177" s="377">
        <v>2631153</v>
      </c>
      <c r="AG177" s="16">
        <f t="shared" ref="AG177:AG183" si="160">SUM(AE177:AF177)</f>
        <v>5089152</v>
      </c>
      <c r="AH177" s="19">
        <f t="shared" ref="AH177:AH183" si="161">X177-AA177</f>
        <v>31646634</v>
      </c>
      <c r="AI177" s="15">
        <f t="shared" ref="AI177:AI183" si="162">X177-AD177</f>
        <v>31646634</v>
      </c>
      <c r="AJ177" s="16">
        <f t="shared" ref="AJ177:AJ183" si="163">X177-AG177</f>
        <v>34190664</v>
      </c>
      <c r="AK177" s="9"/>
      <c r="AL177" s="375">
        <v>0</v>
      </c>
      <c r="AM177" s="378">
        <v>0</v>
      </c>
      <c r="AN177" s="9"/>
    </row>
    <row r="178" spans="1:40" s="385" customFormat="1" ht="24.95" customHeight="1" x14ac:dyDescent="0.2">
      <c r="A178" s="767"/>
      <c r="B178" s="668"/>
      <c r="N178" s="9"/>
      <c r="P178" s="9"/>
      <c r="Q178" s="9"/>
      <c r="R178" s="9"/>
      <c r="S178" s="719">
        <f>+IF(FEBRERO!S178=0,"",FEBRERO!S178)</f>
        <v>3200200</v>
      </c>
      <c r="T178" s="737" t="str">
        <f>+IF(FEBRERO!T178=0,"",FEBRERO!T178)</f>
        <v>Cesantías Pago Directo (Pago Directo)</v>
      </c>
      <c r="U178" s="29">
        <f>+ENERO!U178</f>
        <v>11891004</v>
      </c>
      <c r="V178" s="15">
        <f>FEBRERO!V178+MARZO!AL178</f>
        <v>0</v>
      </c>
      <c r="W178" s="15">
        <f>FEBRERO!W178+MARZO!AM178</f>
        <v>0</v>
      </c>
      <c r="X178" s="18">
        <f t="shared" si="157"/>
        <v>11891004</v>
      </c>
      <c r="Y178" s="19">
        <f>FEBRERO!AA178</f>
        <v>0</v>
      </c>
      <c r="Z178" s="377">
        <v>0</v>
      </c>
      <c r="AA178" s="16">
        <f t="shared" si="158"/>
        <v>0</v>
      </c>
      <c r="AB178" s="19">
        <f>FEBRERO!AD178</f>
        <v>0</v>
      </c>
      <c r="AC178" s="377">
        <v>0</v>
      </c>
      <c r="AD178" s="16">
        <f t="shared" si="159"/>
        <v>0</v>
      </c>
      <c r="AE178" s="19">
        <f>FEBRERO!AG178</f>
        <v>0</v>
      </c>
      <c r="AF178" s="377">
        <v>0</v>
      </c>
      <c r="AG178" s="16">
        <f t="shared" si="160"/>
        <v>0</v>
      </c>
      <c r="AH178" s="19">
        <f t="shared" si="161"/>
        <v>11891004</v>
      </c>
      <c r="AI178" s="15">
        <f t="shared" si="162"/>
        <v>11891004</v>
      </c>
      <c r="AJ178" s="16">
        <f t="shared" si="163"/>
        <v>11891004</v>
      </c>
      <c r="AK178" s="9"/>
      <c r="AL178" s="375">
        <v>0</v>
      </c>
      <c r="AM178" s="378">
        <v>0</v>
      </c>
      <c r="AN178" s="9"/>
    </row>
    <row r="179" spans="1:40" s="385" customFormat="1" ht="24.95" customHeight="1" x14ac:dyDescent="0.2">
      <c r="A179" s="767"/>
      <c r="B179" s="668"/>
      <c r="N179" s="9"/>
      <c r="P179" s="9"/>
      <c r="Q179" s="9"/>
      <c r="R179" s="9"/>
      <c r="S179" s="719">
        <f>+IF(FEBRERO!S179=0,"",FEBRERO!S179)</f>
        <v>3200300</v>
      </c>
      <c r="T179" s="737" t="str">
        <f>+IF(FEBRERO!T179=0,"",FEBRERO!T179)</f>
        <v>Bonos, Cuotas de Bonos y cuotas partes jubilatorias</v>
      </c>
      <c r="U179" s="29">
        <f>+ENERO!U179</f>
        <v>0</v>
      </c>
      <c r="V179" s="15">
        <f>FEBRERO!V179+MARZO!AL179</f>
        <v>0</v>
      </c>
      <c r="W179" s="15">
        <f>FEBRERO!W179+MARZO!AM179</f>
        <v>0</v>
      </c>
      <c r="X179" s="18">
        <f t="shared" si="157"/>
        <v>0</v>
      </c>
      <c r="Y179" s="19">
        <f>FEBRERO!AA179</f>
        <v>0</v>
      </c>
      <c r="Z179" s="377">
        <v>0</v>
      </c>
      <c r="AA179" s="16">
        <f t="shared" si="158"/>
        <v>0</v>
      </c>
      <c r="AB179" s="19">
        <f>FEBRERO!AD179</f>
        <v>0</v>
      </c>
      <c r="AC179" s="377">
        <v>0</v>
      </c>
      <c r="AD179" s="16">
        <f t="shared" si="159"/>
        <v>0</v>
      </c>
      <c r="AE179" s="19">
        <f>FEBRERO!AG179</f>
        <v>0</v>
      </c>
      <c r="AF179" s="377">
        <v>0</v>
      </c>
      <c r="AG179" s="16">
        <f t="shared" si="160"/>
        <v>0</v>
      </c>
      <c r="AH179" s="19">
        <f t="shared" si="161"/>
        <v>0</v>
      </c>
      <c r="AI179" s="15">
        <f t="shared" si="162"/>
        <v>0</v>
      </c>
      <c r="AJ179" s="16">
        <f t="shared" si="163"/>
        <v>0</v>
      </c>
      <c r="AK179" s="9"/>
      <c r="AL179" s="375">
        <v>0</v>
      </c>
      <c r="AM179" s="378">
        <v>0</v>
      </c>
      <c r="AN179" s="9"/>
    </row>
    <row r="180" spans="1:40" s="385" customFormat="1" ht="24.95" customHeight="1" x14ac:dyDescent="0.2">
      <c r="A180" s="767"/>
      <c r="B180" s="668"/>
      <c r="N180" s="9"/>
      <c r="P180" s="9"/>
      <c r="Q180" s="9"/>
      <c r="R180" s="9"/>
      <c r="S180" s="719">
        <f>+IF(FEBRERO!S180=0,"",FEBRERO!S180)</f>
        <v>3200400</v>
      </c>
      <c r="T180" s="737" t="str">
        <f>+IF(FEBRERO!T180=0,"",FEBRERO!T180)</f>
        <v>Intereses a las cesantias</v>
      </c>
      <c r="U180" s="29">
        <f>+ENERO!U180</f>
        <v>0</v>
      </c>
      <c r="V180" s="15">
        <f>FEBRERO!V180+MARZO!AL180</f>
        <v>0</v>
      </c>
      <c r="W180" s="15">
        <f>FEBRERO!W180+MARZO!AM180</f>
        <v>0</v>
      </c>
      <c r="X180" s="18">
        <f t="shared" si="157"/>
        <v>0</v>
      </c>
      <c r="Y180" s="19">
        <f>FEBRERO!AA180</f>
        <v>0</v>
      </c>
      <c r="Z180" s="377">
        <v>0</v>
      </c>
      <c r="AA180" s="16">
        <f t="shared" si="158"/>
        <v>0</v>
      </c>
      <c r="AB180" s="19">
        <f>FEBRERO!AD180</f>
        <v>0</v>
      </c>
      <c r="AC180" s="377">
        <v>0</v>
      </c>
      <c r="AD180" s="16">
        <f t="shared" si="159"/>
        <v>0</v>
      </c>
      <c r="AE180" s="19">
        <f>FEBRERO!AG180</f>
        <v>0</v>
      </c>
      <c r="AF180" s="377">
        <v>0</v>
      </c>
      <c r="AG180" s="16">
        <f t="shared" si="160"/>
        <v>0</v>
      </c>
      <c r="AH180" s="19">
        <f t="shared" si="161"/>
        <v>0</v>
      </c>
      <c r="AI180" s="15">
        <f t="shared" si="162"/>
        <v>0</v>
      </c>
      <c r="AJ180" s="16">
        <f t="shared" si="163"/>
        <v>0</v>
      </c>
      <c r="AK180" s="9"/>
      <c r="AL180" s="375">
        <v>0</v>
      </c>
      <c r="AM180" s="378">
        <v>0</v>
      </c>
      <c r="AN180" s="9"/>
    </row>
    <row r="181" spans="1:40" s="385" customFormat="1" ht="24.95" customHeight="1" x14ac:dyDescent="0.2">
      <c r="A181" s="767"/>
      <c r="B181" s="668"/>
      <c r="N181" s="9"/>
      <c r="P181" s="9"/>
      <c r="Q181" s="9"/>
      <c r="R181" s="9"/>
      <c r="S181" s="719" t="str">
        <f>+IF(FEBRERO!S181=0,"",FEBRERO!S181)</f>
        <v/>
      </c>
      <c r="T181" s="737" t="str">
        <f>+IF(FEBRERO!T181=0,"",FEBRERO!T181)</f>
        <v/>
      </c>
      <c r="U181" s="29">
        <f>+ENERO!U181</f>
        <v>0</v>
      </c>
      <c r="V181" s="15">
        <f>FEBRERO!V181+MARZO!AL181</f>
        <v>0</v>
      </c>
      <c r="W181" s="15">
        <f>FEBRERO!W181+MARZO!AM181</f>
        <v>0</v>
      </c>
      <c r="X181" s="18">
        <f t="shared" si="157"/>
        <v>0</v>
      </c>
      <c r="Y181" s="19">
        <f>FEBRERO!AA181</f>
        <v>0</v>
      </c>
      <c r="Z181" s="377">
        <v>0</v>
      </c>
      <c r="AA181" s="16">
        <f t="shared" si="158"/>
        <v>0</v>
      </c>
      <c r="AB181" s="19">
        <f>FEBRERO!AD181</f>
        <v>0</v>
      </c>
      <c r="AC181" s="377">
        <v>0</v>
      </c>
      <c r="AD181" s="16">
        <f t="shared" si="159"/>
        <v>0</v>
      </c>
      <c r="AE181" s="19">
        <f>FEBRERO!AG181</f>
        <v>0</v>
      </c>
      <c r="AF181" s="377">
        <v>0</v>
      </c>
      <c r="AG181" s="16">
        <f t="shared" si="160"/>
        <v>0</v>
      </c>
      <c r="AH181" s="19">
        <f t="shared" si="161"/>
        <v>0</v>
      </c>
      <c r="AI181" s="15">
        <f t="shared" si="162"/>
        <v>0</v>
      </c>
      <c r="AJ181" s="16">
        <f t="shared" si="163"/>
        <v>0</v>
      </c>
      <c r="AK181" s="9"/>
      <c r="AL181" s="375">
        <v>0</v>
      </c>
      <c r="AM181" s="378">
        <v>0</v>
      </c>
      <c r="AN181" s="9"/>
    </row>
    <row r="182" spans="1:40" s="385" customFormat="1" ht="24.95" customHeight="1" x14ac:dyDescent="0.2">
      <c r="A182" s="767"/>
      <c r="B182" s="668"/>
      <c r="N182" s="9"/>
      <c r="P182" s="9"/>
      <c r="Q182" s="9"/>
      <c r="R182" s="9"/>
      <c r="S182" s="719" t="str">
        <f>+IF(FEBRERO!S182=0,"",FEBRERO!S182)</f>
        <v/>
      </c>
      <c r="T182" s="737" t="str">
        <f>+IF(FEBRERO!T182=0,"",FEBRERO!T182)</f>
        <v/>
      </c>
      <c r="U182" s="29">
        <f>+ENERO!U182</f>
        <v>0</v>
      </c>
      <c r="V182" s="15">
        <f>FEBRERO!V182+MARZO!AL182</f>
        <v>0</v>
      </c>
      <c r="W182" s="15">
        <f>FEBRERO!W182+MARZO!AM182</f>
        <v>0</v>
      </c>
      <c r="X182" s="18">
        <f t="shared" si="157"/>
        <v>0</v>
      </c>
      <c r="Y182" s="19">
        <f>FEBRERO!AA182</f>
        <v>0</v>
      </c>
      <c r="Z182" s="377">
        <v>0</v>
      </c>
      <c r="AA182" s="16">
        <f t="shared" si="158"/>
        <v>0</v>
      </c>
      <c r="AB182" s="19">
        <f>FEBRERO!AD182</f>
        <v>0</v>
      </c>
      <c r="AC182" s="377">
        <v>0</v>
      </c>
      <c r="AD182" s="16">
        <f t="shared" si="159"/>
        <v>0</v>
      </c>
      <c r="AE182" s="19">
        <f>FEBRERO!AG182</f>
        <v>0</v>
      </c>
      <c r="AF182" s="377">
        <v>0</v>
      </c>
      <c r="AG182" s="16">
        <f t="shared" si="160"/>
        <v>0</v>
      </c>
      <c r="AH182" s="19">
        <f t="shared" si="161"/>
        <v>0</v>
      </c>
      <c r="AI182" s="15">
        <f t="shared" si="162"/>
        <v>0</v>
      </c>
      <c r="AJ182" s="16">
        <f t="shared" si="163"/>
        <v>0</v>
      </c>
      <c r="AK182" s="9"/>
      <c r="AL182" s="375">
        <v>0</v>
      </c>
      <c r="AM182" s="378">
        <v>0</v>
      </c>
      <c r="AN182" s="9"/>
    </row>
    <row r="183" spans="1:40" s="385" customFormat="1" ht="24.95" customHeight="1" x14ac:dyDescent="0.2">
      <c r="A183" s="767"/>
      <c r="B183" s="668"/>
      <c r="N183" s="9"/>
      <c r="P183" s="9"/>
      <c r="Q183" s="9"/>
      <c r="R183" s="9"/>
      <c r="S183" s="719">
        <f>+IF(FEBRERO!S183=0,"",FEBRERO!S183)</f>
        <v>3299999</v>
      </c>
      <c r="T183" s="737" t="str">
        <f>+IF(FEBRERO!T183=0,"",FEBRERO!T183)</f>
        <v>Vigencias Anteriores</v>
      </c>
      <c r="U183" s="29">
        <f>+ENERO!U183</f>
        <v>0</v>
      </c>
      <c r="V183" s="15">
        <f>FEBRERO!V183+MARZO!AL183</f>
        <v>0</v>
      </c>
      <c r="W183" s="15">
        <f>FEBRERO!W183+MARZO!AM183</f>
        <v>8290292</v>
      </c>
      <c r="X183" s="18">
        <f t="shared" si="157"/>
        <v>8290292</v>
      </c>
      <c r="Y183" s="19">
        <f>FEBRERO!AA183</f>
        <v>8290292</v>
      </c>
      <c r="Z183" s="377">
        <v>0</v>
      </c>
      <c r="AA183" s="16">
        <f t="shared" si="158"/>
        <v>8290292</v>
      </c>
      <c r="AB183" s="19">
        <f>FEBRERO!AD183</f>
        <v>8290292</v>
      </c>
      <c r="AC183" s="377">
        <v>0</v>
      </c>
      <c r="AD183" s="16">
        <f t="shared" si="159"/>
        <v>8290292</v>
      </c>
      <c r="AE183" s="19">
        <f>FEBRERO!AG183</f>
        <v>8267348</v>
      </c>
      <c r="AF183" s="377">
        <v>10843</v>
      </c>
      <c r="AG183" s="16">
        <f t="shared" si="160"/>
        <v>8278191</v>
      </c>
      <c r="AH183" s="19">
        <f t="shared" si="161"/>
        <v>0</v>
      </c>
      <c r="AI183" s="15">
        <f t="shared" si="162"/>
        <v>0</v>
      </c>
      <c r="AJ183" s="16">
        <f t="shared" si="163"/>
        <v>12101</v>
      </c>
      <c r="AK183" s="9"/>
      <c r="AL183" s="375">
        <v>0</v>
      </c>
      <c r="AM183" s="378">
        <v>0</v>
      </c>
      <c r="AN183" s="9"/>
    </row>
    <row r="184" spans="1:40" s="385" customFormat="1" ht="24.95" customHeight="1" x14ac:dyDescent="0.2">
      <c r="A184" s="767"/>
      <c r="B184" s="668"/>
      <c r="N184" s="9"/>
      <c r="P184" s="9"/>
      <c r="Q184" s="9"/>
      <c r="R184" s="9"/>
      <c r="S184" s="369" t="str">
        <f>+IF(FEBRERO!S184=0,"",FEBRERO!S184)</f>
        <v/>
      </c>
      <c r="T184" s="708" t="str">
        <f>+IF(FEBRERO!T184=0,"",FEBRERO!T184)</f>
        <v/>
      </c>
      <c r="U184" s="370"/>
      <c r="V184" s="164"/>
      <c r="W184" s="164"/>
      <c r="X184" s="164"/>
      <c r="Y184" s="370"/>
      <c r="Z184" s="164"/>
      <c r="AA184" s="169"/>
      <c r="AB184" s="370"/>
      <c r="AC184" s="164"/>
      <c r="AD184" s="169"/>
      <c r="AE184" s="370"/>
      <c r="AF184" s="164"/>
      <c r="AG184" s="169"/>
      <c r="AH184" s="370"/>
      <c r="AI184" s="164"/>
      <c r="AJ184" s="169"/>
      <c r="AK184" s="9"/>
      <c r="AL184" s="175"/>
      <c r="AM184" s="176"/>
      <c r="AN184" s="9"/>
    </row>
    <row r="185" spans="1:40" s="385" customFormat="1" ht="24.95" customHeight="1" x14ac:dyDescent="0.2">
      <c r="A185" s="767"/>
      <c r="B185" s="668"/>
      <c r="N185" s="9"/>
      <c r="P185" s="9"/>
      <c r="Q185" s="9"/>
      <c r="R185" s="9"/>
      <c r="S185" s="718">
        <f>+IF(FEBRERO!S185=0,"",FEBRERO!S185)</f>
        <v>3300000</v>
      </c>
      <c r="T185" s="736" t="str">
        <f>+IF(FEBRERO!T185=0,"",FEBRERO!T185)</f>
        <v>Otras Transferencias</v>
      </c>
      <c r="U185" s="131">
        <f t="shared" ref="U185:AJ185" si="164">U186+U187+U191</f>
        <v>3616464</v>
      </c>
      <c r="V185" s="124">
        <f t="shared" si="164"/>
        <v>0</v>
      </c>
      <c r="W185" s="124">
        <f t="shared" si="164"/>
        <v>5888382</v>
      </c>
      <c r="X185" s="132">
        <f t="shared" si="164"/>
        <v>9504846</v>
      </c>
      <c r="Y185" s="131">
        <f t="shared" si="164"/>
        <v>5523909</v>
      </c>
      <c r="Z185" s="124">
        <f t="shared" si="164"/>
        <v>187904</v>
      </c>
      <c r="AA185" s="133">
        <f t="shared" si="164"/>
        <v>5711813</v>
      </c>
      <c r="AB185" s="131">
        <f t="shared" si="164"/>
        <v>5523909</v>
      </c>
      <c r="AC185" s="124">
        <f t="shared" si="164"/>
        <v>187904</v>
      </c>
      <c r="AD185" s="133">
        <f t="shared" si="164"/>
        <v>5711813</v>
      </c>
      <c r="AE185" s="131">
        <f t="shared" si="164"/>
        <v>0</v>
      </c>
      <c r="AF185" s="124">
        <f t="shared" si="164"/>
        <v>388382</v>
      </c>
      <c r="AG185" s="133">
        <f t="shared" si="164"/>
        <v>388382</v>
      </c>
      <c r="AH185" s="131">
        <f t="shared" si="164"/>
        <v>3793033</v>
      </c>
      <c r="AI185" s="124">
        <f t="shared" si="164"/>
        <v>3793033</v>
      </c>
      <c r="AJ185" s="133">
        <f t="shared" si="164"/>
        <v>9116464</v>
      </c>
      <c r="AK185" s="9"/>
      <c r="AL185" s="131">
        <f>AL186+AL187+AL191</f>
        <v>0</v>
      </c>
      <c r="AM185" s="133">
        <f>AM186+AM187+AM191</f>
        <v>0</v>
      </c>
      <c r="AN185" s="9"/>
    </row>
    <row r="186" spans="1:40" s="385" customFormat="1" ht="24.95" customHeight="1" x14ac:dyDescent="0.2">
      <c r="A186" s="767"/>
      <c r="B186" s="668"/>
      <c r="N186" s="9"/>
      <c r="P186" s="9"/>
      <c r="Q186" s="9"/>
      <c r="R186" s="9"/>
      <c r="S186" s="719">
        <f>+IF(FEBRERO!S186=0,"",FEBRERO!S186)</f>
        <v>3300100</v>
      </c>
      <c r="T186" s="737" t="str">
        <f>+IF(FEBRERO!T186=0,"",FEBRERO!T186)</f>
        <v>Sentencias y Conciliaciones</v>
      </c>
      <c r="U186" s="29">
        <f>+ENERO!U186</f>
        <v>0</v>
      </c>
      <c r="V186" s="15">
        <f>FEBRERO!V186+MARZO!AL186</f>
        <v>0</v>
      </c>
      <c r="W186" s="15">
        <f>FEBRERO!W186+MARZO!AM186</f>
        <v>0</v>
      </c>
      <c r="X186" s="18">
        <f>SUM(U186:W186)</f>
        <v>0</v>
      </c>
      <c r="Y186" s="19">
        <f>FEBRERO!AA186</f>
        <v>0</v>
      </c>
      <c r="Z186" s="377">
        <v>0</v>
      </c>
      <c r="AA186" s="16">
        <f>SUM(Y186:Z186)</f>
        <v>0</v>
      </c>
      <c r="AB186" s="19">
        <f>FEBRERO!AD186</f>
        <v>0</v>
      </c>
      <c r="AC186" s="377">
        <v>0</v>
      </c>
      <c r="AD186" s="16">
        <f>SUM(AB186:AC186)</f>
        <v>0</v>
      </c>
      <c r="AE186" s="19">
        <f>FEBRERO!AG186</f>
        <v>0</v>
      </c>
      <c r="AF186" s="377">
        <v>0</v>
      </c>
      <c r="AG186" s="16">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+IF(FEBRERO!S187=0,"",FEBRERO!S187)</f>
        <v>3300200</v>
      </c>
      <c r="T187" s="737" t="str">
        <f>+IF(FEBRERO!T187=0,"",FEBRERO!T187)</f>
        <v>Destinatarios de otras transferencias</v>
      </c>
      <c r="U187" s="29">
        <f t="shared" ref="U187:AM187" si="165">SUM(U188:U190)</f>
        <v>3616464</v>
      </c>
      <c r="V187" s="15">
        <f t="shared" si="165"/>
        <v>0</v>
      </c>
      <c r="W187" s="15">
        <f t="shared" si="165"/>
        <v>5500000</v>
      </c>
      <c r="X187" s="18">
        <f t="shared" si="165"/>
        <v>9116464</v>
      </c>
      <c r="Y187" s="19">
        <f t="shared" si="165"/>
        <v>5135527</v>
      </c>
      <c r="Z187" s="145">
        <f t="shared" si="165"/>
        <v>187904</v>
      </c>
      <c r="AA187" s="16">
        <f t="shared" si="165"/>
        <v>5323431</v>
      </c>
      <c r="AB187" s="19">
        <f t="shared" si="165"/>
        <v>5135527</v>
      </c>
      <c r="AC187" s="145">
        <f t="shared" si="165"/>
        <v>187904</v>
      </c>
      <c r="AD187" s="16">
        <f t="shared" si="165"/>
        <v>5323431</v>
      </c>
      <c r="AE187" s="19">
        <f t="shared" si="165"/>
        <v>0</v>
      </c>
      <c r="AF187" s="145">
        <f t="shared" si="165"/>
        <v>0</v>
      </c>
      <c r="AG187" s="16">
        <f t="shared" si="165"/>
        <v>0</v>
      </c>
      <c r="AH187" s="19">
        <f t="shared" si="165"/>
        <v>3793033</v>
      </c>
      <c r="AI187" s="15">
        <f t="shared" si="165"/>
        <v>3793033</v>
      </c>
      <c r="AJ187" s="16">
        <f t="shared" si="165"/>
        <v>9116464</v>
      </c>
      <c r="AK187" s="9"/>
      <c r="AL187" s="29">
        <f t="shared" si="165"/>
        <v>0</v>
      </c>
      <c r="AM187" s="26">
        <f t="shared" si="165"/>
        <v>0</v>
      </c>
      <c r="AN187" s="9"/>
    </row>
    <row r="188" spans="1:40" s="385" customFormat="1" ht="24.95" customHeight="1" x14ac:dyDescent="0.2">
      <c r="A188" s="767"/>
      <c r="B188" s="669"/>
      <c r="N188" s="9"/>
      <c r="P188" s="9"/>
      <c r="Q188" s="9"/>
      <c r="R188" s="9"/>
      <c r="S188" s="720" t="str">
        <f>+IF(FEBRERO!S188=0,"",FEBRERO!S188)</f>
        <v>3300200-1</v>
      </c>
      <c r="T188" s="737" t="str">
        <f>+IF(FEBRERO!T188=0,"",FEBRERO!T188)</f>
        <v>COHAN</v>
      </c>
      <c r="U188" s="29">
        <f>+ENERO!U188</f>
        <v>793940</v>
      </c>
      <c r="V188" s="15">
        <f>FEBRERO!V188+MARZO!AL188</f>
        <v>0</v>
      </c>
      <c r="W188" s="15">
        <f>FEBRERO!W188+MARZO!AM188</f>
        <v>5500000</v>
      </c>
      <c r="X188" s="18">
        <f>SUM(U188:W188)</f>
        <v>6293940</v>
      </c>
      <c r="Y188" s="19">
        <f>FEBRERO!AA188</f>
        <v>2558127</v>
      </c>
      <c r="Z188" s="377">
        <v>187904</v>
      </c>
      <c r="AA188" s="16">
        <f>SUM(Y188:Z188)</f>
        <v>2746031</v>
      </c>
      <c r="AB188" s="19">
        <f>FEBRERO!AD188</f>
        <v>2558127</v>
      </c>
      <c r="AC188" s="377">
        <v>187904</v>
      </c>
      <c r="AD188" s="16">
        <f>SUM(AB188:AC188)</f>
        <v>2746031</v>
      </c>
      <c r="AE188" s="19">
        <f>FEBRERO!AG188</f>
        <v>0</v>
      </c>
      <c r="AF188" s="377">
        <v>0</v>
      </c>
      <c r="AG188" s="16">
        <f>SUM(AE188:AF188)</f>
        <v>0</v>
      </c>
      <c r="AH188" s="19">
        <f>X188-AA188</f>
        <v>3547909</v>
      </c>
      <c r="AI188" s="15">
        <f>X188-AD188</f>
        <v>3547909</v>
      </c>
      <c r="AJ188" s="16">
        <f>X188-AG188</f>
        <v>6293940</v>
      </c>
      <c r="AK188" s="9"/>
      <c r="AL188" s="375">
        <v>0</v>
      </c>
      <c r="AM188" s="378">
        <v>0</v>
      </c>
      <c r="AN188" s="9"/>
    </row>
    <row r="189" spans="1:40" s="385" customFormat="1" ht="24.95" customHeight="1" x14ac:dyDescent="0.2">
      <c r="A189" s="767"/>
      <c r="B189" s="669"/>
      <c r="N189" s="9"/>
      <c r="P189" s="9"/>
      <c r="Q189" s="9"/>
      <c r="R189" s="9"/>
      <c r="S189" s="720" t="str">
        <f>+IF(FEBRERO!S189=0,"",FEBRERO!S189)</f>
        <v>3300200-2</v>
      </c>
      <c r="T189" s="737" t="str">
        <f>+IF(FEBRERO!T189=0,"",FEBRERO!T189)</f>
        <v>AESA</v>
      </c>
      <c r="U189" s="29">
        <f>+ENERO!U189</f>
        <v>2822524</v>
      </c>
      <c r="V189" s="15">
        <f>FEBRERO!V189+MARZO!AL189</f>
        <v>0</v>
      </c>
      <c r="W189" s="15">
        <f>FEBRERO!W189+MARZO!AM189</f>
        <v>0</v>
      </c>
      <c r="X189" s="18">
        <f>SUM(U189:W189)</f>
        <v>2822524</v>
      </c>
      <c r="Y189" s="19">
        <f>FEBRERO!AA189</f>
        <v>2577400</v>
      </c>
      <c r="Z189" s="377">
        <v>0</v>
      </c>
      <c r="AA189" s="16">
        <f>SUM(Y189:Z189)</f>
        <v>2577400</v>
      </c>
      <c r="AB189" s="19">
        <f>FEBRERO!AD189</f>
        <v>2577400</v>
      </c>
      <c r="AC189" s="377">
        <v>0</v>
      </c>
      <c r="AD189" s="16">
        <f>SUM(AB189:AC189)</f>
        <v>2577400</v>
      </c>
      <c r="AE189" s="19">
        <f>FEBRERO!AG189</f>
        <v>0</v>
      </c>
      <c r="AF189" s="377">
        <v>0</v>
      </c>
      <c r="AG189" s="16">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+IF(FEBRERO!S190=0,"",FEBRERO!S190)</f>
        <v>3300200-3</v>
      </c>
      <c r="T190" s="737" t="str">
        <f>+IF(FEBRERO!T190=0,"",FEBRERO!T190)</f>
        <v xml:space="preserve">OTRAS </v>
      </c>
      <c r="U190" s="29">
        <f>+ENERO!U190</f>
        <v>0</v>
      </c>
      <c r="V190" s="15">
        <f>FEBRERO!V190+MARZO!AL190</f>
        <v>0</v>
      </c>
      <c r="W190" s="15">
        <f>FEBRERO!W190+MARZO!AM190</f>
        <v>0</v>
      </c>
      <c r="X190" s="18">
        <f>SUM(U190:W190)</f>
        <v>0</v>
      </c>
      <c r="Y190" s="19">
        <f>FEBRERO!AA190</f>
        <v>0</v>
      </c>
      <c r="Z190" s="377">
        <v>0</v>
      </c>
      <c r="AA190" s="16">
        <f>SUM(Y190:Z190)</f>
        <v>0</v>
      </c>
      <c r="AB190" s="19">
        <f>FEBRERO!AD190</f>
        <v>0</v>
      </c>
      <c r="AC190" s="377">
        <v>0</v>
      </c>
      <c r="AD190" s="16">
        <f>SUM(AB190:AC190)</f>
        <v>0</v>
      </c>
      <c r="AE190" s="19">
        <f>FEBRERO!AG190</f>
        <v>0</v>
      </c>
      <c r="AF190" s="377">
        <v>0</v>
      </c>
      <c r="AG190" s="16">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+IF(FEBRERO!S191=0,"",FEBRERO!S191)</f>
        <v>3399999</v>
      </c>
      <c r="T191" s="737" t="str">
        <f>+IF(FEBRERO!T191=0,"",FEBRERO!T191)</f>
        <v>Vigencias Anteriores</v>
      </c>
      <c r="U191" s="29">
        <f>+ENERO!U191</f>
        <v>0</v>
      </c>
      <c r="V191" s="15">
        <f>FEBRERO!V191+MARZO!AL191</f>
        <v>0</v>
      </c>
      <c r="W191" s="15">
        <f>FEBRERO!W191+MARZO!AM191</f>
        <v>388382</v>
      </c>
      <c r="X191" s="18">
        <f>SUM(U191:W191)</f>
        <v>388382</v>
      </c>
      <c r="Y191" s="19">
        <f>FEBRERO!AA191</f>
        <v>388382</v>
      </c>
      <c r="Z191" s="377">
        <v>0</v>
      </c>
      <c r="AA191" s="16">
        <f>SUM(Y191:Z191)</f>
        <v>388382</v>
      </c>
      <c r="AB191" s="19">
        <f>FEBRERO!AD191</f>
        <v>388382</v>
      </c>
      <c r="AC191" s="377">
        <v>0</v>
      </c>
      <c r="AD191" s="16">
        <f>SUM(AB191:AC191)</f>
        <v>388382</v>
      </c>
      <c r="AE191" s="19">
        <f>FEBRERO!AG191</f>
        <v>0</v>
      </c>
      <c r="AF191" s="377">
        <v>388382</v>
      </c>
      <c r="AG191" s="16">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+IF(FEBRERO!S192=0,"",FEBRERO!S192)</f>
        <v/>
      </c>
      <c r="T192" s="708" t="str">
        <f>+IF(FEBRERO!T192=0,"",FEBRERO!T192)</f>
        <v/>
      </c>
      <c r="U192" s="370"/>
      <c r="V192" s="164"/>
      <c r="W192" s="164"/>
      <c r="X192" s="164"/>
      <c r="Y192" s="370"/>
      <c r="Z192" s="164"/>
      <c r="AA192" s="169"/>
      <c r="AB192" s="370"/>
      <c r="AC192" s="164"/>
      <c r="AD192" s="169"/>
      <c r="AE192" s="370"/>
      <c r="AF192" s="164"/>
      <c r="AG192" s="169"/>
      <c r="AH192" s="370"/>
      <c r="AI192" s="164"/>
      <c r="AJ192" s="169"/>
      <c r="AK192" s="9"/>
      <c r="AL192" s="175"/>
      <c r="AM192" s="176"/>
      <c r="AN192" s="9"/>
    </row>
    <row r="193" spans="1:40" s="385" customFormat="1" ht="24.95" customHeight="1" x14ac:dyDescent="0.2">
      <c r="A193" s="767"/>
      <c r="B193" s="669"/>
      <c r="N193" s="9"/>
      <c r="P193" s="9"/>
      <c r="Q193" s="9"/>
      <c r="R193" s="9"/>
      <c r="S193" s="717">
        <f>+IF(FEBRERO!S193=0,"",FEBRERO!S193)</f>
        <v>4000000</v>
      </c>
      <c r="T193" s="739" t="str">
        <f>+IF(FEBRERO!T193=0,"",FEBRERO!T193)</f>
        <v>GASTOS  DE PRESTACION DE SERVICIOS</v>
      </c>
      <c r="U193" s="382">
        <f t="shared" ref="U193:AJ193" si="166">U194</f>
        <v>272529328</v>
      </c>
      <c r="V193" s="474">
        <f t="shared" si="166"/>
        <v>0</v>
      </c>
      <c r="W193" s="474">
        <f t="shared" si="166"/>
        <v>135118812</v>
      </c>
      <c r="X193" s="475">
        <f t="shared" si="166"/>
        <v>407648140</v>
      </c>
      <c r="Y193" s="382">
        <f t="shared" si="166"/>
        <v>171555726</v>
      </c>
      <c r="Z193" s="474">
        <f t="shared" si="166"/>
        <v>26064290</v>
      </c>
      <c r="AA193" s="383">
        <f t="shared" si="166"/>
        <v>197620016</v>
      </c>
      <c r="AB193" s="382">
        <f t="shared" si="166"/>
        <v>146412626</v>
      </c>
      <c r="AC193" s="474">
        <f t="shared" si="166"/>
        <v>26702407</v>
      </c>
      <c r="AD193" s="383">
        <f t="shared" si="166"/>
        <v>173115033</v>
      </c>
      <c r="AE193" s="382">
        <f t="shared" si="166"/>
        <v>30805000</v>
      </c>
      <c r="AF193" s="474">
        <f t="shared" si="166"/>
        <v>12579139</v>
      </c>
      <c r="AG193" s="383">
        <f t="shared" si="166"/>
        <v>43384139</v>
      </c>
      <c r="AH193" s="382">
        <f t="shared" si="166"/>
        <v>210028124</v>
      </c>
      <c r="AI193" s="474">
        <f t="shared" si="166"/>
        <v>234533107</v>
      </c>
      <c r="AJ193" s="383">
        <f t="shared" si="166"/>
        <v>364264001</v>
      </c>
      <c r="AK193" s="9"/>
      <c r="AL193" s="131">
        <f>AL194</f>
        <v>0</v>
      </c>
      <c r="AM193" s="133">
        <f>AM194</f>
        <v>0</v>
      </c>
      <c r="AN193" s="9"/>
    </row>
    <row r="194" spans="1:40" s="385" customFormat="1" ht="24.95" customHeight="1" x14ac:dyDescent="0.2">
      <c r="A194" s="767"/>
      <c r="B194" s="669"/>
      <c r="N194" s="9"/>
      <c r="P194" s="9"/>
      <c r="Q194" s="9"/>
      <c r="R194" s="9"/>
      <c r="S194" s="718">
        <f>+IF(FEBRERO!S194=0,"",FEBRERO!S194)</f>
        <v>4100000</v>
      </c>
      <c r="T194" s="736" t="str">
        <f>+IF(FEBRERO!T194=0,"",FEBRERO!T194)</f>
        <v>Insumos y Suministros Hospitalarios</v>
      </c>
      <c r="U194" s="131">
        <f t="shared" ref="U194:AJ194" si="167">U195+U203+U205</f>
        <v>272529328</v>
      </c>
      <c r="V194" s="124">
        <f t="shared" si="167"/>
        <v>0</v>
      </c>
      <c r="W194" s="124">
        <f t="shared" si="167"/>
        <v>135118812</v>
      </c>
      <c r="X194" s="132">
        <f t="shared" si="167"/>
        <v>407648140</v>
      </c>
      <c r="Y194" s="131">
        <f t="shared" si="167"/>
        <v>171555726</v>
      </c>
      <c r="Z194" s="124">
        <f t="shared" si="167"/>
        <v>26064290</v>
      </c>
      <c r="AA194" s="133">
        <f t="shared" si="167"/>
        <v>197620016</v>
      </c>
      <c r="AB194" s="131">
        <f t="shared" si="167"/>
        <v>146412626</v>
      </c>
      <c r="AC194" s="124">
        <f t="shared" si="167"/>
        <v>26702407</v>
      </c>
      <c r="AD194" s="133">
        <f t="shared" si="167"/>
        <v>173115033</v>
      </c>
      <c r="AE194" s="131">
        <f t="shared" si="167"/>
        <v>30805000</v>
      </c>
      <c r="AF194" s="124">
        <f t="shared" si="167"/>
        <v>12579139</v>
      </c>
      <c r="AG194" s="133">
        <f t="shared" si="167"/>
        <v>43384139</v>
      </c>
      <c r="AH194" s="131">
        <f t="shared" si="167"/>
        <v>210028124</v>
      </c>
      <c r="AI194" s="124">
        <f t="shared" si="167"/>
        <v>234533107</v>
      </c>
      <c r="AJ194" s="133">
        <f t="shared" si="167"/>
        <v>364264001</v>
      </c>
      <c r="AK194" s="10"/>
      <c r="AL194" s="131">
        <f>AL195+AL203+AL205</f>
        <v>0</v>
      </c>
      <c r="AM194" s="133">
        <f>AM195+AM203+AM205</f>
        <v>0</v>
      </c>
      <c r="AN194" s="9"/>
    </row>
    <row r="195" spans="1:40" s="385" customFormat="1" ht="24.95" customHeight="1" x14ac:dyDescent="0.2">
      <c r="A195" s="767"/>
      <c r="B195" s="669"/>
      <c r="N195" s="9"/>
      <c r="P195" s="9"/>
      <c r="Q195" s="9"/>
      <c r="R195" s="9"/>
      <c r="S195" s="719">
        <f>+IF(FEBRERO!S195=0,"",FEBRERO!S195)</f>
        <v>4100100</v>
      </c>
      <c r="T195" s="737" t="str">
        <f>+IF(FEBRERO!T195=0,"",FEBRERO!T195)</f>
        <v>Compra de Bienes para la Prestacion de servicios</v>
      </c>
      <c r="U195" s="29">
        <f t="shared" ref="U195:AJ195" si="168">SUM(U196:U202)</f>
        <v>240561284</v>
      </c>
      <c r="V195" s="15">
        <f t="shared" si="168"/>
        <v>0</v>
      </c>
      <c r="W195" s="15">
        <f t="shared" si="168"/>
        <v>43282880</v>
      </c>
      <c r="X195" s="18">
        <f t="shared" si="168"/>
        <v>283844164</v>
      </c>
      <c r="Y195" s="19">
        <f t="shared" si="168"/>
        <v>76170394</v>
      </c>
      <c r="Z195" s="145">
        <f t="shared" si="168"/>
        <v>21555590</v>
      </c>
      <c r="AA195" s="16">
        <f t="shared" si="168"/>
        <v>97725984</v>
      </c>
      <c r="AB195" s="19">
        <f t="shared" si="168"/>
        <v>51027294</v>
      </c>
      <c r="AC195" s="145">
        <f t="shared" si="168"/>
        <v>22193707</v>
      </c>
      <c r="AD195" s="16">
        <f t="shared" si="168"/>
        <v>73221001</v>
      </c>
      <c r="AE195" s="19">
        <f t="shared" si="168"/>
        <v>275000</v>
      </c>
      <c r="AF195" s="145">
        <f t="shared" si="168"/>
        <v>2826578</v>
      </c>
      <c r="AG195" s="16">
        <f t="shared" si="168"/>
        <v>3101578</v>
      </c>
      <c r="AH195" s="19">
        <f t="shared" si="168"/>
        <v>186118180</v>
      </c>
      <c r="AI195" s="15">
        <f t="shared" si="168"/>
        <v>210623163</v>
      </c>
      <c r="AJ195" s="16">
        <f t="shared" si="168"/>
        <v>280742586</v>
      </c>
      <c r="AK195" s="9"/>
      <c r="AL195" s="29">
        <f>SUM(AL196:AL202)</f>
        <v>0</v>
      </c>
      <c r="AM195" s="26">
        <f>SUM(AM196:AM202)</f>
        <v>0</v>
      </c>
      <c r="AN195" s="9"/>
    </row>
    <row r="196" spans="1:40" s="385" customFormat="1" ht="24.95" customHeight="1" x14ac:dyDescent="0.2">
      <c r="A196" s="767"/>
      <c r="B196" s="669"/>
      <c r="N196" s="9"/>
      <c r="P196" s="9"/>
      <c r="Q196" s="9"/>
      <c r="R196" s="9"/>
      <c r="S196" s="720" t="str">
        <f>+IF(FEBRERO!S196=0,"",FEBRERO!S196)</f>
        <v>4100100-1</v>
      </c>
      <c r="T196" s="738" t="str">
        <f>+IF(FEBRERO!T196=0,"",FEBRERO!T196)</f>
        <v>Productos Farmaceuticos</v>
      </c>
      <c r="U196" s="29">
        <f>+ENERO!U196</f>
        <v>145961721</v>
      </c>
      <c r="V196" s="15">
        <f>FEBRERO!V196+MARZO!AL196</f>
        <v>0</v>
      </c>
      <c r="W196" s="15">
        <f>FEBRERO!W196+MARZO!AM196</f>
        <v>41282880</v>
      </c>
      <c r="X196" s="18">
        <f t="shared" ref="X196:X202" si="169">SUM(U196:W196)</f>
        <v>187244601</v>
      </c>
      <c r="Y196" s="19">
        <f>FEBRERO!AA196</f>
        <v>56498915</v>
      </c>
      <c r="Z196" s="377">
        <v>14007983</v>
      </c>
      <c r="AA196" s="16">
        <f t="shared" ref="AA196:AA202" si="170">SUM(Y196:Z196)</f>
        <v>70506898</v>
      </c>
      <c r="AB196" s="19">
        <f>FEBRERO!AD196</f>
        <v>31355815</v>
      </c>
      <c r="AC196" s="377">
        <v>14646100</v>
      </c>
      <c r="AD196" s="16">
        <f t="shared" ref="AD196:AD202" si="171">SUM(AB196:AC196)</f>
        <v>46001915</v>
      </c>
      <c r="AE196" s="19">
        <f>FEBRERO!AG196</f>
        <v>275000</v>
      </c>
      <c r="AF196" s="377">
        <v>2536814</v>
      </c>
      <c r="AG196" s="16">
        <f t="shared" ref="AG196:AG202" si="172">SUM(AE196:AF196)</f>
        <v>2811814</v>
      </c>
      <c r="AH196" s="19">
        <f t="shared" ref="AH196:AH202" si="173">X196-AA196</f>
        <v>116737703</v>
      </c>
      <c r="AI196" s="15">
        <f t="shared" ref="AI196:AI202" si="174">X196-AD196</f>
        <v>141242686</v>
      </c>
      <c r="AJ196" s="16">
        <f t="shared" ref="AJ196:AJ202" si="175">X196-AG196</f>
        <v>184432787</v>
      </c>
      <c r="AK196" s="9"/>
      <c r="AL196" s="375">
        <v>0</v>
      </c>
      <c r="AM196" s="378">
        <v>0</v>
      </c>
      <c r="AN196" s="9"/>
    </row>
    <row r="197" spans="1:40" s="385" customFormat="1" ht="24.95" customHeight="1" x14ac:dyDescent="0.2">
      <c r="A197" s="767"/>
      <c r="B197" s="669"/>
      <c r="N197" s="9"/>
      <c r="P197" s="9"/>
      <c r="Q197" s="9"/>
      <c r="R197" s="9"/>
      <c r="S197" s="720" t="str">
        <f>+IF(FEBRERO!S197=0,"",FEBRERO!S197)</f>
        <v>4100100-2</v>
      </c>
      <c r="T197" s="738" t="str">
        <f>+IF(FEBRERO!T197=0,"",FEBRERO!T197)</f>
        <v>Material Médico Quirúrgico</v>
      </c>
      <c r="U197" s="29">
        <f>+ENERO!U197</f>
        <v>49263202</v>
      </c>
      <c r="V197" s="15">
        <f>FEBRERO!V197+MARZO!AL197</f>
        <v>0</v>
      </c>
      <c r="W197" s="15">
        <f>FEBRERO!W197+MARZO!AM197</f>
        <v>0</v>
      </c>
      <c r="X197" s="18">
        <f t="shared" si="169"/>
        <v>49263202</v>
      </c>
      <c r="Y197" s="19">
        <f>FEBRERO!AA197</f>
        <v>11258744</v>
      </c>
      <c r="Z197" s="377">
        <v>3552482</v>
      </c>
      <c r="AA197" s="16">
        <f t="shared" si="170"/>
        <v>14811226</v>
      </c>
      <c r="AB197" s="19">
        <f>FEBRERO!AD197</f>
        <v>11258744</v>
      </c>
      <c r="AC197" s="377">
        <v>3552482</v>
      </c>
      <c r="AD197" s="16">
        <f t="shared" si="171"/>
        <v>14811226</v>
      </c>
      <c r="AE197" s="19">
        <f>FEBRERO!AG197</f>
        <v>0</v>
      </c>
      <c r="AF197" s="377">
        <v>0</v>
      </c>
      <c r="AG197" s="16">
        <f t="shared" si="172"/>
        <v>0</v>
      </c>
      <c r="AH197" s="19">
        <f t="shared" si="173"/>
        <v>34451976</v>
      </c>
      <c r="AI197" s="15">
        <f t="shared" si="174"/>
        <v>34451976</v>
      </c>
      <c r="AJ197" s="16">
        <f t="shared" si="175"/>
        <v>49263202</v>
      </c>
      <c r="AK197" s="9"/>
      <c r="AL197" s="375">
        <v>0</v>
      </c>
      <c r="AM197" s="378">
        <v>0</v>
      </c>
      <c r="AN197" s="9"/>
    </row>
    <row r="198" spans="1:40" s="385" customFormat="1" ht="24.95" customHeight="1" x14ac:dyDescent="0.2">
      <c r="A198" s="767"/>
      <c r="B198" s="669"/>
      <c r="N198" s="9"/>
      <c r="P198" s="9"/>
      <c r="Q198" s="9"/>
      <c r="R198" s="9"/>
      <c r="S198" s="720" t="str">
        <f>+IF(FEBRERO!S198=0,"",FEBRERO!S198)</f>
        <v>4100100-3</v>
      </c>
      <c r="T198" s="738" t="str">
        <f>+IF(FEBRERO!T198=0,"",FEBRERO!T198)</f>
        <v>Material de Laboratorio</v>
      </c>
      <c r="U198" s="29">
        <f>+ENERO!U198</f>
        <v>20729510</v>
      </c>
      <c r="V198" s="15">
        <f>FEBRERO!V198+MARZO!AL198</f>
        <v>0</v>
      </c>
      <c r="W198" s="15">
        <f>FEBRERO!W198+MARZO!AM198</f>
        <v>0</v>
      </c>
      <c r="X198" s="18">
        <f t="shared" si="169"/>
        <v>20729510</v>
      </c>
      <c r="Y198" s="19">
        <f>FEBRERO!AA198</f>
        <v>4375915</v>
      </c>
      <c r="Z198" s="377">
        <v>3526096</v>
      </c>
      <c r="AA198" s="16">
        <f t="shared" si="170"/>
        <v>7902011</v>
      </c>
      <c r="AB198" s="19">
        <f>FEBRERO!AD198</f>
        <v>4375915</v>
      </c>
      <c r="AC198" s="377">
        <v>3526096</v>
      </c>
      <c r="AD198" s="16">
        <f t="shared" si="171"/>
        <v>7902011</v>
      </c>
      <c r="AE198" s="19">
        <f>FEBRERO!AG198</f>
        <v>0</v>
      </c>
      <c r="AF198" s="377">
        <v>0</v>
      </c>
      <c r="AG198" s="16">
        <f t="shared" si="172"/>
        <v>0</v>
      </c>
      <c r="AH198" s="19">
        <f t="shared" si="173"/>
        <v>12827499</v>
      </c>
      <c r="AI198" s="15">
        <f t="shared" si="174"/>
        <v>12827499</v>
      </c>
      <c r="AJ198" s="16">
        <f t="shared" si="175"/>
        <v>20729510</v>
      </c>
      <c r="AK198" s="9"/>
      <c r="AL198" s="375">
        <v>0</v>
      </c>
      <c r="AM198" s="378">
        <v>0</v>
      </c>
      <c r="AN198" s="9"/>
    </row>
    <row r="199" spans="1:40" s="385" customFormat="1" ht="24.95" customHeight="1" x14ac:dyDescent="0.2">
      <c r="A199" s="767"/>
      <c r="B199" s="669"/>
      <c r="N199" s="9"/>
      <c r="P199" s="9"/>
      <c r="Q199" s="9"/>
      <c r="R199" s="9"/>
      <c r="S199" s="720" t="str">
        <f>+IF(FEBRERO!S199=0,"",FEBRERO!S199)</f>
        <v>4100100-4</v>
      </c>
      <c r="T199" s="738" t="str">
        <f>+IF(FEBRERO!T199=0,"",FEBRERO!T199)</f>
        <v>Material para Odontologia</v>
      </c>
      <c r="U199" s="29">
        <f>+ENERO!U199</f>
        <v>22568185</v>
      </c>
      <c r="V199" s="15">
        <f>FEBRERO!V199+MARZO!AL199</f>
        <v>0</v>
      </c>
      <c r="W199" s="15">
        <f>FEBRERO!W199+MARZO!AM199</f>
        <v>0</v>
      </c>
      <c r="X199" s="18">
        <f t="shared" si="169"/>
        <v>22568185</v>
      </c>
      <c r="Y199" s="19">
        <f>FEBRERO!AA199</f>
        <v>4036820</v>
      </c>
      <c r="Z199" s="377">
        <v>469029</v>
      </c>
      <c r="AA199" s="16">
        <f t="shared" si="170"/>
        <v>4505849</v>
      </c>
      <c r="AB199" s="19">
        <f>FEBRERO!AD199</f>
        <v>4036820</v>
      </c>
      <c r="AC199" s="377">
        <v>469029</v>
      </c>
      <c r="AD199" s="16">
        <f t="shared" si="171"/>
        <v>4505849</v>
      </c>
      <c r="AE199" s="19">
        <f>FEBRERO!AG199</f>
        <v>0</v>
      </c>
      <c r="AF199" s="377">
        <v>289764</v>
      </c>
      <c r="AG199" s="16">
        <f t="shared" si="172"/>
        <v>289764</v>
      </c>
      <c r="AH199" s="19">
        <f t="shared" si="173"/>
        <v>18062336</v>
      </c>
      <c r="AI199" s="15">
        <f t="shared" si="174"/>
        <v>18062336</v>
      </c>
      <c r="AJ199" s="16">
        <f t="shared" si="175"/>
        <v>22278421</v>
      </c>
      <c r="AK199" s="9"/>
      <c r="AL199" s="375">
        <v>0</v>
      </c>
      <c r="AM199" s="378">
        <v>0</v>
      </c>
      <c r="AN199" s="9"/>
    </row>
    <row r="200" spans="1:40" s="385" customFormat="1" ht="24.95" customHeight="1" x14ac:dyDescent="0.2">
      <c r="A200" s="767"/>
      <c r="B200" s="669"/>
      <c r="N200" s="9"/>
      <c r="P200" s="9"/>
      <c r="Q200" s="9"/>
      <c r="R200" s="9"/>
      <c r="S200" s="720" t="str">
        <f>+IF(FEBRERO!S200=0,"",FEBRERO!S200)</f>
        <v>4100100-5</v>
      </c>
      <c r="T200" s="738" t="str">
        <f>+IF(FEBRERO!T200=0,"",FEBRERO!T200)</f>
        <v>Material para Rayos X</v>
      </c>
      <c r="U200" s="29">
        <f>+ENERO!U200</f>
        <v>2038666</v>
      </c>
      <c r="V200" s="15">
        <f>FEBRERO!V200+MARZO!AL200</f>
        <v>0</v>
      </c>
      <c r="W200" s="15">
        <f>FEBRERO!W200+MARZO!AM200</f>
        <v>2000000</v>
      </c>
      <c r="X200" s="18">
        <f t="shared" si="169"/>
        <v>4038666</v>
      </c>
      <c r="Y200" s="19">
        <f>FEBRERO!AA200</f>
        <v>0</v>
      </c>
      <c r="Z200" s="377">
        <v>0</v>
      </c>
      <c r="AA200" s="16">
        <f t="shared" si="170"/>
        <v>0</v>
      </c>
      <c r="AB200" s="19">
        <f>FEBRERO!AD200</f>
        <v>0</v>
      </c>
      <c r="AC200" s="377">
        <v>0</v>
      </c>
      <c r="AD200" s="16">
        <f t="shared" si="171"/>
        <v>0</v>
      </c>
      <c r="AE200" s="19">
        <f>FEBRERO!AG200</f>
        <v>0</v>
      </c>
      <c r="AF200" s="377">
        <v>0</v>
      </c>
      <c r="AG200" s="16">
        <f t="shared" si="172"/>
        <v>0</v>
      </c>
      <c r="AH200" s="19">
        <f t="shared" si="173"/>
        <v>4038666</v>
      </c>
      <c r="AI200" s="15">
        <f t="shared" si="174"/>
        <v>4038666</v>
      </c>
      <c r="AJ200" s="16">
        <f t="shared" si="175"/>
        <v>4038666</v>
      </c>
      <c r="AK200" s="9"/>
      <c r="AL200" s="375">
        <v>0</v>
      </c>
      <c r="AM200" s="378">
        <v>0</v>
      </c>
      <c r="AN200" s="9"/>
    </row>
    <row r="201" spans="1:40" s="385" customFormat="1" ht="24.95" customHeight="1" x14ac:dyDescent="0.2">
      <c r="A201" s="767"/>
      <c r="B201" s="669"/>
      <c r="N201" s="9"/>
      <c r="P201" s="9"/>
      <c r="Q201" s="9"/>
      <c r="R201" s="9"/>
      <c r="S201" s="720" t="str">
        <f>+IF(FEBRERO!S201=0,"",FEBRERO!S201)</f>
        <v/>
      </c>
      <c r="T201" s="738" t="str">
        <f>+IF(FEBRERO!T201=0,"",FEBRERO!T201)</f>
        <v/>
      </c>
      <c r="U201" s="29">
        <f>+ENERO!U201</f>
        <v>0</v>
      </c>
      <c r="V201" s="15">
        <f>FEBRERO!V201+MARZO!AL201</f>
        <v>0</v>
      </c>
      <c r="W201" s="15">
        <f>FEBRERO!W201+MARZO!AM201</f>
        <v>0</v>
      </c>
      <c r="X201" s="18">
        <f t="shared" si="169"/>
        <v>0</v>
      </c>
      <c r="Y201" s="19">
        <f>FEBRERO!AA201</f>
        <v>0</v>
      </c>
      <c r="Z201" s="377">
        <v>0</v>
      </c>
      <c r="AA201" s="16">
        <f t="shared" si="170"/>
        <v>0</v>
      </c>
      <c r="AB201" s="19">
        <f>FEBRERO!AD201</f>
        <v>0</v>
      </c>
      <c r="AC201" s="377">
        <v>0</v>
      </c>
      <c r="AD201" s="16">
        <f t="shared" si="171"/>
        <v>0</v>
      </c>
      <c r="AE201" s="19">
        <f>FEBRERO!AG201</f>
        <v>0</v>
      </c>
      <c r="AF201" s="377">
        <v>0</v>
      </c>
      <c r="AG201" s="16">
        <f t="shared" si="172"/>
        <v>0</v>
      </c>
      <c r="AH201" s="19">
        <f t="shared" si="173"/>
        <v>0</v>
      </c>
      <c r="AI201" s="15">
        <f t="shared" si="174"/>
        <v>0</v>
      </c>
      <c r="AJ201" s="16">
        <f t="shared" si="175"/>
        <v>0</v>
      </c>
      <c r="AK201" s="9"/>
      <c r="AL201" s="375">
        <v>0</v>
      </c>
      <c r="AM201" s="378">
        <v>0</v>
      </c>
      <c r="AN201" s="9"/>
    </row>
    <row r="202" spans="1:40" s="385" customFormat="1" ht="24.95" customHeight="1" x14ac:dyDescent="0.2">
      <c r="A202" s="767"/>
      <c r="B202" s="669"/>
      <c r="N202" s="9"/>
      <c r="P202" s="9"/>
      <c r="Q202" s="9"/>
      <c r="R202" s="9"/>
      <c r="S202" s="720" t="str">
        <f>+IF(FEBRERO!S202=0,"",FEBRERO!S202)</f>
        <v/>
      </c>
      <c r="T202" s="738" t="str">
        <f>+IF(FEBRERO!T202=0,"",FEBRERO!T202)</f>
        <v/>
      </c>
      <c r="U202" s="29">
        <f>+ENERO!U202</f>
        <v>0</v>
      </c>
      <c r="V202" s="15">
        <f>FEBRERO!V202+MARZO!AL202</f>
        <v>0</v>
      </c>
      <c r="W202" s="15">
        <f>FEBRERO!W202+MARZO!AM202</f>
        <v>0</v>
      </c>
      <c r="X202" s="18">
        <f t="shared" si="169"/>
        <v>0</v>
      </c>
      <c r="Y202" s="19">
        <f>FEBRERO!AA202</f>
        <v>0</v>
      </c>
      <c r="Z202" s="377">
        <v>0</v>
      </c>
      <c r="AA202" s="16">
        <f t="shared" si="170"/>
        <v>0</v>
      </c>
      <c r="AB202" s="19">
        <f>FEBRERO!AD202</f>
        <v>0</v>
      </c>
      <c r="AC202" s="377">
        <v>0</v>
      </c>
      <c r="AD202" s="16">
        <f t="shared" si="171"/>
        <v>0</v>
      </c>
      <c r="AE202" s="19">
        <f>FEBRERO!AG202</f>
        <v>0</v>
      </c>
      <c r="AF202" s="377">
        <v>0</v>
      </c>
      <c r="AG202" s="16">
        <f t="shared" si="172"/>
        <v>0</v>
      </c>
      <c r="AH202" s="19">
        <f t="shared" si="173"/>
        <v>0</v>
      </c>
      <c r="AI202" s="15">
        <f t="shared" si="174"/>
        <v>0</v>
      </c>
      <c r="AJ202" s="16">
        <f t="shared" si="175"/>
        <v>0</v>
      </c>
      <c r="AK202" s="9"/>
      <c r="AL202" s="375">
        <v>0</v>
      </c>
      <c r="AM202" s="378">
        <v>0</v>
      </c>
      <c r="AN202" s="9"/>
    </row>
    <row r="203" spans="1:40" s="385" customFormat="1" ht="24.95" customHeight="1" x14ac:dyDescent="0.2">
      <c r="A203" s="767"/>
      <c r="B203" s="669"/>
      <c r="N203" s="9"/>
      <c r="P203" s="9"/>
      <c r="Q203" s="9"/>
      <c r="R203" s="9"/>
      <c r="S203" s="719">
        <f>+IF(FEBRERO!S203=0,"",FEBRERO!S203)</f>
        <v>4100200</v>
      </c>
      <c r="T203" s="737" t="str">
        <f>+IF(FEBRERO!T203=0,"",FEBRERO!T203)</f>
        <v>Gastos Complementarios e Intermedios</v>
      </c>
      <c r="U203" s="29">
        <f t="shared" ref="U203:AJ203" si="176">U204</f>
        <v>31968044</v>
      </c>
      <c r="V203" s="15">
        <f t="shared" si="176"/>
        <v>0</v>
      </c>
      <c r="W203" s="15">
        <f t="shared" si="176"/>
        <v>0</v>
      </c>
      <c r="X203" s="18">
        <f t="shared" si="176"/>
        <v>31968044</v>
      </c>
      <c r="Y203" s="19">
        <f t="shared" si="176"/>
        <v>3549400</v>
      </c>
      <c r="Z203" s="145">
        <f t="shared" si="176"/>
        <v>4508700</v>
      </c>
      <c r="AA203" s="16">
        <f t="shared" si="176"/>
        <v>8058100</v>
      </c>
      <c r="AB203" s="19">
        <f t="shared" si="176"/>
        <v>3549400</v>
      </c>
      <c r="AC203" s="145">
        <f t="shared" si="176"/>
        <v>4508700</v>
      </c>
      <c r="AD203" s="16">
        <f t="shared" si="176"/>
        <v>8058100</v>
      </c>
      <c r="AE203" s="19">
        <f t="shared" si="176"/>
        <v>2877500</v>
      </c>
      <c r="AF203" s="145">
        <f t="shared" si="176"/>
        <v>2062400</v>
      </c>
      <c r="AG203" s="16">
        <f t="shared" si="176"/>
        <v>4939900</v>
      </c>
      <c r="AH203" s="19">
        <f t="shared" si="176"/>
        <v>23909944</v>
      </c>
      <c r="AI203" s="15">
        <f t="shared" si="176"/>
        <v>23909944</v>
      </c>
      <c r="AJ203" s="16">
        <f t="shared" si="176"/>
        <v>27028144</v>
      </c>
      <c r="AK203" s="9"/>
      <c r="AL203" s="29">
        <f>AL204</f>
        <v>0</v>
      </c>
      <c r="AM203" s="26">
        <f>AM204</f>
        <v>0</v>
      </c>
      <c r="AN203" s="9"/>
    </row>
    <row r="204" spans="1:40" s="385" customFormat="1" ht="24.95" customHeight="1" x14ac:dyDescent="0.2">
      <c r="A204" s="767"/>
      <c r="B204" s="669"/>
      <c r="N204" s="9"/>
      <c r="P204" s="9"/>
      <c r="Q204" s="9"/>
      <c r="R204" s="9"/>
      <c r="S204" s="720" t="str">
        <f>+IF(FEBRERO!S204=0,"",FEBRERO!S204)</f>
        <v>4100200-1</v>
      </c>
      <c r="T204" s="738" t="str">
        <f>+IF(FEBRERO!T204=0,"",FEBRERO!T204)</f>
        <v>Alimentación</v>
      </c>
      <c r="U204" s="29">
        <f>+ENERO!U204</f>
        <v>31968044</v>
      </c>
      <c r="V204" s="15">
        <f>FEBRERO!V204+MARZO!AL204</f>
        <v>0</v>
      </c>
      <c r="W204" s="15">
        <f>FEBRERO!W204+MARZO!AM204</f>
        <v>0</v>
      </c>
      <c r="X204" s="18">
        <f>SUM(U204:W204)</f>
        <v>31968044</v>
      </c>
      <c r="Y204" s="19">
        <f>FEBRERO!AA204</f>
        <v>3549400</v>
      </c>
      <c r="Z204" s="377">
        <v>4508700</v>
      </c>
      <c r="AA204" s="16">
        <f>SUM(Y204:Z204)</f>
        <v>8058100</v>
      </c>
      <c r="AB204" s="19">
        <f>FEBRERO!AD204</f>
        <v>3549400</v>
      </c>
      <c r="AC204" s="377">
        <v>4508700</v>
      </c>
      <c r="AD204" s="16">
        <f>SUM(AB204:AC204)</f>
        <v>8058100</v>
      </c>
      <c r="AE204" s="19">
        <f>FEBRERO!AG204</f>
        <v>2877500</v>
      </c>
      <c r="AF204" s="377">
        <v>2062400</v>
      </c>
      <c r="AG204" s="16">
        <f>SUM(AE204:AF204)</f>
        <v>4939900</v>
      </c>
      <c r="AH204" s="19">
        <f>X204-AA204</f>
        <v>23909944</v>
      </c>
      <c r="AI204" s="15">
        <f>X204-AD204</f>
        <v>23909944</v>
      </c>
      <c r="AJ204" s="16">
        <f>X204-AG204</f>
        <v>27028144</v>
      </c>
      <c r="AK204" s="9"/>
      <c r="AL204" s="375">
        <v>0</v>
      </c>
      <c r="AM204" s="378">
        <v>0</v>
      </c>
      <c r="AN204" s="9"/>
    </row>
    <row r="205" spans="1:40" s="385" customFormat="1" ht="24.95" customHeight="1" thickBot="1" x14ac:dyDescent="0.25">
      <c r="A205" s="767"/>
      <c r="B205" s="669"/>
      <c r="N205" s="9"/>
      <c r="P205" s="9"/>
      <c r="Q205" s="9"/>
      <c r="R205" s="9"/>
      <c r="S205" s="724">
        <f>+IF(FEBRERO!S205=0,"",FEBRERO!S205)</f>
        <v>4199999</v>
      </c>
      <c r="T205" s="740" t="str">
        <f>+IF(FEBRERO!T205=0,"",FEBRERO!T205)</f>
        <v>Vigencias Anteriores</v>
      </c>
      <c r="U205" s="194">
        <f>+ENERO!U205</f>
        <v>0</v>
      </c>
      <c r="V205" s="123">
        <f>FEBRERO!V205+MARZO!AL205</f>
        <v>0</v>
      </c>
      <c r="W205" s="123">
        <f>FEBRERO!W205+MARZO!AM205</f>
        <v>91835932</v>
      </c>
      <c r="X205" s="129">
        <f>SUM(U205:W205)</f>
        <v>91835932</v>
      </c>
      <c r="Y205" s="127">
        <f>FEBRERO!AA205</f>
        <v>91835932</v>
      </c>
      <c r="Z205" s="391">
        <v>0</v>
      </c>
      <c r="AA205" s="128">
        <f>SUM(Y205:Z205)</f>
        <v>91835932</v>
      </c>
      <c r="AB205" s="127">
        <f>FEBRERO!AD205</f>
        <v>91835932</v>
      </c>
      <c r="AC205" s="391">
        <v>0</v>
      </c>
      <c r="AD205" s="128">
        <f>SUM(AB205:AC205)</f>
        <v>91835932</v>
      </c>
      <c r="AE205" s="127">
        <f>FEBRERO!AG205</f>
        <v>27652500</v>
      </c>
      <c r="AF205" s="391">
        <v>7690161</v>
      </c>
      <c r="AG205" s="128">
        <f>SUM(AE205:AF205)</f>
        <v>35342661</v>
      </c>
      <c r="AH205" s="127">
        <f>X205-AA205</f>
        <v>0</v>
      </c>
      <c r="AI205" s="123">
        <f>X205-AD205</f>
        <v>0</v>
      </c>
      <c r="AJ205" s="128">
        <f>X205-AG205</f>
        <v>56493271</v>
      </c>
      <c r="AK205" s="9"/>
      <c r="AL205" s="387">
        <v>0</v>
      </c>
      <c r="AM205" s="392">
        <v>0</v>
      </c>
      <c r="AN205" s="9"/>
    </row>
    <row r="206" spans="1:40" s="385" customFormat="1" ht="24.95" customHeight="1" x14ac:dyDescent="0.2">
      <c r="A206" s="767"/>
      <c r="B206" s="669"/>
      <c r="N206" s="9"/>
      <c r="P206" s="9"/>
      <c r="Q206" s="9"/>
      <c r="R206" s="9"/>
      <c r="S206" s="492" t="str">
        <f>+IF(FEBRERO!S206=0,"",FEBRERO!S206)</f>
        <v/>
      </c>
      <c r="T206" s="700" t="str">
        <f>+IF(FEBRERO!T206=0,"",FEBRERO!T206)</f>
        <v/>
      </c>
      <c r="U206" s="170"/>
      <c r="V206" s="170"/>
      <c r="W206" s="170"/>
      <c r="X206" s="170"/>
      <c r="Y206" s="493"/>
      <c r="Z206" s="170"/>
      <c r="AA206" s="171"/>
      <c r="AB206" s="493"/>
      <c r="AC206" s="170"/>
      <c r="AD206" s="171"/>
      <c r="AE206" s="493"/>
      <c r="AF206" s="170"/>
      <c r="AG206" s="171"/>
      <c r="AH206" s="493"/>
      <c r="AI206" s="170"/>
      <c r="AJ206" s="171"/>
      <c r="AK206" s="9"/>
      <c r="AL206" s="494"/>
      <c r="AM206" s="495"/>
      <c r="AN206" s="9"/>
    </row>
    <row r="207" spans="1:40" s="385" customFormat="1" ht="24.95" customHeight="1" x14ac:dyDescent="0.2">
      <c r="A207" s="767"/>
      <c r="B207" s="669"/>
      <c r="N207" s="9"/>
      <c r="P207" s="9"/>
      <c r="Q207" s="9"/>
      <c r="R207" s="9"/>
      <c r="S207" s="511" t="str">
        <f>+IF(FEBRERO!S207=0,"",FEBRERO!S207)</f>
        <v>B</v>
      </c>
      <c r="T207" s="709" t="str">
        <f>+IF(FEBRERO!T207=0,"",FEBRERO!T207)</f>
        <v>GASTOS DE OPERACION COMERCIAL</v>
      </c>
      <c r="U207" s="473">
        <f t="shared" ref="U207:AJ207" si="177">U209</f>
        <v>0</v>
      </c>
      <c r="V207" s="474">
        <f t="shared" si="177"/>
        <v>0</v>
      </c>
      <c r="W207" s="474">
        <f t="shared" si="177"/>
        <v>0</v>
      </c>
      <c r="X207" s="475">
        <f t="shared" si="177"/>
        <v>0</v>
      </c>
      <c r="Y207" s="382">
        <f t="shared" si="177"/>
        <v>0</v>
      </c>
      <c r="Z207" s="474">
        <f t="shared" si="177"/>
        <v>0</v>
      </c>
      <c r="AA207" s="383">
        <f t="shared" si="177"/>
        <v>0</v>
      </c>
      <c r="AB207" s="382">
        <f t="shared" si="177"/>
        <v>0</v>
      </c>
      <c r="AC207" s="474">
        <f t="shared" si="177"/>
        <v>0</v>
      </c>
      <c r="AD207" s="383">
        <f t="shared" si="177"/>
        <v>0</v>
      </c>
      <c r="AE207" s="382">
        <f t="shared" si="177"/>
        <v>0</v>
      </c>
      <c r="AF207" s="474">
        <f t="shared" si="177"/>
        <v>0</v>
      </c>
      <c r="AG207" s="383">
        <f t="shared" si="177"/>
        <v>0</v>
      </c>
      <c r="AH207" s="382">
        <f t="shared" si="177"/>
        <v>0</v>
      </c>
      <c r="AI207" s="474">
        <f t="shared" si="177"/>
        <v>0</v>
      </c>
      <c r="AJ207" s="383">
        <f t="shared" si="177"/>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370"/>
      <c r="Z208" s="164"/>
      <c r="AA208" s="169"/>
      <c r="AB208" s="370"/>
      <c r="AC208" s="164"/>
      <c r="AD208" s="169"/>
      <c r="AE208" s="370"/>
      <c r="AF208" s="164"/>
      <c r="AG208" s="169"/>
      <c r="AH208" s="370"/>
      <c r="AI208" s="164"/>
      <c r="AJ208" s="169"/>
      <c r="AK208" s="9"/>
      <c r="AL208" s="499"/>
      <c r="AM208" s="500"/>
      <c r="AN208" s="9"/>
    </row>
    <row r="209" spans="1:40" s="385" customFormat="1" ht="24.95" customHeight="1" x14ac:dyDescent="0.2">
      <c r="A209" s="767"/>
      <c r="B209" s="669"/>
      <c r="N209" s="9"/>
      <c r="P209" s="9"/>
      <c r="Q209" s="9"/>
      <c r="R209" s="9"/>
      <c r="S209" s="717">
        <f>+IF(FEBRERO!S209=0,"",FEBRERO!S209)</f>
        <v>5000000</v>
      </c>
      <c r="T209" s="741" t="str">
        <f>+IF(FEBRERO!T209=0,"",FEBRERO!T209)</f>
        <v>GASTOS DE COMERCIALIZACION</v>
      </c>
      <c r="U209" s="473">
        <f t="shared" ref="U209:AJ209" si="178">U210</f>
        <v>0</v>
      </c>
      <c r="V209" s="474">
        <f t="shared" si="178"/>
        <v>0</v>
      </c>
      <c r="W209" s="474">
        <f t="shared" si="178"/>
        <v>0</v>
      </c>
      <c r="X209" s="475">
        <f t="shared" si="178"/>
        <v>0</v>
      </c>
      <c r="Y209" s="382">
        <f t="shared" si="178"/>
        <v>0</v>
      </c>
      <c r="Z209" s="474">
        <f t="shared" si="178"/>
        <v>0</v>
      </c>
      <c r="AA209" s="383">
        <f t="shared" si="178"/>
        <v>0</v>
      </c>
      <c r="AB209" s="382">
        <f t="shared" si="178"/>
        <v>0</v>
      </c>
      <c r="AC209" s="474">
        <f t="shared" si="178"/>
        <v>0</v>
      </c>
      <c r="AD209" s="383">
        <f t="shared" si="178"/>
        <v>0</v>
      </c>
      <c r="AE209" s="382">
        <f t="shared" si="178"/>
        <v>0</v>
      </c>
      <c r="AF209" s="474">
        <f t="shared" si="178"/>
        <v>0</v>
      </c>
      <c r="AG209" s="383">
        <f t="shared" si="178"/>
        <v>0</v>
      </c>
      <c r="AH209" s="382">
        <f t="shared" si="178"/>
        <v>0</v>
      </c>
      <c r="AI209" s="474">
        <f t="shared" si="178"/>
        <v>0</v>
      </c>
      <c r="AJ209" s="383">
        <f t="shared" si="178"/>
        <v>0</v>
      </c>
      <c r="AK209" s="9"/>
      <c r="AL209" s="131">
        <f>AL210</f>
        <v>0</v>
      </c>
      <c r="AM209" s="133">
        <f>AM210</f>
        <v>0</v>
      </c>
      <c r="AN209" s="9"/>
    </row>
    <row r="210" spans="1:40" s="385" customFormat="1" ht="24.95" customHeight="1" x14ac:dyDescent="0.2">
      <c r="A210" s="767"/>
      <c r="B210" s="669"/>
      <c r="N210" s="9"/>
      <c r="P210" s="9"/>
      <c r="Q210" s="9"/>
      <c r="R210" s="9"/>
      <c r="S210" s="718">
        <f>+IF(FEBRERO!S210=0,"",FEBRERO!S210)</f>
        <v>5100000</v>
      </c>
      <c r="T210" s="692" t="str">
        <f>+IF(FEBRERO!T210=0,"",FEBRERO!T210)</f>
        <v>Insumos y Suministros para Venta al Público</v>
      </c>
      <c r="U210" s="135">
        <f t="shared" ref="U210:AJ210" si="179">U211+U218</f>
        <v>0</v>
      </c>
      <c r="V210" s="124">
        <f t="shared" si="179"/>
        <v>0</v>
      </c>
      <c r="W210" s="124">
        <f t="shared" si="179"/>
        <v>0</v>
      </c>
      <c r="X210" s="132">
        <f t="shared" si="179"/>
        <v>0</v>
      </c>
      <c r="Y210" s="131">
        <f t="shared" si="179"/>
        <v>0</v>
      </c>
      <c r="Z210" s="124">
        <f t="shared" si="179"/>
        <v>0</v>
      </c>
      <c r="AA210" s="133">
        <f t="shared" si="179"/>
        <v>0</v>
      </c>
      <c r="AB210" s="131">
        <f t="shared" si="179"/>
        <v>0</v>
      </c>
      <c r="AC210" s="124">
        <f t="shared" si="179"/>
        <v>0</v>
      </c>
      <c r="AD210" s="133">
        <f t="shared" si="179"/>
        <v>0</v>
      </c>
      <c r="AE210" s="131">
        <f t="shared" si="179"/>
        <v>0</v>
      </c>
      <c r="AF210" s="124">
        <f t="shared" si="179"/>
        <v>0</v>
      </c>
      <c r="AG210" s="133">
        <f t="shared" si="179"/>
        <v>0</v>
      </c>
      <c r="AH210" s="131">
        <f t="shared" si="179"/>
        <v>0</v>
      </c>
      <c r="AI210" s="124">
        <f t="shared" si="179"/>
        <v>0</v>
      </c>
      <c r="AJ210" s="133">
        <f t="shared" si="179"/>
        <v>0</v>
      </c>
      <c r="AK210" s="9"/>
      <c r="AL210" s="131">
        <f>AL211+AL218</f>
        <v>0</v>
      </c>
      <c r="AM210" s="133">
        <f>AM211+AM218</f>
        <v>0</v>
      </c>
      <c r="AN210" s="9"/>
    </row>
    <row r="211" spans="1:40" s="385" customFormat="1" ht="24.95" customHeight="1" x14ac:dyDescent="0.2">
      <c r="A211" s="767"/>
      <c r="B211" s="669"/>
      <c r="N211" s="9"/>
      <c r="P211" s="9"/>
      <c r="Q211" s="9"/>
      <c r="R211" s="9"/>
      <c r="S211" s="719">
        <f>+IF(FEBRERO!S211=0,"",FEBRERO!S211)</f>
        <v>5100100</v>
      </c>
      <c r="T211" s="693" t="str">
        <f>+IF(FEBRERO!T211=0,"",FEBRERO!T211)</f>
        <v>Compra de Bienes para la venta</v>
      </c>
      <c r="U211" s="27">
        <f t="shared" ref="U211:AJ211" si="180">SUM(U212:U217)</f>
        <v>0</v>
      </c>
      <c r="V211" s="15">
        <f t="shared" si="180"/>
        <v>0</v>
      </c>
      <c r="W211" s="15">
        <f t="shared" si="180"/>
        <v>0</v>
      </c>
      <c r="X211" s="18">
        <f t="shared" si="180"/>
        <v>0</v>
      </c>
      <c r="Y211" s="19">
        <f t="shared" si="180"/>
        <v>0</v>
      </c>
      <c r="Z211" s="145">
        <f t="shared" si="180"/>
        <v>0</v>
      </c>
      <c r="AA211" s="16">
        <f t="shared" si="180"/>
        <v>0</v>
      </c>
      <c r="AB211" s="19">
        <f t="shared" si="180"/>
        <v>0</v>
      </c>
      <c r="AC211" s="145">
        <f t="shared" si="180"/>
        <v>0</v>
      </c>
      <c r="AD211" s="16">
        <f t="shared" si="180"/>
        <v>0</v>
      </c>
      <c r="AE211" s="19">
        <f t="shared" si="180"/>
        <v>0</v>
      </c>
      <c r="AF211" s="145">
        <f t="shared" si="180"/>
        <v>0</v>
      </c>
      <c r="AG211" s="16">
        <f t="shared" si="180"/>
        <v>0</v>
      </c>
      <c r="AH211" s="19">
        <f t="shared" si="180"/>
        <v>0</v>
      </c>
      <c r="AI211" s="15">
        <f t="shared" si="180"/>
        <v>0</v>
      </c>
      <c r="AJ211" s="16">
        <f t="shared" si="180"/>
        <v>0</v>
      </c>
      <c r="AK211" s="10"/>
      <c r="AL211" s="29">
        <f>SUM(AL212:AL217)</f>
        <v>0</v>
      </c>
      <c r="AM211" s="26">
        <f>SUM(AM212:AM217)</f>
        <v>0</v>
      </c>
      <c r="AN211" s="9"/>
    </row>
    <row r="212" spans="1:40" s="385" customFormat="1" ht="24.95" customHeight="1" x14ac:dyDescent="0.2">
      <c r="A212" s="767"/>
      <c r="B212" s="669"/>
      <c r="N212" s="9"/>
      <c r="P212" s="9"/>
      <c r="Q212" s="9"/>
      <c r="R212" s="9"/>
      <c r="S212" s="720" t="str">
        <f>+IF(FEBRERO!S212=0,"",FEBRERO!S212)</f>
        <v>5100100-1</v>
      </c>
      <c r="T212" s="694" t="str">
        <f>+IF(FEBRERO!T212=0,"",FEBRERO!T212)</f>
        <v>Productos Farmaceuticos</v>
      </c>
      <c r="U212" s="27">
        <f>+ENERO!U212</f>
        <v>0</v>
      </c>
      <c r="V212" s="15">
        <f>FEBRERO!V212+MARZO!AL212</f>
        <v>0</v>
      </c>
      <c r="W212" s="15">
        <f>FEBRERO!W212+MARZO!AM212</f>
        <v>0</v>
      </c>
      <c r="X212" s="18">
        <f t="shared" ref="X212:X218" si="181">SUM(U212:W212)</f>
        <v>0</v>
      </c>
      <c r="Y212" s="19">
        <f>FEBRERO!AA212</f>
        <v>0</v>
      </c>
      <c r="Z212" s="377">
        <v>0</v>
      </c>
      <c r="AA212" s="16">
        <f t="shared" ref="AA212:AA218" si="182">SUM(Y212:Z212)</f>
        <v>0</v>
      </c>
      <c r="AB212" s="19">
        <f>FEBRERO!AD212</f>
        <v>0</v>
      </c>
      <c r="AC212" s="377">
        <v>0</v>
      </c>
      <c r="AD212" s="16">
        <f t="shared" ref="AD212:AD218" si="183">SUM(AB212:AC212)</f>
        <v>0</v>
      </c>
      <c r="AE212" s="19">
        <f>FEBRERO!AG212</f>
        <v>0</v>
      </c>
      <c r="AF212" s="377">
        <v>0</v>
      </c>
      <c r="AG212" s="16">
        <f t="shared" ref="AG212:AG218" si="184">SUM(AE212:AF212)</f>
        <v>0</v>
      </c>
      <c r="AH212" s="19">
        <f t="shared" ref="AH212:AH218" si="185">X212-AA212</f>
        <v>0</v>
      </c>
      <c r="AI212" s="15">
        <f t="shared" ref="AI212:AI218" si="186">X212-AD212</f>
        <v>0</v>
      </c>
      <c r="AJ212" s="16">
        <f t="shared" ref="AJ212:AJ218" si="187">X212-AG212</f>
        <v>0</v>
      </c>
      <c r="AK212" s="9"/>
      <c r="AL212" s="375">
        <v>0</v>
      </c>
      <c r="AM212" s="378">
        <v>0</v>
      </c>
      <c r="AN212" s="9"/>
    </row>
    <row r="213" spans="1:40" s="385" customFormat="1" ht="24.95" customHeight="1" x14ac:dyDescent="0.2">
      <c r="A213" s="767"/>
      <c r="B213" s="669"/>
      <c r="N213" s="9"/>
      <c r="P213" s="9"/>
      <c r="Q213" s="9"/>
      <c r="R213" s="9"/>
      <c r="S213" s="720" t="str">
        <f>+IF(FEBRERO!S213=0,"",FEBRERO!S213)</f>
        <v>5100100-2</v>
      </c>
      <c r="T213" s="694" t="str">
        <f>+IF(FEBRERO!T213=0,"",FEBRERO!T213)</f>
        <v>Material Médico Quirúrgico</v>
      </c>
      <c r="U213" s="27">
        <f>+ENERO!U213</f>
        <v>0</v>
      </c>
      <c r="V213" s="15">
        <f>FEBRERO!V213+MARZO!AL213</f>
        <v>0</v>
      </c>
      <c r="W213" s="15">
        <f>FEBRERO!W213+MARZO!AM213</f>
        <v>0</v>
      </c>
      <c r="X213" s="18">
        <f t="shared" si="181"/>
        <v>0</v>
      </c>
      <c r="Y213" s="19">
        <f>FEBRERO!AA213</f>
        <v>0</v>
      </c>
      <c r="Z213" s="377">
        <v>0</v>
      </c>
      <c r="AA213" s="16">
        <f t="shared" si="182"/>
        <v>0</v>
      </c>
      <c r="AB213" s="19">
        <f>FEBRERO!AD213</f>
        <v>0</v>
      </c>
      <c r="AC213" s="377">
        <v>0</v>
      </c>
      <c r="AD213" s="16">
        <f t="shared" si="183"/>
        <v>0</v>
      </c>
      <c r="AE213" s="19">
        <f>FEBRERO!AG213</f>
        <v>0</v>
      </c>
      <c r="AF213" s="377">
        <v>0</v>
      </c>
      <c r="AG213" s="16">
        <f t="shared" si="184"/>
        <v>0</v>
      </c>
      <c r="AH213" s="19">
        <f t="shared" si="185"/>
        <v>0</v>
      </c>
      <c r="AI213" s="15">
        <f t="shared" si="186"/>
        <v>0</v>
      </c>
      <c r="AJ213" s="16">
        <f t="shared" si="187"/>
        <v>0</v>
      </c>
      <c r="AK213" s="9"/>
      <c r="AL213" s="375">
        <v>0</v>
      </c>
      <c r="AM213" s="378">
        <v>0</v>
      </c>
      <c r="AN213" s="9"/>
    </row>
    <row r="214" spans="1:40" s="385" customFormat="1" ht="24.95" customHeight="1" x14ac:dyDescent="0.2">
      <c r="A214" s="767"/>
      <c r="B214" s="669"/>
      <c r="N214" s="9"/>
      <c r="P214" s="9"/>
      <c r="Q214" s="9"/>
      <c r="R214" s="9"/>
      <c r="S214" s="720" t="str">
        <f>+IF(FEBRERO!S214=0,"",FEBRERO!S214)</f>
        <v>5100100-3</v>
      </c>
      <c r="T214" s="694" t="str">
        <f>+IF(FEBRERO!T214=0,"",FEBRERO!T214)</f>
        <v>Material de Laboratorio</v>
      </c>
      <c r="U214" s="27">
        <f>+ENERO!U214</f>
        <v>0</v>
      </c>
      <c r="V214" s="15">
        <f>FEBRERO!V214+MARZO!AL214</f>
        <v>0</v>
      </c>
      <c r="W214" s="15">
        <f>FEBRERO!W214+MARZO!AM214</f>
        <v>0</v>
      </c>
      <c r="X214" s="18">
        <f t="shared" si="181"/>
        <v>0</v>
      </c>
      <c r="Y214" s="19">
        <f>FEBRERO!AA214</f>
        <v>0</v>
      </c>
      <c r="Z214" s="377">
        <v>0</v>
      </c>
      <c r="AA214" s="16">
        <f t="shared" si="182"/>
        <v>0</v>
      </c>
      <c r="AB214" s="19">
        <f>FEBRERO!AD214</f>
        <v>0</v>
      </c>
      <c r="AC214" s="377">
        <v>0</v>
      </c>
      <c r="AD214" s="16">
        <f t="shared" si="183"/>
        <v>0</v>
      </c>
      <c r="AE214" s="19">
        <f>FEBRERO!AG214</f>
        <v>0</v>
      </c>
      <c r="AF214" s="377">
        <v>0</v>
      </c>
      <c r="AG214" s="16">
        <f t="shared" si="184"/>
        <v>0</v>
      </c>
      <c r="AH214" s="19">
        <f t="shared" si="185"/>
        <v>0</v>
      </c>
      <c r="AI214" s="15">
        <f t="shared" si="186"/>
        <v>0</v>
      </c>
      <c r="AJ214" s="16">
        <f t="shared" si="187"/>
        <v>0</v>
      </c>
      <c r="AK214" s="9"/>
      <c r="AL214" s="375">
        <v>0</v>
      </c>
      <c r="AM214" s="378">
        <v>0</v>
      </c>
      <c r="AN214" s="9"/>
    </row>
    <row r="215" spans="1:40" s="385" customFormat="1" ht="24.95" customHeight="1" x14ac:dyDescent="0.2">
      <c r="A215" s="767"/>
      <c r="B215" s="669"/>
      <c r="N215" s="9"/>
      <c r="P215" s="9"/>
      <c r="Q215" s="9"/>
      <c r="R215" s="9"/>
      <c r="S215" s="720" t="str">
        <f>+IF(FEBRERO!S215=0,"",FEBRERO!S215)</f>
        <v>5100100-4</v>
      </c>
      <c r="T215" s="694" t="str">
        <f>+IF(FEBRERO!T215=0,"",FEBRERO!T215)</f>
        <v>Material para Odontologia</v>
      </c>
      <c r="U215" s="27">
        <f>+ENERO!U215</f>
        <v>0</v>
      </c>
      <c r="V215" s="15">
        <f>FEBRERO!V215+MARZO!AL215</f>
        <v>0</v>
      </c>
      <c r="W215" s="15">
        <f>FEBRERO!W215+MARZO!AM215</f>
        <v>0</v>
      </c>
      <c r="X215" s="18">
        <f t="shared" si="181"/>
        <v>0</v>
      </c>
      <c r="Y215" s="19">
        <f>FEBRERO!AA215</f>
        <v>0</v>
      </c>
      <c r="Z215" s="377">
        <v>0</v>
      </c>
      <c r="AA215" s="16">
        <f t="shared" si="182"/>
        <v>0</v>
      </c>
      <c r="AB215" s="19">
        <f>FEBRERO!AD215</f>
        <v>0</v>
      </c>
      <c r="AC215" s="377">
        <v>0</v>
      </c>
      <c r="AD215" s="16">
        <f t="shared" si="183"/>
        <v>0</v>
      </c>
      <c r="AE215" s="19">
        <f>FEBRERO!AG215</f>
        <v>0</v>
      </c>
      <c r="AF215" s="377">
        <v>0</v>
      </c>
      <c r="AG215" s="16">
        <f t="shared" si="184"/>
        <v>0</v>
      </c>
      <c r="AH215" s="19">
        <f t="shared" si="185"/>
        <v>0</v>
      </c>
      <c r="AI215" s="15">
        <f t="shared" si="186"/>
        <v>0</v>
      </c>
      <c r="AJ215" s="16">
        <f t="shared" si="187"/>
        <v>0</v>
      </c>
      <c r="AK215" s="9"/>
      <c r="AL215" s="375">
        <v>0</v>
      </c>
      <c r="AM215" s="378">
        <v>0</v>
      </c>
      <c r="AN215" s="9"/>
    </row>
    <row r="216" spans="1:40" s="385" customFormat="1" ht="24.95" customHeight="1" x14ac:dyDescent="0.2">
      <c r="A216" s="767"/>
      <c r="B216" s="669"/>
      <c r="N216" s="9"/>
      <c r="P216" s="9"/>
      <c r="Q216" s="9"/>
      <c r="R216" s="9"/>
      <c r="S216" s="720" t="str">
        <f>+IF(FEBRERO!S216=0,"",FEBRERO!S216)</f>
        <v>5100100-5</v>
      </c>
      <c r="T216" s="694" t="str">
        <f>+IF(FEBRERO!T216=0,"",FEBRERO!T216)</f>
        <v>Material para Rayos X</v>
      </c>
      <c r="U216" s="27">
        <f>+ENERO!U216</f>
        <v>0</v>
      </c>
      <c r="V216" s="15">
        <f>FEBRERO!V216+MARZO!AL216</f>
        <v>0</v>
      </c>
      <c r="W216" s="15">
        <f>FEBRERO!W216+MARZO!AM216</f>
        <v>0</v>
      </c>
      <c r="X216" s="18">
        <f t="shared" si="181"/>
        <v>0</v>
      </c>
      <c r="Y216" s="19">
        <f>FEBRERO!AA216</f>
        <v>0</v>
      </c>
      <c r="Z216" s="377">
        <v>0</v>
      </c>
      <c r="AA216" s="16">
        <f t="shared" si="182"/>
        <v>0</v>
      </c>
      <c r="AB216" s="19">
        <f>FEBRERO!AD216</f>
        <v>0</v>
      </c>
      <c r="AC216" s="377">
        <v>0</v>
      </c>
      <c r="AD216" s="16">
        <f t="shared" si="183"/>
        <v>0</v>
      </c>
      <c r="AE216" s="19">
        <f>FEBRERO!AG216</f>
        <v>0</v>
      </c>
      <c r="AF216" s="377">
        <v>0</v>
      </c>
      <c r="AG216" s="16">
        <f t="shared" si="184"/>
        <v>0</v>
      </c>
      <c r="AH216" s="19">
        <f t="shared" si="185"/>
        <v>0</v>
      </c>
      <c r="AI216" s="15">
        <f t="shared" si="186"/>
        <v>0</v>
      </c>
      <c r="AJ216" s="16">
        <f t="shared" si="187"/>
        <v>0</v>
      </c>
      <c r="AK216" s="9"/>
      <c r="AL216" s="375">
        <v>0</v>
      </c>
      <c r="AM216" s="378">
        <v>0</v>
      </c>
      <c r="AN216" s="9"/>
    </row>
    <row r="217" spans="1:40" s="385" customFormat="1" ht="24.95" customHeight="1" x14ac:dyDescent="0.2">
      <c r="A217" s="767"/>
      <c r="B217" s="669"/>
      <c r="N217" s="9"/>
      <c r="P217" s="9"/>
      <c r="Q217" s="9"/>
      <c r="R217" s="9"/>
      <c r="S217" s="720" t="str">
        <f>+IF(FEBRERO!S217=0,"",FEBRERO!S217)</f>
        <v>5100100-6</v>
      </c>
      <c r="T217" s="694" t="str">
        <f>+IF(FEBRERO!T217=0,"",FEBRERO!T217)</f>
        <v>Material aseo personal, etc.</v>
      </c>
      <c r="U217" s="27">
        <f>+ENERO!U217</f>
        <v>0</v>
      </c>
      <c r="V217" s="15">
        <f>FEBRERO!V217+MARZO!AL217</f>
        <v>0</v>
      </c>
      <c r="W217" s="15">
        <f>FEBRERO!W217+MARZO!AM217</f>
        <v>0</v>
      </c>
      <c r="X217" s="18">
        <f t="shared" si="181"/>
        <v>0</v>
      </c>
      <c r="Y217" s="19">
        <f>FEBRERO!AA217</f>
        <v>0</v>
      </c>
      <c r="Z217" s="377">
        <v>0</v>
      </c>
      <c r="AA217" s="16">
        <f t="shared" si="182"/>
        <v>0</v>
      </c>
      <c r="AB217" s="19">
        <f>FEBRERO!AD217</f>
        <v>0</v>
      </c>
      <c r="AC217" s="377">
        <v>0</v>
      </c>
      <c r="AD217" s="16">
        <f t="shared" si="183"/>
        <v>0</v>
      </c>
      <c r="AE217" s="19">
        <f>FEBRERO!AG217</f>
        <v>0</v>
      </c>
      <c r="AF217" s="377">
        <v>0</v>
      </c>
      <c r="AG217" s="16">
        <f t="shared" si="184"/>
        <v>0</v>
      </c>
      <c r="AH217" s="19">
        <f t="shared" si="185"/>
        <v>0</v>
      </c>
      <c r="AI217" s="15">
        <f t="shared" si="186"/>
        <v>0</v>
      </c>
      <c r="AJ217" s="16">
        <f t="shared" si="187"/>
        <v>0</v>
      </c>
      <c r="AK217" s="9"/>
      <c r="AL217" s="375">
        <v>0</v>
      </c>
      <c r="AM217" s="378">
        <v>0</v>
      </c>
      <c r="AN217" s="9"/>
    </row>
    <row r="218" spans="1:40" s="385" customFormat="1" ht="24.95" customHeight="1" thickBot="1" x14ac:dyDescent="0.25">
      <c r="A218" s="767"/>
      <c r="B218" s="669"/>
      <c r="N218" s="9"/>
      <c r="P218" s="9"/>
      <c r="Q218" s="9"/>
      <c r="R218" s="9"/>
      <c r="S218" s="731">
        <f>+IF(FEBRERO!S218=0,"",FEBRERO!S218)</f>
        <v>5199999</v>
      </c>
      <c r="T218" s="710" t="str">
        <f>+IF(FEBRERO!T218=0,"",FEBRERO!T218)</f>
        <v>Vigencias Anteriores</v>
      </c>
      <c r="U218" s="136">
        <f>+ENERO!U218</f>
        <v>0</v>
      </c>
      <c r="V218" s="123">
        <f>FEBRERO!V218+MARZO!AL218</f>
        <v>0</v>
      </c>
      <c r="W218" s="123">
        <f>FEBRERO!W218+MARZO!AM218</f>
        <v>0</v>
      </c>
      <c r="X218" s="129">
        <f t="shared" si="181"/>
        <v>0</v>
      </c>
      <c r="Y218" s="127">
        <f>FEBRERO!AA218</f>
        <v>0</v>
      </c>
      <c r="Z218" s="391">
        <v>0</v>
      </c>
      <c r="AA218" s="128">
        <f t="shared" si="182"/>
        <v>0</v>
      </c>
      <c r="AB218" s="127">
        <f>FEBRERO!AD218</f>
        <v>0</v>
      </c>
      <c r="AC218" s="391">
        <v>0</v>
      </c>
      <c r="AD218" s="128">
        <f t="shared" si="183"/>
        <v>0</v>
      </c>
      <c r="AE218" s="127">
        <f>FEBRERO!AG218</f>
        <v>0</v>
      </c>
      <c r="AF218" s="391">
        <v>0</v>
      </c>
      <c r="AG218" s="128">
        <f t="shared" si="184"/>
        <v>0</v>
      </c>
      <c r="AH218" s="127">
        <f t="shared" si="185"/>
        <v>0</v>
      </c>
      <c r="AI218" s="123">
        <f t="shared" si="186"/>
        <v>0</v>
      </c>
      <c r="AJ218" s="128">
        <f t="shared" si="187"/>
        <v>0</v>
      </c>
      <c r="AK218" s="9"/>
      <c r="AL218" s="507">
        <v>0</v>
      </c>
      <c r="AM218" s="508">
        <v>0</v>
      </c>
      <c r="AN218" s="9"/>
    </row>
    <row r="219" spans="1:40" s="385" customFormat="1" ht="24.95" customHeight="1" thickBot="1" x14ac:dyDescent="0.25">
      <c r="A219" s="767"/>
      <c r="B219" s="669"/>
      <c r="N219" s="9"/>
      <c r="P219" s="9"/>
      <c r="Q219" s="9"/>
      <c r="R219" s="9"/>
      <c r="S219" s="501" t="str">
        <f>+IF(FEBRERO!S219=0,"",FEBRERO!S219)</f>
        <v/>
      </c>
      <c r="T219" s="707" t="str">
        <f>+IF(FEBRERO!T219=0,"",FEBRERO!T219)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+IF(FEBRERO!S220=0,"",FEBRERO!S220)</f>
        <v>C</v>
      </c>
      <c r="T220" s="688" t="str">
        <f>+IF(FEBRERO!T220=0,"",FEBRERO!T220)</f>
        <v xml:space="preserve">SERVICIO DE LA DEUDA </v>
      </c>
      <c r="U220" s="361">
        <f t="shared" ref="U220:AJ220" si="188">U222+U227</f>
        <v>0</v>
      </c>
      <c r="V220" s="362">
        <f t="shared" si="188"/>
        <v>0</v>
      </c>
      <c r="W220" s="362">
        <f t="shared" si="188"/>
        <v>0</v>
      </c>
      <c r="X220" s="365">
        <f t="shared" si="188"/>
        <v>0</v>
      </c>
      <c r="Y220" s="364">
        <f t="shared" si="188"/>
        <v>0</v>
      </c>
      <c r="Z220" s="362">
        <f t="shared" si="188"/>
        <v>0</v>
      </c>
      <c r="AA220" s="365">
        <f t="shared" si="188"/>
        <v>0</v>
      </c>
      <c r="AB220" s="364">
        <f t="shared" si="188"/>
        <v>0</v>
      </c>
      <c r="AC220" s="362">
        <f t="shared" si="188"/>
        <v>0</v>
      </c>
      <c r="AD220" s="365">
        <f t="shared" si="188"/>
        <v>0</v>
      </c>
      <c r="AE220" s="364">
        <f t="shared" si="188"/>
        <v>0</v>
      </c>
      <c r="AF220" s="362">
        <f t="shared" si="188"/>
        <v>0</v>
      </c>
      <c r="AG220" s="365">
        <f t="shared" si="188"/>
        <v>0</v>
      </c>
      <c r="AH220" s="364">
        <f t="shared" si="188"/>
        <v>0</v>
      </c>
      <c r="AI220" s="362">
        <f t="shared" si="188"/>
        <v>0</v>
      </c>
      <c r="AJ220" s="363">
        <f t="shared" si="188"/>
        <v>0</v>
      </c>
      <c r="AK220" s="506"/>
      <c r="AL220" s="364">
        <f>AL222+AL227</f>
        <v>0</v>
      </c>
      <c r="AM220" s="363">
        <f>AM222+AM227</f>
        <v>0</v>
      </c>
      <c r="AN220" s="9"/>
    </row>
    <row r="221" spans="1:40" s="385" customFormat="1" ht="24.95" customHeight="1" x14ac:dyDescent="0.2">
      <c r="A221" s="767"/>
      <c r="B221" s="669"/>
      <c r="N221" s="9"/>
      <c r="P221" s="9"/>
      <c r="Q221" s="9"/>
      <c r="R221" s="9"/>
      <c r="S221" s="369" t="str">
        <f>+IF(FEBRERO!S221=0,"",FEBRERO!S221)</f>
        <v/>
      </c>
      <c r="T221" s="708" t="str">
        <f>+IF(FEBRERO!T221=0,"",FEBRERO!T221)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+IF(FEBRERO!S222=0,"",FEBRERO!S222)</f>
        <v>7001000</v>
      </c>
      <c r="T222" s="692" t="str">
        <f>+IF(FEBRERO!T222=0,"",FEBRERO!T222)</f>
        <v>SERVICIO DE LA DEUDA INTERNA</v>
      </c>
      <c r="U222" s="135">
        <f t="shared" ref="U222:AJ222" si="189">SUM(U223:U225)</f>
        <v>0</v>
      </c>
      <c r="V222" s="124">
        <f t="shared" si="189"/>
        <v>0</v>
      </c>
      <c r="W222" s="124">
        <f t="shared" si="189"/>
        <v>0</v>
      </c>
      <c r="X222" s="132">
        <f t="shared" si="189"/>
        <v>0</v>
      </c>
      <c r="Y222" s="131">
        <f t="shared" si="189"/>
        <v>0</v>
      </c>
      <c r="Z222" s="124">
        <f t="shared" si="189"/>
        <v>0</v>
      </c>
      <c r="AA222" s="132">
        <f t="shared" si="189"/>
        <v>0</v>
      </c>
      <c r="AB222" s="131">
        <f t="shared" si="189"/>
        <v>0</v>
      </c>
      <c r="AC222" s="124">
        <f t="shared" si="189"/>
        <v>0</v>
      </c>
      <c r="AD222" s="132">
        <f t="shared" si="189"/>
        <v>0</v>
      </c>
      <c r="AE222" s="131">
        <f t="shared" si="189"/>
        <v>0</v>
      </c>
      <c r="AF222" s="124">
        <f t="shared" si="189"/>
        <v>0</v>
      </c>
      <c r="AG222" s="132">
        <f t="shared" si="189"/>
        <v>0</v>
      </c>
      <c r="AH222" s="131">
        <f t="shared" si="189"/>
        <v>0</v>
      </c>
      <c r="AI222" s="124">
        <f t="shared" si="189"/>
        <v>0</v>
      </c>
      <c r="AJ222" s="133">
        <f t="shared" si="189"/>
        <v>0</v>
      </c>
      <c r="AK222" s="9"/>
      <c r="AL222" s="131">
        <f>SUM(AL223:AL225)</f>
        <v>0</v>
      </c>
      <c r="AM222" s="133">
        <f>SUM(AM223:AM225)</f>
        <v>0</v>
      </c>
      <c r="AN222" s="9"/>
    </row>
    <row r="223" spans="1:40" s="385" customFormat="1" ht="24.95" customHeight="1" x14ac:dyDescent="0.2">
      <c r="A223" s="767"/>
      <c r="B223" s="669"/>
      <c r="N223" s="9"/>
      <c r="P223" s="9"/>
      <c r="Q223" s="9"/>
      <c r="R223" s="9"/>
      <c r="S223" s="719">
        <f>+IF(FEBRERO!S223=0,"",FEBRERO!S223)</f>
        <v>7001100</v>
      </c>
      <c r="T223" s="693" t="str">
        <f>+IF(FEBRERO!T223=0,"",FEBRERO!T223)</f>
        <v>Amortización deuda Pública Interna</v>
      </c>
      <c r="U223" s="27">
        <f>+ENERO!U223</f>
        <v>0</v>
      </c>
      <c r="V223" s="15">
        <f>FEBRERO!V223+MARZO!AL223</f>
        <v>0</v>
      </c>
      <c r="W223" s="15">
        <f>FEBRERO!W223+MARZO!AM223</f>
        <v>0</v>
      </c>
      <c r="X223" s="18">
        <f>SUM(U223:W223)</f>
        <v>0</v>
      </c>
      <c r="Y223" s="19">
        <f>FEBRERO!AA223</f>
        <v>0</v>
      </c>
      <c r="Z223" s="377">
        <v>0</v>
      </c>
      <c r="AA223" s="18">
        <f>SUM(Y223:Z223)</f>
        <v>0</v>
      </c>
      <c r="AB223" s="19">
        <f>FEBRERO!AD223</f>
        <v>0</v>
      </c>
      <c r="AC223" s="377">
        <v>0</v>
      </c>
      <c r="AD223" s="18">
        <f>SUM(AB223:AC223)</f>
        <v>0</v>
      </c>
      <c r="AE223" s="19">
        <f>FEBRERO!AG223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+IF(FEBRERO!S224=0,"",FEBRERO!S224)</f>
        <v>7001200</v>
      </c>
      <c r="T224" s="693" t="str">
        <f>+IF(FEBRERO!T224=0,"",FEBRERO!T224)</f>
        <v>Intereses Comisiones y gastos de la Deuda Pública</v>
      </c>
      <c r="U224" s="27">
        <f>+ENERO!U224</f>
        <v>0</v>
      </c>
      <c r="V224" s="15">
        <f>FEBRERO!V224+MARZO!AL224</f>
        <v>0</v>
      </c>
      <c r="W224" s="15">
        <f>FEBRERO!W224+MARZO!AM224</f>
        <v>0</v>
      </c>
      <c r="X224" s="18">
        <f>SUM(U224:W224)</f>
        <v>0</v>
      </c>
      <c r="Y224" s="19">
        <f>FEBRERO!AA224</f>
        <v>0</v>
      </c>
      <c r="Z224" s="377">
        <v>0</v>
      </c>
      <c r="AA224" s="18">
        <f>SUM(Y224:Z224)</f>
        <v>0</v>
      </c>
      <c r="AB224" s="19">
        <f>FEBRERO!AD224</f>
        <v>0</v>
      </c>
      <c r="AC224" s="377">
        <v>0</v>
      </c>
      <c r="AD224" s="18">
        <f>SUM(AB224:AC224)</f>
        <v>0</v>
      </c>
      <c r="AE224" s="19">
        <f>FEBRERO!AG224</f>
        <v>0</v>
      </c>
      <c r="AF224" s="377">
        <v>0</v>
      </c>
      <c r="AG224" s="18">
        <f>SUM(AE224:AF224)</f>
        <v>0</v>
      </c>
      <c r="AH224" s="19">
        <f>X224-AA224</f>
        <v>0</v>
      </c>
      <c r="AI224" s="15">
        <f>X224-AD224</f>
        <v>0</v>
      </c>
      <c r="AJ224" s="16">
        <f>X224-AG224</f>
        <v>0</v>
      </c>
      <c r="AK224" s="9"/>
      <c r="AL224" s="375">
        <v>0</v>
      </c>
      <c r="AM224" s="378">
        <v>0</v>
      </c>
      <c r="AN224" s="9"/>
    </row>
    <row r="225" spans="1:40" s="385" customFormat="1" ht="24.95" customHeight="1" x14ac:dyDescent="0.2">
      <c r="A225" s="767"/>
      <c r="B225" s="669"/>
      <c r="N225" s="9"/>
      <c r="P225" s="9"/>
      <c r="Q225" s="9"/>
      <c r="R225" s="9"/>
      <c r="S225" s="719">
        <f>+IF(FEBRERO!S225=0,"",FEBRERO!S225)</f>
        <v>7001999</v>
      </c>
      <c r="T225" s="693" t="str">
        <f>+IF(FEBRERO!T225=0,"",FEBRERO!T225)</f>
        <v>Vigencias Anteriores</v>
      </c>
      <c r="U225" s="27">
        <f>+ENERO!U225</f>
        <v>0</v>
      </c>
      <c r="V225" s="15">
        <f>FEBRERO!V225+MARZO!AL225</f>
        <v>0</v>
      </c>
      <c r="W225" s="15">
        <f>FEBRERO!W225+MARZO!AM225</f>
        <v>0</v>
      </c>
      <c r="X225" s="18">
        <f>SUM(U225:W225)</f>
        <v>0</v>
      </c>
      <c r="Y225" s="19">
        <f>FEBRERO!AA225</f>
        <v>0</v>
      </c>
      <c r="Z225" s="377">
        <v>0</v>
      </c>
      <c r="AA225" s="18">
        <f>SUM(Y225:Z225)</f>
        <v>0</v>
      </c>
      <c r="AB225" s="19">
        <f>FEBRERO!AD225</f>
        <v>0</v>
      </c>
      <c r="AC225" s="377">
        <v>0</v>
      </c>
      <c r="AD225" s="18">
        <f>SUM(AB225:AC225)</f>
        <v>0</v>
      </c>
      <c r="AE225" s="19">
        <f>FEBRERO!AG225</f>
        <v>0</v>
      </c>
      <c r="AF225" s="377">
        <v>0</v>
      </c>
      <c r="AG225" s="18">
        <f>SUM(AE225:AF225)</f>
        <v>0</v>
      </c>
      <c r="AH225" s="19">
        <f>X225-AA225</f>
        <v>0</v>
      </c>
      <c r="AI225" s="15">
        <f>X225-AD225</f>
        <v>0</v>
      </c>
      <c r="AJ225" s="16">
        <f>X225-AG225</f>
        <v>0</v>
      </c>
      <c r="AK225" s="9"/>
      <c r="AL225" s="375">
        <v>0</v>
      </c>
      <c r="AM225" s="378">
        <v>0</v>
      </c>
      <c r="AN225" s="9"/>
    </row>
    <row r="226" spans="1:40" s="385" customFormat="1" ht="24.95" customHeight="1" x14ac:dyDescent="0.2">
      <c r="A226" s="767"/>
      <c r="B226" s="669"/>
      <c r="N226" s="9"/>
      <c r="P226" s="9"/>
      <c r="Q226" s="9"/>
      <c r="R226" s="9"/>
      <c r="S226" s="369" t="str">
        <f>+IF(FEBRERO!S226=0,"",FEBRERO!S226)</f>
        <v/>
      </c>
      <c r="T226" s="708" t="str">
        <f>+IF(FEBRERO!T226=0,"",FEBRERO!T226)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40" s="385" customFormat="1" ht="24.95" customHeight="1" x14ac:dyDescent="0.2">
      <c r="A227" s="767"/>
      <c r="B227" s="669"/>
      <c r="N227" s="9"/>
      <c r="P227" s="9"/>
      <c r="Q227" s="9"/>
      <c r="R227" s="9"/>
      <c r="S227" s="718">
        <f>+IF(FEBRERO!S227=0,"",FEBRERO!S227)</f>
        <v>7002001</v>
      </c>
      <c r="T227" s="692" t="str">
        <f>+IF(FEBRERO!T227=0,"",FEBRERO!T227)</f>
        <v>SERVICIO DE LA DEUDA EXTERNA</v>
      </c>
      <c r="U227" s="135">
        <f t="shared" ref="U227:AJ227" si="190">SUM(U228:U230)</f>
        <v>0</v>
      </c>
      <c r="V227" s="124">
        <f t="shared" si="190"/>
        <v>0</v>
      </c>
      <c r="W227" s="124">
        <f t="shared" si="190"/>
        <v>0</v>
      </c>
      <c r="X227" s="132">
        <f t="shared" si="190"/>
        <v>0</v>
      </c>
      <c r="Y227" s="131">
        <f t="shared" si="190"/>
        <v>0</v>
      </c>
      <c r="Z227" s="124">
        <f t="shared" si="190"/>
        <v>0</v>
      </c>
      <c r="AA227" s="132">
        <f t="shared" si="190"/>
        <v>0</v>
      </c>
      <c r="AB227" s="131">
        <f t="shared" si="190"/>
        <v>0</v>
      </c>
      <c r="AC227" s="124">
        <f t="shared" si="190"/>
        <v>0</v>
      </c>
      <c r="AD227" s="132">
        <f t="shared" si="190"/>
        <v>0</v>
      </c>
      <c r="AE227" s="131">
        <f t="shared" si="190"/>
        <v>0</v>
      </c>
      <c r="AF227" s="124">
        <f t="shared" si="190"/>
        <v>0</v>
      </c>
      <c r="AG227" s="132">
        <f t="shared" si="190"/>
        <v>0</v>
      </c>
      <c r="AH227" s="131">
        <f t="shared" si="190"/>
        <v>0</v>
      </c>
      <c r="AI227" s="124">
        <f t="shared" si="190"/>
        <v>0</v>
      </c>
      <c r="AJ227" s="133">
        <f t="shared" si="190"/>
        <v>0</v>
      </c>
      <c r="AK227" s="10"/>
      <c r="AL227" s="131">
        <f>SUM(AL228:AL230)</f>
        <v>0</v>
      </c>
      <c r="AM227" s="133">
        <f>SUM(AM228:AM230)</f>
        <v>0</v>
      </c>
      <c r="AN227" s="9"/>
    </row>
    <row r="228" spans="1:40" s="385" customFormat="1" ht="24.95" customHeight="1" x14ac:dyDescent="0.2">
      <c r="A228" s="767"/>
      <c r="B228" s="669"/>
      <c r="N228" s="9"/>
      <c r="P228" s="9"/>
      <c r="Q228" s="9"/>
      <c r="R228" s="9"/>
      <c r="S228" s="719">
        <f>+IF(FEBRERO!S228=0,"",FEBRERO!S228)</f>
        <v>7002100</v>
      </c>
      <c r="T228" s="693" t="str">
        <f>+IF(FEBRERO!T228=0,"",FEBRERO!T228)</f>
        <v>Amortización deuda Pública Externa</v>
      </c>
      <c r="U228" s="27">
        <f>+ENERO!U228</f>
        <v>0</v>
      </c>
      <c r="V228" s="15">
        <f>FEBRERO!V228+MARZO!AL228</f>
        <v>0</v>
      </c>
      <c r="W228" s="15">
        <f>FEBRERO!W228+MARZO!AM228</f>
        <v>0</v>
      </c>
      <c r="X228" s="18">
        <f>SUM(U228:W228)</f>
        <v>0</v>
      </c>
      <c r="Y228" s="19">
        <f>FEBRERO!AA228</f>
        <v>0</v>
      </c>
      <c r="Z228" s="377">
        <v>0</v>
      </c>
      <c r="AA228" s="18">
        <f>SUM(Y228:Z228)</f>
        <v>0</v>
      </c>
      <c r="AB228" s="19">
        <f>FEBRERO!AD228</f>
        <v>0</v>
      </c>
      <c r="AC228" s="377">
        <v>0</v>
      </c>
      <c r="AD228" s="18">
        <f>SUM(AB228:AC228)</f>
        <v>0</v>
      </c>
      <c r="AE228" s="19">
        <f>FEBRERO!AG228</f>
        <v>0</v>
      </c>
      <c r="AF228" s="377">
        <v>0</v>
      </c>
      <c r="AG228" s="18">
        <f>SUM(AE228:AF228)</f>
        <v>0</v>
      </c>
      <c r="AH228" s="19">
        <f>X228-AA228</f>
        <v>0</v>
      </c>
      <c r="AI228" s="15">
        <f>X228-AD228</f>
        <v>0</v>
      </c>
      <c r="AJ228" s="16">
        <f>X228-AG228</f>
        <v>0</v>
      </c>
      <c r="AK228" s="9"/>
      <c r="AL228" s="375">
        <v>0</v>
      </c>
      <c r="AM228" s="378">
        <v>0</v>
      </c>
      <c r="AN228" s="9"/>
    </row>
    <row r="229" spans="1:40" s="385" customFormat="1" ht="24.95" customHeight="1" x14ac:dyDescent="0.2">
      <c r="A229" s="767"/>
      <c r="B229" s="669"/>
      <c r="N229" s="9"/>
      <c r="P229" s="9"/>
      <c r="Q229" s="9"/>
      <c r="R229" s="9"/>
      <c r="S229" s="719">
        <f>+IF(FEBRERO!S229=0,"",FEBRERO!S229)</f>
        <v>7002200</v>
      </c>
      <c r="T229" s="693" t="str">
        <f>+IF(FEBRERO!T229=0,"",FEBRERO!T229)</f>
        <v>Intereses Comisiones y gastos de la Deuda Pública</v>
      </c>
      <c r="U229" s="27">
        <f>+ENERO!U229</f>
        <v>0</v>
      </c>
      <c r="V229" s="15">
        <f>FEBRERO!V229+MARZO!AL229</f>
        <v>0</v>
      </c>
      <c r="W229" s="15">
        <f>FEBRERO!W229+MARZO!AM229</f>
        <v>0</v>
      </c>
      <c r="X229" s="18">
        <f>SUM(U229:W229)</f>
        <v>0</v>
      </c>
      <c r="Y229" s="19">
        <f>FEBRERO!AA229</f>
        <v>0</v>
      </c>
      <c r="Z229" s="377">
        <v>0</v>
      </c>
      <c r="AA229" s="18">
        <f>SUM(Y229:Z229)</f>
        <v>0</v>
      </c>
      <c r="AB229" s="19">
        <f>FEBRERO!AD229</f>
        <v>0</v>
      </c>
      <c r="AC229" s="377">
        <v>0</v>
      </c>
      <c r="AD229" s="18">
        <f>SUM(AB229:AC229)</f>
        <v>0</v>
      </c>
      <c r="AE229" s="19">
        <f>FEBRERO!AG229</f>
        <v>0</v>
      </c>
      <c r="AF229" s="377">
        <v>0</v>
      </c>
      <c r="AG229" s="18">
        <f>SUM(AE229:AF229)</f>
        <v>0</v>
      </c>
      <c r="AH229" s="19">
        <f>X229-AA229</f>
        <v>0</v>
      </c>
      <c r="AI229" s="15">
        <f>X229-AD229</f>
        <v>0</v>
      </c>
      <c r="AJ229" s="16">
        <f>X229-AG229</f>
        <v>0</v>
      </c>
      <c r="AK229" s="9"/>
      <c r="AL229" s="375">
        <v>0</v>
      </c>
      <c r="AM229" s="378">
        <v>0</v>
      </c>
      <c r="AN229" s="9"/>
    </row>
    <row r="230" spans="1:40" s="385" customFormat="1" ht="24.95" customHeight="1" thickBot="1" x14ac:dyDescent="0.25">
      <c r="A230" s="767"/>
      <c r="B230" s="669"/>
      <c r="N230" s="9"/>
      <c r="P230" s="9"/>
      <c r="Q230" s="9"/>
      <c r="R230" s="9"/>
      <c r="S230" s="724">
        <f>+IF(FEBRERO!S230=0,"",FEBRERO!S230)</f>
        <v>7002999</v>
      </c>
      <c r="T230" s="699" t="str">
        <f>+IF(FEBRERO!T230=0,"",FEBRERO!T230)</f>
        <v>Vigencias Anteriores</v>
      </c>
      <c r="U230" s="136">
        <f>+ENERO!U230</f>
        <v>0</v>
      </c>
      <c r="V230" s="123">
        <f>FEBRERO!V230+MARZO!AL230</f>
        <v>0</v>
      </c>
      <c r="W230" s="123">
        <f>FEBRERO!W230+MARZO!AM230</f>
        <v>0</v>
      </c>
      <c r="X230" s="129">
        <f>SUM(U230:W230)</f>
        <v>0</v>
      </c>
      <c r="Y230" s="127">
        <f>FEBRERO!AA230</f>
        <v>0</v>
      </c>
      <c r="Z230" s="391">
        <v>0</v>
      </c>
      <c r="AA230" s="129">
        <f>SUM(Y230:Z230)</f>
        <v>0</v>
      </c>
      <c r="AB230" s="127">
        <f>FEBRERO!AD230</f>
        <v>0</v>
      </c>
      <c r="AC230" s="391">
        <v>0</v>
      </c>
      <c r="AD230" s="129">
        <f>SUM(AB230:AC230)</f>
        <v>0</v>
      </c>
      <c r="AE230" s="127">
        <f>FEBRERO!AG230</f>
        <v>0</v>
      </c>
      <c r="AF230" s="391">
        <v>0</v>
      </c>
      <c r="AG230" s="129">
        <f>SUM(AE230:AF230)</f>
        <v>0</v>
      </c>
      <c r="AH230" s="127">
        <f>X230-AA230</f>
        <v>0</v>
      </c>
      <c r="AI230" s="123">
        <f>X230-AD230</f>
        <v>0</v>
      </c>
      <c r="AJ230" s="128">
        <f>X230-AG230</f>
        <v>0</v>
      </c>
      <c r="AK230" s="9"/>
      <c r="AL230" s="507">
        <v>0</v>
      </c>
      <c r="AM230" s="508">
        <v>0</v>
      </c>
      <c r="AN230" s="9"/>
    </row>
    <row r="231" spans="1:40" s="385" customFormat="1" ht="24.95" customHeight="1" x14ac:dyDescent="0.2">
      <c r="A231" s="767"/>
      <c r="B231" s="669"/>
      <c r="N231" s="9"/>
      <c r="P231" s="9"/>
      <c r="Q231" s="9"/>
      <c r="R231" s="9"/>
      <c r="S231" s="492" t="str">
        <f>+IF(FEBRERO!S231=0,"",FEBRERO!S231)</f>
        <v/>
      </c>
      <c r="T231" s="700" t="str">
        <f>+IF(FEBRERO!T231=0,"",FEBRERO!T231)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40" s="385" customFormat="1" ht="24.95" customHeight="1" x14ac:dyDescent="0.2">
      <c r="A232" s="767"/>
      <c r="B232" s="669"/>
      <c r="N232" s="9"/>
      <c r="P232" s="9"/>
      <c r="Q232" s="9"/>
      <c r="R232" s="9"/>
      <c r="S232" s="511" t="str">
        <f>+IF(FEBRERO!S232=0,"",FEBRERO!S232)</f>
        <v>D</v>
      </c>
      <c r="T232" s="709" t="str">
        <f>+IF(FEBRERO!T232=0,"",FEBRERO!T232)</f>
        <v>INVERSION</v>
      </c>
      <c r="U232" s="473">
        <f t="shared" ref="U232:AJ232" si="191">U234</f>
        <v>303000000</v>
      </c>
      <c r="V232" s="474">
        <f t="shared" si="191"/>
        <v>-45000000</v>
      </c>
      <c r="W232" s="474">
        <f t="shared" si="191"/>
        <v>178000000</v>
      </c>
      <c r="X232" s="475">
        <f t="shared" si="191"/>
        <v>436000000</v>
      </c>
      <c r="Y232" s="382">
        <f t="shared" si="191"/>
        <v>0</v>
      </c>
      <c r="Z232" s="474">
        <f t="shared" si="191"/>
        <v>52650000</v>
      </c>
      <c r="AA232" s="475">
        <f t="shared" si="191"/>
        <v>52650000</v>
      </c>
      <c r="AB232" s="382">
        <f t="shared" si="191"/>
        <v>0</v>
      </c>
      <c r="AC232" s="474">
        <f t="shared" si="191"/>
        <v>0</v>
      </c>
      <c r="AD232" s="475">
        <f t="shared" si="191"/>
        <v>0</v>
      </c>
      <c r="AE232" s="382">
        <f t="shared" si="191"/>
        <v>0</v>
      </c>
      <c r="AF232" s="474">
        <f t="shared" si="191"/>
        <v>0</v>
      </c>
      <c r="AG232" s="475">
        <f t="shared" si="191"/>
        <v>0</v>
      </c>
      <c r="AH232" s="382">
        <f t="shared" si="191"/>
        <v>383350000</v>
      </c>
      <c r="AI232" s="474">
        <f t="shared" si="191"/>
        <v>436000000</v>
      </c>
      <c r="AJ232" s="383">
        <f t="shared" si="191"/>
        <v>436000000</v>
      </c>
      <c r="AK232" s="506"/>
      <c r="AL232" s="382">
        <f>AL234</f>
        <v>0</v>
      </c>
      <c r="AM232" s="383">
        <f>AM234</f>
        <v>0</v>
      </c>
      <c r="AN232" s="9"/>
    </row>
    <row r="233" spans="1:40" s="385" customFormat="1" ht="24.95" customHeight="1" x14ac:dyDescent="0.2">
      <c r="A233" s="767"/>
      <c r="B233" s="669"/>
      <c r="N233" s="9"/>
      <c r="P233" s="9"/>
      <c r="Q233" s="9"/>
      <c r="R233" s="9"/>
      <c r="S233" s="369" t="str">
        <f>+IF(FEBRERO!S233=0,"",FEBRERO!S233)</f>
        <v/>
      </c>
      <c r="T233" s="708" t="str">
        <f>+IF(FEBRERO!T233=0,"",FEBRERO!T233)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40" s="385" customFormat="1" ht="24.95" customHeight="1" x14ac:dyDescent="0.2">
      <c r="A234" s="767"/>
      <c r="B234" s="669"/>
      <c r="N234" s="9"/>
      <c r="P234" s="9"/>
      <c r="Q234" s="9"/>
      <c r="R234" s="9"/>
      <c r="S234" s="718">
        <f>+IF(FEBRERO!S234=0,"",FEBRERO!S234)</f>
        <v>8000000</v>
      </c>
      <c r="T234" s="692" t="str">
        <f>+IF(FEBRERO!T234=0,"",FEBRERO!T234)</f>
        <v>Programas de Inversión</v>
      </c>
      <c r="U234" s="135">
        <f t="shared" ref="U234:AJ234" si="192">U235+U243</f>
        <v>303000000</v>
      </c>
      <c r="V234" s="124">
        <f t="shared" si="192"/>
        <v>-45000000</v>
      </c>
      <c r="W234" s="124">
        <f t="shared" si="192"/>
        <v>178000000</v>
      </c>
      <c r="X234" s="132">
        <f t="shared" si="192"/>
        <v>436000000</v>
      </c>
      <c r="Y234" s="131">
        <f t="shared" si="192"/>
        <v>0</v>
      </c>
      <c r="Z234" s="124">
        <f t="shared" si="192"/>
        <v>52650000</v>
      </c>
      <c r="AA234" s="132">
        <f t="shared" si="192"/>
        <v>52650000</v>
      </c>
      <c r="AB234" s="131">
        <f t="shared" si="192"/>
        <v>0</v>
      </c>
      <c r="AC234" s="124">
        <f t="shared" si="192"/>
        <v>0</v>
      </c>
      <c r="AD234" s="132">
        <f t="shared" si="192"/>
        <v>0</v>
      </c>
      <c r="AE234" s="131">
        <f t="shared" si="192"/>
        <v>0</v>
      </c>
      <c r="AF234" s="124">
        <f t="shared" si="192"/>
        <v>0</v>
      </c>
      <c r="AG234" s="132">
        <f t="shared" si="192"/>
        <v>0</v>
      </c>
      <c r="AH234" s="131">
        <f t="shared" si="192"/>
        <v>383350000</v>
      </c>
      <c r="AI234" s="124">
        <f t="shared" si="192"/>
        <v>436000000</v>
      </c>
      <c r="AJ234" s="133">
        <f t="shared" si="192"/>
        <v>436000000</v>
      </c>
      <c r="AK234" s="9"/>
      <c r="AL234" s="131">
        <f>AL235+AL243</f>
        <v>0</v>
      </c>
      <c r="AM234" s="133">
        <f>AM235+AM243</f>
        <v>0</v>
      </c>
      <c r="AN234" s="9"/>
    </row>
    <row r="235" spans="1:40" s="385" customFormat="1" ht="24.95" customHeight="1" x14ac:dyDescent="0.2">
      <c r="A235" s="767"/>
      <c r="B235" s="669"/>
      <c r="N235" s="9"/>
      <c r="P235" s="9"/>
      <c r="Q235" s="9"/>
      <c r="R235" s="9"/>
      <c r="S235" s="719">
        <f>+IF(FEBRERO!S235=0,"",FEBRERO!S235)</f>
        <v>8001000</v>
      </c>
      <c r="T235" s="693" t="str">
        <f>+IF(FEBRERO!T235=0,"",FEBRERO!T235)</f>
        <v>Formación Bruta del Capital</v>
      </c>
      <c r="U235" s="27">
        <f t="shared" ref="U235:AJ235" si="193">SUM(U236:U241)</f>
        <v>185000000</v>
      </c>
      <c r="V235" s="15">
        <f t="shared" si="193"/>
        <v>23000000</v>
      </c>
      <c r="W235" s="15">
        <f t="shared" si="193"/>
        <v>0</v>
      </c>
      <c r="X235" s="18">
        <f t="shared" si="193"/>
        <v>208000000</v>
      </c>
      <c r="Y235" s="19">
        <f t="shared" si="193"/>
        <v>0</v>
      </c>
      <c r="Z235" s="145">
        <f t="shared" si="193"/>
        <v>0</v>
      </c>
      <c r="AA235" s="18">
        <f t="shared" si="193"/>
        <v>0</v>
      </c>
      <c r="AB235" s="19">
        <f t="shared" si="193"/>
        <v>0</v>
      </c>
      <c r="AC235" s="145">
        <f t="shared" si="193"/>
        <v>0</v>
      </c>
      <c r="AD235" s="18">
        <f t="shared" si="193"/>
        <v>0</v>
      </c>
      <c r="AE235" s="19">
        <f t="shared" si="193"/>
        <v>0</v>
      </c>
      <c r="AF235" s="145">
        <f t="shared" si="193"/>
        <v>0</v>
      </c>
      <c r="AG235" s="18">
        <f t="shared" si="193"/>
        <v>0</v>
      </c>
      <c r="AH235" s="19">
        <f t="shared" si="193"/>
        <v>208000000</v>
      </c>
      <c r="AI235" s="15">
        <f t="shared" si="193"/>
        <v>208000000</v>
      </c>
      <c r="AJ235" s="16">
        <f t="shared" si="193"/>
        <v>208000000</v>
      </c>
      <c r="AK235" s="9"/>
      <c r="AL235" s="29">
        <f>SUM(AL236:AL241)</f>
        <v>0</v>
      </c>
      <c r="AM235" s="26">
        <f>SUM(AM236:AM241)</f>
        <v>0</v>
      </c>
      <c r="AN235" s="9"/>
    </row>
    <row r="236" spans="1:40" s="385" customFormat="1" ht="24.95" customHeight="1" x14ac:dyDescent="0.2">
      <c r="A236" s="767"/>
      <c r="B236" s="669"/>
      <c r="N236" s="9"/>
      <c r="P236" s="9"/>
      <c r="Q236" s="9"/>
      <c r="R236" s="9"/>
      <c r="S236" s="720" t="str">
        <f>+IF(FEBRERO!S236=0,"",FEBRERO!S236)</f>
        <v>8001000-1</v>
      </c>
      <c r="T236" s="694" t="str">
        <f>+IF(FEBRERO!T236=0,"",FEBRERO!T236)</f>
        <v>Subprogr.Diseño Proyecto plan maestro, remodelacion y adec.primer piso</v>
      </c>
      <c r="U236" s="27">
        <f>+ENERO!U236</f>
        <v>60000000</v>
      </c>
      <c r="V236" s="15">
        <f>FEBRERO!V236+MARZO!AL236</f>
        <v>0</v>
      </c>
      <c r="W236" s="15">
        <f>FEBRERO!W236+MARZO!AM236</f>
        <v>0</v>
      </c>
      <c r="X236" s="18">
        <f t="shared" ref="X236:X241" si="194">SUM(U236:W236)</f>
        <v>60000000</v>
      </c>
      <c r="Y236" s="19">
        <f>FEBRERO!AA236</f>
        <v>0</v>
      </c>
      <c r="Z236" s="377">
        <v>0</v>
      </c>
      <c r="AA236" s="18">
        <f t="shared" ref="AA236:AA241" si="195">SUM(Y236:Z236)</f>
        <v>0</v>
      </c>
      <c r="AB236" s="19">
        <f>FEBRERO!AD236</f>
        <v>0</v>
      </c>
      <c r="AC236" s="377">
        <v>0</v>
      </c>
      <c r="AD236" s="18">
        <f t="shared" ref="AD236:AD241" si="196">SUM(AB236:AC236)</f>
        <v>0</v>
      </c>
      <c r="AE236" s="19">
        <f>FEBRERO!AG236</f>
        <v>0</v>
      </c>
      <c r="AF236" s="377">
        <v>0</v>
      </c>
      <c r="AG236" s="18">
        <f t="shared" ref="AG236:AG241" si="197">SUM(AE236:AF236)</f>
        <v>0</v>
      </c>
      <c r="AH236" s="19">
        <f t="shared" ref="AH236:AH241" si="198">X236-AA236</f>
        <v>60000000</v>
      </c>
      <c r="AI236" s="15">
        <f t="shared" ref="AI236:AI241" si="199">X236-AD236</f>
        <v>60000000</v>
      </c>
      <c r="AJ236" s="16">
        <f t="shared" ref="AJ236:AJ241" si="200">X236-AG236</f>
        <v>60000000</v>
      </c>
      <c r="AK236" s="9"/>
      <c r="AL236" s="375">
        <v>0</v>
      </c>
      <c r="AM236" s="378">
        <v>0</v>
      </c>
      <c r="AN236" s="9"/>
    </row>
    <row r="237" spans="1:40" s="385" customFormat="1" ht="24.95" customHeight="1" x14ac:dyDescent="0.2">
      <c r="A237" s="767"/>
      <c r="B237" s="669"/>
      <c r="N237" s="9"/>
      <c r="P237" s="9"/>
      <c r="Q237" s="9"/>
      <c r="R237" s="9"/>
      <c r="S237" s="720" t="str">
        <f>+IF(FEBRERO!S237=0,"",FEBRERO!S237)</f>
        <v>8001000-2</v>
      </c>
      <c r="T237" s="694" t="str">
        <f>+IF(FEBRERO!T237=0,"",FEBRERO!T237)</f>
        <v>Subprogr.Adquisicion de ambulancia</v>
      </c>
      <c r="U237" s="27">
        <f>+ENERO!U237</f>
        <v>50000000</v>
      </c>
      <c r="V237" s="15">
        <f>FEBRERO!V237+MARZO!AL237</f>
        <v>0</v>
      </c>
      <c r="W237" s="15">
        <f>FEBRERO!W237+MARZO!AM237</f>
        <v>0</v>
      </c>
      <c r="X237" s="18">
        <f t="shared" si="194"/>
        <v>50000000</v>
      </c>
      <c r="Y237" s="19">
        <f>FEBRERO!AA237</f>
        <v>0</v>
      </c>
      <c r="Z237" s="377">
        <v>0</v>
      </c>
      <c r="AA237" s="18">
        <f t="shared" si="195"/>
        <v>0</v>
      </c>
      <c r="AB237" s="19">
        <f>FEBRERO!AD237</f>
        <v>0</v>
      </c>
      <c r="AC237" s="377">
        <v>0</v>
      </c>
      <c r="AD237" s="18">
        <f t="shared" si="196"/>
        <v>0</v>
      </c>
      <c r="AE237" s="19">
        <f>FEBRERO!AG237</f>
        <v>0</v>
      </c>
      <c r="AF237" s="377">
        <v>0</v>
      </c>
      <c r="AG237" s="18">
        <f t="shared" si="197"/>
        <v>0</v>
      </c>
      <c r="AH237" s="19">
        <f t="shared" si="198"/>
        <v>50000000</v>
      </c>
      <c r="AI237" s="15">
        <f t="shared" si="199"/>
        <v>50000000</v>
      </c>
      <c r="AJ237" s="16">
        <f t="shared" si="200"/>
        <v>50000000</v>
      </c>
      <c r="AK237" s="9"/>
      <c r="AL237" s="375">
        <v>0</v>
      </c>
      <c r="AM237" s="378">
        <v>0</v>
      </c>
      <c r="AN237" s="9"/>
    </row>
    <row r="238" spans="1:40" s="385" customFormat="1" ht="24.95" customHeight="1" x14ac:dyDescent="0.2">
      <c r="A238" s="767"/>
      <c r="B238" s="669"/>
      <c r="N238" s="9"/>
      <c r="P238" s="9"/>
      <c r="Q238" s="9"/>
      <c r="R238" s="9"/>
      <c r="S238" s="720" t="str">
        <f>+IF(FEBRERO!S238=0,"",FEBRERO!S238)</f>
        <v>8001000-3</v>
      </c>
      <c r="T238" s="694" t="str">
        <f>+IF(FEBRERO!T238=0,"",FEBRERO!T238)</f>
        <v>Subprogr.Actualizacion software hacia NICSP y Adquisicion de Historias clinicas</v>
      </c>
      <c r="U238" s="27">
        <f>+ENERO!U238</f>
        <v>75000000</v>
      </c>
      <c r="V238" s="15">
        <f>FEBRERO!V238+MARZO!AL238</f>
        <v>0</v>
      </c>
      <c r="W238" s="15">
        <f>FEBRERO!W238+MARZO!AM238</f>
        <v>0</v>
      </c>
      <c r="X238" s="18">
        <f t="shared" si="194"/>
        <v>75000000</v>
      </c>
      <c r="Y238" s="19">
        <f>FEBRERO!AA238</f>
        <v>0</v>
      </c>
      <c r="Z238" s="377">
        <v>0</v>
      </c>
      <c r="AA238" s="18">
        <f t="shared" si="195"/>
        <v>0</v>
      </c>
      <c r="AB238" s="19">
        <f>FEBRERO!AD238</f>
        <v>0</v>
      </c>
      <c r="AC238" s="377">
        <v>0</v>
      </c>
      <c r="AD238" s="18">
        <f t="shared" si="196"/>
        <v>0</v>
      </c>
      <c r="AE238" s="19">
        <f>FEBRERO!AG238</f>
        <v>0</v>
      </c>
      <c r="AF238" s="377">
        <v>0</v>
      </c>
      <c r="AG238" s="18">
        <f t="shared" si="197"/>
        <v>0</v>
      </c>
      <c r="AH238" s="19">
        <f t="shared" si="198"/>
        <v>75000000</v>
      </c>
      <c r="AI238" s="15">
        <f t="shared" si="199"/>
        <v>75000000</v>
      </c>
      <c r="AJ238" s="16">
        <f t="shared" si="200"/>
        <v>75000000</v>
      </c>
      <c r="AK238" s="9"/>
      <c r="AL238" s="375">
        <v>0</v>
      </c>
      <c r="AM238" s="378">
        <v>0</v>
      </c>
      <c r="AN238" s="9"/>
    </row>
    <row r="239" spans="1:40" s="385" customFormat="1" ht="24.95" customHeight="1" x14ac:dyDescent="0.2">
      <c r="A239" s="767"/>
      <c r="B239" s="669"/>
      <c r="N239" s="9"/>
      <c r="P239" s="9"/>
      <c r="Q239" s="9"/>
      <c r="S239" s="720" t="str">
        <f>+IF(FEBRERO!S239=0,"",FEBRERO!S239)</f>
        <v>8001000-4</v>
      </c>
      <c r="T239" s="694" t="str">
        <f>+IF(FEBRERO!T239=0,"",FEBRERO!T239)</f>
        <v>Subprogr.Construc. Remodelac. Adecuación y Apliac.4</v>
      </c>
      <c r="U239" s="27">
        <f>+ENERO!U239</f>
        <v>0</v>
      </c>
      <c r="V239" s="15">
        <f>FEBRERO!V239+MARZO!AL239</f>
        <v>23000000</v>
      </c>
      <c r="W239" s="15">
        <f>FEBRERO!W239+MARZO!AM239</f>
        <v>0</v>
      </c>
      <c r="X239" s="18">
        <f t="shared" si="194"/>
        <v>23000000</v>
      </c>
      <c r="Y239" s="19">
        <f>FEBRERO!AA239</f>
        <v>0</v>
      </c>
      <c r="Z239" s="377">
        <v>0</v>
      </c>
      <c r="AA239" s="18">
        <f t="shared" si="195"/>
        <v>0</v>
      </c>
      <c r="AB239" s="19">
        <f>FEBRERO!AD239</f>
        <v>0</v>
      </c>
      <c r="AC239" s="377">
        <v>0</v>
      </c>
      <c r="AD239" s="18">
        <f t="shared" si="196"/>
        <v>0</v>
      </c>
      <c r="AE239" s="19">
        <f>FEBRERO!AG239</f>
        <v>0</v>
      </c>
      <c r="AF239" s="377">
        <v>0</v>
      </c>
      <c r="AG239" s="18">
        <f t="shared" si="197"/>
        <v>0</v>
      </c>
      <c r="AH239" s="19">
        <f t="shared" si="198"/>
        <v>23000000</v>
      </c>
      <c r="AI239" s="15">
        <f t="shared" si="199"/>
        <v>23000000</v>
      </c>
      <c r="AJ239" s="16">
        <f t="shared" si="200"/>
        <v>23000000</v>
      </c>
      <c r="AK239" s="9"/>
      <c r="AL239" s="375">
        <v>0</v>
      </c>
      <c r="AM239" s="378">
        <v>0</v>
      </c>
      <c r="AN239" s="9"/>
    </row>
    <row r="240" spans="1:40" s="385" customFormat="1" ht="24.95" customHeight="1" x14ac:dyDescent="0.2">
      <c r="A240" s="767"/>
      <c r="B240" s="669"/>
      <c r="N240" s="9"/>
      <c r="P240" s="9"/>
      <c r="Q240" s="9"/>
      <c r="S240" s="720" t="str">
        <f>+IF(FEBRERO!S240=0,"",FEBRERO!S240)</f>
        <v>8001000-7</v>
      </c>
      <c r="T240" s="694" t="str">
        <f>+IF(FEBRERO!T240=0,"",FEBRERO!T240)</f>
        <v>Subprogr.Construc. Remodelac. Adecuación y Apliac.5</v>
      </c>
      <c r="U240" s="27">
        <f>+ENERO!U240</f>
        <v>0</v>
      </c>
      <c r="V240" s="15">
        <f>FEBRERO!V240+MARZO!AL240</f>
        <v>0</v>
      </c>
      <c r="W240" s="15">
        <f>FEBRERO!W240+MARZO!AM240</f>
        <v>0</v>
      </c>
      <c r="X240" s="18">
        <f t="shared" si="194"/>
        <v>0</v>
      </c>
      <c r="Y240" s="19">
        <f>FEBRERO!AA240</f>
        <v>0</v>
      </c>
      <c r="Z240" s="377">
        <v>0</v>
      </c>
      <c r="AA240" s="18">
        <f t="shared" si="195"/>
        <v>0</v>
      </c>
      <c r="AB240" s="19">
        <f>FEBRERO!AD240</f>
        <v>0</v>
      </c>
      <c r="AC240" s="377">
        <v>0</v>
      </c>
      <c r="AD240" s="18">
        <f t="shared" si="196"/>
        <v>0</v>
      </c>
      <c r="AE240" s="19">
        <f>FEBRERO!AG240</f>
        <v>0</v>
      </c>
      <c r="AF240" s="377">
        <v>0</v>
      </c>
      <c r="AG240" s="18">
        <f t="shared" si="197"/>
        <v>0</v>
      </c>
      <c r="AH240" s="19">
        <f t="shared" si="198"/>
        <v>0</v>
      </c>
      <c r="AI240" s="15">
        <f t="shared" si="199"/>
        <v>0</v>
      </c>
      <c r="AJ240" s="16">
        <f t="shared" si="200"/>
        <v>0</v>
      </c>
      <c r="AK240" s="9"/>
      <c r="AL240" s="375">
        <v>0</v>
      </c>
      <c r="AM240" s="378">
        <v>0</v>
      </c>
      <c r="AN240" s="9"/>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+IF(FEBRERO!S241=0,"",FEBRERO!S241)</f>
        <v>8001999</v>
      </c>
      <c r="T241" s="694" t="str">
        <f>+IF(FEBRERO!T241=0,"",FEBRERO!T241)</f>
        <v>Vigencias Anteriores</v>
      </c>
      <c r="U241" s="27">
        <f>+ENERO!U241</f>
        <v>0</v>
      </c>
      <c r="V241" s="15">
        <f>FEBRERO!V241+MARZO!AL241</f>
        <v>0</v>
      </c>
      <c r="W241" s="15">
        <f>FEBRERO!W241+MARZO!AM241</f>
        <v>0</v>
      </c>
      <c r="X241" s="18">
        <f t="shared" si="194"/>
        <v>0</v>
      </c>
      <c r="Y241" s="19">
        <f>FEBRERO!AA241</f>
        <v>0</v>
      </c>
      <c r="Z241" s="377">
        <v>0</v>
      </c>
      <c r="AA241" s="18">
        <f t="shared" si="195"/>
        <v>0</v>
      </c>
      <c r="AB241" s="19">
        <f>FEBRERO!AD241</f>
        <v>0</v>
      </c>
      <c r="AC241" s="377">
        <v>0</v>
      </c>
      <c r="AD241" s="18">
        <f t="shared" si="196"/>
        <v>0</v>
      </c>
      <c r="AE241" s="19">
        <f>FEBRERO!AG241</f>
        <v>0</v>
      </c>
      <c r="AF241" s="377">
        <v>0</v>
      </c>
      <c r="AG241" s="18">
        <f t="shared" si="197"/>
        <v>0</v>
      </c>
      <c r="AH241" s="19">
        <f t="shared" si="198"/>
        <v>0</v>
      </c>
      <c r="AI241" s="15">
        <f t="shared" si="199"/>
        <v>0</v>
      </c>
      <c r="AJ241" s="16">
        <f t="shared" si="200"/>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+IF(FEBRERO!S242=0,"",FEBRERO!S242)</f>
        <v/>
      </c>
      <c r="T242" s="708" t="str">
        <f>+IF(FEBRERO!T242=0,"",FEBRERO!T242)</f>
        <v/>
      </c>
      <c r="U242" s="164"/>
      <c r="V242" s="164"/>
      <c r="W242" s="164"/>
      <c r="X242" s="164"/>
      <c r="Y242" s="164"/>
      <c r="Z242" s="164"/>
      <c r="AA242" s="164"/>
      <c r="AB242" s="164"/>
      <c r="AC242" s="164"/>
      <c r="AD242" s="164"/>
      <c r="AE242" s="164"/>
      <c r="AF242" s="164"/>
      <c r="AG242" s="164"/>
      <c r="AH242" s="164"/>
      <c r="AI242" s="164"/>
      <c r="AJ242" s="169"/>
      <c r="AK242" s="9"/>
      <c r="AL242" s="175"/>
      <c r="AM242" s="176"/>
      <c r="BM242" s="385"/>
      <c r="BN242" s="385"/>
      <c r="BO242" s="385"/>
      <c r="BP242" s="385"/>
      <c r="BQ242" s="385"/>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+IF(FEBRERO!S243=0,"",FEBRERO!S243)</f>
        <v>8002001</v>
      </c>
      <c r="T243" s="693" t="str">
        <f>+IF(FEBRERO!T243=0,"",FEBRERO!T243)</f>
        <v>Gastos Operativos de Inversion   (Programas Especiales)</v>
      </c>
      <c r="U243" s="27">
        <f t="shared" ref="U243:AJ243" si="201">SUM(U244:U256)</f>
        <v>118000000</v>
      </c>
      <c r="V243" s="15">
        <f t="shared" si="201"/>
        <v>-68000000</v>
      </c>
      <c r="W243" s="15">
        <f t="shared" si="201"/>
        <v>178000000</v>
      </c>
      <c r="X243" s="18">
        <f t="shared" si="201"/>
        <v>228000000</v>
      </c>
      <c r="Y243" s="19">
        <f t="shared" si="201"/>
        <v>0</v>
      </c>
      <c r="Z243" s="145">
        <f t="shared" si="201"/>
        <v>52650000</v>
      </c>
      <c r="AA243" s="18">
        <f t="shared" si="201"/>
        <v>52650000</v>
      </c>
      <c r="AB243" s="19">
        <f t="shared" si="201"/>
        <v>0</v>
      </c>
      <c r="AC243" s="145">
        <f t="shared" si="201"/>
        <v>0</v>
      </c>
      <c r="AD243" s="18">
        <f t="shared" si="201"/>
        <v>0</v>
      </c>
      <c r="AE243" s="19">
        <f t="shared" si="201"/>
        <v>0</v>
      </c>
      <c r="AF243" s="145">
        <f t="shared" si="201"/>
        <v>0</v>
      </c>
      <c r="AG243" s="18">
        <f t="shared" si="201"/>
        <v>0</v>
      </c>
      <c r="AH243" s="19">
        <f t="shared" si="201"/>
        <v>175350000</v>
      </c>
      <c r="AI243" s="15">
        <f t="shared" si="201"/>
        <v>228000000</v>
      </c>
      <c r="AJ243" s="16">
        <f t="shared" si="201"/>
        <v>228000000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+IF(FEBRERO!S244=0,"",FEBRERO!S244)</f>
        <v>8002100-1</v>
      </c>
      <c r="T244" s="694" t="str">
        <f>+IF(FEBRERO!T244=0,"",FEBRERO!T244)</f>
        <v>Fondo de la Vivienda</v>
      </c>
      <c r="U244" s="27">
        <f>+ENERO!U244</f>
        <v>0</v>
      </c>
      <c r="V244" s="15">
        <f>FEBRERO!V244+MARZO!AL244</f>
        <v>0</v>
      </c>
      <c r="W244" s="15">
        <f>FEBRERO!W244+MARZO!AM244</f>
        <v>0</v>
      </c>
      <c r="X244" s="18">
        <f t="shared" ref="X244:X256" si="202">SUM(U244:W244)</f>
        <v>0</v>
      </c>
      <c r="Y244" s="19">
        <f>FEBRERO!AA244</f>
        <v>0</v>
      </c>
      <c r="Z244" s="377">
        <v>0</v>
      </c>
      <c r="AA244" s="18">
        <f t="shared" ref="AA244:AA256" si="203">SUM(Y244:Z244)</f>
        <v>0</v>
      </c>
      <c r="AB244" s="19">
        <f>FEBRERO!AD244</f>
        <v>0</v>
      </c>
      <c r="AC244" s="377">
        <v>0</v>
      </c>
      <c r="AD244" s="18">
        <f t="shared" ref="AD244:AD256" si="204">SUM(AB244:AC244)</f>
        <v>0</v>
      </c>
      <c r="AE244" s="19">
        <f>FEBRERO!AG244</f>
        <v>0</v>
      </c>
      <c r="AF244" s="377">
        <v>0</v>
      </c>
      <c r="AG244" s="18">
        <f t="shared" ref="AG244:AG256" si="205">SUM(AE244:AF244)</f>
        <v>0</v>
      </c>
      <c r="AH244" s="19">
        <f t="shared" ref="AH244:AH256" si="206">X244-AA244</f>
        <v>0</v>
      </c>
      <c r="AI244" s="15">
        <f t="shared" ref="AI244:AI256" si="207">X244-AD244</f>
        <v>0</v>
      </c>
      <c r="AJ244" s="16">
        <f t="shared" ref="AJ244:AJ256" si="208">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+IF(FEBRERO!S245=0,"",FEBRERO!S245)</f>
        <v>8002100-2</v>
      </c>
      <c r="T245" s="694" t="str">
        <f>+IF(FEBRERO!T245=0,"",FEBRERO!T245)</f>
        <v>Programas Especial 01 Convenio APS Municipio</v>
      </c>
      <c r="U245" s="27">
        <f>+ENERO!U245</f>
        <v>94000000</v>
      </c>
      <c r="V245" s="15">
        <f>FEBRERO!V245+MARZO!AL245</f>
        <v>-68000000</v>
      </c>
      <c r="W245" s="15">
        <f>FEBRERO!W245+MARZO!AM245</f>
        <v>94000000</v>
      </c>
      <c r="X245" s="18">
        <f t="shared" si="202"/>
        <v>120000000</v>
      </c>
      <c r="Y245" s="19">
        <f>FEBRERO!AA245</f>
        <v>0</v>
      </c>
      <c r="Z245" s="377">
        <v>52650000</v>
      </c>
      <c r="AA245" s="18">
        <f t="shared" si="203"/>
        <v>52650000</v>
      </c>
      <c r="AB245" s="19">
        <f>FEBRERO!AD245</f>
        <v>0</v>
      </c>
      <c r="AC245" s="377">
        <v>0</v>
      </c>
      <c r="AD245" s="18">
        <f t="shared" si="204"/>
        <v>0</v>
      </c>
      <c r="AE245" s="19">
        <f>FEBRERO!AG245</f>
        <v>0</v>
      </c>
      <c r="AF245" s="377">
        <v>0</v>
      </c>
      <c r="AG245" s="18">
        <f t="shared" si="205"/>
        <v>0</v>
      </c>
      <c r="AH245" s="19">
        <f t="shared" si="206"/>
        <v>67350000</v>
      </c>
      <c r="AI245" s="15">
        <f t="shared" si="207"/>
        <v>120000000</v>
      </c>
      <c r="AJ245" s="16">
        <f t="shared" si="208"/>
        <v>120000000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+IF(FEBRERO!S246=0,"",FEBRERO!S246)</f>
        <v>8002100-3</v>
      </c>
      <c r="T246" s="694" t="str">
        <f>+IF(FEBRERO!T246=0,"",FEBRERO!T246)</f>
        <v>Programas Especial 02 Convenios APS  Departamento</v>
      </c>
      <c r="U246" s="27">
        <f>+ENERO!U246</f>
        <v>0</v>
      </c>
      <c r="V246" s="15">
        <f>FEBRERO!V246+MARZO!AL246</f>
        <v>0</v>
      </c>
      <c r="W246" s="15">
        <f>FEBRERO!W246+MARZO!AM246</f>
        <v>50000000</v>
      </c>
      <c r="X246" s="18">
        <f t="shared" si="202"/>
        <v>50000000</v>
      </c>
      <c r="Y246" s="19">
        <f>FEBRERO!AA246</f>
        <v>0</v>
      </c>
      <c r="Z246" s="377">
        <v>0</v>
      </c>
      <c r="AA246" s="18">
        <f t="shared" si="203"/>
        <v>0</v>
      </c>
      <c r="AB246" s="19">
        <f>FEBRERO!AD246</f>
        <v>0</v>
      </c>
      <c r="AC246" s="377">
        <v>0</v>
      </c>
      <c r="AD246" s="18">
        <f t="shared" si="204"/>
        <v>0</v>
      </c>
      <c r="AE246" s="19">
        <f>FEBRERO!AG246</f>
        <v>0</v>
      </c>
      <c r="AF246" s="377">
        <v>0</v>
      </c>
      <c r="AG246" s="18">
        <f t="shared" si="205"/>
        <v>0</v>
      </c>
      <c r="AH246" s="19">
        <f t="shared" si="206"/>
        <v>50000000</v>
      </c>
      <c r="AI246" s="15">
        <f t="shared" si="207"/>
        <v>50000000</v>
      </c>
      <c r="AJ246" s="16">
        <f t="shared" si="208"/>
        <v>50000000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+IF(FEBRERO!S247=0,"",FEBRERO!S247)</f>
        <v>8002100-4</v>
      </c>
      <c r="T247" s="694" t="str">
        <f>+IF(FEBRERO!T247=0,"",FEBRERO!T247)</f>
        <v>Subprogr. Implementacion Normas Internacionales de Contabilidad Publica</v>
      </c>
      <c r="U247" s="27">
        <f>+ENERO!U247</f>
        <v>0</v>
      </c>
      <c r="V247" s="15">
        <f>FEBRERO!V247+MARZO!AL247</f>
        <v>0</v>
      </c>
      <c r="W247" s="15">
        <f>FEBRERO!W247+MARZO!AM247</f>
        <v>0</v>
      </c>
      <c r="X247" s="18">
        <f t="shared" si="202"/>
        <v>0</v>
      </c>
      <c r="Y247" s="19">
        <f>FEBRERO!AA247</f>
        <v>0</v>
      </c>
      <c r="Z247" s="377">
        <v>0</v>
      </c>
      <c r="AA247" s="18">
        <f t="shared" si="203"/>
        <v>0</v>
      </c>
      <c r="AB247" s="19">
        <f>FEBRERO!AD247</f>
        <v>0</v>
      </c>
      <c r="AC247" s="377">
        <v>0</v>
      </c>
      <c r="AD247" s="18">
        <f t="shared" si="204"/>
        <v>0</v>
      </c>
      <c r="AE247" s="19">
        <f>FEBRERO!AG247</f>
        <v>0</v>
      </c>
      <c r="AF247" s="377">
        <v>0</v>
      </c>
      <c r="AG247" s="18">
        <f t="shared" si="205"/>
        <v>0</v>
      </c>
      <c r="AH247" s="19">
        <f t="shared" si="206"/>
        <v>0</v>
      </c>
      <c r="AI247" s="15">
        <f t="shared" si="207"/>
        <v>0</v>
      </c>
      <c r="AJ247" s="16">
        <f t="shared" si="208"/>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+IF(FEBRERO!S248=0,"",FEBRERO!S248)</f>
        <v>8002100-5</v>
      </c>
      <c r="T248" s="694" t="str">
        <f>+IF(FEBRERO!T248=0,"",FEBRERO!T248)</f>
        <v>Programas Especial 04 Convenio Puestos de Salud</v>
      </c>
      <c r="U248" s="27">
        <f>+ENERO!U248</f>
        <v>24000000</v>
      </c>
      <c r="V248" s="15">
        <f>FEBRERO!V248+MARZO!AL248</f>
        <v>0</v>
      </c>
      <c r="W248" s="15">
        <f>FEBRERO!W248+MARZO!AM248</f>
        <v>34000000</v>
      </c>
      <c r="X248" s="18">
        <f t="shared" si="202"/>
        <v>58000000</v>
      </c>
      <c r="Y248" s="19">
        <f>FEBRERO!AA248</f>
        <v>0</v>
      </c>
      <c r="Z248" s="377">
        <v>0</v>
      </c>
      <c r="AA248" s="18">
        <f t="shared" si="203"/>
        <v>0</v>
      </c>
      <c r="AB248" s="19">
        <f>FEBRERO!AD248</f>
        <v>0</v>
      </c>
      <c r="AC248" s="377">
        <v>0</v>
      </c>
      <c r="AD248" s="18">
        <f t="shared" si="204"/>
        <v>0</v>
      </c>
      <c r="AE248" s="19">
        <f>FEBRERO!AG248</f>
        <v>0</v>
      </c>
      <c r="AF248" s="377">
        <v>0</v>
      </c>
      <c r="AG248" s="18">
        <f t="shared" si="205"/>
        <v>0</v>
      </c>
      <c r="AH248" s="19">
        <f t="shared" si="206"/>
        <v>58000000</v>
      </c>
      <c r="AI248" s="15">
        <f t="shared" si="207"/>
        <v>58000000</v>
      </c>
      <c r="AJ248" s="16">
        <f t="shared" si="208"/>
        <v>58000000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+IF(FEBRERO!S249=0,"",FEBRERO!S249)</f>
        <v>8002100-6</v>
      </c>
      <c r="T249" s="694" t="str">
        <f>+IF(FEBRERO!T249=0,"",FEBRERO!T249)</f>
        <v>Programas Especial 05</v>
      </c>
      <c r="U249" s="27">
        <f>+ENERO!U249</f>
        <v>0</v>
      </c>
      <c r="V249" s="15">
        <f>FEBRERO!V249+MARZO!AL249</f>
        <v>0</v>
      </c>
      <c r="W249" s="15">
        <f>FEBRERO!W249+MARZO!AM249</f>
        <v>0</v>
      </c>
      <c r="X249" s="18">
        <f t="shared" si="202"/>
        <v>0</v>
      </c>
      <c r="Y249" s="19">
        <f>FEBRERO!AA249</f>
        <v>0</v>
      </c>
      <c r="Z249" s="377">
        <v>0</v>
      </c>
      <c r="AA249" s="18">
        <f t="shared" si="203"/>
        <v>0</v>
      </c>
      <c r="AB249" s="19">
        <f>FEBRERO!AD249</f>
        <v>0</v>
      </c>
      <c r="AC249" s="377">
        <v>0</v>
      </c>
      <c r="AD249" s="18">
        <f t="shared" si="204"/>
        <v>0</v>
      </c>
      <c r="AE249" s="19">
        <f>FEBRERO!AG249</f>
        <v>0</v>
      </c>
      <c r="AF249" s="377">
        <v>0</v>
      </c>
      <c r="AG249" s="18">
        <f t="shared" si="205"/>
        <v>0</v>
      </c>
      <c r="AH249" s="19">
        <f t="shared" si="206"/>
        <v>0</v>
      </c>
      <c r="AI249" s="15">
        <f t="shared" si="207"/>
        <v>0</v>
      </c>
      <c r="AJ249" s="16">
        <f t="shared" si="208"/>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+IF(FEBRERO!S250=0,"",FEBRERO!S250)</f>
        <v>8002100-7</v>
      </c>
      <c r="T250" s="694" t="str">
        <f>+IF(FEBRERO!T250=0,"",FEBRERO!T250)</f>
        <v>Programas Especial 06</v>
      </c>
      <c r="U250" s="27">
        <f>+ENERO!U250</f>
        <v>0</v>
      </c>
      <c r="V250" s="15">
        <f>FEBRERO!V250+MARZO!AL250</f>
        <v>0</v>
      </c>
      <c r="W250" s="15">
        <f>FEBRERO!W250+MARZO!AM250</f>
        <v>0</v>
      </c>
      <c r="X250" s="18">
        <f>SUM(U250:W250)</f>
        <v>0</v>
      </c>
      <c r="Y250" s="19">
        <f>FEBRERO!AA250</f>
        <v>0</v>
      </c>
      <c r="Z250" s="377">
        <v>0</v>
      </c>
      <c r="AA250" s="18">
        <f>SUM(Y250:Z250)</f>
        <v>0</v>
      </c>
      <c r="AB250" s="19">
        <f>FEBRERO!AD250</f>
        <v>0</v>
      </c>
      <c r="AC250" s="377">
        <v>0</v>
      </c>
      <c r="AD250" s="18">
        <f>SUM(AB250:AC250)</f>
        <v>0</v>
      </c>
      <c r="AE250" s="19">
        <f>FEBRERO!AG250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+IF(FEBRERO!S251=0,"",FEBRERO!S251)</f>
        <v>8002100-8</v>
      </c>
      <c r="T251" s="694" t="str">
        <f>+IF(FEBRERO!T251=0,"",FEBRERO!T251)</f>
        <v>Programas Especial 07</v>
      </c>
      <c r="U251" s="27">
        <f>+ENERO!U251</f>
        <v>0</v>
      </c>
      <c r="V251" s="15">
        <f>FEBRERO!V251+MARZO!AL251</f>
        <v>0</v>
      </c>
      <c r="W251" s="15">
        <f>FEBRERO!W251+MARZO!AM251</f>
        <v>0</v>
      </c>
      <c r="X251" s="18">
        <f>SUM(U251:W251)</f>
        <v>0</v>
      </c>
      <c r="Y251" s="19">
        <f>FEBRERO!AA251</f>
        <v>0</v>
      </c>
      <c r="Z251" s="377">
        <v>0</v>
      </c>
      <c r="AA251" s="18">
        <f>SUM(Y251:Z251)</f>
        <v>0</v>
      </c>
      <c r="AB251" s="19">
        <f>FEBRERO!AD251</f>
        <v>0</v>
      </c>
      <c r="AC251" s="377">
        <v>0</v>
      </c>
      <c r="AD251" s="18">
        <f>SUM(AB251:AC251)</f>
        <v>0</v>
      </c>
      <c r="AE251" s="19">
        <f>FEBRERO!AG251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+IF(FEBRERO!S252=0,"",FEBRERO!S252)</f>
        <v>8002100-9</v>
      </c>
      <c r="T252" s="694" t="str">
        <f>+IF(FEBRERO!T252=0,"",FEBRERO!T252)</f>
        <v>Programas Especial 08</v>
      </c>
      <c r="U252" s="27">
        <f>+ENERO!U252</f>
        <v>0</v>
      </c>
      <c r="V252" s="15">
        <f>FEBRERO!V252+MARZO!AL252</f>
        <v>0</v>
      </c>
      <c r="W252" s="15">
        <f>FEBRERO!W252+MARZO!AM252</f>
        <v>0</v>
      </c>
      <c r="X252" s="18">
        <f>SUM(U252:W252)</f>
        <v>0</v>
      </c>
      <c r="Y252" s="19">
        <f>FEBRERO!AA252</f>
        <v>0</v>
      </c>
      <c r="Z252" s="377">
        <v>0</v>
      </c>
      <c r="AA252" s="18">
        <f>SUM(Y252:Z252)</f>
        <v>0</v>
      </c>
      <c r="AB252" s="19">
        <f>FEBRERO!AD252</f>
        <v>0</v>
      </c>
      <c r="AC252" s="377">
        <v>0</v>
      </c>
      <c r="AD252" s="18">
        <f>SUM(AB252:AC252)</f>
        <v>0</v>
      </c>
      <c r="AE252" s="19">
        <f>FEBRERO!AG252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+IF(FEBRERO!S253=0,"",FEBRERO!S253)</f>
        <v>8002100-10</v>
      </c>
      <c r="T253" s="694" t="str">
        <f>+IF(FEBRERO!T253=0,"",FEBRERO!T253)</f>
        <v>Programas Especial 09</v>
      </c>
      <c r="U253" s="27">
        <f>+ENERO!U253</f>
        <v>0</v>
      </c>
      <c r="V253" s="15">
        <f>FEBRERO!V253+MARZO!AL253</f>
        <v>0</v>
      </c>
      <c r="W253" s="15">
        <f>FEBRERO!W253+MARZO!AM253</f>
        <v>0</v>
      </c>
      <c r="X253" s="18">
        <f>SUM(U253:W253)</f>
        <v>0</v>
      </c>
      <c r="Y253" s="19">
        <f>FEBRERO!AA253</f>
        <v>0</v>
      </c>
      <c r="Z253" s="377">
        <v>0</v>
      </c>
      <c r="AA253" s="18">
        <f>SUM(Y253:Z253)</f>
        <v>0</v>
      </c>
      <c r="AB253" s="19">
        <f>FEBRERO!AD253</f>
        <v>0</v>
      </c>
      <c r="AC253" s="377">
        <v>0</v>
      </c>
      <c r="AD253" s="18">
        <f>SUM(AB253:AC253)</f>
        <v>0</v>
      </c>
      <c r="AE253" s="19">
        <f>FEBRERO!AG253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+IF(FEBRERO!S254=0,"",FEBRERO!S254)</f>
        <v>8002100-11</v>
      </c>
      <c r="T254" s="694" t="str">
        <f>+IF(FEBRERO!T254=0,"",FEBRERO!T254)</f>
        <v>Programas Especial 10</v>
      </c>
      <c r="U254" s="27">
        <f>+ENERO!U254</f>
        <v>0</v>
      </c>
      <c r="V254" s="15">
        <f>FEBRERO!V254+MARZO!AL254</f>
        <v>0</v>
      </c>
      <c r="W254" s="15">
        <f>FEBRERO!W254+MARZO!AM254</f>
        <v>0</v>
      </c>
      <c r="X254" s="18">
        <f>SUM(U254:W254)</f>
        <v>0</v>
      </c>
      <c r="Y254" s="19">
        <f>FEBRERO!AA254</f>
        <v>0</v>
      </c>
      <c r="Z254" s="377">
        <v>0</v>
      </c>
      <c r="AA254" s="18">
        <f>SUM(Y254:Z254)</f>
        <v>0</v>
      </c>
      <c r="AB254" s="19">
        <f>FEBRERO!AD254</f>
        <v>0</v>
      </c>
      <c r="AC254" s="377">
        <v>0</v>
      </c>
      <c r="AD254" s="18">
        <f>SUM(AB254:AC254)</f>
        <v>0</v>
      </c>
      <c r="AE254" s="19">
        <f>FEBRERO!AG254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+IF(FEBRERO!S255=0,"",FEBRERO!S255)</f>
        <v>8002100-12</v>
      </c>
      <c r="T255" s="694" t="str">
        <f>+IF(FEBRERO!T255=0,"",FEBRERO!T255)</f>
        <v>Programas Especial 11</v>
      </c>
      <c r="U255" s="27">
        <f>+ENERO!U255</f>
        <v>0</v>
      </c>
      <c r="V255" s="15">
        <f>FEBRERO!V255+MARZO!AL255</f>
        <v>0</v>
      </c>
      <c r="W255" s="15">
        <f>FEBRERO!W255+MARZO!AM255</f>
        <v>0</v>
      </c>
      <c r="X255" s="18">
        <f t="shared" si="202"/>
        <v>0</v>
      </c>
      <c r="Y255" s="19">
        <f>FEBRERO!AA255</f>
        <v>0</v>
      </c>
      <c r="Z255" s="377">
        <v>0</v>
      </c>
      <c r="AA255" s="18">
        <f t="shared" si="203"/>
        <v>0</v>
      </c>
      <c r="AB255" s="19">
        <f>FEBRERO!AD255</f>
        <v>0</v>
      </c>
      <c r="AC255" s="377">
        <v>0</v>
      </c>
      <c r="AD255" s="18">
        <f t="shared" si="204"/>
        <v>0</v>
      </c>
      <c r="AE255" s="19">
        <f>FEBRERO!AG255</f>
        <v>0</v>
      </c>
      <c r="AF255" s="377">
        <v>0</v>
      </c>
      <c r="AG255" s="18">
        <f t="shared" si="205"/>
        <v>0</v>
      </c>
      <c r="AH255" s="19">
        <f t="shared" si="206"/>
        <v>0</v>
      </c>
      <c r="AI255" s="15">
        <f t="shared" si="207"/>
        <v>0</v>
      </c>
      <c r="AJ255" s="16">
        <f t="shared" si="208"/>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+IF(FEBRERO!S256=0,"",FEBRERO!S256)</f>
        <v>8002999</v>
      </c>
      <c r="T256" s="710" t="str">
        <f>+IF(FEBRERO!T256=0,"",FEBRERO!T256)</f>
        <v>Vigencias Anteriores</v>
      </c>
      <c r="U256" s="136">
        <f>+ENERO!U256</f>
        <v>0</v>
      </c>
      <c r="V256" s="123">
        <f>FEBRERO!V256+MARZO!AL256</f>
        <v>0</v>
      </c>
      <c r="W256" s="123">
        <f>FEBRERO!W256+MARZO!AM256</f>
        <v>0</v>
      </c>
      <c r="X256" s="129">
        <f t="shared" si="202"/>
        <v>0</v>
      </c>
      <c r="Y256" s="127">
        <f>FEBRERO!AA256</f>
        <v>0</v>
      </c>
      <c r="Z256" s="391">
        <v>0</v>
      </c>
      <c r="AA256" s="129">
        <f t="shared" si="203"/>
        <v>0</v>
      </c>
      <c r="AB256" s="127">
        <f>FEBRERO!AD256</f>
        <v>0</v>
      </c>
      <c r="AC256" s="391">
        <v>0</v>
      </c>
      <c r="AD256" s="129">
        <f t="shared" si="204"/>
        <v>0</v>
      </c>
      <c r="AE256" s="127">
        <f>FEBRERO!AG256</f>
        <v>0</v>
      </c>
      <c r="AF256" s="391">
        <v>0</v>
      </c>
      <c r="AG256" s="129">
        <f t="shared" si="205"/>
        <v>0</v>
      </c>
      <c r="AH256" s="127">
        <f t="shared" si="206"/>
        <v>0</v>
      </c>
      <c r="AI256" s="123">
        <f t="shared" si="207"/>
        <v>0</v>
      </c>
      <c r="AJ256" s="128">
        <f t="shared" si="208"/>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+IF(FEBRERO!S257=0,"",FEBRERO!S257)</f>
        <v/>
      </c>
      <c r="T257" s="707" t="str">
        <f>+IF(FEBRERO!T257=0,"",FEBRERO!T257)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+IF(FEBRERO!S258=0,"",FEBRERO!S258)</f>
        <v>E</v>
      </c>
      <c r="T258" s="711" t="str">
        <f>+IF(FEBRERO!T258=0,"",FEBRERO!T258)</f>
        <v>DISPONIBILIDAD FINAL</v>
      </c>
      <c r="U258" s="341">
        <f t="shared" ref="U258:AJ258" si="209">+(C10+C17+C113)-(U10+U207+U220+U232)</f>
        <v>0</v>
      </c>
      <c r="V258" s="341">
        <f t="shared" si="209"/>
        <v>0</v>
      </c>
      <c r="W258" s="341">
        <f t="shared" si="209"/>
        <v>0</v>
      </c>
      <c r="X258" s="341">
        <f t="shared" si="209"/>
        <v>0</v>
      </c>
      <c r="Y258" s="341">
        <f t="shared" si="209"/>
        <v>-379227889</v>
      </c>
      <c r="Z258" s="341">
        <f t="shared" si="209"/>
        <v>124049681</v>
      </c>
      <c r="AA258" s="341">
        <f t="shared" si="209"/>
        <v>-255178208</v>
      </c>
      <c r="AB258" s="341">
        <f t="shared" si="209"/>
        <v>-347254748</v>
      </c>
      <c r="AC258" s="341">
        <f t="shared" si="209"/>
        <v>-39753329</v>
      </c>
      <c r="AD258" s="341">
        <f t="shared" si="209"/>
        <v>-387008077</v>
      </c>
      <c r="AE258" s="341">
        <f t="shared" si="209"/>
        <v>2269250566</v>
      </c>
      <c r="AF258" s="341">
        <f t="shared" si="209"/>
        <v>2953510839</v>
      </c>
      <c r="AG258" s="341">
        <f t="shared" si="209"/>
        <v>-639464196</v>
      </c>
      <c r="AH258" s="341">
        <f t="shared" si="209"/>
        <v>-2457801413</v>
      </c>
      <c r="AI258" s="341">
        <f t="shared" si="209"/>
        <v>-2762237903</v>
      </c>
      <c r="AJ258" s="341">
        <f t="shared" si="209"/>
        <v>-3149245980</v>
      </c>
      <c r="AK258" s="9"/>
      <c r="AL258" s="341">
        <v>0</v>
      </c>
      <c r="AM258" s="342">
        <v>0</v>
      </c>
    </row>
    <row r="259" spans="1:39" ht="24.95" customHeight="1" thickBot="1" x14ac:dyDescent="0.25">
      <c r="S259" s="912" t="str">
        <f>+IF(FEBRERO!S259=0,"",FEBRERO!S259)</f>
        <v>TOTAL VIGENCIAS ANTERIORES</v>
      </c>
      <c r="T259" s="913"/>
      <c r="U259" s="125">
        <f t="shared" ref="U259:AJ259" si="210">+SUMIF($T$8:$T$256,$T$33,U8:U256)</f>
        <v>0</v>
      </c>
      <c r="V259" s="115">
        <f t="shared" si="210"/>
        <v>0</v>
      </c>
      <c r="W259" s="115">
        <f t="shared" si="210"/>
        <v>342364056</v>
      </c>
      <c r="X259" s="126">
        <f t="shared" si="210"/>
        <v>342364056</v>
      </c>
      <c r="Y259" s="125">
        <f t="shared" si="210"/>
        <v>340490276</v>
      </c>
      <c r="Z259" s="115">
        <f t="shared" si="210"/>
        <v>0</v>
      </c>
      <c r="AA259" s="126">
        <f t="shared" si="210"/>
        <v>340490276</v>
      </c>
      <c r="AB259" s="125">
        <f t="shared" si="210"/>
        <v>342364056</v>
      </c>
      <c r="AC259" s="115">
        <f t="shared" si="210"/>
        <v>0</v>
      </c>
      <c r="AD259" s="126">
        <f t="shared" si="210"/>
        <v>342364056</v>
      </c>
      <c r="AE259" s="125">
        <f t="shared" si="210"/>
        <v>189700354</v>
      </c>
      <c r="AF259" s="115">
        <f t="shared" si="210"/>
        <v>28355553</v>
      </c>
      <c r="AG259" s="126">
        <f t="shared" si="210"/>
        <v>218055907</v>
      </c>
      <c r="AH259" s="125">
        <f t="shared" si="210"/>
        <v>1873780</v>
      </c>
      <c r="AI259" s="115">
        <f t="shared" si="210"/>
        <v>0</v>
      </c>
      <c r="AJ259" s="116">
        <f t="shared" si="210"/>
        <v>124308149</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0F6" sheet="1" objects="1" scenarios="1" formatCells="0" formatColumns="0"/>
  <mergeCells count="48">
    <mergeCell ref="S259:T259"/>
    <mergeCell ref="G5:I5"/>
    <mergeCell ref="J5:L5"/>
    <mergeCell ref="S5:S6"/>
    <mergeCell ref="P3:P5"/>
    <mergeCell ref="T3:T4"/>
    <mergeCell ref="L3:M4"/>
    <mergeCell ref="M5:N5"/>
    <mergeCell ref="N3:N4"/>
    <mergeCell ref="BM3:BO3"/>
    <mergeCell ref="BH5:BK5"/>
    <mergeCell ref="BM5:BM6"/>
    <mergeCell ref="BB3:BC3"/>
    <mergeCell ref="BG3:BI3"/>
    <mergeCell ref="BL5:BL6"/>
    <mergeCell ref="BF5:BF6"/>
    <mergeCell ref="BM2:BO2"/>
    <mergeCell ref="P2:Q2"/>
    <mergeCell ref="L2:M2"/>
    <mergeCell ref="D2:E2"/>
    <mergeCell ref="AL2:AM2"/>
    <mergeCell ref="BB2:BC2"/>
    <mergeCell ref="BG2:BI2"/>
    <mergeCell ref="V2:X2"/>
    <mergeCell ref="Y2:AG2"/>
    <mergeCell ref="AH2:AI2"/>
    <mergeCell ref="AW19:AZ19"/>
    <mergeCell ref="AW4:AZ4"/>
    <mergeCell ref="A1:B1"/>
    <mergeCell ref="C1:J1"/>
    <mergeCell ref="K1:N1"/>
    <mergeCell ref="AJ3:AJ4"/>
    <mergeCell ref="T5:T6"/>
    <mergeCell ref="Y3:AG4"/>
    <mergeCell ref="V3:X4"/>
    <mergeCell ref="AH3:AI4"/>
    <mergeCell ref="AL3:AL5"/>
    <mergeCell ref="D3:E4"/>
    <mergeCell ref="F3:K4"/>
    <mergeCell ref="Q3:Q5"/>
    <mergeCell ref="AH5:AJ5"/>
    <mergeCell ref="AB5:AD5"/>
    <mergeCell ref="B3:B4"/>
    <mergeCell ref="AM3:AM5"/>
    <mergeCell ref="A5:A6"/>
    <mergeCell ref="B5:B6"/>
    <mergeCell ref="C5:F5"/>
    <mergeCell ref="AE5:AG5"/>
  </mergeCells>
  <phoneticPr fontId="1" type="noConversion"/>
  <conditionalFormatting sqref="B5:B7">
    <cfRule type="expression" dxfId="9" priority="1" stopIfTrue="1">
      <formula>$B$5="OJO - RECUERDE RECAUDAR LA DISPONIBLIDAD INICIAL EN ESTE TRIMESTRE, haga clik en H9 para ampliar la información"</formula>
    </cfRule>
  </conditionalFormatting>
  <dataValidations count="5">
    <dataValidation allowBlank="1" showInputMessage="1" showErrorMessage="1" promptTitle="MANEJO DE DISPONIBILIDAD INCIAL" prompt="Al realizar el estimativo del presupuesto, se usó para la disponibilidad inicial un valor tentativo. Ese valor debe ser adicionado o modificado en este trimestre para dejar el valor real que quedó como disponible efectivamente al finalizar la vigencia." sqref="B10:B11"/>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BS260"/>
  <sheetViews>
    <sheetView showGridLines="0" topLeftCell="A109" zoomScale="80" zoomScaleNormal="80" workbookViewId="0">
      <selection activeCell="N30" sqref="N30"/>
    </sheetView>
  </sheetViews>
  <sheetFormatPr baseColWidth="10" defaultColWidth="0" defaultRowHeight="24.95" customHeight="1" x14ac:dyDescent="0.2"/>
  <cols>
    <col min="1" max="1" width="11.7109375" style="768" customWidth="1"/>
    <col min="2" max="2" width="51" style="670" customWidth="1"/>
    <col min="3" max="3" width="16" style="275" customWidth="1"/>
    <col min="4" max="4" width="16.140625" style="275" customWidth="1"/>
    <col min="5" max="6" width="14.42578125" style="275" customWidth="1"/>
    <col min="7" max="7" width="16.7109375" style="275" customWidth="1"/>
    <col min="8"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140625" style="712" customWidth="1"/>
    <col min="20" max="20" width="60.140625" style="686" customWidth="1"/>
    <col min="21" max="21" width="15.5703125" style="275" customWidth="1"/>
    <col min="22" max="23" width="14.7109375" style="275" customWidth="1"/>
    <col min="24" max="24" width="17" style="275" customWidth="1"/>
    <col min="25" max="25" width="16.7109375" style="275" customWidth="1"/>
    <col min="26" max="26" width="14.7109375" style="275" customWidth="1"/>
    <col min="27" max="27" width="16.7109375" style="275" customWidth="1"/>
    <col min="28" max="28" width="15.28515625" style="275" customWidth="1"/>
    <col min="29" max="29" width="14.7109375" style="275" customWidth="1"/>
    <col min="30" max="30" width="15.85546875" style="275" customWidth="1"/>
    <col min="3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6.425781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2.75" customHeight="1" thickBot="1" x14ac:dyDescent="0.3">
      <c r="A2" s="765"/>
      <c r="B2" s="732" t="str">
        <f>+ENERO!B2</f>
        <v>SECRETARIA SECCIONAL DE SALUD DE ANTIOQUIA</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4</v>
      </c>
      <c r="AP2" s="283" t="s">
        <v>8</v>
      </c>
      <c r="AQ2" s="284"/>
      <c r="AR2" s="3"/>
      <c r="AS2" s="3"/>
      <c r="AT2" s="3"/>
      <c r="AU2" s="3"/>
      <c r="AV2" s="3"/>
      <c r="AW2" s="3"/>
      <c r="AX2" s="3"/>
      <c r="AY2" s="3"/>
      <c r="AZ2" s="4"/>
      <c r="BB2" s="899" t="s">
        <v>404</v>
      </c>
      <c r="BC2" s="901"/>
      <c r="BD2" s="51" t="s">
        <v>392</v>
      </c>
      <c r="BE2" s="281" t="str">
        <f>+L3</f>
        <v>ABRIL</v>
      </c>
      <c r="BF2" s="276"/>
      <c r="BG2" s="899" t="s">
        <v>405</v>
      </c>
      <c r="BH2" s="901"/>
      <c r="BI2" s="901"/>
      <c r="BJ2" s="51" t="s">
        <v>392</v>
      </c>
      <c r="BK2" s="281" t="str">
        <f>+BE2</f>
        <v>ABRIL</v>
      </c>
      <c r="BM2" s="899" t="s">
        <v>405</v>
      </c>
      <c r="BN2" s="901"/>
      <c r="BO2" s="901"/>
      <c r="BP2" s="51" t="s">
        <v>392</v>
      </c>
      <c r="BQ2" s="281" t="str">
        <f>+BK2</f>
        <v>ABRIL</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372</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ABRIL</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298"/>
    </row>
    <row r="5" spans="1:69" ht="42" customHeight="1" thickBot="1" x14ac:dyDescent="0.3">
      <c r="A5" s="935" t="s">
        <v>19</v>
      </c>
      <c r="B5" s="937" t="s">
        <v>20</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5" t="str">
        <f>+CONCATENATE("ACUMULADO ",N3)</f>
        <v>ACUMULADO 2015</v>
      </c>
      <c r="BI5" s="876"/>
      <c r="BJ5" s="876"/>
      <c r="BK5" s="877"/>
      <c r="BM5" s="910" t="s">
        <v>34</v>
      </c>
      <c r="BN5" s="311" t="str">
        <f>+CONCATENATE("ACUMULADO ",BQ3)</f>
        <v>ACUMULADO 2015</v>
      </c>
      <c r="BO5" s="312"/>
      <c r="BP5" s="313"/>
      <c r="BQ5" s="314"/>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ABRIL</v>
      </c>
      <c r="AS6" s="319" t="str">
        <f>AR6</f>
        <v>ABRIL</v>
      </c>
      <c r="AT6" s="319" t="str">
        <f>AR6</f>
        <v>ABRIL</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733667755</v>
      </c>
      <c r="AS7" s="330">
        <f>L22</f>
        <v>307762523</v>
      </c>
      <c r="AT7" s="13"/>
      <c r="AU7" s="331">
        <f t="shared" ref="AU7:AU17" si="0">IF(AQ7=0," ",AR7/AQ7)</f>
        <v>0.41715169932484575</v>
      </c>
      <c r="AV7" s="331">
        <f t="shared" ref="AV7:AV17" si="1">IF(AQ7=0," ",AS7/AQ7)</f>
        <v>0.17498882645858127</v>
      </c>
      <c r="AW7" s="330">
        <f>I23/AO$2*12+I24</f>
        <v>1590785013</v>
      </c>
      <c r="AX7" s="330">
        <f>L23/AO$2*12+L24</f>
        <v>313069317</v>
      </c>
      <c r="AY7" s="330">
        <f t="shared" ref="AY7:AY16" si="2">AW7-AQ7</f>
        <v>-167970270</v>
      </c>
      <c r="AZ7" s="332">
        <f t="shared" ref="AZ7:AZ16" si="3">AX7-AQ7</f>
        <v>-1445685966</v>
      </c>
      <c r="BB7" s="333" t="s">
        <v>55</v>
      </c>
      <c r="BC7" s="54">
        <f>F10</f>
        <v>90342061</v>
      </c>
      <c r="BD7" s="55">
        <f>I10</f>
        <v>90342061</v>
      </c>
      <c r="BE7" s="56">
        <f>K10</f>
        <v>0</v>
      </c>
      <c r="BF7" s="57"/>
      <c r="BG7" s="91" t="s">
        <v>56</v>
      </c>
      <c r="BH7" s="117">
        <f>+SUM(BH8:BH11)</f>
        <v>2721710512</v>
      </c>
      <c r="BI7" s="117">
        <f>+SUM(BI8:BI11)</f>
        <v>984606993</v>
      </c>
      <c r="BJ7" s="117">
        <f>+SUM(BJ8:BJ11)</f>
        <v>776826186</v>
      </c>
      <c r="BK7" s="117">
        <f>+SUM(BK8:BK11)</f>
        <v>187822717</v>
      </c>
      <c r="BM7" s="61" t="s">
        <v>56</v>
      </c>
      <c r="BN7" s="62">
        <f>BN8+BN15+BN22</f>
        <v>2721710512</v>
      </c>
      <c r="BO7" s="63">
        <f>BO8+BO15+BO22</f>
        <v>984606993</v>
      </c>
      <c r="BP7" s="63">
        <f>BP8+BP15+BP22</f>
        <v>776826186</v>
      </c>
      <c r="BQ7" s="64">
        <f>BQ8+BQ15+BQ22</f>
        <v>187822717</v>
      </c>
    </row>
    <row r="8" spans="1:69" s="9" customFormat="1" ht="24.95" customHeight="1" thickBot="1" x14ac:dyDescent="0.3">
      <c r="A8" s="744">
        <f>+IF(MARZO!A8=0,"",MARZO!A8)</f>
        <v>1</v>
      </c>
      <c r="B8" s="643" t="str">
        <f>+IF(MARZO!B8=0,"",MARZO!B8)</f>
        <v>INGRESOS</v>
      </c>
      <c r="C8" s="334">
        <f>C10+C17+C113</f>
        <v>3135701014</v>
      </c>
      <c r="D8" s="334">
        <f t="shared" ref="D8:Q8" si="4">D10+D17+D113</f>
        <v>0</v>
      </c>
      <c r="E8" s="334">
        <f t="shared" si="4"/>
        <v>680185762</v>
      </c>
      <c r="F8" s="334">
        <f t="shared" si="4"/>
        <v>3815886776</v>
      </c>
      <c r="G8" s="334">
        <f t="shared" si="4"/>
        <v>1075730555</v>
      </c>
      <c r="H8" s="334">
        <f t="shared" si="4"/>
        <v>358768176</v>
      </c>
      <c r="I8" s="334">
        <f t="shared" si="4"/>
        <v>1434498731</v>
      </c>
      <c r="J8" s="334">
        <f t="shared" si="4"/>
        <v>639464196</v>
      </c>
      <c r="K8" s="334">
        <f t="shared" si="4"/>
        <v>198507495</v>
      </c>
      <c r="L8" s="334">
        <f t="shared" si="4"/>
        <v>837971691</v>
      </c>
      <c r="M8" s="334">
        <f t="shared" si="4"/>
        <v>2381388045</v>
      </c>
      <c r="N8" s="334">
        <f t="shared" si="4"/>
        <v>2977915085</v>
      </c>
      <c r="O8" s="336"/>
      <c r="P8" s="337">
        <f t="shared" si="4"/>
        <v>0</v>
      </c>
      <c r="Q8" s="335">
        <f t="shared" si="4"/>
        <v>27176600</v>
      </c>
      <c r="S8" s="715" t="str">
        <f>+IF(MARZO!S8=0,"",MARZO!S8)</f>
        <v/>
      </c>
      <c r="T8" s="687" t="str">
        <f>+IF(MARZO!T8=0,"",MARZO!T8)</f>
        <v>GASTOS</v>
      </c>
      <c r="U8" s="338">
        <f t="shared" ref="U8:AM8" si="5">U10+U207+U220+U232</f>
        <v>3135701014</v>
      </c>
      <c r="V8" s="339">
        <f t="shared" si="5"/>
        <v>0</v>
      </c>
      <c r="W8" s="339">
        <f t="shared" si="5"/>
        <v>680185762</v>
      </c>
      <c r="X8" s="340">
        <f t="shared" si="5"/>
        <v>3815886776</v>
      </c>
      <c r="Y8" s="341">
        <f t="shared" si="5"/>
        <v>1330908763</v>
      </c>
      <c r="Z8" s="339">
        <f t="shared" si="5"/>
        <v>187285573</v>
      </c>
      <c r="AA8" s="340">
        <f t="shared" si="5"/>
        <v>1518194336</v>
      </c>
      <c r="AB8" s="341">
        <f t="shared" si="5"/>
        <v>1026472273</v>
      </c>
      <c r="AC8" s="339">
        <f t="shared" si="5"/>
        <v>204304663</v>
      </c>
      <c r="AD8" s="340">
        <f t="shared" si="5"/>
        <v>1230776936</v>
      </c>
      <c r="AE8" s="341">
        <f t="shared" si="5"/>
        <v>639464196</v>
      </c>
      <c r="AF8" s="339">
        <f t="shared" si="5"/>
        <v>218202087</v>
      </c>
      <c r="AG8" s="340">
        <f t="shared" si="5"/>
        <v>857666283</v>
      </c>
      <c r="AH8" s="341">
        <f t="shared" si="5"/>
        <v>2297692440</v>
      </c>
      <c r="AI8" s="339">
        <f t="shared" si="5"/>
        <v>2585109840</v>
      </c>
      <c r="AJ8" s="342">
        <f t="shared" si="5"/>
        <v>2958220493</v>
      </c>
      <c r="AL8" s="343">
        <f t="shared" si="5"/>
        <v>0</v>
      </c>
      <c r="AM8" s="344">
        <f t="shared" si="5"/>
        <v>27176600</v>
      </c>
      <c r="AO8" s="21"/>
      <c r="AP8" s="11" t="s">
        <v>58</v>
      </c>
      <c r="AQ8" s="12">
        <f>F25</f>
        <v>945539330</v>
      </c>
      <c r="AR8" s="12">
        <f>I25</f>
        <v>321944217</v>
      </c>
      <c r="AS8" s="12">
        <f>L25</f>
        <v>214724101</v>
      </c>
      <c r="AT8" s="13"/>
      <c r="AU8" s="345">
        <f t="shared" si="0"/>
        <v>0.34048738829298619</v>
      </c>
      <c r="AV8" s="345">
        <f t="shared" si="1"/>
        <v>0.22709166524040836</v>
      </c>
      <c r="AW8" s="12">
        <f>I26/AO$2*12+I27</f>
        <v>885940717</v>
      </c>
      <c r="AX8" s="12">
        <f>L26/AO$2*12+L27</f>
        <v>564280369</v>
      </c>
      <c r="AY8" s="12">
        <f t="shared" si="2"/>
        <v>-59598613</v>
      </c>
      <c r="AZ8" s="346">
        <f t="shared" si="3"/>
        <v>-381258961</v>
      </c>
      <c r="BB8" s="143" t="s">
        <v>59</v>
      </c>
      <c r="BC8" s="65">
        <f>BC9+BC19</f>
        <v>3120322541</v>
      </c>
      <c r="BD8" s="66">
        <f>BD9+BD19</f>
        <v>961370547</v>
      </c>
      <c r="BE8" s="67">
        <f>BE9+BE19</f>
        <v>93112761</v>
      </c>
      <c r="BF8" s="57"/>
      <c r="BG8" s="68" t="s">
        <v>60</v>
      </c>
      <c r="BH8" s="69">
        <f>BN9+BN13</f>
        <v>1648143224</v>
      </c>
      <c r="BI8" s="69">
        <f>BO9+BO13</f>
        <v>479824624</v>
      </c>
      <c r="BJ8" s="69">
        <f>BP9+BP13</f>
        <v>479824624</v>
      </c>
      <c r="BK8" s="69">
        <f>BQ9+BQ13</f>
        <v>134177465</v>
      </c>
      <c r="BM8" s="71" t="s">
        <v>61</v>
      </c>
      <c r="BN8" s="72">
        <f>BN9+BN14+BN13</f>
        <v>2014472741</v>
      </c>
      <c r="BO8" s="69">
        <f>BO9+BO14+BO13</f>
        <v>712079791</v>
      </c>
      <c r="BP8" s="69">
        <f>BP9+BP14+BP13</f>
        <v>571898294</v>
      </c>
      <c r="BQ8" s="70">
        <f>BQ9+BQ14+BQ13</f>
        <v>155685465</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108609742</v>
      </c>
      <c r="AS9" s="12">
        <f>L28+L75</f>
        <v>99262588</v>
      </c>
      <c r="AT9" s="13"/>
      <c r="AU9" s="353">
        <f t="shared" si="0"/>
        <v>0.30967047094555311</v>
      </c>
      <c r="AV9" s="353">
        <f t="shared" si="1"/>
        <v>0.28301966110217264</v>
      </c>
      <c r="AW9" s="354">
        <f>(I30+I33+I36+I76)/AO$2*12+I31+I34+I37+I38+I39+I40+I77</f>
        <v>119431148</v>
      </c>
      <c r="AX9" s="354">
        <f>(L30+L33+L36+L76)/AO$2*12+L31+L34+L37+L38+L39+L40+L77</f>
        <v>99262588</v>
      </c>
      <c r="AY9" s="354">
        <f t="shared" si="2"/>
        <v>-231295680</v>
      </c>
      <c r="AZ9" s="355">
        <f t="shared" si="3"/>
        <v>-251464240</v>
      </c>
      <c r="BB9" s="356" t="s">
        <v>437</v>
      </c>
      <c r="BC9" s="73">
        <f>BC10+BC18</f>
        <v>3013140862</v>
      </c>
      <c r="BD9" s="74">
        <f>BD10+BD18</f>
        <v>925170911</v>
      </c>
      <c r="BE9" s="75">
        <f>BE10+BE18</f>
        <v>84929257</v>
      </c>
      <c r="BF9" s="76"/>
      <c r="BG9" s="77" t="s">
        <v>64</v>
      </c>
      <c r="BH9" s="78">
        <f t="shared" ref="BH9:BK10" si="6">BN14</f>
        <v>366329517</v>
      </c>
      <c r="BI9" s="78">
        <f t="shared" si="6"/>
        <v>232255167</v>
      </c>
      <c r="BJ9" s="78">
        <f t="shared" si="6"/>
        <v>92073670</v>
      </c>
      <c r="BK9" s="78">
        <f t="shared" si="6"/>
        <v>21508000</v>
      </c>
      <c r="BM9" s="140" t="s">
        <v>65</v>
      </c>
      <c r="BN9" s="80">
        <f>SUM(BN10:BN12)</f>
        <v>1208004402</v>
      </c>
      <c r="BO9" s="78">
        <f>SUM(BO10:BO12)</f>
        <v>366617678</v>
      </c>
      <c r="BP9" s="78">
        <f>SUM(BP10:BP12)</f>
        <v>366617678</v>
      </c>
      <c r="BQ9" s="79">
        <f>SUM(BQ10:BQ12)</f>
        <v>105919146</v>
      </c>
    </row>
    <row r="10" spans="1:69" s="9" customFormat="1" ht="24.95" customHeight="1" x14ac:dyDescent="0.2">
      <c r="A10" s="745">
        <f>+IF(MARZO!A10=0,"",MARZO!A10)</f>
        <v>10</v>
      </c>
      <c r="B10" s="645" t="str">
        <f>+IF(MARZO!B10=0,"",MARZO!B10)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+IF(MARZO!S10=0,"",MARZO!S10)</f>
        <v>A</v>
      </c>
      <c r="T10" s="688" t="str">
        <f>+IF(MARZO!T10=0,"",MARZO!T10)</f>
        <v>GASTOS DE FUNCIONAMIENTO</v>
      </c>
      <c r="U10" s="361">
        <f t="shared" ref="U10:AJ10" si="8">U12+U110+U170+U193</f>
        <v>2832701014</v>
      </c>
      <c r="V10" s="362">
        <f t="shared" si="8"/>
        <v>45000000</v>
      </c>
      <c r="W10" s="362">
        <f t="shared" si="8"/>
        <v>502185762</v>
      </c>
      <c r="X10" s="365">
        <f t="shared" si="8"/>
        <v>3379886776</v>
      </c>
      <c r="Y10" s="364">
        <f t="shared" si="8"/>
        <v>1278258763</v>
      </c>
      <c r="Z10" s="362">
        <f t="shared" si="8"/>
        <v>177885573</v>
      </c>
      <c r="AA10" s="365">
        <f t="shared" si="8"/>
        <v>1456144336</v>
      </c>
      <c r="AB10" s="364">
        <f t="shared" si="8"/>
        <v>1026472273</v>
      </c>
      <c r="AC10" s="362">
        <f t="shared" si="8"/>
        <v>198454663</v>
      </c>
      <c r="AD10" s="365">
        <f t="shared" si="8"/>
        <v>1224926936</v>
      </c>
      <c r="AE10" s="364">
        <f t="shared" si="8"/>
        <v>639464196</v>
      </c>
      <c r="AF10" s="362">
        <f t="shared" si="8"/>
        <v>218202087</v>
      </c>
      <c r="AG10" s="365">
        <f t="shared" si="8"/>
        <v>857666283</v>
      </c>
      <c r="AH10" s="364">
        <f t="shared" si="8"/>
        <v>1923742440</v>
      </c>
      <c r="AI10" s="362">
        <f t="shared" si="8"/>
        <v>2154959840</v>
      </c>
      <c r="AJ10" s="363">
        <f t="shared" si="8"/>
        <v>2522220493</v>
      </c>
      <c r="AL10" s="366">
        <f>AL12+AL110+AL170+AL193</f>
        <v>0</v>
      </c>
      <c r="AM10" s="367">
        <f>AM12+AM110+AM170+AM193</f>
        <v>27176600</v>
      </c>
      <c r="AO10" s="352"/>
      <c r="AP10" s="11" t="s">
        <v>67</v>
      </c>
      <c r="AQ10" s="12">
        <f>F42</f>
        <v>111280673</v>
      </c>
      <c r="AR10" s="12">
        <f>I42</f>
        <v>0</v>
      </c>
      <c r="AS10" s="12">
        <f>L42</f>
        <v>0</v>
      </c>
      <c r="AT10" s="13"/>
      <c r="AU10" s="353">
        <f t="shared" si="0"/>
        <v>0</v>
      </c>
      <c r="AV10" s="353">
        <f t="shared" si="1"/>
        <v>0</v>
      </c>
      <c r="AW10" s="354">
        <f>I43/AO$2*12+I44</f>
        <v>0</v>
      </c>
      <c r="AX10" s="354">
        <f>L43/AO$2*12+L44</f>
        <v>0</v>
      </c>
      <c r="AY10" s="354">
        <f t="shared" si="2"/>
        <v>-111280673</v>
      </c>
      <c r="AZ10" s="355">
        <f t="shared" si="3"/>
        <v>-111280673</v>
      </c>
      <c r="BB10" s="368" t="s">
        <v>438</v>
      </c>
      <c r="BC10" s="73">
        <f>BC11+BC12+BC13+BC14+BC16+BC17+BC15</f>
        <v>3013140862</v>
      </c>
      <c r="BD10" s="74">
        <f>BD11+BD12+BD13+BD14+BD16+BD17+BD15</f>
        <v>925170911</v>
      </c>
      <c r="BE10" s="75">
        <f>BE11+BE12+BE13+BE14+BE16+BE17+BE15</f>
        <v>84929257</v>
      </c>
      <c r="BF10" s="76"/>
      <c r="BG10" s="68" t="s">
        <v>68</v>
      </c>
      <c r="BH10" s="81">
        <f t="shared" si="6"/>
        <v>641665487</v>
      </c>
      <c r="BI10" s="81">
        <f t="shared" si="6"/>
        <v>255689406</v>
      </c>
      <c r="BJ10" s="81">
        <f t="shared" si="6"/>
        <v>188090096</v>
      </c>
      <c r="BK10" s="81">
        <f t="shared" si="6"/>
        <v>27049192</v>
      </c>
      <c r="BM10" s="137" t="s">
        <v>450</v>
      </c>
      <c r="BN10" s="83">
        <f>X17+X66</f>
        <v>945471180</v>
      </c>
      <c r="BO10" s="81">
        <f>AA17+AA66</f>
        <v>311358425</v>
      </c>
      <c r="BP10" s="81">
        <f>AD17+AD66</f>
        <v>311358425</v>
      </c>
      <c r="BQ10" s="82">
        <f>AF17+AF66</f>
        <v>89311009</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559</v>
      </c>
      <c r="AQ11" s="12">
        <f>F88</f>
        <v>0</v>
      </c>
      <c r="AR11" s="12">
        <f>I88</f>
        <v>0</v>
      </c>
      <c r="AS11" s="12">
        <f>L88</f>
        <v>0</v>
      </c>
      <c r="AT11" s="374">
        <f>AO2/12</f>
        <v>0.33333333333333331</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281998250</v>
      </c>
      <c r="BE11" s="75">
        <f>K26</f>
        <v>46466252</v>
      </c>
      <c r="BF11" s="76"/>
      <c r="BG11" s="68" t="s">
        <v>69</v>
      </c>
      <c r="BH11" s="84">
        <f>BN22</f>
        <v>65572284</v>
      </c>
      <c r="BI11" s="84">
        <f>BO22</f>
        <v>16837796</v>
      </c>
      <c r="BJ11" s="84">
        <f>BP22</f>
        <v>16837796</v>
      </c>
      <c r="BK11" s="84">
        <f>BQ22</f>
        <v>5088060</v>
      </c>
      <c r="BM11" s="138" t="s">
        <v>451</v>
      </c>
      <c r="BN11" s="86">
        <f>X18+X67</f>
        <v>90039980</v>
      </c>
      <c r="BO11" s="84">
        <f>AA18+AA67</f>
        <v>51403055</v>
      </c>
      <c r="BP11" s="84">
        <f>AD18+AD67</f>
        <v>51403055</v>
      </c>
      <c r="BQ11" s="85">
        <f>AF18+AF67</f>
        <v>15216510</v>
      </c>
    </row>
    <row r="12" spans="1:69" s="9" customFormat="1" ht="24.95" customHeight="1" x14ac:dyDescent="0.2">
      <c r="A12" s="618">
        <f>+IF(MARZO!A12=0,"",MARZO!A12)</f>
        <v>1001</v>
      </c>
      <c r="B12" s="646" t="str">
        <f>+IF(MARZO!B12=0,"",MARZO!B12)</f>
        <v>Bienestar Social (Caja, Bancos, Inversiones Tempor.) a Dic-31-2014</v>
      </c>
      <c r="C12" s="375">
        <f>+ENERO!C12</f>
        <v>0</v>
      </c>
      <c r="D12" s="376">
        <f>MARZO!D12+ABRIL!P12</f>
        <v>0</v>
      </c>
      <c r="E12" s="376">
        <f>MARZO!E12+ABRIL!Q12</f>
        <v>81553</v>
      </c>
      <c r="F12" s="146">
        <f>SUM(C12:E12)</f>
        <v>81553</v>
      </c>
      <c r="G12" s="222">
        <f>MARZO!I12</f>
        <v>81553</v>
      </c>
      <c r="H12" s="377">
        <v>0</v>
      </c>
      <c r="I12" s="146">
        <f>SUM(G12:H12)</f>
        <v>81553</v>
      </c>
      <c r="J12" s="222">
        <f>MARZO!L12</f>
        <v>81553</v>
      </c>
      <c r="K12" s="134">
        <f>+H12</f>
        <v>0</v>
      </c>
      <c r="L12" s="146">
        <f>SUM(J12:K12)</f>
        <v>81553</v>
      </c>
      <c r="M12" s="222">
        <f>F12-I12</f>
        <v>0</v>
      </c>
      <c r="N12" s="146">
        <f>F12-L12</f>
        <v>0</v>
      </c>
      <c r="O12" s="297"/>
      <c r="P12" s="375">
        <v>0</v>
      </c>
      <c r="Q12" s="378">
        <v>0</v>
      </c>
      <c r="S12" s="716">
        <f>+IF(MARZO!S12=0,"",MARZO!S12)</f>
        <v>1000000</v>
      </c>
      <c r="T12" s="690" t="str">
        <f>+IF(MARZO!T12=0,"",MARZO!T12)</f>
        <v>GASTOS DE PERSONAL</v>
      </c>
      <c r="U12" s="379">
        <f t="shared" ref="U12:AJ12" si="9">U14+U63</f>
        <v>1994472741</v>
      </c>
      <c r="V12" s="380">
        <f t="shared" si="9"/>
        <v>20000000</v>
      </c>
      <c r="W12" s="380">
        <f t="shared" si="9"/>
        <v>139312300</v>
      </c>
      <c r="X12" s="381">
        <f t="shared" si="9"/>
        <v>2153785041</v>
      </c>
      <c r="Y12" s="366">
        <f t="shared" si="9"/>
        <v>717313009</v>
      </c>
      <c r="Z12" s="380">
        <f t="shared" si="9"/>
        <v>134079082</v>
      </c>
      <c r="AA12" s="381">
        <f t="shared" si="9"/>
        <v>851392091</v>
      </c>
      <c r="AB12" s="366">
        <f t="shared" si="9"/>
        <v>558136642</v>
      </c>
      <c r="AC12" s="380">
        <f t="shared" si="9"/>
        <v>153073952</v>
      </c>
      <c r="AD12" s="381">
        <f t="shared" si="9"/>
        <v>711210594</v>
      </c>
      <c r="AE12" s="366">
        <f t="shared" si="9"/>
        <v>465144266</v>
      </c>
      <c r="AF12" s="380">
        <f t="shared" si="9"/>
        <v>158115965</v>
      </c>
      <c r="AG12" s="381">
        <f t="shared" si="9"/>
        <v>623260231</v>
      </c>
      <c r="AH12" s="366">
        <f t="shared" si="9"/>
        <v>1302392950</v>
      </c>
      <c r="AI12" s="380">
        <f t="shared" si="9"/>
        <v>1442574447</v>
      </c>
      <c r="AJ12" s="367">
        <f t="shared" si="9"/>
        <v>1530524810</v>
      </c>
      <c r="AK12" s="10"/>
      <c r="AL12" s="382">
        <f>AL14+AL63</f>
        <v>0</v>
      </c>
      <c r="AM12" s="383">
        <f>AM14+AM63</f>
        <v>0</v>
      </c>
      <c r="AO12" s="373"/>
      <c r="AP12" s="535" t="s">
        <v>560</v>
      </c>
      <c r="AQ12" s="12">
        <f>F89</f>
        <v>50000000</v>
      </c>
      <c r="AR12" s="12">
        <f>I89</f>
        <v>14658686</v>
      </c>
      <c r="AS12" s="12">
        <f>L89</f>
        <v>0</v>
      </c>
      <c r="AT12" s="13"/>
      <c r="AU12" s="353">
        <f t="shared" si="0"/>
        <v>0.29317372000000003</v>
      </c>
      <c r="AV12" s="353">
        <f t="shared" si="1"/>
        <v>0</v>
      </c>
      <c r="AW12" s="354">
        <f>I89</f>
        <v>14658686</v>
      </c>
      <c r="AX12" s="354">
        <f>L89</f>
        <v>0</v>
      </c>
      <c r="AY12" s="354">
        <f t="shared" si="2"/>
        <v>-35341314</v>
      </c>
      <c r="AZ12" s="355">
        <f t="shared" si="3"/>
        <v>-50000000</v>
      </c>
      <c r="BB12" s="368" t="s">
        <v>440</v>
      </c>
      <c r="BC12" s="73">
        <f>F23</f>
        <v>1323143662</v>
      </c>
      <c r="BD12" s="74">
        <f>I23</f>
        <v>428558629</v>
      </c>
      <c r="BE12" s="75">
        <f>K23</f>
        <v>696797</v>
      </c>
      <c r="BF12" s="76"/>
      <c r="BG12" s="384" t="s">
        <v>395</v>
      </c>
      <c r="BH12" s="84">
        <f>BN25</f>
        <v>315812208</v>
      </c>
      <c r="BI12" s="15">
        <f>BO25</f>
        <v>129173287</v>
      </c>
      <c r="BJ12" s="84">
        <f>BP25</f>
        <v>105736694</v>
      </c>
      <c r="BK12" s="84">
        <f>BQ25</f>
        <v>6202384</v>
      </c>
      <c r="BM12" s="139" t="s">
        <v>452</v>
      </c>
      <c r="BN12" s="86">
        <f>X16+X65-X81-X33-BN10-BN11</f>
        <v>172493242</v>
      </c>
      <c r="BO12" s="84">
        <f>AA16+AA65-AA81-AA33-BO10-BO11</f>
        <v>3856198</v>
      </c>
      <c r="BP12" s="84">
        <f>AD16+AD65-AD81-AD33-BP10-BP11</f>
        <v>3856198</v>
      </c>
      <c r="BQ12" s="85">
        <f>AF16+AF65-AF81-AF33-BQ10-BQ11</f>
        <v>1391627</v>
      </c>
    </row>
    <row r="13" spans="1:69" s="9" customFormat="1" ht="24.95" customHeight="1" x14ac:dyDescent="0.25">
      <c r="A13" s="618">
        <f>+IF(MARZO!A13=0,"",MARZO!A13)</f>
        <v>1002</v>
      </c>
      <c r="B13" s="646" t="str">
        <f>+IF(MARZO!B13=0,"",MARZO!B13)</f>
        <v>Fondo Vivienda (Caja, Bancos, Inversiones Tempor.) a Dic-31-2014</v>
      </c>
      <c r="C13" s="375">
        <f>+ENERO!C13</f>
        <v>0</v>
      </c>
      <c r="D13" s="376">
        <f>MARZO!D13+ABRIL!P13</f>
        <v>0</v>
      </c>
      <c r="E13" s="376">
        <f>MARZO!E13+ABRIL!Q13</f>
        <v>0</v>
      </c>
      <c r="F13" s="146">
        <f>SUM(C13:E13)</f>
        <v>0</v>
      </c>
      <c r="G13" s="222">
        <f>MARZO!I13</f>
        <v>0</v>
      </c>
      <c r="H13" s="377">
        <v>0</v>
      </c>
      <c r="I13" s="146">
        <f>SUM(G13:H13)</f>
        <v>0</v>
      </c>
      <c r="J13" s="222">
        <f>MARZO!L13</f>
        <v>0</v>
      </c>
      <c r="K13" s="134">
        <f>+H13</f>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5" t="s">
        <v>561</v>
      </c>
      <c r="AQ13" s="12">
        <f>F90</f>
        <v>24000000</v>
      </c>
      <c r="AR13" s="12">
        <f>I90</f>
        <v>4480000</v>
      </c>
      <c r="AS13" s="12">
        <f>L90</f>
        <v>0</v>
      </c>
      <c r="AT13" s="13"/>
      <c r="AU13" s="353">
        <f t="shared" si="0"/>
        <v>0.18666666666666668</v>
      </c>
      <c r="AV13" s="353">
        <f t="shared" si="1"/>
        <v>0</v>
      </c>
      <c r="AW13" s="354">
        <f>I90</f>
        <v>4480000</v>
      </c>
      <c r="AX13" s="354">
        <f>L90</f>
        <v>0</v>
      </c>
      <c r="AY13" s="354">
        <f t="shared" si="2"/>
        <v>-19520000</v>
      </c>
      <c r="AZ13" s="355">
        <f t="shared" si="3"/>
        <v>-24000000</v>
      </c>
      <c r="BA13" s="385"/>
      <c r="BB13" s="386" t="s">
        <v>441</v>
      </c>
      <c r="BC13" s="87">
        <f>+F30+F33+F36+F38+F39+F40</f>
        <v>350726828</v>
      </c>
      <c r="BD13" s="88">
        <f>+I30+I33+I36+I38+I39+I40</f>
        <v>108609742</v>
      </c>
      <c r="BE13" s="89">
        <f>+K30+K33+K36+K38+K39+K40</f>
        <v>24815647</v>
      </c>
      <c r="BF13" s="90"/>
      <c r="BG13" s="91" t="s">
        <v>72</v>
      </c>
      <c r="BH13" s="84">
        <f t="shared" ref="BH13:BK15" si="10">BN29</f>
        <v>436000000</v>
      </c>
      <c r="BI13" s="84">
        <f t="shared" si="10"/>
        <v>62050000</v>
      </c>
      <c r="BJ13" s="84">
        <f t="shared" si="10"/>
        <v>5850000</v>
      </c>
      <c r="BK13" s="84">
        <f t="shared" si="10"/>
        <v>0</v>
      </c>
      <c r="BM13" s="142" t="s">
        <v>453</v>
      </c>
      <c r="BN13" s="83">
        <f>X43-X55+X57-X61+X90-X102+X104-X108</f>
        <v>440138822</v>
      </c>
      <c r="BO13" s="81">
        <f>AA43-AA55+AA57-AA61+AA90-AA102+AA104-AA108</f>
        <v>113206946</v>
      </c>
      <c r="BP13" s="81">
        <f>AD43-AD55+AD57-AD61+AD90-AD102+AD104-AD108</f>
        <v>113206946</v>
      </c>
      <c r="BQ13" s="82">
        <f>AF43-AF55+AF57-AF61+AF90-AF102+AF104-AF108</f>
        <v>28258319</v>
      </c>
    </row>
    <row r="14" spans="1:69" s="9" customFormat="1" ht="24.95" customHeight="1" x14ac:dyDescent="0.25">
      <c r="A14" s="618">
        <f>+IF(MARZO!A14=0,"",MARZO!A14)</f>
        <v>1003</v>
      </c>
      <c r="B14" s="646" t="str">
        <f>+IF(MARZO!B14=0,"",MARZO!B14)</f>
        <v>Fondos Comunes y Especiales (Caja, Bancos, Invers. Tempor.) a Dic-31-2014</v>
      </c>
      <c r="C14" s="375">
        <f>+ENERO!C14</f>
        <v>0</v>
      </c>
      <c r="D14" s="376">
        <f>MARZO!D14+ABRIL!P14</f>
        <v>0</v>
      </c>
      <c r="E14" s="376">
        <f>MARZO!E14+ABRIL!Q14</f>
        <v>11310362</v>
      </c>
      <c r="F14" s="146">
        <f>SUM(C14:E14)</f>
        <v>11310362</v>
      </c>
      <c r="G14" s="222">
        <f>MARZO!I14</f>
        <v>11310362</v>
      </c>
      <c r="H14" s="377">
        <v>0</v>
      </c>
      <c r="I14" s="146">
        <f>SUM(G14:H14)</f>
        <v>11310362</v>
      </c>
      <c r="J14" s="222">
        <f>MARZO!L14</f>
        <v>11310362</v>
      </c>
      <c r="K14" s="134">
        <f>+H14</f>
        <v>0</v>
      </c>
      <c r="L14" s="146">
        <f>SUM(J14:K14)</f>
        <v>11310362</v>
      </c>
      <c r="M14" s="222">
        <f>F14-I14</f>
        <v>0</v>
      </c>
      <c r="N14" s="146">
        <f>F14-L14</f>
        <v>0</v>
      </c>
      <c r="O14" s="385"/>
      <c r="P14" s="375">
        <v>0</v>
      </c>
      <c r="Q14" s="378">
        <v>0</v>
      </c>
      <c r="S14" s="717">
        <f>+IF(MARZO!S14=0,"",MARZO!S14)</f>
        <v>1010000</v>
      </c>
      <c r="T14" s="691" t="str">
        <f>+IF(MARZO!T14=0,"",MARZO!T14)</f>
        <v>Gastos de Administración</v>
      </c>
      <c r="U14" s="135">
        <f t="shared" ref="U14:AJ14" si="11">U16+U35+U43+U57</f>
        <v>717551072</v>
      </c>
      <c r="V14" s="124">
        <f t="shared" si="11"/>
        <v>0</v>
      </c>
      <c r="W14" s="124">
        <f t="shared" si="11"/>
        <v>61017882</v>
      </c>
      <c r="X14" s="132">
        <f t="shared" si="11"/>
        <v>778568954</v>
      </c>
      <c r="Y14" s="131">
        <f t="shared" si="11"/>
        <v>314625027</v>
      </c>
      <c r="Z14" s="124">
        <f t="shared" si="11"/>
        <v>38370206</v>
      </c>
      <c r="AA14" s="132">
        <f t="shared" si="11"/>
        <v>352995233</v>
      </c>
      <c r="AB14" s="131">
        <f t="shared" si="11"/>
        <v>192531327</v>
      </c>
      <c r="AC14" s="124">
        <f t="shared" si="11"/>
        <v>57187076</v>
      </c>
      <c r="AD14" s="132">
        <f t="shared" si="11"/>
        <v>249718403</v>
      </c>
      <c r="AE14" s="131">
        <f t="shared" si="11"/>
        <v>154277780</v>
      </c>
      <c r="AF14" s="124">
        <f t="shared" si="11"/>
        <v>57773433</v>
      </c>
      <c r="AG14" s="132">
        <f t="shared" si="11"/>
        <v>212051213</v>
      </c>
      <c r="AH14" s="131">
        <f t="shared" si="11"/>
        <v>425573721</v>
      </c>
      <c r="AI14" s="124">
        <f t="shared" si="11"/>
        <v>528850551</v>
      </c>
      <c r="AJ14" s="133">
        <f t="shared" si="11"/>
        <v>566517741</v>
      </c>
      <c r="AK14" s="10"/>
      <c r="AL14" s="131">
        <f>AL16+AL35+AL43+AL57</f>
        <v>0</v>
      </c>
      <c r="AM14" s="133">
        <f>AM16+AM35+AM43+AM57</f>
        <v>0</v>
      </c>
      <c r="AO14" s="21"/>
      <c r="AP14" s="11" t="s">
        <v>75</v>
      </c>
      <c r="AQ14" s="12">
        <f>F19-AQ7-AQ8-AQ9-AQ10-AQ11-AQ12-AQ13</f>
        <v>318225176</v>
      </c>
      <c r="AR14" s="12">
        <f>I19-AR7-AR8-AR9-AR10-AR11-AR12-AR13</f>
        <v>117004207</v>
      </c>
      <c r="AS14" s="12">
        <f>L19-AS7-AS8-AS9-AS10-AS11-AS12-AS13</f>
        <v>82088355</v>
      </c>
      <c r="AT14" s="385"/>
      <c r="AU14" s="353">
        <f t="shared" si="0"/>
        <v>0.36767740525972714</v>
      </c>
      <c r="AV14" s="353">
        <f t="shared" si="1"/>
        <v>0.2579568217443613</v>
      </c>
      <c r="AW14" s="354">
        <f>(I41+I46+I49+I52+I55+I58+I61+I64+I67+I70+I73+I78+I81+I82+I83+I85+I94+I104)/AO$2*12+I47+I50+I53+I56+I59+I62+I65+I68+I71+I74</f>
        <v>456990381</v>
      </c>
      <c r="AX14" s="354">
        <f>(L41+L46+L49+L52+L55+L58+L61+L64+L67+L70+L73+L78+L81+L82+L83+L85+L94+L104)/AO$2*12+L47+L50+L53+L56+L59+L62+L65+L68+L71+L74</f>
        <v>294826767</v>
      </c>
      <c r="AY14" s="354">
        <f t="shared" si="2"/>
        <v>138765205</v>
      </c>
      <c r="AZ14" s="355">
        <f t="shared" si="3"/>
        <v>-23398409</v>
      </c>
      <c r="BB14" s="386" t="s">
        <v>442</v>
      </c>
      <c r="BC14" s="92">
        <f>+F64</f>
        <v>22951026</v>
      </c>
      <c r="BD14" s="93">
        <f>+I64</f>
        <v>8449105</v>
      </c>
      <c r="BE14" s="94">
        <f>K64</f>
        <v>377903</v>
      </c>
      <c r="BF14" s="95"/>
      <c r="BG14" s="91" t="s">
        <v>76</v>
      </c>
      <c r="BH14" s="81">
        <f t="shared" si="10"/>
        <v>0</v>
      </c>
      <c r="BI14" s="81">
        <f t="shared" si="10"/>
        <v>0</v>
      </c>
      <c r="BJ14" s="81">
        <f t="shared" si="10"/>
        <v>0</v>
      </c>
      <c r="BK14" s="81">
        <f t="shared" si="10"/>
        <v>0</v>
      </c>
      <c r="BM14" s="141" t="s">
        <v>449</v>
      </c>
      <c r="BN14" s="86">
        <f>X35-X41+X83-X88</f>
        <v>366329517</v>
      </c>
      <c r="BO14" s="84">
        <f>AA35-AA41+AA83-AA88</f>
        <v>232255167</v>
      </c>
      <c r="BP14" s="84">
        <f>AD35-AD41+AD83-AD88</f>
        <v>92073670</v>
      </c>
      <c r="BQ14" s="85">
        <f>AF35-AF41+AF83-AF88</f>
        <v>21508000</v>
      </c>
    </row>
    <row r="15" spans="1:69" s="9" customFormat="1" ht="24.95" customHeight="1" thickBot="1" x14ac:dyDescent="0.3">
      <c r="A15" s="619">
        <f>+IF(MARZO!A15=0,"",MARZO!A15)</f>
        <v>1004</v>
      </c>
      <c r="B15" s="646" t="str">
        <f>+IF(MARZO!B15=0,"",MARZO!B15)</f>
        <v>Cesantias Ley 50/1990 a Dic-31-2014</v>
      </c>
      <c r="C15" s="387">
        <f>+ENERO!C15</f>
        <v>0</v>
      </c>
      <c r="D15" s="388">
        <f>MARZO!D15+ABRIL!P15</f>
        <v>0</v>
      </c>
      <c r="E15" s="388">
        <f>MARZO!E15+ABRIL!Q15</f>
        <v>78950146</v>
      </c>
      <c r="F15" s="389">
        <f>SUM(C15:E15)</f>
        <v>78950146</v>
      </c>
      <c r="G15" s="390">
        <f>MARZO!I15</f>
        <v>78950146</v>
      </c>
      <c r="H15" s="391">
        <v>0</v>
      </c>
      <c r="I15" s="389">
        <f>SUM(G15:H15)</f>
        <v>78950146</v>
      </c>
      <c r="J15" s="390">
        <f>MARZO!L15</f>
        <v>78950146</v>
      </c>
      <c r="K15" s="168">
        <f>+H15</f>
        <v>0</v>
      </c>
      <c r="L15" s="389">
        <f>SUM(J15:K15)</f>
        <v>78950146</v>
      </c>
      <c r="M15" s="390">
        <f>F15-I15</f>
        <v>0</v>
      </c>
      <c r="N15" s="389">
        <f>F15-L15</f>
        <v>0</v>
      </c>
      <c r="O15" s="385"/>
      <c r="P15" s="387">
        <v>0</v>
      </c>
      <c r="Q15" s="392">
        <v>0</v>
      </c>
      <c r="S15" s="369" t="str">
        <f>+IF(MARZO!S15=0,"",MARZO!S15)</f>
        <v/>
      </c>
      <c r="T15" s="708" t="str">
        <f>+IF(MARZO!T15=0,"",MARZO!T15)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7512427</v>
      </c>
      <c r="AS15" s="12">
        <f>L113</f>
        <v>7512427</v>
      </c>
      <c r="AT15" s="13"/>
      <c r="AU15" s="345">
        <f t="shared" si="0"/>
        <v>0.12555082040758714</v>
      </c>
      <c r="AV15" s="353">
        <f t="shared" si="1"/>
        <v>0.12555082040758714</v>
      </c>
      <c r="AW15" s="12">
        <f>+AR15</f>
        <v>7512427</v>
      </c>
      <c r="AX15" s="12">
        <f>+AS15</f>
        <v>7512427</v>
      </c>
      <c r="AY15" s="12">
        <f t="shared" si="2"/>
        <v>-52323319</v>
      </c>
      <c r="AZ15" s="346">
        <f t="shared" si="3"/>
        <v>-52323319</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24176986</v>
      </c>
      <c r="BM15" s="71" t="s">
        <v>68</v>
      </c>
      <c r="BN15" s="83">
        <f>SUM(BN16:BN21)</f>
        <v>641665487</v>
      </c>
      <c r="BO15" s="81">
        <f>SUM(BO16:BO21)</f>
        <v>255689406</v>
      </c>
      <c r="BP15" s="81">
        <f>SUM(BP16:BP21)</f>
        <v>188090096</v>
      </c>
      <c r="BQ15" s="82">
        <f>SUM(BQ16:BQ21)</f>
        <v>27049192</v>
      </c>
    </row>
    <row r="16" spans="1:69" s="9" customFormat="1" ht="24.95" customHeight="1" thickBot="1" x14ac:dyDescent="0.3">
      <c r="A16" s="746" t="str">
        <f>+IF(MARZO!A16=0,"",MARZO!A16)</f>
        <v/>
      </c>
      <c r="B16" s="647" t="str">
        <f>+IF(MARZO!B16=0,"",MARZO!B16)</f>
        <v/>
      </c>
      <c r="C16" s="393"/>
      <c r="D16" s="393"/>
      <c r="E16" s="393"/>
      <c r="F16" s="393"/>
      <c r="G16" s="393"/>
      <c r="H16" s="393"/>
      <c r="I16" s="393"/>
      <c r="J16" s="393"/>
      <c r="K16" s="393"/>
      <c r="L16" s="393"/>
      <c r="M16" s="393"/>
      <c r="N16" s="394"/>
      <c r="O16" s="385"/>
      <c r="P16" s="395"/>
      <c r="Q16" s="396"/>
      <c r="S16" s="718">
        <f>+IF(MARZO!S16=0,"",MARZO!S16)</f>
        <v>1010100</v>
      </c>
      <c r="T16" s="692" t="str">
        <f>+IF(MARZO!T16=0,"",MARZO!T16)</f>
        <v>Servicios Personales Asociados a Nómina</v>
      </c>
      <c r="U16" s="135">
        <f t="shared" ref="U16:AJ16" si="12">SUM(U17:U20)+U33</f>
        <v>372660589</v>
      </c>
      <c r="V16" s="124">
        <f t="shared" si="12"/>
        <v>0</v>
      </c>
      <c r="W16" s="124">
        <f t="shared" si="12"/>
        <v>2702630</v>
      </c>
      <c r="X16" s="132">
        <f t="shared" si="12"/>
        <v>375363219</v>
      </c>
      <c r="Y16" s="131">
        <f t="shared" si="12"/>
        <v>82874968</v>
      </c>
      <c r="Z16" s="124">
        <f t="shared" si="12"/>
        <v>28275341</v>
      </c>
      <c r="AA16" s="132">
        <f t="shared" si="12"/>
        <v>111150309</v>
      </c>
      <c r="AB16" s="131">
        <f t="shared" si="12"/>
        <v>82874968</v>
      </c>
      <c r="AC16" s="124">
        <f t="shared" si="12"/>
        <v>28275341</v>
      </c>
      <c r="AD16" s="132">
        <f t="shared" si="12"/>
        <v>111150309</v>
      </c>
      <c r="AE16" s="131">
        <f t="shared" si="12"/>
        <v>72286689</v>
      </c>
      <c r="AF16" s="124">
        <f t="shared" si="12"/>
        <v>38121268</v>
      </c>
      <c r="AG16" s="132">
        <f t="shared" si="12"/>
        <v>110407957</v>
      </c>
      <c r="AH16" s="131">
        <f t="shared" si="12"/>
        <v>264212910</v>
      </c>
      <c r="AI16" s="124">
        <f t="shared" si="12"/>
        <v>264212910</v>
      </c>
      <c r="AJ16" s="133">
        <f t="shared" si="12"/>
        <v>264955262</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0</v>
      </c>
      <c r="BE16" s="75">
        <f>K43</f>
        <v>0</v>
      </c>
      <c r="BF16" s="76"/>
      <c r="BG16" s="91" t="s">
        <v>84</v>
      </c>
      <c r="BH16" s="96">
        <f>BH7+BH12+BH13+BH14+BH15</f>
        <v>3815886776</v>
      </c>
      <c r="BI16" s="96">
        <f>BI7+BI12+BI13+BI14+BI15</f>
        <v>1518194336</v>
      </c>
      <c r="BJ16" s="96">
        <f>BJ7+BJ12+BJ13+BJ14+BJ15</f>
        <v>1230776936</v>
      </c>
      <c r="BK16" s="96">
        <f>BK7+BK12+BK13+BK14+BK15</f>
        <v>218202087</v>
      </c>
      <c r="BM16" s="140" t="s">
        <v>85</v>
      </c>
      <c r="BN16" s="83">
        <f>X114-X121+X147-X148-X153</f>
        <v>169444119</v>
      </c>
      <c r="BO16" s="81">
        <f>AA114-AA121+AA147-AA148-AA153</f>
        <v>26834894</v>
      </c>
      <c r="BP16" s="81">
        <f>AD114-AD121+AD147-AD148-AD153</f>
        <v>26834894</v>
      </c>
      <c r="BQ16" s="82">
        <f>AF114-AF121+AF147-AF148-AF153</f>
        <v>257269</v>
      </c>
    </row>
    <row r="17" spans="1:70" s="385" customFormat="1" ht="24.95" customHeight="1" thickBot="1" x14ac:dyDescent="0.3">
      <c r="A17" s="745">
        <f>+IF(MARZO!A17=0,"",MARZO!A17)</f>
        <v>11</v>
      </c>
      <c r="B17" s="648" t="str">
        <f>+IF(MARZO!B17=0,"",MARZO!B17)</f>
        <v>INGRESOS  CORRIENTES</v>
      </c>
      <c r="C17" s="337">
        <f>C19+C94+C104</f>
        <v>3103041868</v>
      </c>
      <c r="D17" s="334">
        <f t="shared" ref="D17:Q17" si="13">D19+D94+D104</f>
        <v>0</v>
      </c>
      <c r="E17" s="334">
        <f t="shared" si="13"/>
        <v>562667101</v>
      </c>
      <c r="F17" s="334">
        <f t="shared" si="13"/>
        <v>3665708969</v>
      </c>
      <c r="G17" s="334">
        <f t="shared" si="13"/>
        <v>985031012</v>
      </c>
      <c r="H17" s="334">
        <f t="shared" si="13"/>
        <v>351613231</v>
      </c>
      <c r="I17" s="334">
        <f t="shared" si="13"/>
        <v>1336644243</v>
      </c>
      <c r="J17" s="334">
        <f t="shared" si="13"/>
        <v>548764653</v>
      </c>
      <c r="K17" s="334">
        <f t="shared" si="13"/>
        <v>191352550</v>
      </c>
      <c r="L17" s="334">
        <f t="shared" si="13"/>
        <v>740117203</v>
      </c>
      <c r="M17" s="334">
        <f t="shared" si="13"/>
        <v>2329064726</v>
      </c>
      <c r="N17" s="335">
        <f t="shared" si="13"/>
        <v>2925591766</v>
      </c>
      <c r="P17" s="177">
        <f t="shared" si="13"/>
        <v>0</v>
      </c>
      <c r="Q17" s="178">
        <f t="shared" si="13"/>
        <v>0</v>
      </c>
      <c r="R17" s="9"/>
      <c r="S17" s="719">
        <f>+IF(MARZO!S17=0,"",MARZO!S17)</f>
        <v>1010101</v>
      </c>
      <c r="T17" s="693" t="str">
        <f>+IF(MARZO!T17=0,"",MARZO!T17)</f>
        <v>Sueldos del Personal de nómina</v>
      </c>
      <c r="U17" s="27">
        <f>+ENERO!U17</f>
        <v>304405836</v>
      </c>
      <c r="V17" s="15">
        <f>MARZO!V17+ABRIL!AL17</f>
        <v>0</v>
      </c>
      <c r="W17" s="15">
        <f>MARZO!W17+ABRIL!AM17</f>
        <v>0</v>
      </c>
      <c r="X17" s="18">
        <f>SUM(U17:W17)</f>
        <v>304405836</v>
      </c>
      <c r="Y17" s="19">
        <f>MARZO!AA17</f>
        <v>75677507</v>
      </c>
      <c r="Z17" s="377">
        <v>25060346</v>
      </c>
      <c r="AA17" s="18">
        <f>SUM(Y17:Z17)</f>
        <v>100737853</v>
      </c>
      <c r="AB17" s="19">
        <f>MARZO!AD17</f>
        <v>75677507</v>
      </c>
      <c r="AC17" s="377">
        <v>25060346</v>
      </c>
      <c r="AD17" s="18">
        <f>SUM(AB17:AC17)</f>
        <v>100737853</v>
      </c>
      <c r="AE17" s="19">
        <f>MARZO!AG17</f>
        <v>66562988</v>
      </c>
      <c r="AF17" s="377">
        <v>34174864</v>
      </c>
      <c r="AG17" s="18">
        <f>SUM(AE17:AF17)</f>
        <v>100737852</v>
      </c>
      <c r="AH17" s="19">
        <f>X17-AA17</f>
        <v>203667983</v>
      </c>
      <c r="AI17" s="15">
        <f>X17-AD17</f>
        <v>203667983</v>
      </c>
      <c r="AJ17" s="16">
        <f>X17-AG17</f>
        <v>203667984</v>
      </c>
      <c r="AK17" s="9"/>
      <c r="AL17" s="375">
        <v>0</v>
      </c>
      <c r="AM17" s="378">
        <v>0</v>
      </c>
      <c r="AN17" s="9"/>
      <c r="AO17" s="352"/>
      <c r="AP17" s="402" t="s">
        <v>87</v>
      </c>
      <c r="AQ17" s="403">
        <f>SUM(AQ7:AQ16)</f>
        <v>3708705097</v>
      </c>
      <c r="AR17" s="404">
        <f>SUM(AR7:AR16)</f>
        <v>1398219095</v>
      </c>
      <c r="AS17" s="405">
        <f>SUM(AS7:AS16)</f>
        <v>801692055</v>
      </c>
      <c r="AT17" s="406"/>
      <c r="AU17" s="404">
        <f t="shared" si="0"/>
        <v>0.37701005025474527</v>
      </c>
      <c r="AV17" s="404">
        <f t="shared" si="1"/>
        <v>0.21616495084726334</v>
      </c>
      <c r="AW17" s="407">
        <f>SUM(AX7:AX16)</f>
        <v>1369293529</v>
      </c>
      <c r="AX17" s="407">
        <f>SUM(AX7:AX16)</f>
        <v>1369293529</v>
      </c>
      <c r="AY17" s="407">
        <f>SUM(AY7:AY16)</f>
        <v>-538564664</v>
      </c>
      <c r="AZ17" s="408">
        <f>SUM(AZ7:AZ16)</f>
        <v>-2339411568</v>
      </c>
      <c r="BA17" s="9"/>
      <c r="BB17" s="368" t="s">
        <v>444</v>
      </c>
      <c r="BC17" s="73">
        <f>F41+F52+F55+F58+F61+F67+F70+F73+F76+F79+F82+F86+F87+F88+F89+F90+F91</f>
        <v>331051770</v>
      </c>
      <c r="BD17" s="74">
        <f>I41+I52+I55+I58+I61+I67+I70+I73+I76+I79+I82+I86+I87+I88+I89+I90+I91</f>
        <v>97555185</v>
      </c>
      <c r="BE17" s="75">
        <f>K41+K52+K55+K58+K61+K67+K70+K73+K76+K79+K82+K86+K87+K88+K89+K90+K91</f>
        <v>12572658</v>
      </c>
      <c r="BF17" s="76"/>
      <c r="BG17" s="98" t="s">
        <v>88</v>
      </c>
      <c r="BH17" s="99">
        <f>BC23-BH16</f>
        <v>-3815886776</v>
      </c>
      <c r="BI17" s="99"/>
      <c r="BJ17" s="99"/>
      <c r="BK17" s="99"/>
      <c r="BM17" s="140" t="s">
        <v>459</v>
      </c>
      <c r="BN17" s="83">
        <f>X123-X126-X139+X155-X156-X167-X168</f>
        <v>249163207</v>
      </c>
      <c r="BO17" s="81">
        <f>AA123-AA126-AA139+AA155-AA156-AA167-AA168</f>
        <v>137717027</v>
      </c>
      <c r="BP17" s="81">
        <f>AD123-AD126-AD139+AD155-AD156-AD167-AD168</f>
        <v>78944562</v>
      </c>
      <c r="BQ17" s="82">
        <f>AF123-AF126-AF139+AF155-AF156-AF167-AF168</f>
        <v>18096481</v>
      </c>
      <c r="BR17" s="9"/>
    </row>
    <row r="18" spans="1:70" s="9" customFormat="1" ht="24.95" customHeight="1" thickBot="1" x14ac:dyDescent="0.25">
      <c r="A18" s="618" t="str">
        <f>+IF(MARZO!A18=0,"",MARZO!A18)</f>
        <v/>
      </c>
      <c r="B18" s="649" t="str">
        <f>+IF(MARZO!B18=0,"",MARZO!B18)</f>
        <v/>
      </c>
      <c r="C18" s="297"/>
      <c r="D18" s="297"/>
      <c r="E18" s="297"/>
      <c r="F18" s="297"/>
      <c r="G18" s="297"/>
      <c r="H18" s="297"/>
      <c r="I18" s="297"/>
      <c r="J18" s="297"/>
      <c r="K18" s="297"/>
      <c r="L18" s="297"/>
      <c r="M18" s="297"/>
      <c r="N18" s="466"/>
      <c r="P18" s="410"/>
      <c r="Q18" s="409"/>
      <c r="S18" s="719">
        <f>+IF(MARZO!S18=0,"",MARZO!S18)</f>
        <v>1010102</v>
      </c>
      <c r="T18" s="693" t="str">
        <f>+IF(MARZO!T18=0,"",MARZO!T18)</f>
        <v>Horas Extras,Dominic.,Festivos y Rec. Nocturnos</v>
      </c>
      <c r="U18" s="27">
        <f>+ENERO!U18</f>
        <v>12090252</v>
      </c>
      <c r="V18" s="15">
        <f>MARZO!V18+ABRIL!AL18</f>
        <v>0</v>
      </c>
      <c r="W18" s="15">
        <f>MARZO!W18+ABRIL!AM18</f>
        <v>0</v>
      </c>
      <c r="X18" s="18">
        <f>SUM(U18:W18)</f>
        <v>12090252</v>
      </c>
      <c r="Y18" s="19">
        <f>MARZO!AA18</f>
        <v>4276831</v>
      </c>
      <c r="Z18" s="377">
        <v>1849533</v>
      </c>
      <c r="AA18" s="18">
        <f>SUM(Y18:Z18)</f>
        <v>6126364</v>
      </c>
      <c r="AB18" s="19">
        <f>MARZO!AD18</f>
        <v>4276831</v>
      </c>
      <c r="AC18" s="377">
        <v>1849533</v>
      </c>
      <c r="AD18" s="18">
        <f>SUM(AB18:AC18)</f>
        <v>6126364</v>
      </c>
      <c r="AE18" s="19">
        <f>MARZO!AG18</f>
        <v>3571588</v>
      </c>
      <c r="AF18" s="377">
        <v>2554777</v>
      </c>
      <c r="AG18" s="18">
        <f>SUM(AE18:AF18)</f>
        <v>6126365</v>
      </c>
      <c r="AH18" s="19">
        <f>X18-AA18</f>
        <v>5963888</v>
      </c>
      <c r="AI18" s="15">
        <f>X18-AD18</f>
        <v>5963888</v>
      </c>
      <c r="AJ18" s="16">
        <f>X18-AG18</f>
        <v>5963887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0</v>
      </c>
      <c r="BD18" s="74">
        <f>+I95+I96+I97+I99+I100+I101</f>
        <v>0</v>
      </c>
      <c r="BE18" s="75">
        <f>+K95+K96+K97+K99+K100+K101</f>
        <v>0</v>
      </c>
      <c r="BF18" s="95"/>
      <c r="BM18" s="140" t="s">
        <v>89</v>
      </c>
      <c r="BN18" s="83">
        <f>X148+X156</f>
        <v>156785051</v>
      </c>
      <c r="BO18" s="81">
        <f>AA148+AA156</f>
        <v>72592411</v>
      </c>
      <c r="BP18" s="81">
        <f>AD148+AD156</f>
        <v>63765566</v>
      </c>
      <c r="BQ18" s="82">
        <f>AF148+AF156</f>
        <v>2159000</v>
      </c>
      <c r="BR18" s="385"/>
    </row>
    <row r="19" spans="1:70" s="9" customFormat="1" ht="24.95" customHeight="1" thickBot="1" x14ac:dyDescent="0.3">
      <c r="A19" s="747">
        <f>+IF(MARZO!A19=0,"",MARZO!A19)</f>
        <v>113</v>
      </c>
      <c r="B19" s="650" t="str">
        <f>+IF(MARZO!B19=0,"",MARZO!B19)</f>
        <v>VENTA DE SERVICIOS</v>
      </c>
      <c r="C19" s="337">
        <f t="shared" ref="C19:N19" si="14">C21+C85</f>
        <v>2995860189</v>
      </c>
      <c r="D19" s="334">
        <f t="shared" si="14"/>
        <v>0</v>
      </c>
      <c r="E19" s="334">
        <f t="shared" si="14"/>
        <v>562667101</v>
      </c>
      <c r="F19" s="335">
        <f t="shared" si="14"/>
        <v>3558527290</v>
      </c>
      <c r="G19" s="337">
        <f t="shared" si="14"/>
        <v>956934880</v>
      </c>
      <c r="H19" s="334">
        <f t="shared" si="14"/>
        <v>343429727</v>
      </c>
      <c r="I19" s="335">
        <f t="shared" si="14"/>
        <v>1300364607</v>
      </c>
      <c r="J19" s="337">
        <f t="shared" si="14"/>
        <v>520668521</v>
      </c>
      <c r="K19" s="334">
        <f t="shared" si="14"/>
        <v>183169046</v>
      </c>
      <c r="L19" s="335">
        <f t="shared" si="14"/>
        <v>703837567</v>
      </c>
      <c r="M19" s="337">
        <f t="shared" si="14"/>
        <v>2258162683</v>
      </c>
      <c r="N19" s="335">
        <f t="shared" si="14"/>
        <v>2854689723</v>
      </c>
      <c r="O19" s="385"/>
      <c r="P19" s="43">
        <f>P21+P85</f>
        <v>0</v>
      </c>
      <c r="Q19" s="45">
        <f>Q21+Q85</f>
        <v>0</v>
      </c>
      <c r="S19" s="719">
        <f>+IF(MARZO!S19=0,"",MARZO!S19)</f>
        <v>1010103</v>
      </c>
      <c r="T19" s="693" t="str">
        <f>+IF(MARZO!T19=0,"",MARZO!T19)</f>
        <v>Prima Técnica</v>
      </c>
      <c r="U19" s="27">
        <f>+ENERO!U19</f>
        <v>0</v>
      </c>
      <c r="V19" s="15">
        <f>MARZO!V19+ABRIL!AL19</f>
        <v>0</v>
      </c>
      <c r="W19" s="15">
        <f>MARZO!W19+ABRIL!AM19</f>
        <v>0</v>
      </c>
      <c r="X19" s="18">
        <f>SUM(U19:W19)</f>
        <v>0</v>
      </c>
      <c r="Y19" s="19">
        <f>MARZO!AA19</f>
        <v>0</v>
      </c>
      <c r="Z19" s="377">
        <v>0</v>
      </c>
      <c r="AA19" s="18">
        <f>SUM(Y19:Z19)</f>
        <v>0</v>
      </c>
      <c r="AB19" s="19">
        <f>MARZO!AD19</f>
        <v>0</v>
      </c>
      <c r="AC19" s="377">
        <v>0</v>
      </c>
      <c r="AD19" s="18">
        <f>SUM(AB19:AC19)</f>
        <v>0</v>
      </c>
      <c r="AE19" s="19">
        <f>MARZO!AG19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36199636</v>
      </c>
      <c r="BE19" s="94">
        <f>+K105+K106+K107+K108+K109+K110+K98</f>
        <v>8183504</v>
      </c>
      <c r="BF19" s="57"/>
      <c r="BG19" s="385"/>
      <c r="BH19" s="385">
        <f>BN33</f>
        <v>0</v>
      </c>
      <c r="BI19" s="385"/>
      <c r="BJ19" s="385"/>
      <c r="BK19" s="385"/>
      <c r="BM19" s="140" t="s">
        <v>96</v>
      </c>
      <c r="BN19" s="83">
        <f>X126+X167</f>
        <v>55492147</v>
      </c>
      <c r="BO19" s="81">
        <f>AA126+AA167</f>
        <v>16729545</v>
      </c>
      <c r="BP19" s="81">
        <f>AD126+AD167</f>
        <v>16729545</v>
      </c>
      <c r="BQ19" s="82">
        <f>AF126+AF167</f>
        <v>6536442</v>
      </c>
    </row>
    <row r="20" spans="1:70" s="425" customFormat="1" ht="24.95" customHeight="1" thickBot="1" x14ac:dyDescent="0.3">
      <c r="A20" s="618" t="str">
        <f>+IF(MARZO!A20=0,"",MARZO!A20)</f>
        <v/>
      </c>
      <c r="B20" s="651" t="str">
        <f>+IF(MARZO!B20=0,"",MARZO!B20)</f>
        <v/>
      </c>
      <c r="C20" s="297"/>
      <c r="D20" s="297"/>
      <c r="E20" s="297"/>
      <c r="F20" s="297"/>
      <c r="G20" s="297"/>
      <c r="H20" s="297"/>
      <c r="I20" s="297"/>
      <c r="J20" s="297"/>
      <c r="K20" s="297"/>
      <c r="L20" s="297"/>
      <c r="M20" s="297"/>
      <c r="N20" s="466"/>
      <c r="O20" s="9"/>
      <c r="P20" s="410"/>
      <c r="Q20" s="409"/>
      <c r="R20" s="9"/>
      <c r="S20" s="719">
        <f>+IF(MARZO!S20=0,"",MARZO!S20)</f>
        <v>1010104</v>
      </c>
      <c r="T20" s="693" t="str">
        <f>+IF(MARZO!T20=0,"",MARZO!T20)</f>
        <v>Otros</v>
      </c>
      <c r="U20" s="27">
        <f t="shared" ref="U20:AJ20" si="15">SUM(U21:U32)</f>
        <v>56164501</v>
      </c>
      <c r="V20" s="15">
        <f t="shared" si="15"/>
        <v>0</v>
      </c>
      <c r="W20" s="15">
        <f t="shared" si="15"/>
        <v>0</v>
      </c>
      <c r="X20" s="18">
        <f t="shared" si="15"/>
        <v>56164501</v>
      </c>
      <c r="Y20" s="19">
        <f t="shared" si="15"/>
        <v>218000</v>
      </c>
      <c r="Z20" s="145">
        <f t="shared" si="15"/>
        <v>1365462</v>
      </c>
      <c r="AA20" s="18">
        <f t="shared" si="15"/>
        <v>1583462</v>
      </c>
      <c r="AB20" s="19">
        <f t="shared" si="15"/>
        <v>218000</v>
      </c>
      <c r="AC20" s="145">
        <f t="shared" si="15"/>
        <v>1365462</v>
      </c>
      <c r="AD20" s="18">
        <f t="shared" si="15"/>
        <v>1583462</v>
      </c>
      <c r="AE20" s="19">
        <f t="shared" si="15"/>
        <v>191834</v>
      </c>
      <c r="AF20" s="145">
        <f t="shared" si="15"/>
        <v>1391627</v>
      </c>
      <c r="AG20" s="18">
        <f t="shared" si="15"/>
        <v>1583461</v>
      </c>
      <c r="AH20" s="19">
        <f t="shared" si="15"/>
        <v>54581039</v>
      </c>
      <c r="AI20" s="15">
        <f t="shared" si="15"/>
        <v>54581039</v>
      </c>
      <c r="AJ20" s="16">
        <f t="shared" si="15"/>
        <v>54581040</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7193286</v>
      </c>
      <c r="BE20" s="67">
        <f>+K115+K117+K119+K120+K121+K123+K124</f>
        <v>7154945</v>
      </c>
      <c r="BF20" s="57"/>
      <c r="BG20" s="385"/>
      <c r="BH20" s="385">
        <f>BH19-BH16</f>
        <v>-3815886776</v>
      </c>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+IF(MARZO!A21=0,"",MARZO!A21)</f>
        <v>11301</v>
      </c>
      <c r="B21" s="652" t="str">
        <f>+IF(MARZO!B21=0,"",MARZO!B21)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941130361</v>
      </c>
      <c r="H21" s="357">
        <f t="shared" si="16"/>
        <v>340095560</v>
      </c>
      <c r="I21" s="357">
        <f t="shared" si="16"/>
        <v>1281225921</v>
      </c>
      <c r="J21" s="357">
        <f t="shared" si="16"/>
        <v>520668521</v>
      </c>
      <c r="K21" s="357">
        <f t="shared" si="16"/>
        <v>183169046</v>
      </c>
      <c r="L21" s="357">
        <f t="shared" si="16"/>
        <v>703837567</v>
      </c>
      <c r="M21" s="357">
        <f t="shared" si="16"/>
        <v>2203301369</v>
      </c>
      <c r="N21" s="178">
        <f t="shared" si="16"/>
        <v>2780689723</v>
      </c>
      <c r="O21" s="385"/>
      <c r="P21" s="43">
        <f>P22+P25+P28+P41+P42+P45+P48+P51+P54+P57+P60+P63+P66+P69+P72+P75+P78+P81</f>
        <v>0</v>
      </c>
      <c r="Q21" s="45">
        <f>Q22+Q25+Q28+Q41+Q42+Q45+Q48+Q51+Q54+Q57+Q60+Q63+Q66+Q69+Q72+Q75+Q78+Q81</f>
        <v>0</v>
      </c>
      <c r="R21" s="9"/>
      <c r="S21" s="720" t="str">
        <f>+IF(MARZO!S21=0,"",MARZO!S21)</f>
        <v>1010104-1</v>
      </c>
      <c r="T21" s="694" t="str">
        <f>+IF(MARZO!T21=0,"",MARZO!T21)</f>
        <v xml:space="preserve">Prima de Navidad </v>
      </c>
      <c r="U21" s="27">
        <f>+ENERO!U21</f>
        <v>27481083</v>
      </c>
      <c r="V21" s="15">
        <f>MARZO!V21+ABRIL!AL21</f>
        <v>0</v>
      </c>
      <c r="W21" s="15">
        <f>MARZO!W21+ABRIL!AM21</f>
        <v>0</v>
      </c>
      <c r="X21" s="18">
        <f t="shared" ref="X21:X33" si="17">SUM(U21:W21)</f>
        <v>27481083</v>
      </c>
      <c r="Y21" s="19">
        <f>MARZO!AA21</f>
        <v>0</v>
      </c>
      <c r="Z21" s="377">
        <v>0</v>
      </c>
      <c r="AA21" s="18">
        <f t="shared" ref="AA21:AA33" si="18">SUM(Y21:Z21)</f>
        <v>0</v>
      </c>
      <c r="AB21" s="19">
        <f>MARZO!AD21</f>
        <v>0</v>
      </c>
      <c r="AC21" s="377">
        <v>0</v>
      </c>
      <c r="AD21" s="18">
        <f t="shared" ref="AD21:AD33" si="19">SUM(AB21:AC21)</f>
        <v>0</v>
      </c>
      <c r="AE21" s="19">
        <f>MARZO!AG21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525"/>
      <c r="AR21" s="428" t="str">
        <f>AR6</f>
        <v>ABRIL</v>
      </c>
      <c r="AS21" s="429" t="str">
        <f>AR6</f>
        <v>ABRIL</v>
      </c>
      <c r="AT21" s="428" t="str">
        <f>AR6</f>
        <v>ABRIL</v>
      </c>
      <c r="AU21" s="428" t="s">
        <v>46</v>
      </c>
      <c r="AV21" s="428" t="s">
        <v>24</v>
      </c>
      <c r="AW21" s="525"/>
      <c r="AX21" s="525"/>
      <c r="AY21" s="428" t="s">
        <v>46</v>
      </c>
      <c r="AZ21" s="431" t="s">
        <v>24</v>
      </c>
      <c r="BA21" s="9"/>
      <c r="BB21" s="101" t="s">
        <v>447</v>
      </c>
      <c r="BC21" s="65">
        <f>SUMIF($B8:B122,$B24,F8:F122)+F122</f>
        <v>577451227</v>
      </c>
      <c r="BD21" s="66">
        <f>SUMIF($B8:B122,$B24,I8:I122)+I122</f>
        <v>375592837</v>
      </c>
      <c r="BE21" s="67">
        <f>SUMIF($B8:B122,$B24,K8:K122)+K122</f>
        <v>98239789</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+IF(MARZO!A22=0,"",MARZO!A22)</f>
        <v>1130101</v>
      </c>
      <c r="B22" s="653" t="str">
        <f>+IF(MARZO!B22=0,"",MARZO!B22)</f>
        <v>EPS - REGIMEN CONTRIBUTIVO</v>
      </c>
      <c r="C22" s="43">
        <f t="shared" ref="C22:N22" si="24">SUM(C23:C24)</f>
        <v>1323143662</v>
      </c>
      <c r="D22" s="44">
        <f t="shared" si="24"/>
        <v>0</v>
      </c>
      <c r="E22" s="44">
        <f t="shared" si="24"/>
        <v>435611621</v>
      </c>
      <c r="F22" s="44">
        <f t="shared" si="24"/>
        <v>1758755283</v>
      </c>
      <c r="G22" s="44">
        <f t="shared" si="24"/>
        <v>528506822</v>
      </c>
      <c r="H22" s="44">
        <f t="shared" si="24"/>
        <v>205160933</v>
      </c>
      <c r="I22" s="44">
        <f t="shared" si="24"/>
        <v>733667755</v>
      </c>
      <c r="J22" s="44">
        <f t="shared" si="24"/>
        <v>221877307</v>
      </c>
      <c r="K22" s="44">
        <f t="shared" si="24"/>
        <v>85885216</v>
      </c>
      <c r="L22" s="44">
        <f t="shared" si="24"/>
        <v>307762523</v>
      </c>
      <c r="M22" s="44">
        <f t="shared" si="24"/>
        <v>1025087528</v>
      </c>
      <c r="N22" s="45">
        <f t="shared" si="24"/>
        <v>1450992760</v>
      </c>
      <c r="P22" s="43">
        <f>SUM(P23:P24)</f>
        <v>0</v>
      </c>
      <c r="Q22" s="45">
        <f>SUM(Q23:Q24)</f>
        <v>0</v>
      </c>
      <c r="S22" s="720" t="str">
        <f>+IF(MARZO!S22=0,"",MARZO!S22)</f>
        <v>1010104-2</v>
      </c>
      <c r="T22" s="694" t="str">
        <f>+IF(MARZO!T22=0,"",MARZO!T22)</f>
        <v>Prima Vida Cara</v>
      </c>
      <c r="U22" s="27">
        <f>+ENERO!U22</f>
        <v>0</v>
      </c>
      <c r="V22" s="15">
        <f>MARZO!V22+ABRIL!AL22</f>
        <v>0</v>
      </c>
      <c r="W22" s="15">
        <f>MARZO!W22+ABRIL!AM22</f>
        <v>0</v>
      </c>
      <c r="X22" s="18">
        <f t="shared" si="17"/>
        <v>0</v>
      </c>
      <c r="Y22" s="19">
        <f>MARZO!AA22</f>
        <v>0</v>
      </c>
      <c r="Z22" s="377">
        <v>0</v>
      </c>
      <c r="AA22" s="18">
        <f t="shared" si="18"/>
        <v>0</v>
      </c>
      <c r="AB22" s="19">
        <f>MARZO!AD22</f>
        <v>0</v>
      </c>
      <c r="AC22" s="377">
        <v>0</v>
      </c>
      <c r="AD22" s="18">
        <f t="shared" si="19"/>
        <v>0</v>
      </c>
      <c r="AE22" s="19">
        <f>MARZO!AG22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311358425</v>
      </c>
      <c r="AS22" s="433">
        <f>AG17+AG66</f>
        <v>292301910</v>
      </c>
      <c r="AT22" s="434"/>
      <c r="AU22" s="435">
        <f t="shared" ref="AU22:AU32" si="25">IF(AQ22=0," ",AR22/AQ22)</f>
        <v>0.32931561700273088</v>
      </c>
      <c r="AV22" s="435">
        <f t="shared" ref="AV22:AV32" si="26">IF(AQ22=0," ",AS22/AQ22)</f>
        <v>0.30916004229764044</v>
      </c>
      <c r="AW22" s="436">
        <f>AR22/$AO$2*12</f>
        <v>934075275</v>
      </c>
      <c r="AX22" s="436">
        <f>AS22/$AO$2*12</f>
        <v>876905730</v>
      </c>
      <c r="AY22" s="436">
        <f t="shared" ref="AY22:AY31" si="27">AQ22-AW22</f>
        <v>11395905</v>
      </c>
      <c r="AZ22" s="437">
        <f t="shared" ref="AZ22:AZ31" si="28">AQ22-AX22</f>
        <v>68565450</v>
      </c>
      <c r="BA22" s="385"/>
      <c r="BB22" s="102" t="s">
        <v>111</v>
      </c>
      <c r="BC22" s="103">
        <f>BC7+BC8+BC20+BC21</f>
        <v>3815886776</v>
      </c>
      <c r="BD22" s="104">
        <f>BD7+BD8+BD20+BD21</f>
        <v>1434498731</v>
      </c>
      <c r="BE22" s="105">
        <f>BE7+BE8+BE20+BE21</f>
        <v>198507495</v>
      </c>
      <c r="BF22" s="57"/>
      <c r="BG22" s="385"/>
      <c r="BH22" s="385"/>
      <c r="BI22" s="385"/>
      <c r="BJ22" s="385"/>
      <c r="BK22" s="385"/>
      <c r="BM22" s="71" t="s">
        <v>69</v>
      </c>
      <c r="BN22" s="83">
        <f>BN23+BN24</f>
        <v>65572284</v>
      </c>
      <c r="BO22" s="81">
        <f>BO23+BO24</f>
        <v>16837796</v>
      </c>
      <c r="BP22" s="81">
        <f>BP23+BP24</f>
        <v>16837796</v>
      </c>
      <c r="BQ22" s="82">
        <f>BQ23+BQ24</f>
        <v>5088060</v>
      </c>
      <c r="BR22" s="385"/>
    </row>
    <row r="23" spans="1:70" s="425" customFormat="1" ht="24.95" customHeight="1" x14ac:dyDescent="0.2">
      <c r="A23" s="618" t="str">
        <f>+IF(MARZO!A23=0,"",MARZO!A23)</f>
        <v>1130101-1</v>
      </c>
      <c r="B23" s="654" t="str">
        <f>+CONCATENATE("Vigencia ",INSTRUCCIONES!$F$3)</f>
        <v>Vigencia 2015</v>
      </c>
      <c r="C23" s="375">
        <f>+ENERO!C23</f>
        <v>1323143662</v>
      </c>
      <c r="D23" s="376">
        <f>MARZO!D23+ABRIL!P23</f>
        <v>0</v>
      </c>
      <c r="E23" s="376">
        <f>MARZO!E23+ABRIL!Q23</f>
        <v>0</v>
      </c>
      <c r="F23" s="376">
        <f>SUM(C23:E23)</f>
        <v>1323143662</v>
      </c>
      <c r="G23" s="376">
        <f>MARZO!I23</f>
        <v>308586115</v>
      </c>
      <c r="H23" s="377">
        <v>119972514</v>
      </c>
      <c r="I23" s="376">
        <f>SUM(G23:H23)</f>
        <v>428558629</v>
      </c>
      <c r="J23" s="376">
        <f>MARZO!L23</f>
        <v>1956600</v>
      </c>
      <c r="K23" s="377">
        <v>696797</v>
      </c>
      <c r="L23" s="376">
        <f>SUM(J23:K23)</f>
        <v>2653397</v>
      </c>
      <c r="M23" s="376">
        <f>F23-I23</f>
        <v>894585033</v>
      </c>
      <c r="N23" s="146">
        <f>F23-L23</f>
        <v>1320490265</v>
      </c>
      <c r="O23" s="9"/>
      <c r="P23" s="375">
        <v>0</v>
      </c>
      <c r="Q23" s="378">
        <v>0</v>
      </c>
      <c r="R23" s="9"/>
      <c r="S23" s="720" t="str">
        <f>+IF(MARZO!S23=0,"",MARZO!S23)</f>
        <v>1010104-3</v>
      </c>
      <c r="T23" s="694" t="str">
        <f>+IF(MARZO!T23=0,"",MARZO!T23)</f>
        <v>Prima de Vacaciones</v>
      </c>
      <c r="U23" s="27">
        <f>+ENERO!U23</f>
        <v>12683577</v>
      </c>
      <c r="V23" s="15">
        <f>MARZO!V23+ABRIL!AL23</f>
        <v>0</v>
      </c>
      <c r="W23" s="15">
        <f>MARZO!W23+ABRIL!AM23</f>
        <v>0</v>
      </c>
      <c r="X23" s="18">
        <f t="shared" si="17"/>
        <v>12683577</v>
      </c>
      <c r="Y23" s="19">
        <f>MARZO!AA23</f>
        <v>0</v>
      </c>
      <c r="Z23" s="377">
        <v>1139525</v>
      </c>
      <c r="AA23" s="18">
        <f t="shared" si="18"/>
        <v>1139525</v>
      </c>
      <c r="AB23" s="19">
        <f>MARZO!AD23</f>
        <v>0</v>
      </c>
      <c r="AC23" s="377">
        <v>1139525</v>
      </c>
      <c r="AD23" s="18">
        <f t="shared" si="19"/>
        <v>1139525</v>
      </c>
      <c r="AE23" s="19">
        <f>MARZO!AG23</f>
        <v>0</v>
      </c>
      <c r="AF23" s="377">
        <v>1139525</v>
      </c>
      <c r="AG23" s="18">
        <f t="shared" si="20"/>
        <v>1139525</v>
      </c>
      <c r="AH23" s="19">
        <f t="shared" si="21"/>
        <v>11544052</v>
      </c>
      <c r="AI23" s="15">
        <f t="shared" si="22"/>
        <v>11544052</v>
      </c>
      <c r="AJ23" s="16">
        <f t="shared" si="23"/>
        <v>11544052</v>
      </c>
      <c r="AK23" s="9"/>
      <c r="AL23" s="375">
        <v>0</v>
      </c>
      <c r="AM23" s="378">
        <v>0</v>
      </c>
      <c r="AN23" s="9"/>
      <c r="AO23" s="373"/>
      <c r="AP23" s="438" t="s">
        <v>110</v>
      </c>
      <c r="AQ23" s="439">
        <f>X16+X65-AQ22</f>
        <v>278891529</v>
      </c>
      <c r="AR23" s="439">
        <f>AD16+AD65-AR22</f>
        <v>71617560</v>
      </c>
      <c r="AS23" s="439">
        <f>AG16+AG65-AS22</f>
        <v>60186768</v>
      </c>
      <c r="AT23" s="330"/>
      <c r="AU23" s="345">
        <f t="shared" si="25"/>
        <v>0.25679360092719061</v>
      </c>
      <c r="AV23" s="345">
        <f t="shared" si="26"/>
        <v>0.21580708534177098</v>
      </c>
      <c r="AW23" s="439">
        <f>(AR23-AD21-AD22-AD23-AD25-AD30-AD33-AD70-AD71-AD72-AD74-AD78-AD81)/$AO$2*12+AX22/12*2.5+AD30+AD33+AD78+AD81</f>
        <v>355776588.75</v>
      </c>
      <c r="AX23" s="439">
        <f>(AS23-AG21-AG22-AG23-AG25-AG30-AG33-AG70-AG71-AG72-AG74-AG78-AG81)/$AO$2*12+AX22/12*2.5+AG30+AG33+AG78+AG81</f>
        <v>336019272.75</v>
      </c>
      <c r="AY23" s="439">
        <f t="shared" si="27"/>
        <v>-76885059.75</v>
      </c>
      <c r="AZ23" s="46">
        <f t="shared" si="28"/>
        <v>-57127743.75</v>
      </c>
      <c r="BA23" s="385"/>
      <c r="BF23" s="385"/>
      <c r="BG23" s="385"/>
      <c r="BH23" s="385"/>
      <c r="BI23" s="385"/>
      <c r="BJ23" s="385"/>
      <c r="BK23" s="385"/>
      <c r="BL23" s="385"/>
      <c r="BM23" s="140" t="s">
        <v>107</v>
      </c>
      <c r="BN23" s="83">
        <f>X177</f>
        <v>39279816</v>
      </c>
      <c r="BO23" s="81">
        <f>AA177</f>
        <v>10177212</v>
      </c>
      <c r="BP23" s="81">
        <f>AD177</f>
        <v>10177212</v>
      </c>
      <c r="BQ23" s="82">
        <f>AF177</f>
        <v>5088060</v>
      </c>
      <c r="BR23" s="9"/>
    </row>
    <row r="24" spans="1:70" s="425" customFormat="1" ht="24.95" customHeight="1" x14ac:dyDescent="0.2">
      <c r="A24" s="618" t="str">
        <f>+IF(MARZO!A24=0,"",MARZO!A24)</f>
        <v>1130101-2</v>
      </c>
      <c r="B24" s="654" t="str">
        <f>+IF(MARZO!B24=0,"",MARZO!B24)</f>
        <v>Vigencia Anterior</v>
      </c>
      <c r="C24" s="375">
        <f>+ENERO!C24</f>
        <v>0</v>
      </c>
      <c r="D24" s="376">
        <f>MARZO!D24+ABRIL!P24</f>
        <v>0</v>
      </c>
      <c r="E24" s="376">
        <f>MARZO!E24+ABRIL!Q24</f>
        <v>435611621</v>
      </c>
      <c r="F24" s="376">
        <f>SUM(C24:E24)</f>
        <v>435611621</v>
      </c>
      <c r="G24" s="376">
        <f>MARZO!I24</f>
        <v>219920707</v>
      </c>
      <c r="H24" s="377">
        <v>85188419</v>
      </c>
      <c r="I24" s="376">
        <f>SUM(G24:H24)</f>
        <v>305109126</v>
      </c>
      <c r="J24" s="376">
        <f>MARZO!L24</f>
        <v>219920707</v>
      </c>
      <c r="K24" s="377">
        <v>85188419</v>
      </c>
      <c r="L24" s="376">
        <f>SUM(J24:K24)</f>
        <v>305109126</v>
      </c>
      <c r="M24" s="376">
        <f>F24-I24</f>
        <v>130502495</v>
      </c>
      <c r="N24" s="146">
        <f>F24-L24</f>
        <v>130502495</v>
      </c>
      <c r="O24" s="385"/>
      <c r="P24" s="375">
        <v>0</v>
      </c>
      <c r="Q24" s="378">
        <v>0</v>
      </c>
      <c r="R24" s="9"/>
      <c r="S24" s="720" t="str">
        <f>+IF(MARZO!S24=0,"",MARZO!S24)</f>
        <v>1010104-4</v>
      </c>
      <c r="T24" s="694" t="str">
        <f>+IF(MARZO!T24=0,"",MARZO!T24)</f>
        <v>Prima Clima</v>
      </c>
      <c r="U24" s="27">
        <f>+ENERO!U24</f>
        <v>0</v>
      </c>
      <c r="V24" s="15">
        <f>MARZO!V24+ABRIL!AL24</f>
        <v>0</v>
      </c>
      <c r="W24" s="15">
        <f>MARZO!W24+ABRIL!AM24</f>
        <v>0</v>
      </c>
      <c r="X24" s="18">
        <f t="shared" si="17"/>
        <v>0</v>
      </c>
      <c r="Y24" s="19">
        <f>MARZO!AA24</f>
        <v>0</v>
      </c>
      <c r="Z24" s="377">
        <v>0</v>
      </c>
      <c r="AA24" s="18">
        <f t="shared" si="18"/>
        <v>0</v>
      </c>
      <c r="AB24" s="19">
        <f>MARZO!AD24</f>
        <v>0</v>
      </c>
      <c r="AC24" s="377">
        <v>0</v>
      </c>
      <c r="AD24" s="18">
        <f t="shared" si="19"/>
        <v>0</v>
      </c>
      <c r="AE24" s="19">
        <f>MARZO!AG24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400283995</v>
      </c>
      <c r="AR24" s="434">
        <f>AD35+AD83</f>
        <v>126028148</v>
      </c>
      <c r="AS24" s="434">
        <f>AG35+AG83</f>
        <v>80956624</v>
      </c>
      <c r="AT24" s="434"/>
      <c r="AU24" s="376">
        <f t="shared" si="25"/>
        <v>0.31484683268437952</v>
      </c>
      <c r="AV24" s="376">
        <f t="shared" si="26"/>
        <v>0.20224796647190452</v>
      </c>
      <c r="AW24" s="376">
        <f>(AR24-AD41-AD88)/$AO$2*12+AD41+AD88</f>
        <v>310175488</v>
      </c>
      <c r="AX24" s="376">
        <f>(AS24-AG41-AG88)/$AO$2*12+AG41+AG88</f>
        <v>192560624</v>
      </c>
      <c r="AY24" s="376">
        <f t="shared" si="27"/>
        <v>90108507</v>
      </c>
      <c r="AZ24" s="146">
        <f t="shared" si="28"/>
        <v>207723371</v>
      </c>
      <c r="BA24" s="9"/>
      <c r="BB24" s="440"/>
      <c r="BC24" s="385"/>
      <c r="BD24" s="385"/>
      <c r="BE24" s="385"/>
      <c r="BF24" s="385"/>
      <c r="BG24" s="385"/>
      <c r="BH24" s="385"/>
      <c r="BI24" s="385"/>
      <c r="BJ24" s="385"/>
      <c r="BK24" s="385"/>
      <c r="BL24" s="385"/>
      <c r="BM24" s="140" t="s">
        <v>112</v>
      </c>
      <c r="BN24" s="83">
        <f>X170-X177-X174-X183-X191</f>
        <v>26292468</v>
      </c>
      <c r="BO24" s="81">
        <f>AA170-AA177-AA174-AA183-AA191</f>
        <v>6660584</v>
      </c>
      <c r="BP24" s="81">
        <f>AD170-AD177-AD174-AD183-AD191</f>
        <v>6660584</v>
      </c>
      <c r="BQ24" s="82">
        <f>AF170-AF177-AF174-AF183-AF191</f>
        <v>0</v>
      </c>
      <c r="BR24" s="385"/>
    </row>
    <row r="25" spans="1:70" s="385" customFormat="1" ht="24.95" customHeight="1" x14ac:dyDescent="0.25">
      <c r="A25" s="747">
        <f>+IF(MARZO!A25=0,"",MARZO!A25)</f>
        <v>1130102</v>
      </c>
      <c r="B25" s="653" t="str">
        <f>+IF(MARZO!B25=0,"",MARZO!B25)</f>
        <v>ARS - REGIMEN SUBSIDIADO</v>
      </c>
      <c r="C25" s="43">
        <f t="shared" ref="C25:N25" si="29">SUM(C26:C27)</f>
        <v>873986903</v>
      </c>
      <c r="D25" s="44">
        <f t="shared" si="29"/>
        <v>0</v>
      </c>
      <c r="E25" s="44">
        <f t="shared" si="29"/>
        <v>71552427</v>
      </c>
      <c r="F25" s="44">
        <f t="shared" si="29"/>
        <v>945539330</v>
      </c>
      <c r="G25" s="44">
        <f t="shared" si="29"/>
        <v>244728948</v>
      </c>
      <c r="H25" s="44">
        <f t="shared" si="29"/>
        <v>77215269</v>
      </c>
      <c r="I25" s="44">
        <f t="shared" si="29"/>
        <v>321944217</v>
      </c>
      <c r="J25" s="44">
        <f t="shared" si="29"/>
        <v>161206479</v>
      </c>
      <c r="K25" s="44">
        <f t="shared" si="29"/>
        <v>53517622</v>
      </c>
      <c r="L25" s="44">
        <f t="shared" si="29"/>
        <v>214724101</v>
      </c>
      <c r="M25" s="44">
        <f t="shared" si="29"/>
        <v>623595113</v>
      </c>
      <c r="N25" s="45">
        <f t="shared" si="29"/>
        <v>730815229</v>
      </c>
      <c r="P25" s="43">
        <f>SUM(P26:P27)</f>
        <v>0</v>
      </c>
      <c r="Q25" s="45">
        <f>SUM(Q26:Q27)</f>
        <v>0</v>
      </c>
      <c r="R25" s="9"/>
      <c r="S25" s="720" t="str">
        <f>+IF(MARZO!S25=0,"",MARZO!S25)</f>
        <v>1010104-5</v>
      </c>
      <c r="T25" s="694" t="str">
        <f>+IF(MARZO!T25=0,"",MARZO!T25)</f>
        <v>Prima de Servicios</v>
      </c>
      <c r="U25" s="27">
        <f>+ENERO!U25</f>
        <v>12683577</v>
      </c>
      <c r="V25" s="15">
        <f>MARZO!V25+ABRIL!AL25</f>
        <v>0</v>
      </c>
      <c r="W25" s="15">
        <f>MARZO!W25+ABRIL!AM25</f>
        <v>0</v>
      </c>
      <c r="X25" s="18">
        <f t="shared" si="17"/>
        <v>12683577</v>
      </c>
      <c r="Y25" s="19">
        <f>MARZO!AA25</f>
        <v>0</v>
      </c>
      <c r="Z25" s="377">
        <v>0</v>
      </c>
      <c r="AA25" s="18">
        <f t="shared" si="18"/>
        <v>0</v>
      </c>
      <c r="AB25" s="19">
        <f>MARZO!AD25</f>
        <v>0</v>
      </c>
      <c r="AC25" s="377">
        <v>0</v>
      </c>
      <c r="AD25" s="18">
        <f t="shared" si="19"/>
        <v>0</v>
      </c>
      <c r="AE25" s="19">
        <f>MARZO!AG25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529138337</v>
      </c>
      <c r="AR25" s="376">
        <f>AD43+AD57+AD90+AD104</f>
        <v>202206461</v>
      </c>
      <c r="AS25" s="376">
        <f>AG43+AG57+AG90+AG104</f>
        <v>189814929</v>
      </c>
      <c r="AT25" s="434"/>
      <c r="AU25" s="376">
        <f t="shared" si="25"/>
        <v>0.38214290453122091</v>
      </c>
      <c r="AV25" s="376">
        <f t="shared" si="26"/>
        <v>0.3587245824526224</v>
      </c>
      <c r="AW25" s="376">
        <f>(AR25-AD55-AD61-AD102-AD108)/$AO$2*12+AD55+AD61+AD102+AD108</f>
        <v>428620353</v>
      </c>
      <c r="AX25" s="376">
        <f>(AS25-AG55-AG61-AG102-AG108)/$AO$2*12+AG55+AG61+AG102+AG108</f>
        <v>395391595</v>
      </c>
      <c r="AY25" s="376">
        <f t="shared" si="27"/>
        <v>100517984</v>
      </c>
      <c r="AZ25" s="146">
        <f t="shared" si="28"/>
        <v>133746742</v>
      </c>
      <c r="BM25" s="143" t="s">
        <v>455</v>
      </c>
      <c r="BN25" s="106">
        <f>+SUM(BN26:BN28)</f>
        <v>315812208</v>
      </c>
      <c r="BO25" s="107">
        <f>+SUM(BO26:BO28)</f>
        <v>129173287</v>
      </c>
      <c r="BP25" s="107">
        <f>+SUM(BP26:BP28)</f>
        <v>105736694</v>
      </c>
      <c r="BQ25" s="108">
        <f>+SUM(BQ26:BQ28)</f>
        <v>6202384</v>
      </c>
    </row>
    <row r="26" spans="1:70" s="9" customFormat="1" ht="24.95" customHeight="1" x14ac:dyDescent="0.2">
      <c r="A26" s="618" t="str">
        <f>+IF(MARZO!A26=0,"",MARZO!A26)</f>
        <v>1130102-1</v>
      </c>
      <c r="B26" s="654" t="str">
        <f>+CONCATENATE("Vigencia ",INSTRUCCIONES!$F$3)</f>
        <v>Vigencia 2015</v>
      </c>
      <c r="C26" s="375">
        <f>+ENERO!C26</f>
        <v>873986903</v>
      </c>
      <c r="D26" s="376">
        <f>MARZO!D26+ABRIL!P26</f>
        <v>0</v>
      </c>
      <c r="E26" s="376">
        <f>MARZO!E26+ABRIL!Q26</f>
        <v>0</v>
      </c>
      <c r="F26" s="376">
        <f>SUM(C26:E26)</f>
        <v>873986903</v>
      </c>
      <c r="G26" s="376">
        <f>MARZO!I26</f>
        <v>211834351</v>
      </c>
      <c r="H26" s="377">
        <v>70163899</v>
      </c>
      <c r="I26" s="376">
        <f>SUM(G26:H26)</f>
        <v>281998250</v>
      </c>
      <c r="J26" s="376">
        <f>MARZO!L26</f>
        <v>128311882</v>
      </c>
      <c r="K26" s="377">
        <v>46466252</v>
      </c>
      <c r="L26" s="376">
        <f>SUM(J26:K26)</f>
        <v>174778134</v>
      </c>
      <c r="M26" s="376">
        <f>F26-I26</f>
        <v>591988653</v>
      </c>
      <c r="N26" s="146">
        <f>F26-L26</f>
        <v>699208769</v>
      </c>
      <c r="P26" s="375">
        <v>0</v>
      </c>
      <c r="Q26" s="378">
        <v>0</v>
      </c>
      <c r="S26" s="720" t="str">
        <f>+IF(MARZO!S26=0,"",MARZO!S26)</f>
        <v>1010104-8</v>
      </c>
      <c r="T26" s="694" t="str">
        <f>+IF(MARZO!T26=0,"",MARZO!T26)</f>
        <v>Bonific. por Servicios Prestados (Convencional)</v>
      </c>
      <c r="U26" s="27">
        <f>+ENERO!U26</f>
        <v>0</v>
      </c>
      <c r="V26" s="15">
        <f>MARZO!V26+ABRIL!AL26</f>
        <v>0</v>
      </c>
      <c r="W26" s="15">
        <f>MARZO!W26+ABRIL!AM26</f>
        <v>0</v>
      </c>
      <c r="X26" s="18">
        <f t="shared" si="17"/>
        <v>0</v>
      </c>
      <c r="Y26" s="19">
        <f>MARZO!AA26</f>
        <v>0</v>
      </c>
      <c r="Z26" s="377">
        <v>0</v>
      </c>
      <c r="AA26" s="18">
        <f t="shared" si="18"/>
        <v>0</v>
      </c>
      <c r="AB26" s="19">
        <f>MARZO!AD26</f>
        <v>0</v>
      </c>
      <c r="AC26" s="377">
        <v>0</v>
      </c>
      <c r="AD26" s="18">
        <f t="shared" si="19"/>
        <v>0</v>
      </c>
      <c r="AE26" s="19">
        <f>MARZO!AG26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290384110</v>
      </c>
      <c r="AS26" s="330">
        <f>AG110</f>
        <v>144808122</v>
      </c>
      <c r="AT26" s="374">
        <f>AO2/12</f>
        <v>0.33333333333333331</v>
      </c>
      <c r="AU26" s="345">
        <f t="shared" si="25"/>
        <v>0.39032246998617198</v>
      </c>
      <c r="AV26" s="345">
        <f t="shared" si="26"/>
        <v>0.19464516792292436</v>
      </c>
      <c r="AW26" s="439">
        <f>(AR26-AD121-AD139-AD143-AD153-AD168)/$AO$2*12+AD121+AD139+AD143+AD153+AD168</f>
        <v>666564302</v>
      </c>
      <c r="AX26" s="439">
        <f>(AS26-AG121-AG139-AG143-AG153-AG168)/$AO$2*12+AG121+AG139+AG143+AG153+AG168</f>
        <v>322856286</v>
      </c>
      <c r="AY26" s="439">
        <f t="shared" si="27"/>
        <v>77395199</v>
      </c>
      <c r="AZ26" s="46">
        <f t="shared" si="28"/>
        <v>421103215</v>
      </c>
      <c r="BA26" s="385"/>
      <c r="BB26" s="385"/>
      <c r="BC26" s="385"/>
      <c r="BD26" s="385"/>
      <c r="BE26" s="385"/>
      <c r="BF26" s="385"/>
      <c r="BG26" s="385"/>
      <c r="BH26" s="385"/>
      <c r="BI26" s="385"/>
      <c r="BJ26" s="385"/>
      <c r="BK26" s="385"/>
      <c r="BM26" s="109" t="s">
        <v>456</v>
      </c>
      <c r="BN26" s="86">
        <f>+X196+X212</f>
        <v>187244601</v>
      </c>
      <c r="BO26" s="84">
        <f>+AA196+AA212</f>
        <v>82501317</v>
      </c>
      <c r="BP26" s="84">
        <f>+AD196+AD212</f>
        <v>59064724</v>
      </c>
      <c r="BQ26" s="85">
        <f>+AF196+AF212</f>
        <v>1321946</v>
      </c>
      <c r="BR26" s="385"/>
    </row>
    <row r="27" spans="1:70" s="425" customFormat="1" ht="24.95" customHeight="1" x14ac:dyDescent="0.2">
      <c r="A27" s="618" t="str">
        <f>+IF(MARZO!A27=0,"",MARZO!A27)</f>
        <v>1130102-2</v>
      </c>
      <c r="B27" s="654" t="str">
        <f>+IF(MARZO!B27=0,"",MARZO!B27)</f>
        <v>Vigencia Anterior</v>
      </c>
      <c r="C27" s="375">
        <f>+ENERO!C27</f>
        <v>0</v>
      </c>
      <c r="D27" s="376">
        <f>MARZO!D27+ABRIL!P27</f>
        <v>0</v>
      </c>
      <c r="E27" s="376">
        <f>MARZO!E27+ABRIL!Q27</f>
        <v>71552427</v>
      </c>
      <c r="F27" s="376">
        <f>SUM(C27:E27)</f>
        <v>71552427</v>
      </c>
      <c r="G27" s="376">
        <f>MARZO!I27</f>
        <v>32894597</v>
      </c>
      <c r="H27" s="377">
        <v>7051370</v>
      </c>
      <c r="I27" s="376">
        <f>SUM(G27:H27)</f>
        <v>39945967</v>
      </c>
      <c r="J27" s="376">
        <f>MARZO!L27</f>
        <v>32894597</v>
      </c>
      <c r="K27" s="377">
        <v>7051370</v>
      </c>
      <c r="L27" s="376">
        <f>SUM(J27:K27)</f>
        <v>39945967</v>
      </c>
      <c r="M27" s="376">
        <f>F27-I27</f>
        <v>31606460</v>
      </c>
      <c r="N27" s="146">
        <f>F27-L27</f>
        <v>31606460</v>
      </c>
      <c r="O27" s="385"/>
      <c r="P27" s="375">
        <v>0</v>
      </c>
      <c r="Q27" s="378">
        <v>0</v>
      </c>
      <c r="R27" s="9"/>
      <c r="S27" s="720" t="str">
        <f>+IF(MARZO!S27=0,"",MARZO!S27)</f>
        <v>1010104-9</v>
      </c>
      <c r="T27" s="694" t="str">
        <f>+IF(MARZO!T27=0,"",MARZO!T27)</f>
        <v>Auxilio de Transporte</v>
      </c>
      <c r="U27" s="27">
        <f>+ENERO!U27</f>
        <v>1625120</v>
      </c>
      <c r="V27" s="15">
        <f>MARZO!V27+ABRIL!AL27</f>
        <v>0</v>
      </c>
      <c r="W27" s="15">
        <f>MARZO!W27+ABRIL!AM27</f>
        <v>0</v>
      </c>
      <c r="X27" s="18">
        <f t="shared" si="17"/>
        <v>1625120</v>
      </c>
      <c r="Y27" s="19">
        <f>MARZO!AA27</f>
        <v>218000</v>
      </c>
      <c r="Z27" s="377">
        <v>74000</v>
      </c>
      <c r="AA27" s="18">
        <f t="shared" si="18"/>
        <v>292000</v>
      </c>
      <c r="AB27" s="19">
        <f>MARZO!AD27</f>
        <v>218000</v>
      </c>
      <c r="AC27" s="377">
        <v>74000</v>
      </c>
      <c r="AD27" s="18">
        <f t="shared" si="19"/>
        <v>292000</v>
      </c>
      <c r="AE27" s="19">
        <f>MARZO!AG27</f>
        <v>191834</v>
      </c>
      <c r="AF27" s="377">
        <v>100165</v>
      </c>
      <c r="AG27" s="18">
        <f t="shared" si="20"/>
        <v>291999</v>
      </c>
      <c r="AH27" s="19">
        <f t="shared" si="21"/>
        <v>1333120</v>
      </c>
      <c r="AI27" s="15">
        <f t="shared" si="22"/>
        <v>1333120</v>
      </c>
      <c r="AJ27" s="16">
        <f t="shared" si="23"/>
        <v>1333121</v>
      </c>
      <c r="AK27" s="9"/>
      <c r="AL27" s="375">
        <v>0</v>
      </c>
      <c r="AM27" s="378">
        <v>0</v>
      </c>
      <c r="AN27" s="9"/>
      <c r="AO27" s="352"/>
      <c r="AP27" s="441" t="s">
        <v>126</v>
      </c>
      <c r="AQ27" s="376">
        <f>X170</f>
        <v>74494094</v>
      </c>
      <c r="AR27" s="376">
        <f>AD170</f>
        <v>25759606</v>
      </c>
      <c r="AS27" s="376">
        <f>AG170</f>
        <v>19086921</v>
      </c>
      <c r="AT27" s="434"/>
      <c r="AU27" s="376">
        <f t="shared" si="25"/>
        <v>0.34579393636225714</v>
      </c>
      <c r="AV27" s="376">
        <f t="shared" si="26"/>
        <v>0.25622059380975892</v>
      </c>
      <c r="AW27" s="376">
        <f>(AR27-AD174-AD183-AD191)/$AO$2*12+AD174+AD183+AD191</f>
        <v>59435198</v>
      </c>
      <c r="AX27" s="376">
        <f>(AS27-AG174-AG183-AG191)/$AO$2*12+AG174+AG183+AG191</f>
        <v>39441345</v>
      </c>
      <c r="AY27" s="376">
        <f t="shared" si="27"/>
        <v>15058896</v>
      </c>
      <c r="AZ27" s="146">
        <f t="shared" si="28"/>
        <v>35052749</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+IF(MARZO!A28=0,"",MARZO!A28)</f>
        <v>1130103</v>
      </c>
      <c r="B28" s="630" t="str">
        <f>+IF(MARZO!B28=0,"",MARZO!B28)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79857644</v>
      </c>
      <c r="H28" s="44">
        <f t="shared" si="30"/>
        <v>28752098</v>
      </c>
      <c r="I28" s="44">
        <f t="shared" si="30"/>
        <v>108609742</v>
      </c>
      <c r="J28" s="44">
        <f t="shared" si="30"/>
        <v>74446941</v>
      </c>
      <c r="K28" s="44">
        <f t="shared" si="30"/>
        <v>24815647</v>
      </c>
      <c r="L28" s="44">
        <f t="shared" si="30"/>
        <v>99262588</v>
      </c>
      <c r="M28" s="44">
        <f t="shared" si="30"/>
        <v>242117086</v>
      </c>
      <c r="N28" s="45">
        <f t="shared" si="30"/>
        <v>251464240</v>
      </c>
      <c r="O28" s="385"/>
      <c r="P28" s="43">
        <f>P29+P32+P35+P38+P39+P940</f>
        <v>0</v>
      </c>
      <c r="Q28" s="45">
        <f>Q29+Q32+Q35+Q38+Q39+Q40</f>
        <v>0</v>
      </c>
      <c r="R28" s="9"/>
      <c r="S28" s="720" t="str">
        <f>+IF(MARZO!S28=0,"",MARZO!S28)</f>
        <v>1010104-10</v>
      </c>
      <c r="T28" s="694" t="str">
        <f>+IF(MARZO!T28=0,"",MARZO!T28)</f>
        <v>Subsidio de Alimentación</v>
      </c>
      <c r="U28" s="27">
        <f>+ENERO!U28</f>
        <v>0</v>
      </c>
      <c r="V28" s="15">
        <f>MARZO!V28+ABRIL!AL28</f>
        <v>0</v>
      </c>
      <c r="W28" s="15">
        <f>MARZO!W28+ABRIL!AM28</f>
        <v>0</v>
      </c>
      <c r="X28" s="18">
        <f t="shared" si="17"/>
        <v>0</v>
      </c>
      <c r="Y28" s="19">
        <f>MARZO!AA28</f>
        <v>0</v>
      </c>
      <c r="Z28" s="377">
        <v>0</v>
      </c>
      <c r="AA28" s="18">
        <f t="shared" si="18"/>
        <v>0</v>
      </c>
      <c r="AB28" s="19">
        <f>MARZO!AD28</f>
        <v>0</v>
      </c>
      <c r="AC28" s="377">
        <v>0</v>
      </c>
      <c r="AD28" s="18">
        <f t="shared" si="19"/>
        <v>0</v>
      </c>
      <c r="AE28" s="19">
        <f>MARZO!AG28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407648140</v>
      </c>
      <c r="AR28" s="434">
        <f>AD193</f>
        <v>197572626</v>
      </c>
      <c r="AS28" s="434">
        <f>AG193</f>
        <v>70511009</v>
      </c>
      <c r="AT28" s="434"/>
      <c r="AU28" s="376">
        <f t="shared" si="25"/>
        <v>0.48466460806125594</v>
      </c>
      <c r="AV28" s="376">
        <f t="shared" si="26"/>
        <v>0.17297027039053828</v>
      </c>
      <c r="AW28" s="376">
        <f>(AR28-AD205)/$AO$2*12+AD205</f>
        <v>409046014</v>
      </c>
      <c r="AX28" s="376">
        <f>(AS28-AG205)/$AO$2*12+AG205</f>
        <v>98998733</v>
      </c>
      <c r="AY28" s="376">
        <f t="shared" si="27"/>
        <v>-1397874</v>
      </c>
      <c r="AZ28" s="146">
        <f t="shared" si="28"/>
        <v>308649407</v>
      </c>
      <c r="BA28" s="385"/>
      <c r="BB28" s="385"/>
      <c r="BC28" s="385"/>
      <c r="BD28" s="385"/>
      <c r="BE28" s="385"/>
      <c r="BF28" s="385"/>
      <c r="BG28" s="385"/>
      <c r="BH28" s="385"/>
      <c r="BI28" s="385"/>
      <c r="BJ28" s="385"/>
      <c r="BK28" s="385"/>
      <c r="BL28" s="385"/>
      <c r="BM28" s="71" t="s">
        <v>458</v>
      </c>
      <c r="BN28" s="83">
        <f>+X194-X196-X205</f>
        <v>128567607</v>
      </c>
      <c r="BO28" s="81">
        <f>+AA194-AA196-AA205</f>
        <v>46671970</v>
      </c>
      <c r="BP28" s="81">
        <f>+AD194-AD196-AD205</f>
        <v>46671970</v>
      </c>
      <c r="BQ28" s="82">
        <f>+AF194-AF196-AF205</f>
        <v>4880438</v>
      </c>
      <c r="BR28" s="9"/>
    </row>
    <row r="29" spans="1:70" s="9" customFormat="1" ht="24.95" customHeight="1" x14ac:dyDescent="0.25">
      <c r="A29" s="618" t="str">
        <f>+IF(MARZO!A29=0,"",MARZO!A29)</f>
        <v>1130103-1</v>
      </c>
      <c r="B29" s="655" t="str">
        <f>+IF(MARZO!B29=0,"",MARZO!B29)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0</v>
      </c>
      <c r="I29" s="15">
        <f t="shared" si="31"/>
        <v>5410703</v>
      </c>
      <c r="J29" s="15">
        <f t="shared" si="31"/>
        <v>0</v>
      </c>
      <c r="K29" s="15">
        <f t="shared" si="31"/>
        <v>0</v>
      </c>
      <c r="L29" s="15">
        <f t="shared" si="31"/>
        <v>0</v>
      </c>
      <c r="M29" s="15">
        <f t="shared" si="31"/>
        <v>18685125</v>
      </c>
      <c r="N29" s="16">
        <f t="shared" si="31"/>
        <v>24095828</v>
      </c>
      <c r="O29" s="385"/>
      <c r="P29" s="147">
        <f>SUM(P30:P31)</f>
        <v>0</v>
      </c>
      <c r="Q29" s="148">
        <f>SUM(Q30:Q31)</f>
        <v>0</v>
      </c>
      <c r="S29" s="720" t="str">
        <f>+IF(MARZO!S29=0,"",MARZO!S29)</f>
        <v>1010104-11</v>
      </c>
      <c r="T29" s="694" t="str">
        <f>+IF(MARZO!T29=0,"",MARZO!T29)</f>
        <v>Gastos de Representación</v>
      </c>
      <c r="U29" s="27">
        <f>+ENERO!U29</f>
        <v>0</v>
      </c>
      <c r="V29" s="15">
        <f>MARZO!V29+ABRIL!AL29</f>
        <v>0</v>
      </c>
      <c r="W29" s="15">
        <f>MARZO!W29+ABRIL!AM29</f>
        <v>0</v>
      </c>
      <c r="X29" s="18">
        <f t="shared" si="17"/>
        <v>0</v>
      </c>
      <c r="Y29" s="19">
        <f>MARZO!AA29</f>
        <v>0</v>
      </c>
      <c r="Z29" s="377">
        <v>0</v>
      </c>
      <c r="AA29" s="18">
        <f t="shared" si="18"/>
        <v>0</v>
      </c>
      <c r="AB29" s="19">
        <f>MARZO!AD29</f>
        <v>0</v>
      </c>
      <c r="AC29" s="377">
        <v>0</v>
      </c>
      <c r="AD29" s="18">
        <f t="shared" si="19"/>
        <v>0</v>
      </c>
      <c r="AE29" s="19">
        <f>MARZO!AG29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436000000</v>
      </c>
      <c r="BO29" s="107">
        <f>AA232-AA256-AA241</f>
        <v>62050000</v>
      </c>
      <c r="BP29" s="107">
        <f>AD232-AD256-AD241</f>
        <v>5850000</v>
      </c>
      <c r="BQ29" s="108">
        <f>AF232-AF256-AF241</f>
        <v>0</v>
      </c>
      <c r="BR29" s="385"/>
    </row>
    <row r="30" spans="1:70" s="425" customFormat="1" ht="24.95" customHeight="1" x14ac:dyDescent="0.25">
      <c r="A30" s="618" t="str">
        <f>+IF(MARZO!A30=0,"",MARZO!A30)</f>
        <v>1130103-1-1</v>
      </c>
      <c r="B30" s="654" t="str">
        <f>+CONCATENATE("Vigencia ",INSTRUCCIONES!$F$3)</f>
        <v>Vigencia 2015</v>
      </c>
      <c r="C30" s="375">
        <v>24095828</v>
      </c>
      <c r="D30" s="376">
        <f>MARZO!D30+ABRIL!P30</f>
        <v>0</v>
      </c>
      <c r="E30" s="376">
        <f>MARZO!E30+ABRIL!Q30</f>
        <v>0</v>
      </c>
      <c r="F30" s="376">
        <f>SUM(C30:E30)</f>
        <v>24095828</v>
      </c>
      <c r="G30" s="376">
        <f>MARZO!I30</f>
        <v>5410703</v>
      </c>
      <c r="H30" s="377">
        <v>0</v>
      </c>
      <c r="I30" s="376">
        <f>SUM(G30:H30)</f>
        <v>5410703</v>
      </c>
      <c r="J30" s="376">
        <f>MARZO!L30</f>
        <v>0</v>
      </c>
      <c r="K30" s="377"/>
      <c r="L30" s="376">
        <f>SUM(J30:K30)</f>
        <v>0</v>
      </c>
      <c r="M30" s="376">
        <f>F30-I30</f>
        <v>18685125</v>
      </c>
      <c r="N30" s="146">
        <f>F30-L30</f>
        <v>24095828</v>
      </c>
      <c r="O30" s="9"/>
      <c r="P30" s="375">
        <v>0</v>
      </c>
      <c r="Q30" s="378">
        <v>0</v>
      </c>
      <c r="R30" s="9"/>
      <c r="S30" s="720" t="str">
        <f>+IF(MARZO!S30=0,"",MARZO!S30)</f>
        <v>1010104-12</v>
      </c>
      <c r="T30" s="694" t="str">
        <f>+IF(MARZO!T30=0,"",MARZO!T30)</f>
        <v xml:space="preserve"> Indemnizaciones por Vacaciones o Supresión de Cargos por Reestructuración</v>
      </c>
      <c r="U30" s="27">
        <f>+ENERO!U30</f>
        <v>0</v>
      </c>
      <c r="V30" s="15">
        <f>MARZO!V30+ABRIL!AL30</f>
        <v>0</v>
      </c>
      <c r="W30" s="15">
        <f>MARZO!W30+ABRIL!AM30</f>
        <v>0</v>
      </c>
      <c r="X30" s="18">
        <f t="shared" si="17"/>
        <v>0</v>
      </c>
      <c r="Y30" s="19">
        <f>MARZO!AA30</f>
        <v>0</v>
      </c>
      <c r="Z30" s="377">
        <v>0</v>
      </c>
      <c r="AA30" s="18">
        <f t="shared" si="18"/>
        <v>0</v>
      </c>
      <c r="AB30" s="19">
        <f>MARZO!AD30</f>
        <v>0</v>
      </c>
      <c r="AC30" s="377">
        <v>0</v>
      </c>
      <c r="AD30" s="18">
        <f t="shared" si="19"/>
        <v>0</v>
      </c>
      <c r="AE30" s="19">
        <f>MARZO!AG30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436000000</v>
      </c>
      <c r="AR30" s="376">
        <f>AD220+AD232</f>
        <v>5850000</v>
      </c>
      <c r="AS30" s="376">
        <f>AG220+AG232</f>
        <v>0</v>
      </c>
      <c r="AT30" s="434"/>
      <c r="AU30" s="376">
        <f t="shared" si="25"/>
        <v>1.3417431192660551E-2</v>
      </c>
      <c r="AV30" s="376">
        <f t="shared" si="26"/>
        <v>0</v>
      </c>
      <c r="AW30" s="376">
        <f>(AR30-AD225-AD230-AD241-AD256)/$AO$2*12+AD225+AD230+AD241+AD256</f>
        <v>17550000</v>
      </c>
      <c r="AX30" s="376">
        <f>(AS30-AG225-AG230-AG241-AG256)/$AO$2*12+AG225+AG230+AG241+AG256</f>
        <v>0</v>
      </c>
      <c r="AY30" s="376">
        <f t="shared" si="27"/>
        <v>418450000</v>
      </c>
      <c r="AZ30" s="146">
        <f t="shared" si="28"/>
        <v>436000000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+IF(MARZO!A31=0,"",MARZO!A31)</f>
        <v>1130103-1-2</v>
      </c>
      <c r="B31" s="654" t="str">
        <f>+IF(MARZO!B31=0,"",MARZO!B31)</f>
        <v>Vigencia Anterior</v>
      </c>
      <c r="C31" s="375">
        <f>+ENERO!C31</f>
        <v>0</v>
      </c>
      <c r="D31" s="376">
        <f>MARZO!D31+ABRIL!P31</f>
        <v>0</v>
      </c>
      <c r="E31" s="376">
        <f>MARZO!E31+ABRIL!Q31</f>
        <v>0</v>
      </c>
      <c r="F31" s="376">
        <f>SUM(C31:E31)</f>
        <v>0</v>
      </c>
      <c r="G31" s="376">
        <f>MARZO!I31</f>
        <v>0</v>
      </c>
      <c r="H31" s="377">
        <v>0</v>
      </c>
      <c r="I31" s="376">
        <f>SUM(G31:H31)</f>
        <v>0</v>
      </c>
      <c r="J31" s="376">
        <f>MARZO!L31</f>
        <v>0</v>
      </c>
      <c r="K31" s="377">
        <v>0</v>
      </c>
      <c r="L31" s="376">
        <f>SUM(J31:K31)</f>
        <v>0</v>
      </c>
      <c r="M31" s="376">
        <f>F31-I31</f>
        <v>0</v>
      </c>
      <c r="N31" s="146">
        <f>F31-L31</f>
        <v>0</v>
      </c>
      <c r="O31" s="385"/>
      <c r="P31" s="375">
        <v>0</v>
      </c>
      <c r="Q31" s="378">
        <v>0</v>
      </c>
      <c r="R31" s="9"/>
      <c r="S31" s="720" t="str">
        <f>+IF(MARZO!S31=0,"",MARZO!S31)</f>
        <v>1010104-13</v>
      </c>
      <c r="T31" s="694" t="str">
        <f>+IF(MARZO!T31=0,"",MARZO!T31)</f>
        <v>Bonificación Especial por Recreación</v>
      </c>
      <c r="U31" s="27">
        <f>+ENERO!U31</f>
        <v>1691144</v>
      </c>
      <c r="V31" s="15">
        <f>MARZO!V31+ABRIL!AL31</f>
        <v>0</v>
      </c>
      <c r="W31" s="15">
        <f>MARZO!W31+ABRIL!AM31</f>
        <v>0</v>
      </c>
      <c r="X31" s="18">
        <f t="shared" si="17"/>
        <v>1691144</v>
      </c>
      <c r="Y31" s="19">
        <f>MARZO!AA31</f>
        <v>0</v>
      </c>
      <c r="Z31" s="377">
        <v>151937</v>
      </c>
      <c r="AA31" s="18">
        <f t="shared" si="18"/>
        <v>151937</v>
      </c>
      <c r="AB31" s="19">
        <f>MARZO!AD31</f>
        <v>0</v>
      </c>
      <c r="AC31" s="377">
        <v>151937</v>
      </c>
      <c r="AD31" s="18">
        <f t="shared" si="19"/>
        <v>151937</v>
      </c>
      <c r="AE31" s="19">
        <f>MARZO!AG31</f>
        <v>0</v>
      </c>
      <c r="AF31" s="377">
        <v>151937</v>
      </c>
      <c r="AG31" s="18">
        <f t="shared" si="20"/>
        <v>151937</v>
      </c>
      <c r="AH31" s="19">
        <f t="shared" si="21"/>
        <v>1539207</v>
      </c>
      <c r="AI31" s="15">
        <f t="shared" si="22"/>
        <v>1539207</v>
      </c>
      <c r="AJ31" s="16">
        <f t="shared" si="23"/>
        <v>1539207</v>
      </c>
      <c r="AK31" s="9"/>
      <c r="AL31" s="375">
        <v>0</v>
      </c>
      <c r="AM31" s="378">
        <v>0</v>
      </c>
      <c r="AN31" s="9"/>
      <c r="AO31" s="352"/>
      <c r="AP31" s="418" t="s">
        <v>139</v>
      </c>
      <c r="AQ31" s="434">
        <f>X258</f>
        <v>0</v>
      </c>
      <c r="AR31" s="434">
        <f>AD258</f>
        <v>-392805245</v>
      </c>
      <c r="AS31" s="434">
        <f>AG258</f>
        <v>-857666283</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24176986</v>
      </c>
      <c r="BR31" s="9"/>
    </row>
    <row r="32" spans="1:70" s="9" customFormat="1" ht="24.95" customHeight="1" thickBot="1" x14ac:dyDescent="0.3">
      <c r="A32" s="618" t="str">
        <f>+IF(MARZO!A32=0,"",MARZO!A32)</f>
        <v>1130103-2</v>
      </c>
      <c r="B32" s="655" t="str">
        <f>+IF(MARZO!B32=0,"",MARZO!B32)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+IF(MARZO!S32=0,"",MARZO!S32)</f>
        <v>1010104-14</v>
      </c>
      <c r="T32" s="694" t="str">
        <f>+IF(MARZO!T32=0,"",MARZO!T32)</f>
        <v/>
      </c>
      <c r="U32" s="27">
        <f>+ENERO!U32</f>
        <v>0</v>
      </c>
      <c r="V32" s="15">
        <f>MARZO!V32+ABRIL!AL32</f>
        <v>0</v>
      </c>
      <c r="W32" s="15">
        <f>MARZO!W32+ABRIL!AM32</f>
        <v>0</v>
      </c>
      <c r="X32" s="18">
        <f t="shared" si="17"/>
        <v>0</v>
      </c>
      <c r="Y32" s="19">
        <f>MARZO!AA32</f>
        <v>0</v>
      </c>
      <c r="Z32" s="377">
        <v>0</v>
      </c>
      <c r="AA32" s="18">
        <f t="shared" si="18"/>
        <v>0</v>
      </c>
      <c r="AB32" s="19">
        <f>MARZO!AD32</f>
        <v>0</v>
      </c>
      <c r="AC32" s="377">
        <v>0</v>
      </c>
      <c r="AD32" s="18">
        <f t="shared" si="19"/>
        <v>0</v>
      </c>
      <c r="AE32" s="19">
        <f>MARZO!AG32</f>
        <v>0</v>
      </c>
      <c r="AF32" s="377">
        <v>0</v>
      </c>
      <c r="AG32" s="18">
        <f t="shared" si="20"/>
        <v>0</v>
      </c>
      <c r="AH32" s="19">
        <f t="shared" si="21"/>
        <v>0</v>
      </c>
      <c r="AI32" s="15">
        <f t="shared" si="22"/>
        <v>0</v>
      </c>
      <c r="AJ32" s="16">
        <f t="shared" si="23"/>
        <v>0</v>
      </c>
      <c r="AL32" s="375">
        <v>0</v>
      </c>
      <c r="AM32" s="378">
        <v>0</v>
      </c>
      <c r="AO32" s="21"/>
      <c r="AP32" s="443" t="s">
        <v>144</v>
      </c>
      <c r="AQ32" s="398">
        <f>SUM(AQ22:AQ31)</f>
        <v>3815886776</v>
      </c>
      <c r="AR32" s="398">
        <f>SUM(AR22:AR31)</f>
        <v>837971691</v>
      </c>
      <c r="AS32" s="398">
        <f>SUM(AS22:AS31)</f>
        <v>0</v>
      </c>
      <c r="AT32" s="444"/>
      <c r="AU32" s="445">
        <f t="shared" si="25"/>
        <v>0.21960077439153033</v>
      </c>
      <c r="AV32" s="445">
        <f t="shared" si="26"/>
        <v>0</v>
      </c>
      <c r="AW32" s="354">
        <f>SUM(AW22:AW31)</f>
        <v>3181243218.75</v>
      </c>
      <c r="AX32" s="354">
        <f>SUM(AX22:AX31)</f>
        <v>2262173585.75</v>
      </c>
      <c r="AY32" s="354">
        <f>SUM(AY22:AY31)</f>
        <v>634643557.25</v>
      </c>
      <c r="AZ32" s="355">
        <f>SUM(AZ22:AZ31)</f>
        <v>1553713190.25</v>
      </c>
      <c r="BA32" s="385"/>
      <c r="BB32" s="425"/>
      <c r="BC32" s="425"/>
      <c r="BD32" s="425"/>
      <c r="BE32" s="425"/>
      <c r="BF32" s="425"/>
      <c r="BG32" s="385"/>
      <c r="BH32" s="385"/>
      <c r="BI32" s="385"/>
      <c r="BJ32" s="385"/>
      <c r="BK32" s="385"/>
      <c r="BM32" s="110" t="s">
        <v>140</v>
      </c>
      <c r="BN32" s="106">
        <f>+BN7+BN25+BN29+BN30+BN31</f>
        <v>3815886776</v>
      </c>
      <c r="BO32" s="107">
        <f>+BO7+BO25+BO29+BO30+BO31</f>
        <v>1518194336</v>
      </c>
      <c r="BP32" s="107">
        <f>+BP7+BP25+BP29+BP30+BP31</f>
        <v>1230776936</v>
      </c>
      <c r="BQ32" s="108">
        <f>+BQ7+BQ25+BQ29+BQ30+BQ31</f>
        <v>218202087</v>
      </c>
      <c r="BR32" s="385"/>
    </row>
    <row r="33" spans="1:70" s="425" customFormat="1" ht="24.95" customHeight="1" thickBot="1" x14ac:dyDescent="0.3">
      <c r="A33" s="618" t="str">
        <f>+IF(MARZO!A33=0,"",MARZO!A33)</f>
        <v>1130103-2-1</v>
      </c>
      <c r="B33" s="654" t="str">
        <f>+CONCATENATE("Vigencia ",INSTRUCCIONES!$F$3)</f>
        <v>Vigencia 2015</v>
      </c>
      <c r="C33" s="375">
        <f>+ENERO!C33</f>
        <v>0</v>
      </c>
      <c r="D33" s="376">
        <f>MARZO!D33+ABRIL!P33</f>
        <v>0</v>
      </c>
      <c r="E33" s="376">
        <f>MARZO!E33+ABRIL!Q33</f>
        <v>0</v>
      </c>
      <c r="F33" s="376">
        <f>SUM(C33:E33)</f>
        <v>0</v>
      </c>
      <c r="G33" s="376">
        <f>MARZO!I33</f>
        <v>0</v>
      </c>
      <c r="H33" s="377">
        <v>0</v>
      </c>
      <c r="I33" s="376">
        <f>SUM(G33:H33)</f>
        <v>0</v>
      </c>
      <c r="J33" s="376">
        <f>MARZO!L33</f>
        <v>0</v>
      </c>
      <c r="K33" s="377">
        <v>0</v>
      </c>
      <c r="L33" s="376">
        <f>SUM(J33:K33)</f>
        <v>0</v>
      </c>
      <c r="M33" s="376">
        <f>F33-I33</f>
        <v>0</v>
      </c>
      <c r="N33" s="146">
        <f>F33-L33</f>
        <v>0</v>
      </c>
      <c r="O33" s="9"/>
      <c r="P33" s="375">
        <v>0</v>
      </c>
      <c r="Q33" s="378">
        <v>0</v>
      </c>
      <c r="R33" s="9"/>
      <c r="S33" s="719">
        <f>+IF(MARZO!S33=0,"",MARZO!S33)</f>
        <v>1010199</v>
      </c>
      <c r="T33" s="693" t="str">
        <f>+IF(MARZO!T33=0,"",MARZO!T33)</f>
        <v>Vigencias Anteriores</v>
      </c>
      <c r="U33" s="27">
        <f>+ENERO!U33</f>
        <v>0</v>
      </c>
      <c r="V33" s="15">
        <f>MARZO!V33+ABRIL!AL33</f>
        <v>0</v>
      </c>
      <c r="W33" s="15">
        <f>MARZO!W33+ABRIL!AM33</f>
        <v>2702630</v>
      </c>
      <c r="X33" s="18">
        <f t="shared" si="17"/>
        <v>2702630</v>
      </c>
      <c r="Y33" s="19">
        <f>MARZO!AA33</f>
        <v>2702630</v>
      </c>
      <c r="Z33" s="377">
        <v>0</v>
      </c>
      <c r="AA33" s="18">
        <f t="shared" si="18"/>
        <v>2702630</v>
      </c>
      <c r="AB33" s="19">
        <f>MARZO!AD33</f>
        <v>2702630</v>
      </c>
      <c r="AC33" s="377">
        <v>0</v>
      </c>
      <c r="AD33" s="18">
        <f t="shared" si="19"/>
        <v>2702630</v>
      </c>
      <c r="AE33" s="19">
        <f>MARZO!AG33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-83695605</v>
      </c>
      <c r="BP33" s="113">
        <f>AD258</f>
        <v>-392805245</v>
      </c>
      <c r="BQ33" s="114">
        <f>AF258</f>
        <v>2759712998</v>
      </c>
      <c r="BR33" s="385"/>
    </row>
    <row r="34" spans="1:70" s="425" customFormat="1" ht="24.95" customHeight="1" thickBot="1" x14ac:dyDescent="0.25">
      <c r="A34" s="618" t="str">
        <f>+IF(MARZO!A34=0,"",MARZO!A34)</f>
        <v>1130103-2-2</v>
      </c>
      <c r="B34" s="654" t="str">
        <f>+IF(MARZO!B34=0,"",MARZO!B34)</f>
        <v>Vigencia Anterior</v>
      </c>
      <c r="C34" s="375">
        <f>+ENERO!C34</f>
        <v>0</v>
      </c>
      <c r="D34" s="376">
        <f>MARZO!D34+ABRIL!P34</f>
        <v>0</v>
      </c>
      <c r="E34" s="376">
        <f>MARZO!E34+ABRIL!Q34</f>
        <v>0</v>
      </c>
      <c r="F34" s="376">
        <f>SUM(C34:E34)</f>
        <v>0</v>
      </c>
      <c r="G34" s="376">
        <f>MARZO!I34</f>
        <v>0</v>
      </c>
      <c r="H34" s="377">
        <v>0</v>
      </c>
      <c r="I34" s="376">
        <f>SUM(G34:H34)</f>
        <v>0</v>
      </c>
      <c r="J34" s="376">
        <f>MARZO!L34</f>
        <v>0</v>
      </c>
      <c r="K34" s="377">
        <v>0</v>
      </c>
      <c r="L34" s="376">
        <f>SUM(J34:K34)</f>
        <v>0</v>
      </c>
      <c r="M34" s="376">
        <f>F34-I34</f>
        <v>0</v>
      </c>
      <c r="N34" s="146">
        <f>F34-L34</f>
        <v>0</v>
      </c>
      <c r="O34" s="385"/>
      <c r="P34" s="375">
        <v>0</v>
      </c>
      <c r="Q34" s="378">
        <v>0</v>
      </c>
      <c r="R34" s="9"/>
      <c r="S34" s="369" t="str">
        <f>+IF(MARZO!S34=0,"",MARZO!S34)</f>
        <v/>
      </c>
      <c r="T34" s="708" t="str">
        <f>+IF(MARZO!T34=0,"",MARZO!T34)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388"/>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+IF(MARZO!A35=0,"",MARZO!A35)</f>
        <v>1130103-3</v>
      </c>
      <c r="B35" s="655" t="str">
        <f>+IF(MARZO!B35=0,"",MARZO!B35)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+IF(MARZO!S35=0,"",MARZO!S35)</f>
        <v>1010200</v>
      </c>
      <c r="T35" s="692" t="str">
        <f>+IF(MARZO!T35=0,"",MARZO!T35)</f>
        <v>Servicios Personales Indirectos</v>
      </c>
      <c r="U35" s="135">
        <f t="shared" ref="U35:AJ35" si="34">SUM(U36:U41)</f>
        <v>215072393</v>
      </c>
      <c r="V35" s="124">
        <f t="shared" si="34"/>
        <v>0</v>
      </c>
      <c r="W35" s="124">
        <f t="shared" si="34"/>
        <v>27070478</v>
      </c>
      <c r="X35" s="132">
        <f t="shared" si="34"/>
        <v>242142871</v>
      </c>
      <c r="Y35" s="131">
        <f t="shared" si="34"/>
        <v>176670978</v>
      </c>
      <c r="Z35" s="124">
        <f t="shared" si="34"/>
        <v>2080000</v>
      </c>
      <c r="AA35" s="132">
        <f t="shared" si="34"/>
        <v>178750978</v>
      </c>
      <c r="AB35" s="131">
        <f t="shared" si="34"/>
        <v>54577278</v>
      </c>
      <c r="AC35" s="124">
        <f t="shared" si="34"/>
        <v>20896870</v>
      </c>
      <c r="AD35" s="132">
        <f t="shared" si="34"/>
        <v>75474148</v>
      </c>
      <c r="AE35" s="131">
        <f t="shared" si="34"/>
        <v>29480124</v>
      </c>
      <c r="AF35" s="124">
        <f t="shared" si="34"/>
        <v>11630500</v>
      </c>
      <c r="AG35" s="132">
        <f t="shared" si="34"/>
        <v>41110624</v>
      </c>
      <c r="AH35" s="131">
        <f t="shared" si="34"/>
        <v>63391893</v>
      </c>
      <c r="AI35" s="124">
        <f t="shared" si="34"/>
        <v>166668723</v>
      </c>
      <c r="AJ35" s="133">
        <f t="shared" si="34"/>
        <v>201032247</v>
      </c>
      <c r="AK35" s="9"/>
      <c r="AL35" s="131">
        <f>SUM(AL36:AL41)</f>
        <v>0</v>
      </c>
      <c r="AM35" s="133">
        <f>SUM(AM36:AM41)</f>
        <v>0</v>
      </c>
      <c r="AN35" s="9"/>
      <c r="AO35" s="352"/>
      <c r="AP35" s="453"/>
      <c r="AQ35" s="295"/>
      <c r="AR35" s="454"/>
      <c r="AS35" s="454"/>
      <c r="AT35" s="454"/>
      <c r="AU35" s="455">
        <f>AR17-AR32</f>
        <v>560247404</v>
      </c>
      <c r="AV35" s="456">
        <f>AS17-AR32</f>
        <v>-36279636</v>
      </c>
      <c r="AW35" s="456" t="s">
        <v>158</v>
      </c>
      <c r="AX35" s="456"/>
      <c r="AY35" s="456">
        <f>AY17+AY32</f>
        <v>96078893.25</v>
      </c>
      <c r="AZ35" s="458">
        <f>AZ17+AY32</f>
        <v>-1704768010.75</v>
      </c>
      <c r="BB35" s="425"/>
      <c r="BC35" s="425"/>
      <c r="BD35" s="425"/>
      <c r="BE35" s="425"/>
      <c r="BF35" s="425"/>
    </row>
    <row r="36" spans="1:70" s="385" customFormat="1" ht="24.95" customHeight="1" thickBot="1" x14ac:dyDescent="0.25">
      <c r="A36" s="618" t="str">
        <f>+IF(MARZO!A36=0,"",MARZO!A36)</f>
        <v>1130103-3-1</v>
      </c>
      <c r="B36" s="654" t="str">
        <f>+CONCATENATE("Vigencia ",INSTRUCCIONES!$F$3)</f>
        <v>Vigencia 2015</v>
      </c>
      <c r="C36" s="375">
        <f>+ENERO!C36</f>
        <v>0</v>
      </c>
      <c r="D36" s="376">
        <f>MARZO!D36+ABRIL!P36</f>
        <v>0</v>
      </c>
      <c r="E36" s="376">
        <f>MARZO!E36+ABRIL!Q36</f>
        <v>0</v>
      </c>
      <c r="F36" s="376">
        <f t="shared" ref="F36:F41" si="35">SUM(C36:E36)</f>
        <v>0</v>
      </c>
      <c r="G36" s="376">
        <f>MARZO!I36</f>
        <v>0</v>
      </c>
      <c r="H36" s="377">
        <v>0</v>
      </c>
      <c r="I36" s="376">
        <f t="shared" ref="I36:I41" si="36">SUM(G36:H36)</f>
        <v>0</v>
      </c>
      <c r="J36" s="376">
        <f>MARZO!L36</f>
        <v>0</v>
      </c>
      <c r="K36" s="377">
        <v>0</v>
      </c>
      <c r="L36" s="376">
        <f t="shared" ref="L36:L41" si="37">SUM(J36:K36)</f>
        <v>0</v>
      </c>
      <c r="M36" s="376">
        <f t="shared" ref="M36:M41" si="38">F36-I36</f>
        <v>0</v>
      </c>
      <c r="N36" s="146">
        <f t="shared" ref="N36:N41" si="39">F36-L36</f>
        <v>0</v>
      </c>
      <c r="O36" s="9"/>
      <c r="P36" s="375">
        <v>0</v>
      </c>
      <c r="Q36" s="378">
        <v>0</v>
      </c>
      <c r="R36" s="9"/>
      <c r="S36" s="719" t="str">
        <f>+IF(MARZO!S36=0,"",MARZO!S36)</f>
        <v>1010200-1</v>
      </c>
      <c r="T36" s="693" t="str">
        <f>+IF(MARZO!T36=0,"",MARZO!T36)</f>
        <v>Remuneración y Honorarios por Servicios Técnicos y Profesionales</v>
      </c>
      <c r="U36" s="27">
        <f>+ENERO!U36</f>
        <v>213224393</v>
      </c>
      <c r="V36" s="15">
        <f>MARZO!V36+ABRIL!AL36</f>
        <v>0</v>
      </c>
      <c r="W36" s="15">
        <f>MARZO!W36+ABRIL!AM36</f>
        <v>0</v>
      </c>
      <c r="X36" s="18">
        <f t="shared" ref="X36:X41" si="40">SUM(U36:W36)</f>
        <v>213224393</v>
      </c>
      <c r="Y36" s="19">
        <f>MARZO!AA36</f>
        <v>149600500</v>
      </c>
      <c r="Z36" s="377">
        <v>2080000</v>
      </c>
      <c r="AA36" s="18">
        <f t="shared" ref="AA36:AA41" si="41">SUM(Y36:Z36)</f>
        <v>151680500</v>
      </c>
      <c r="AB36" s="19">
        <f>MARZO!AD36</f>
        <v>27506800</v>
      </c>
      <c r="AC36" s="377">
        <v>20896870</v>
      </c>
      <c r="AD36" s="18">
        <f t="shared" ref="AD36:AD41" si="42">SUM(AB36:AC36)</f>
        <v>48403670</v>
      </c>
      <c r="AE36" s="19">
        <f>MARZO!AG36</f>
        <v>13640000</v>
      </c>
      <c r="AF36" s="377">
        <v>9200000</v>
      </c>
      <c r="AG36" s="18">
        <f t="shared" ref="AG36:AG41" si="43">SUM(AE36:AF36)</f>
        <v>22840000</v>
      </c>
      <c r="AH36" s="19">
        <f t="shared" ref="AH36:AH41" si="44">X36-AA36</f>
        <v>61543893</v>
      </c>
      <c r="AI36" s="15">
        <f t="shared" ref="AI36:AI41" si="45">X36-AD36</f>
        <v>164820723</v>
      </c>
      <c r="AJ36" s="16">
        <f t="shared" ref="AJ36:AJ41" si="46">X36-AG36</f>
        <v>190384393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+IF(MARZO!A37=0,"",MARZO!A37)</f>
        <v>1130103-3-2</v>
      </c>
      <c r="B37" s="654" t="str">
        <f>+IF(MARZO!B37=0,"",MARZO!B37)</f>
        <v>Vigencia Anterior</v>
      </c>
      <c r="C37" s="375">
        <f>+ENERO!C37</f>
        <v>0</v>
      </c>
      <c r="D37" s="376">
        <f>MARZO!D37+ABRIL!P37</f>
        <v>0</v>
      </c>
      <c r="E37" s="376">
        <f>MARZO!E37+ABRIL!Q37</f>
        <v>0</v>
      </c>
      <c r="F37" s="376">
        <f t="shared" si="35"/>
        <v>0</v>
      </c>
      <c r="G37" s="376">
        <f>MARZO!I37</f>
        <v>0</v>
      </c>
      <c r="H37" s="377">
        <v>0</v>
      </c>
      <c r="I37" s="376">
        <f t="shared" si="36"/>
        <v>0</v>
      </c>
      <c r="J37" s="376">
        <f>MARZO!L37</f>
        <v>0</v>
      </c>
      <c r="K37" s="377">
        <v>0</v>
      </c>
      <c r="L37" s="376">
        <f t="shared" si="37"/>
        <v>0</v>
      </c>
      <c r="M37" s="376">
        <f t="shared" si="38"/>
        <v>0</v>
      </c>
      <c r="N37" s="146">
        <f t="shared" si="39"/>
        <v>0</v>
      </c>
      <c r="P37" s="375">
        <v>0</v>
      </c>
      <c r="Q37" s="378">
        <v>0</v>
      </c>
      <c r="R37" s="9"/>
      <c r="S37" s="719" t="str">
        <f>+IF(MARZO!S37=0,"",MARZO!S37)</f>
        <v>1010200-2</v>
      </c>
      <c r="T37" s="693" t="str">
        <f>+IF(MARZO!T37=0,"",MARZO!T37)</f>
        <v>Personal Supernumerario</v>
      </c>
      <c r="U37" s="27">
        <f>+ENERO!U37</f>
        <v>0</v>
      </c>
      <c r="V37" s="15">
        <f>MARZO!V37+ABRIL!AL37</f>
        <v>0</v>
      </c>
      <c r="W37" s="15">
        <f>MARZO!W37+ABRIL!AM37</f>
        <v>0</v>
      </c>
      <c r="X37" s="18">
        <f t="shared" si="40"/>
        <v>0</v>
      </c>
      <c r="Y37" s="19">
        <f>MARZO!AA37</f>
        <v>0</v>
      </c>
      <c r="Z37" s="377">
        <v>0</v>
      </c>
      <c r="AA37" s="18">
        <f t="shared" si="41"/>
        <v>0</v>
      </c>
      <c r="AB37" s="19">
        <f>MARZO!AD37</f>
        <v>0</v>
      </c>
      <c r="AC37" s="377">
        <v>0</v>
      </c>
      <c r="AD37" s="18">
        <f t="shared" si="42"/>
        <v>0</v>
      </c>
      <c r="AE37" s="19">
        <f>MARZO!AG37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+IF(MARZO!A38=0,"",MARZO!A38)</f>
        <v>1130103-4</v>
      </c>
      <c r="B38" s="656" t="str">
        <f>+IF(MARZO!B38=0,"",MARZO!B38)</f>
        <v xml:space="preserve"> Aportes Patronales  1o. Nivel</v>
      </c>
      <c r="C38" s="375">
        <f>+ENERO!C38</f>
        <v>326631000</v>
      </c>
      <c r="D38" s="376">
        <f>MARZO!D38+ABRIL!P38</f>
        <v>0</v>
      </c>
      <c r="E38" s="376">
        <f>MARZO!E38+ABRIL!Q38</f>
        <v>0</v>
      </c>
      <c r="F38" s="376">
        <f t="shared" si="35"/>
        <v>326631000</v>
      </c>
      <c r="G38" s="376">
        <f>MARZO!I38</f>
        <v>74446941</v>
      </c>
      <c r="H38" s="377">
        <v>28752098</v>
      </c>
      <c r="I38" s="376">
        <f t="shared" si="36"/>
        <v>103199039</v>
      </c>
      <c r="J38" s="376">
        <f>MARZO!L38</f>
        <v>74446941</v>
      </c>
      <c r="K38" s="377">
        <v>24815647</v>
      </c>
      <c r="L38" s="376">
        <f t="shared" si="37"/>
        <v>99262588</v>
      </c>
      <c r="M38" s="376">
        <f t="shared" si="38"/>
        <v>223431961</v>
      </c>
      <c r="N38" s="146">
        <f t="shared" si="39"/>
        <v>227368412</v>
      </c>
      <c r="O38" s="533"/>
      <c r="P38" s="375">
        <v>0</v>
      </c>
      <c r="Q38" s="378">
        <v>0</v>
      </c>
      <c r="R38" s="9"/>
      <c r="S38" s="719" t="str">
        <f>+IF(MARZO!S38=0,"",MARZO!S38)</f>
        <v>1010200-3</v>
      </c>
      <c r="T38" s="693" t="str">
        <f>+IF(MARZO!T38=0,"",MARZO!T38)</f>
        <v>Honorarios de la Junta Directiva</v>
      </c>
      <c r="U38" s="27">
        <f>+ENERO!U38</f>
        <v>1848000</v>
      </c>
      <c r="V38" s="15">
        <f>MARZO!V38+ABRIL!AL38</f>
        <v>0</v>
      </c>
      <c r="W38" s="15">
        <f>MARZO!W38+ABRIL!AM38</f>
        <v>0</v>
      </c>
      <c r="X38" s="18">
        <f t="shared" si="40"/>
        <v>1848000</v>
      </c>
      <c r="Y38" s="19">
        <f>MARZO!AA38</f>
        <v>0</v>
      </c>
      <c r="Z38" s="377">
        <v>0</v>
      </c>
      <c r="AA38" s="18">
        <f t="shared" si="41"/>
        <v>0</v>
      </c>
      <c r="AB38" s="19">
        <f>MARZO!AD38</f>
        <v>0</v>
      </c>
      <c r="AC38" s="377">
        <v>0</v>
      </c>
      <c r="AD38" s="18">
        <f t="shared" si="42"/>
        <v>0</v>
      </c>
      <c r="AE38" s="19">
        <f>MARZO!AG38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+IF(MARZO!A39=0,"",MARZO!A39)</f>
        <v>1130103-5</v>
      </c>
      <c r="B39" s="656" t="str">
        <f>+IF(MARZO!B39=0,"",MARZO!B39)</f>
        <v xml:space="preserve"> Aportes Patronales  2o. Nivel</v>
      </c>
      <c r="C39" s="375">
        <f>+ENERO!C39</f>
        <v>0</v>
      </c>
      <c r="D39" s="376">
        <f>MARZO!D39+ABRIL!P39</f>
        <v>0</v>
      </c>
      <c r="E39" s="376">
        <f>MARZO!E39+ABRIL!Q39</f>
        <v>0</v>
      </c>
      <c r="F39" s="376">
        <f t="shared" si="35"/>
        <v>0</v>
      </c>
      <c r="G39" s="376">
        <f>MARZO!I39</f>
        <v>0</v>
      </c>
      <c r="H39" s="377">
        <v>0</v>
      </c>
      <c r="I39" s="376">
        <f t="shared" si="36"/>
        <v>0</v>
      </c>
      <c r="J39" s="376">
        <f>MARZO!L39</f>
        <v>0</v>
      </c>
      <c r="K39" s="377">
        <v>0</v>
      </c>
      <c r="L39" s="376">
        <f t="shared" si="37"/>
        <v>0</v>
      </c>
      <c r="M39" s="376">
        <f t="shared" si="38"/>
        <v>0</v>
      </c>
      <c r="N39" s="146">
        <f t="shared" si="39"/>
        <v>0</v>
      </c>
      <c r="O39" s="533"/>
      <c r="P39" s="375">
        <v>0</v>
      </c>
      <c r="Q39" s="378">
        <v>0</v>
      </c>
      <c r="R39" s="9"/>
      <c r="S39" s="719" t="str">
        <f>+IF(MARZO!S39=0,"",MARZO!S39)</f>
        <v>1010200-4</v>
      </c>
      <c r="T39" s="693" t="str">
        <f>+IF(MARZO!T39=0,"",MARZO!T39)</f>
        <v>Otros Honorarios (Servicios de Cooperativa)</v>
      </c>
      <c r="U39" s="27">
        <f>+ENERO!U39</f>
        <v>0</v>
      </c>
      <c r="V39" s="15">
        <f>MARZO!V39+ABRIL!AL39</f>
        <v>0</v>
      </c>
      <c r="W39" s="15">
        <f>MARZO!W39+ABRIL!AM39</f>
        <v>0</v>
      </c>
      <c r="X39" s="18">
        <f t="shared" si="40"/>
        <v>0</v>
      </c>
      <c r="Y39" s="19">
        <f>MARZO!AA39</f>
        <v>0</v>
      </c>
      <c r="Z39" s="377">
        <v>0</v>
      </c>
      <c r="AA39" s="18">
        <f t="shared" si="41"/>
        <v>0</v>
      </c>
      <c r="AB39" s="19">
        <f>MARZO!AD39</f>
        <v>0</v>
      </c>
      <c r="AC39" s="377">
        <v>0</v>
      </c>
      <c r="AD39" s="18">
        <f t="shared" si="42"/>
        <v>0</v>
      </c>
      <c r="AE39" s="19">
        <f>MARZO!AG39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+IF(MARZO!A40=0,"",MARZO!A40)</f>
        <v>1130103-6</v>
      </c>
      <c r="B40" s="656" t="str">
        <f>+IF(MARZO!B40=0,"",MARZO!B40)</f>
        <v xml:space="preserve"> Aportes Patronales  3er. Nivel</v>
      </c>
      <c r="C40" s="375">
        <f>+ENERO!C40</f>
        <v>0</v>
      </c>
      <c r="D40" s="376">
        <f>MARZO!D40+ABRIL!P40</f>
        <v>0</v>
      </c>
      <c r="E40" s="376">
        <f>MARZO!E40+ABRIL!Q40</f>
        <v>0</v>
      </c>
      <c r="F40" s="376">
        <f t="shared" si="35"/>
        <v>0</v>
      </c>
      <c r="G40" s="376">
        <f>MARZO!I40</f>
        <v>0</v>
      </c>
      <c r="H40" s="377">
        <v>0</v>
      </c>
      <c r="I40" s="376">
        <f t="shared" si="36"/>
        <v>0</v>
      </c>
      <c r="J40" s="376">
        <f>MARZO!L40</f>
        <v>0</v>
      </c>
      <c r="K40" s="377">
        <v>0</v>
      </c>
      <c r="L40" s="376">
        <f t="shared" si="37"/>
        <v>0</v>
      </c>
      <c r="M40" s="376">
        <f t="shared" si="38"/>
        <v>0</v>
      </c>
      <c r="N40" s="146">
        <f t="shared" si="39"/>
        <v>0</v>
      </c>
      <c r="O40" s="533"/>
      <c r="P40" s="375">
        <v>0</v>
      </c>
      <c r="Q40" s="378">
        <v>0</v>
      </c>
      <c r="R40" s="9"/>
      <c r="S40" s="719" t="str">
        <f>+IF(MARZO!S40=0,"",MARZO!S40)</f>
        <v>1010200-6</v>
      </c>
      <c r="T40" s="693" t="str">
        <f>+IF(MARZO!T40=0,"",MARZO!T40)</f>
        <v>Certificación, Habilitación y Acreditación</v>
      </c>
      <c r="U40" s="27">
        <f>+ENERO!U40</f>
        <v>0</v>
      </c>
      <c r="V40" s="15">
        <f>MARZO!V40+ABRIL!AL40</f>
        <v>0</v>
      </c>
      <c r="W40" s="15">
        <f>MARZO!W40+ABRIL!AM40</f>
        <v>0</v>
      </c>
      <c r="X40" s="18">
        <f t="shared" si="40"/>
        <v>0</v>
      </c>
      <c r="Y40" s="19">
        <f>MARZO!AA40</f>
        <v>0</v>
      </c>
      <c r="Z40" s="377">
        <v>0</v>
      </c>
      <c r="AA40" s="18">
        <f t="shared" si="41"/>
        <v>0</v>
      </c>
      <c r="AB40" s="19">
        <f>MARZO!AD40</f>
        <v>0</v>
      </c>
      <c r="AC40" s="377">
        <v>0</v>
      </c>
      <c r="AD40" s="18">
        <f t="shared" si="42"/>
        <v>0</v>
      </c>
      <c r="AE40" s="19">
        <f>MARZO!AG40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+IF(MARZO!A41=0,"",MARZO!A41)</f>
        <v>1130104</v>
      </c>
      <c r="B41" s="653" t="str">
        <f>+IF(MARZO!B41=0,"",MARZO!B41)</f>
        <v>SUBSIDIO A LA OFERTA- ACTIVIDADES NO POS-S</v>
      </c>
      <c r="C41" s="375">
        <f>+ENERO!C41</f>
        <v>0</v>
      </c>
      <c r="D41" s="124">
        <f>MARZO!D41+ABRIL!P41</f>
        <v>0</v>
      </c>
      <c r="E41" s="124">
        <f>MARZO!E41+ABRIL!Q41</f>
        <v>0</v>
      </c>
      <c r="F41" s="124">
        <f t="shared" si="35"/>
        <v>0</v>
      </c>
      <c r="G41" s="124">
        <f>MARZO!I41</f>
        <v>0</v>
      </c>
      <c r="H41" s="377">
        <v>0</v>
      </c>
      <c r="I41" s="124">
        <f t="shared" si="36"/>
        <v>0</v>
      </c>
      <c r="J41" s="124">
        <f>MARZO!L41</f>
        <v>0</v>
      </c>
      <c r="K41" s="377">
        <v>0</v>
      </c>
      <c r="L41" s="124">
        <f t="shared" si="37"/>
        <v>0</v>
      </c>
      <c r="M41" s="124">
        <f t="shared" si="38"/>
        <v>0</v>
      </c>
      <c r="N41" s="133">
        <f t="shared" si="39"/>
        <v>0</v>
      </c>
      <c r="O41" s="385"/>
      <c r="P41" s="377">
        <v>0</v>
      </c>
      <c r="Q41" s="378">
        <v>0</v>
      </c>
      <c r="R41" s="9"/>
      <c r="S41" s="719">
        <f>+IF(MARZO!S41=0,"",MARZO!S41)</f>
        <v>1010299</v>
      </c>
      <c r="T41" s="693" t="str">
        <f>+IF(MARZO!T41=0,"",MARZO!T41)</f>
        <v>Vigencias Anteriores</v>
      </c>
      <c r="U41" s="27">
        <f>+ENERO!U41</f>
        <v>0</v>
      </c>
      <c r="V41" s="15">
        <f>MARZO!V41+ABRIL!AL41</f>
        <v>0</v>
      </c>
      <c r="W41" s="15">
        <f>MARZO!W41+ABRIL!AM41</f>
        <v>27070478</v>
      </c>
      <c r="X41" s="18">
        <f t="shared" si="40"/>
        <v>27070478</v>
      </c>
      <c r="Y41" s="19">
        <f>MARZO!AA41</f>
        <v>27070478</v>
      </c>
      <c r="Z41" s="377">
        <v>0</v>
      </c>
      <c r="AA41" s="18">
        <f t="shared" si="41"/>
        <v>27070478</v>
      </c>
      <c r="AB41" s="19">
        <f>MARZO!AD41</f>
        <v>27070478</v>
      </c>
      <c r="AC41" s="377">
        <v>0</v>
      </c>
      <c r="AD41" s="18">
        <f t="shared" si="42"/>
        <v>27070478</v>
      </c>
      <c r="AE41" s="19">
        <f>MARZO!AG41</f>
        <v>15840124</v>
      </c>
      <c r="AF41" s="377">
        <v>2430500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+IF(MARZO!A42=0,"",MARZO!A42)</f>
        <v>1130106</v>
      </c>
      <c r="B42" s="653" t="str">
        <f>+IF(MARZO!B42=0,"",MARZO!B42)</f>
        <v>SALUD PUBLICA - PLAN DE INTERVENCIONES COLECTIVAS</v>
      </c>
      <c r="C42" s="43">
        <f t="shared" ref="C42:N42" si="47">SUM(C43:C44)</f>
        <v>94000000</v>
      </c>
      <c r="D42" s="44">
        <f t="shared" si="47"/>
        <v>0</v>
      </c>
      <c r="E42" s="44">
        <f t="shared" si="47"/>
        <v>17280673</v>
      </c>
      <c r="F42" s="44">
        <f t="shared" si="47"/>
        <v>111280673</v>
      </c>
      <c r="G42" s="44">
        <f t="shared" si="47"/>
        <v>0</v>
      </c>
      <c r="H42" s="44">
        <f t="shared" si="47"/>
        <v>0</v>
      </c>
      <c r="I42" s="44">
        <f t="shared" si="47"/>
        <v>0</v>
      </c>
      <c r="J42" s="44">
        <f t="shared" si="47"/>
        <v>0</v>
      </c>
      <c r="K42" s="44">
        <f t="shared" si="47"/>
        <v>0</v>
      </c>
      <c r="L42" s="44">
        <f t="shared" si="47"/>
        <v>0</v>
      </c>
      <c r="M42" s="44">
        <f t="shared" si="47"/>
        <v>111280673</v>
      </c>
      <c r="N42" s="45">
        <f t="shared" si="47"/>
        <v>111280673</v>
      </c>
      <c r="P42" s="43">
        <f>SUM(P43:P44)</f>
        <v>0</v>
      </c>
      <c r="Q42" s="45">
        <f>SUM(Q43:Q44)</f>
        <v>0</v>
      </c>
      <c r="R42" s="9"/>
      <c r="S42" s="369" t="str">
        <f>+IF(MARZO!S42=0,"",MARZO!S42)</f>
        <v/>
      </c>
      <c r="T42" s="708" t="str">
        <f>+IF(MARZO!T42=0,"",MARZO!T42)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+IF(MARZO!A43=0,"",MARZO!A43)</f>
        <v>1130106-1</v>
      </c>
      <c r="B43" s="654" t="str">
        <f>+CONCATENATE("Vigencia ",INSTRUCCIONES!$F$3)</f>
        <v>Vigencia 2015</v>
      </c>
      <c r="C43" s="375">
        <f>+ENERO!C43</f>
        <v>94000000</v>
      </c>
      <c r="D43" s="376">
        <f>MARZO!D43+ABRIL!P43</f>
        <v>0</v>
      </c>
      <c r="E43" s="376">
        <f>MARZO!E43+ABRIL!Q43</f>
        <v>17280673</v>
      </c>
      <c r="F43" s="376">
        <f>SUM(C43:E43)</f>
        <v>111280673</v>
      </c>
      <c r="G43" s="376">
        <f>MARZO!I43</f>
        <v>0</v>
      </c>
      <c r="H43" s="377">
        <v>0</v>
      </c>
      <c r="I43" s="376">
        <f>SUM(G43:H43)</f>
        <v>0</v>
      </c>
      <c r="J43" s="376">
        <f>MARZO!L43</f>
        <v>0</v>
      </c>
      <c r="K43" s="377">
        <v>0</v>
      </c>
      <c r="L43" s="376">
        <f>SUM(J43:K43)</f>
        <v>0</v>
      </c>
      <c r="M43" s="376">
        <f>F43-I43</f>
        <v>111280673</v>
      </c>
      <c r="N43" s="146">
        <f>F43-L43</f>
        <v>111280673</v>
      </c>
      <c r="O43" s="385"/>
      <c r="P43" s="375">
        <v>0</v>
      </c>
      <c r="Q43" s="378">
        <v>0</v>
      </c>
      <c r="R43" s="9"/>
      <c r="S43" s="718">
        <f>+IF(MARZO!S43=0,"",MARZO!S43)</f>
        <v>1010300</v>
      </c>
      <c r="T43" s="692" t="str">
        <f>+IF(MARZO!T43=0,"",MARZO!T43)</f>
        <v>Contribuciones Inherentes nómina al Sector Privado</v>
      </c>
      <c r="U43" s="135">
        <f t="shared" ref="U43:AJ43" si="48">U44+U49+U55</f>
        <v>111328187</v>
      </c>
      <c r="V43" s="124">
        <f t="shared" si="48"/>
        <v>0</v>
      </c>
      <c r="W43" s="124">
        <f t="shared" si="48"/>
        <v>29964174</v>
      </c>
      <c r="X43" s="132">
        <f t="shared" si="48"/>
        <v>141292361</v>
      </c>
      <c r="Y43" s="131">
        <f t="shared" si="48"/>
        <v>49322081</v>
      </c>
      <c r="Z43" s="124">
        <f t="shared" si="48"/>
        <v>6699065</v>
      </c>
      <c r="AA43" s="132">
        <f t="shared" si="48"/>
        <v>56021146</v>
      </c>
      <c r="AB43" s="131">
        <f t="shared" si="48"/>
        <v>49322081</v>
      </c>
      <c r="AC43" s="124">
        <f t="shared" si="48"/>
        <v>6699065</v>
      </c>
      <c r="AD43" s="132">
        <f t="shared" si="48"/>
        <v>56021146</v>
      </c>
      <c r="AE43" s="131">
        <f t="shared" si="48"/>
        <v>48601067</v>
      </c>
      <c r="AF43" s="124">
        <f t="shared" si="48"/>
        <v>6174565</v>
      </c>
      <c r="AG43" s="132">
        <f t="shared" si="48"/>
        <v>54775632</v>
      </c>
      <c r="AH43" s="131">
        <f t="shared" si="48"/>
        <v>85271215</v>
      </c>
      <c r="AI43" s="124">
        <f t="shared" si="48"/>
        <v>85271215</v>
      </c>
      <c r="AJ43" s="133">
        <f t="shared" si="48"/>
        <v>86516729</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+IF(MARZO!A44=0,"",MARZO!A44)</f>
        <v>1130106-2</v>
      </c>
      <c r="B44" s="654" t="str">
        <f>+IF(MARZO!B44=0,"",MARZO!B44)</f>
        <v>Vigencia Anterior</v>
      </c>
      <c r="C44" s="375">
        <f>+ENERO!C44</f>
        <v>0</v>
      </c>
      <c r="D44" s="376">
        <f>MARZO!D44+ABRIL!P44</f>
        <v>0</v>
      </c>
      <c r="E44" s="376">
        <f>MARZO!E44+ABRIL!Q44</f>
        <v>0</v>
      </c>
      <c r="F44" s="376">
        <f>SUM(C44:E44)</f>
        <v>0</v>
      </c>
      <c r="G44" s="376">
        <f>MARZO!I44</f>
        <v>0</v>
      </c>
      <c r="H44" s="377">
        <v>0</v>
      </c>
      <c r="I44" s="376">
        <f>SUM(G44:H44)</f>
        <v>0</v>
      </c>
      <c r="J44" s="376">
        <f>MARZO!L44</f>
        <v>0</v>
      </c>
      <c r="K44" s="377">
        <v>0</v>
      </c>
      <c r="L44" s="376">
        <f>SUM(J44:K44)</f>
        <v>0</v>
      </c>
      <c r="M44" s="376">
        <f>F44-I44</f>
        <v>0</v>
      </c>
      <c r="N44" s="146">
        <f>F44-L44</f>
        <v>0</v>
      </c>
      <c r="O44" s="385"/>
      <c r="P44" s="375">
        <v>0</v>
      </c>
      <c r="Q44" s="378">
        <v>0</v>
      </c>
      <c r="R44" s="9"/>
      <c r="S44" s="719">
        <f>+IF(MARZO!S44=0,"",MARZO!S44)</f>
        <v>1010301</v>
      </c>
      <c r="T44" s="693" t="str">
        <f>+IF(MARZO!T44=0,"",MARZO!T44)</f>
        <v>Contribuciones - Sin Situación de Fondos</v>
      </c>
      <c r="U44" s="27">
        <f t="shared" ref="U44:AJ44" si="49">SUM(U45:U48)</f>
        <v>96536264</v>
      </c>
      <c r="V44" s="15">
        <f t="shared" si="49"/>
        <v>0</v>
      </c>
      <c r="W44" s="15">
        <f t="shared" si="49"/>
        <v>0</v>
      </c>
      <c r="X44" s="18">
        <f t="shared" si="49"/>
        <v>96536264</v>
      </c>
      <c r="Y44" s="19">
        <f t="shared" si="49"/>
        <v>16713407</v>
      </c>
      <c r="Z44" s="145">
        <f t="shared" si="49"/>
        <v>5646665</v>
      </c>
      <c r="AA44" s="18">
        <f t="shared" si="49"/>
        <v>22360072</v>
      </c>
      <c r="AB44" s="19">
        <f t="shared" si="49"/>
        <v>16713407</v>
      </c>
      <c r="AC44" s="145">
        <f t="shared" si="49"/>
        <v>5646665</v>
      </c>
      <c r="AD44" s="18">
        <f t="shared" si="49"/>
        <v>22360072</v>
      </c>
      <c r="AE44" s="19">
        <f t="shared" si="49"/>
        <v>16713407</v>
      </c>
      <c r="AF44" s="145">
        <f t="shared" si="49"/>
        <v>5646665</v>
      </c>
      <c r="AG44" s="18">
        <f t="shared" si="49"/>
        <v>22360072</v>
      </c>
      <c r="AH44" s="19">
        <f t="shared" si="49"/>
        <v>74176192</v>
      </c>
      <c r="AI44" s="15">
        <f t="shared" si="49"/>
        <v>74176192</v>
      </c>
      <c r="AJ44" s="16">
        <f t="shared" si="49"/>
        <v>74176192</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+IF(MARZO!A45=0,"",MARZO!A45)</f>
        <v>1130107</v>
      </c>
      <c r="B45" s="653" t="str">
        <f>+IF(MARZO!B45=0,"",MARZO!B45)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+IF(MARZO!S45=0,"",MARZO!S45)</f>
        <v>1010301-1</v>
      </c>
      <c r="T45" s="694" t="str">
        <f>+IF(MARZO!T45=0,"",MARZO!T45)</f>
        <v>Aportes a E.P.S.- Sin sit. Fondos</v>
      </c>
      <c r="U45" s="27">
        <f>+ENERO!U45</f>
        <v>26843256</v>
      </c>
      <c r="V45" s="15">
        <f>MARZO!V45+ABRIL!AL45</f>
        <v>0</v>
      </c>
      <c r="W45" s="15">
        <f>MARZO!W45+ABRIL!AM45</f>
        <v>0</v>
      </c>
      <c r="X45" s="18">
        <f>SUM(U45:W45)</f>
        <v>26843256</v>
      </c>
      <c r="Y45" s="19">
        <f>MARZO!AA45</f>
        <v>6767212</v>
      </c>
      <c r="Z45" s="377">
        <v>2287340</v>
      </c>
      <c r="AA45" s="18">
        <f>SUM(Y45:Z45)</f>
        <v>9054552</v>
      </c>
      <c r="AB45" s="19">
        <f>MARZO!AD45</f>
        <v>6767212</v>
      </c>
      <c r="AC45" s="377">
        <v>2287340</v>
      </c>
      <c r="AD45" s="18">
        <f>SUM(AB45:AC45)</f>
        <v>9054552</v>
      </c>
      <c r="AE45" s="19">
        <f>MARZO!AG45</f>
        <v>6767212</v>
      </c>
      <c r="AF45" s="377">
        <v>2287340</v>
      </c>
      <c r="AG45" s="18">
        <f>SUM(AE45:AF45)</f>
        <v>9054552</v>
      </c>
      <c r="AH45" s="19">
        <f>X45-AA45</f>
        <v>17788704</v>
      </c>
      <c r="AI45" s="15">
        <f>X45-AD45</f>
        <v>17788704</v>
      </c>
      <c r="AJ45" s="16">
        <f>X45-AG45</f>
        <v>17788704</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+IF(MARZO!A46=0,"",MARZO!A46)</f>
        <v>1130107-1</v>
      </c>
      <c r="B46" s="654" t="str">
        <f>+CONCATENATE("Vigencia ",INSTRUCCIONES!$F$3)</f>
        <v>Vigencia 2015</v>
      </c>
      <c r="C46" s="375">
        <f>+ENERO!C46</f>
        <v>0</v>
      </c>
      <c r="D46" s="376">
        <f>MARZO!D46+ABRIL!P46</f>
        <v>0</v>
      </c>
      <c r="E46" s="376">
        <f>MARZO!E46+ABRIL!Q46</f>
        <v>0</v>
      </c>
      <c r="F46" s="376">
        <f>SUM(C46:E46)</f>
        <v>0</v>
      </c>
      <c r="G46" s="376">
        <f>MARZO!I46</f>
        <v>0</v>
      </c>
      <c r="H46" s="377">
        <v>0</v>
      </c>
      <c r="I46" s="376">
        <f>SUM(G46:H46)</f>
        <v>0</v>
      </c>
      <c r="J46" s="376">
        <f>MARZO!L46</f>
        <v>0</v>
      </c>
      <c r="K46" s="377">
        <v>0</v>
      </c>
      <c r="L46" s="376">
        <f>SUM(J46:K46)</f>
        <v>0</v>
      </c>
      <c r="M46" s="376">
        <f>F46-I46</f>
        <v>0</v>
      </c>
      <c r="N46" s="146">
        <f>F46-L46</f>
        <v>0</v>
      </c>
      <c r="O46" s="385"/>
      <c r="P46" s="375">
        <v>0</v>
      </c>
      <c r="Q46" s="378">
        <v>0</v>
      </c>
      <c r="R46" s="9"/>
      <c r="S46" s="720" t="str">
        <f>+IF(MARZO!S46=0,"",MARZO!S46)</f>
        <v>1010301-2</v>
      </c>
      <c r="T46" s="694" t="str">
        <f>+IF(MARZO!T46=0,"",MARZO!T46)</f>
        <v>Aportes Fondos Pensionales - Sin Sit. Fondos</v>
      </c>
      <c r="U46" s="27">
        <f>+ENERO!U46</f>
        <v>37896396</v>
      </c>
      <c r="V46" s="15">
        <f>MARZO!V46+ABRIL!AL46</f>
        <v>0</v>
      </c>
      <c r="W46" s="15">
        <f>MARZO!W46+ABRIL!AM46</f>
        <v>0</v>
      </c>
      <c r="X46" s="18">
        <f>SUM(U46:W46)</f>
        <v>37896396</v>
      </c>
      <c r="Y46" s="19">
        <f>MARZO!AA46</f>
        <v>9553712</v>
      </c>
      <c r="Z46" s="377">
        <v>3229186</v>
      </c>
      <c r="AA46" s="18">
        <f>SUM(Y46:Z46)</f>
        <v>12782898</v>
      </c>
      <c r="AB46" s="19">
        <f>MARZO!AD46</f>
        <v>9553712</v>
      </c>
      <c r="AC46" s="377">
        <v>3229186</v>
      </c>
      <c r="AD46" s="18">
        <f>SUM(AB46:AC46)</f>
        <v>12782898</v>
      </c>
      <c r="AE46" s="19">
        <f>MARZO!AG46</f>
        <v>9553712</v>
      </c>
      <c r="AF46" s="377">
        <v>3229186</v>
      </c>
      <c r="AG46" s="18">
        <f>SUM(AE46:AF46)</f>
        <v>12782898</v>
      </c>
      <c r="AH46" s="19">
        <f>X46-AA46</f>
        <v>25113498</v>
      </c>
      <c r="AI46" s="15">
        <f>X46-AD46</f>
        <v>25113498</v>
      </c>
      <c r="AJ46" s="16">
        <f>X46-AG46</f>
        <v>25113498</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+IF(MARZO!A47=0,"",MARZO!A47)</f>
        <v>1130107-2</v>
      </c>
      <c r="B47" s="654" t="str">
        <f>+IF(MARZO!B47=0,"",MARZO!B47)</f>
        <v>Vigencia Anterior</v>
      </c>
      <c r="C47" s="375">
        <f>+ENERO!C47</f>
        <v>0</v>
      </c>
      <c r="D47" s="376">
        <f>MARZO!D47+ABRIL!P47</f>
        <v>0</v>
      </c>
      <c r="E47" s="376">
        <f>MARZO!E47+ABRIL!Q47</f>
        <v>0</v>
      </c>
      <c r="F47" s="376">
        <f>SUM(C47:E47)</f>
        <v>0</v>
      </c>
      <c r="G47" s="376">
        <f>MARZO!I47</f>
        <v>0</v>
      </c>
      <c r="H47" s="377">
        <v>0</v>
      </c>
      <c r="I47" s="376">
        <f>SUM(G47:H47)</f>
        <v>0</v>
      </c>
      <c r="J47" s="376">
        <f>MARZO!L47</f>
        <v>0</v>
      </c>
      <c r="K47" s="377">
        <v>0</v>
      </c>
      <c r="L47" s="376">
        <f>SUM(J47:K47)</f>
        <v>0</v>
      </c>
      <c r="M47" s="376">
        <f>F47-I47</f>
        <v>0</v>
      </c>
      <c r="N47" s="146">
        <f>F47-L47</f>
        <v>0</v>
      </c>
      <c r="O47" s="385"/>
      <c r="P47" s="375">
        <v>0</v>
      </c>
      <c r="Q47" s="378">
        <v>0</v>
      </c>
      <c r="R47" s="9"/>
      <c r="S47" s="720" t="str">
        <f>+IF(MARZO!S47=0,"",MARZO!S47)</f>
        <v>1010301-3</v>
      </c>
      <c r="T47" s="694" t="str">
        <f>+IF(MARZO!T47=0,"",MARZO!T47)</f>
        <v xml:space="preserve">Aportes a Fondos de Cesantia - Sin Sit. de Fondos </v>
      </c>
      <c r="U47" s="27">
        <f>+ENERO!U47</f>
        <v>30148119</v>
      </c>
      <c r="V47" s="15">
        <f>MARZO!V47+ABRIL!AL47</f>
        <v>0</v>
      </c>
      <c r="W47" s="15">
        <f>MARZO!W47+ABRIL!AM47</f>
        <v>0</v>
      </c>
      <c r="X47" s="18">
        <f>SUM(U47:W47)</f>
        <v>30148119</v>
      </c>
      <c r="Y47" s="19">
        <f>MARZO!AA47</f>
        <v>0</v>
      </c>
      <c r="Z47" s="377">
        <v>0</v>
      </c>
      <c r="AA47" s="18">
        <f>SUM(Y47:Z47)</f>
        <v>0</v>
      </c>
      <c r="AB47" s="19">
        <f>MARZO!AD47</f>
        <v>0</v>
      </c>
      <c r="AC47" s="377">
        <v>0</v>
      </c>
      <c r="AD47" s="18">
        <f>SUM(AB47:AC47)</f>
        <v>0</v>
      </c>
      <c r="AE47" s="19">
        <f>MARZO!AG47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+IF(MARZO!A48=0,"",MARZO!A48)</f>
        <v>1130108</v>
      </c>
      <c r="B48" s="653" t="str">
        <f>+IF(MARZO!B48=0,"",MARZO!B48)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+IF(MARZO!S48=0,"",MARZO!S48)</f>
        <v>1010301-4</v>
      </c>
      <c r="T48" s="694" t="str">
        <f>+IF(MARZO!T48=0,"",MARZO!T48)</f>
        <v xml:space="preserve">Aporte a ARL. - Sin Sit. de Fondos </v>
      </c>
      <c r="U48" s="27">
        <f>+ENERO!U48</f>
        <v>1648493</v>
      </c>
      <c r="V48" s="15">
        <f>MARZO!V48+ABRIL!AL48</f>
        <v>0</v>
      </c>
      <c r="W48" s="15">
        <f>MARZO!W48+ABRIL!AM48</f>
        <v>0</v>
      </c>
      <c r="X48" s="18">
        <f>SUM(U48:W48)</f>
        <v>1648493</v>
      </c>
      <c r="Y48" s="19">
        <f>MARZO!AA48</f>
        <v>392483</v>
      </c>
      <c r="Z48" s="377">
        <v>130139</v>
      </c>
      <c r="AA48" s="18">
        <f>SUM(Y48:Z48)</f>
        <v>522622</v>
      </c>
      <c r="AB48" s="19">
        <f>MARZO!AD48</f>
        <v>392483</v>
      </c>
      <c r="AC48" s="377">
        <v>130139</v>
      </c>
      <c r="AD48" s="18">
        <f>SUM(AB48:AC48)</f>
        <v>522622</v>
      </c>
      <c r="AE48" s="19">
        <f>MARZO!AG48</f>
        <v>392483</v>
      </c>
      <c r="AF48" s="377">
        <v>130139</v>
      </c>
      <c r="AG48" s="18">
        <f>SUM(AE48:AF48)</f>
        <v>522622</v>
      </c>
      <c r="AH48" s="19">
        <f>X48-AA48</f>
        <v>1125871</v>
      </c>
      <c r="AI48" s="15">
        <f>X48-AD48</f>
        <v>1125871</v>
      </c>
      <c r="AJ48" s="16">
        <f>X48-AG48</f>
        <v>1125871</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+IF(MARZO!A49=0,"",MARZO!A49)</f>
        <v>1130108-1</v>
      </c>
      <c r="B49" s="654" t="str">
        <f>+CONCATENATE("Vigencia ",INSTRUCCIONES!$F$3)</f>
        <v>Vigencia 2015</v>
      </c>
      <c r="C49" s="375">
        <f>+ENERO!C49</f>
        <v>0</v>
      </c>
      <c r="D49" s="376">
        <f>MARZO!D49+ABRIL!P49</f>
        <v>0</v>
      </c>
      <c r="E49" s="376">
        <f>MARZO!E49+ABRIL!Q49</f>
        <v>0</v>
      </c>
      <c r="F49" s="376">
        <f>SUM(C49:E49)</f>
        <v>0</v>
      </c>
      <c r="G49" s="376">
        <f>MARZO!I49</f>
        <v>0</v>
      </c>
      <c r="H49" s="377">
        <v>0</v>
      </c>
      <c r="I49" s="376">
        <f>SUM(G49:H49)</f>
        <v>0</v>
      </c>
      <c r="J49" s="376">
        <f>MARZO!L49</f>
        <v>0</v>
      </c>
      <c r="K49" s="377">
        <v>0</v>
      </c>
      <c r="L49" s="376">
        <f>SUM(J49:K49)</f>
        <v>0</v>
      </c>
      <c r="M49" s="376">
        <f>F49-I49</f>
        <v>0</v>
      </c>
      <c r="N49" s="146">
        <f>F49-L49</f>
        <v>0</v>
      </c>
      <c r="O49" s="385"/>
      <c r="P49" s="375">
        <v>0</v>
      </c>
      <c r="Q49" s="378">
        <v>0</v>
      </c>
      <c r="R49" s="9"/>
      <c r="S49" s="719">
        <f>+IF(MARZO!S49=0,"",MARZO!S49)</f>
        <v>1010302</v>
      </c>
      <c r="T49" s="693" t="str">
        <f>+IF(MARZO!T49=0,"",MARZO!T49)</f>
        <v>Contribuciones - Otros</v>
      </c>
      <c r="U49" s="27">
        <f t="shared" ref="U49:AJ49" si="52">SUM(U50:U54)</f>
        <v>14791923</v>
      </c>
      <c r="V49" s="15">
        <f t="shared" si="52"/>
        <v>0</v>
      </c>
      <c r="W49" s="15">
        <f t="shared" si="52"/>
        <v>0</v>
      </c>
      <c r="X49" s="18">
        <f t="shared" si="52"/>
        <v>14791923</v>
      </c>
      <c r="Y49" s="19">
        <f t="shared" si="52"/>
        <v>2644500</v>
      </c>
      <c r="Z49" s="145">
        <f t="shared" si="52"/>
        <v>1052400</v>
      </c>
      <c r="AA49" s="18">
        <f t="shared" si="52"/>
        <v>3696900</v>
      </c>
      <c r="AB49" s="19">
        <f t="shared" si="52"/>
        <v>2644500</v>
      </c>
      <c r="AC49" s="145">
        <f t="shared" si="52"/>
        <v>1052400</v>
      </c>
      <c r="AD49" s="18">
        <f t="shared" si="52"/>
        <v>3696900</v>
      </c>
      <c r="AE49" s="19">
        <f t="shared" si="52"/>
        <v>2116600</v>
      </c>
      <c r="AF49" s="145">
        <f t="shared" si="52"/>
        <v>527900</v>
      </c>
      <c r="AG49" s="18">
        <f t="shared" si="52"/>
        <v>2644500</v>
      </c>
      <c r="AH49" s="19">
        <f t="shared" si="52"/>
        <v>11095023</v>
      </c>
      <c r="AI49" s="15">
        <f t="shared" si="52"/>
        <v>11095023</v>
      </c>
      <c r="AJ49" s="16">
        <f t="shared" si="52"/>
        <v>12147423</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+IF(MARZO!A50=0,"",MARZO!A50)</f>
        <v>1130108-2</v>
      </c>
      <c r="B50" s="654" t="str">
        <f>+IF(MARZO!B50=0,"",MARZO!B50)</f>
        <v>Vigencia Anterior</v>
      </c>
      <c r="C50" s="375">
        <f>+ENERO!C50</f>
        <v>0</v>
      </c>
      <c r="D50" s="376">
        <f>MARZO!D50+ABRIL!P50</f>
        <v>0</v>
      </c>
      <c r="E50" s="376">
        <f>MARZO!E50+ABRIL!Q50</f>
        <v>0</v>
      </c>
      <c r="F50" s="376">
        <f>SUM(C50:E50)</f>
        <v>0</v>
      </c>
      <c r="G50" s="376">
        <f>MARZO!I50</f>
        <v>0</v>
      </c>
      <c r="H50" s="377">
        <v>0</v>
      </c>
      <c r="I50" s="376">
        <f>SUM(G50:H50)</f>
        <v>0</v>
      </c>
      <c r="J50" s="376">
        <f>MARZO!L50</f>
        <v>0</v>
      </c>
      <c r="K50" s="377">
        <v>0</v>
      </c>
      <c r="L50" s="376">
        <f>SUM(J50:K50)</f>
        <v>0</v>
      </c>
      <c r="M50" s="376">
        <f>F50-I50</f>
        <v>0</v>
      </c>
      <c r="N50" s="146">
        <f>F50-L50</f>
        <v>0</v>
      </c>
      <c r="O50" s="385"/>
      <c r="P50" s="375">
        <v>0</v>
      </c>
      <c r="Q50" s="378">
        <v>0</v>
      </c>
      <c r="R50" s="9"/>
      <c r="S50" s="720" t="str">
        <f>+IF(MARZO!S50=0,"",MARZO!S50)</f>
        <v>1010302-1</v>
      </c>
      <c r="T50" s="694" t="str">
        <f>+IF(MARZO!T50=0,"",MARZO!T50)</f>
        <v>Aportes a E.P.S.- Con sit. Fondos</v>
      </c>
      <c r="U50" s="27">
        <f>+ENERO!U50</f>
        <v>0</v>
      </c>
      <c r="V50" s="15">
        <f>MARZO!V50+ABRIL!AL50</f>
        <v>0</v>
      </c>
      <c r="W50" s="15">
        <f>MARZO!W50+ABRIL!AM50</f>
        <v>0</v>
      </c>
      <c r="X50" s="18">
        <f t="shared" ref="X50:X55" si="53">SUM(U50:W50)</f>
        <v>0</v>
      </c>
      <c r="Y50" s="19">
        <f>MARZO!AA50</f>
        <v>0</v>
      </c>
      <c r="Z50" s="377">
        <v>0</v>
      </c>
      <c r="AA50" s="18">
        <f t="shared" ref="AA50:AA55" si="54">SUM(Y50:Z50)</f>
        <v>0</v>
      </c>
      <c r="AB50" s="19">
        <f>MARZO!AD50</f>
        <v>0</v>
      </c>
      <c r="AC50" s="377">
        <v>0</v>
      </c>
      <c r="AD50" s="18">
        <f t="shared" ref="AD50:AD55" si="55">SUM(AB50:AC50)</f>
        <v>0</v>
      </c>
      <c r="AE50" s="19">
        <f>MARZO!AG50</f>
        <v>0</v>
      </c>
      <c r="AF50" s="377">
        <v>0</v>
      </c>
      <c r="AG50" s="18">
        <f t="shared" ref="AG50:AG55" si="56">SUM(AE50:AF50)</f>
        <v>0</v>
      </c>
      <c r="AH50" s="19">
        <f t="shared" ref="AH50:AH55" si="57">X50-AA50</f>
        <v>0</v>
      </c>
      <c r="AI50" s="15">
        <f t="shared" ref="AI50:AI55" si="58">X50-AD50</f>
        <v>0</v>
      </c>
      <c r="AJ50" s="16">
        <f t="shared" ref="AJ50:AJ55" si="59">X50-AG50</f>
        <v>0</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+IF(MARZO!A51=0,"",MARZO!A51)</f>
        <v>1130109</v>
      </c>
      <c r="B51" s="653" t="str">
        <f>+IF(MARZO!B51=0,"",MARZO!B51)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94" t="str">
        <f>+IF(MARZO!S51=0,"",MARZO!S51)</f>
        <v>1010302-2</v>
      </c>
      <c r="T51" s="795" t="str">
        <f>+IF(MARZO!T51=0,"",MARZO!T51)</f>
        <v>Aportes Fondos Pensionales - Con Sit. Fondos</v>
      </c>
      <c r="U51" s="27">
        <f>+ENERO!U51</f>
        <v>0</v>
      </c>
      <c r="V51" s="15">
        <f>MARZO!V51+ABRIL!AL51</f>
        <v>0</v>
      </c>
      <c r="W51" s="15">
        <f>MARZO!W51+ABRIL!AM51</f>
        <v>0</v>
      </c>
      <c r="X51" s="18">
        <f t="shared" si="53"/>
        <v>0</v>
      </c>
      <c r="Y51" s="19">
        <f>MARZO!AA51</f>
        <v>0</v>
      </c>
      <c r="Z51" s="377">
        <v>0</v>
      </c>
      <c r="AA51" s="18">
        <f t="shared" si="54"/>
        <v>0</v>
      </c>
      <c r="AB51" s="19">
        <f>MARZO!AD51</f>
        <v>0</v>
      </c>
      <c r="AC51" s="377">
        <v>0</v>
      </c>
      <c r="AD51" s="18">
        <f t="shared" si="55"/>
        <v>0</v>
      </c>
      <c r="AE51" s="19">
        <f>MARZO!AG51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+IF(MARZO!A52=0,"",MARZO!A52)</f>
        <v>1130109-1</v>
      </c>
      <c r="B52" s="654" t="str">
        <f>+CONCATENATE("Vigencia ",INSTRUCCIONES!$F$3)</f>
        <v>Vigencia 2015</v>
      </c>
      <c r="C52" s="375">
        <f>+ENERO!C52</f>
        <v>0</v>
      </c>
      <c r="D52" s="376">
        <f>MARZO!D52+ABRIL!P52</f>
        <v>0</v>
      </c>
      <c r="E52" s="376">
        <f>MARZO!E52+ABRIL!Q52</f>
        <v>0</v>
      </c>
      <c r="F52" s="376">
        <f>SUM(C52:E52)</f>
        <v>0</v>
      </c>
      <c r="G52" s="376">
        <f>MARZO!I52</f>
        <v>0</v>
      </c>
      <c r="H52" s="377">
        <v>0</v>
      </c>
      <c r="I52" s="376">
        <f>SUM(G52:H52)</f>
        <v>0</v>
      </c>
      <c r="J52" s="376">
        <f>MARZO!L52</f>
        <v>0</v>
      </c>
      <c r="K52" s="377">
        <v>0</v>
      </c>
      <c r="L52" s="376">
        <f>SUM(J52:K52)</f>
        <v>0</v>
      </c>
      <c r="M52" s="376">
        <f>F52-I52</f>
        <v>0</v>
      </c>
      <c r="N52" s="146">
        <f>F52-L52</f>
        <v>0</v>
      </c>
      <c r="O52" s="385"/>
      <c r="P52" s="375">
        <v>0</v>
      </c>
      <c r="Q52" s="378">
        <v>0</v>
      </c>
      <c r="R52" s="9"/>
      <c r="S52" s="796" t="str">
        <f>+IF(MARZO!S52=0,"",MARZO!S52)</f>
        <v>1010302-3</v>
      </c>
      <c r="T52" s="797" t="str">
        <f>+IF(MARZO!T52=0,"",MARZO!T52)</f>
        <v xml:space="preserve">Aportes a Fondos de Cesantia - Con Sit. de Fondos </v>
      </c>
      <c r="U52" s="27">
        <f>+ENERO!U52</f>
        <v>0</v>
      </c>
      <c r="V52" s="15">
        <f>MARZO!V52+ABRIL!AL52</f>
        <v>0</v>
      </c>
      <c r="W52" s="15">
        <f>MARZO!W52+ABRIL!AM52</f>
        <v>0</v>
      </c>
      <c r="X52" s="18">
        <f t="shared" si="53"/>
        <v>0</v>
      </c>
      <c r="Y52" s="19">
        <f>MARZO!AA52</f>
        <v>0</v>
      </c>
      <c r="Z52" s="377">
        <v>0</v>
      </c>
      <c r="AA52" s="18">
        <f t="shared" si="54"/>
        <v>0</v>
      </c>
      <c r="AB52" s="19">
        <f>MARZO!AD52</f>
        <v>0</v>
      </c>
      <c r="AC52" s="377">
        <v>0</v>
      </c>
      <c r="AD52" s="18">
        <f t="shared" si="55"/>
        <v>0</v>
      </c>
      <c r="AE52" s="19">
        <f>MARZO!AG52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+IF(MARZO!A53=0,"",MARZO!A53)</f>
        <v>1130109-2</v>
      </c>
      <c r="B53" s="654" t="str">
        <f>+IF(MARZO!B53=0,"",MARZO!B53)</f>
        <v>Vigencia Anterior</v>
      </c>
      <c r="C53" s="375">
        <f>+ENERO!C53</f>
        <v>0</v>
      </c>
      <c r="D53" s="376">
        <f>MARZO!D53+ABRIL!P53</f>
        <v>0</v>
      </c>
      <c r="E53" s="376">
        <f>MARZO!E53+ABRIL!Q53</f>
        <v>0</v>
      </c>
      <c r="F53" s="376">
        <f>SUM(C53:E53)</f>
        <v>0</v>
      </c>
      <c r="G53" s="376">
        <f>MARZO!I53</f>
        <v>0</v>
      </c>
      <c r="H53" s="377">
        <v>0</v>
      </c>
      <c r="I53" s="376">
        <f>SUM(G53:H53)</f>
        <v>0</v>
      </c>
      <c r="J53" s="376">
        <f>MARZO!L53</f>
        <v>0</v>
      </c>
      <c r="K53" s="377">
        <v>0</v>
      </c>
      <c r="L53" s="376">
        <f>SUM(J53:K53)</f>
        <v>0</v>
      </c>
      <c r="M53" s="376">
        <f>F53-I53</f>
        <v>0</v>
      </c>
      <c r="N53" s="146">
        <f>F53-L53</f>
        <v>0</v>
      </c>
      <c r="O53" s="385"/>
      <c r="P53" s="375">
        <v>0</v>
      </c>
      <c r="Q53" s="378">
        <v>0</v>
      </c>
      <c r="R53" s="9"/>
      <c r="S53" s="720" t="str">
        <f>+IF(MARZO!S53=0,"",MARZO!S53)</f>
        <v>1010302-4</v>
      </c>
      <c r="T53" s="694" t="str">
        <f>+IF(MARZO!T53=0,"",MARZO!T53)</f>
        <v>Aporte a ARL. - Con Sit. de Fondos</v>
      </c>
      <c r="U53" s="27">
        <f>+ENERO!U53</f>
        <v>0</v>
      </c>
      <c r="V53" s="15">
        <f>MARZO!V53+ABRIL!AL53</f>
        <v>0</v>
      </c>
      <c r="W53" s="15">
        <f>MARZO!W53+ABRIL!AM53</f>
        <v>0</v>
      </c>
      <c r="X53" s="18">
        <f t="shared" si="53"/>
        <v>0</v>
      </c>
      <c r="Y53" s="19">
        <f>MARZO!AA53</f>
        <v>0</v>
      </c>
      <c r="Z53" s="377">
        <v>0</v>
      </c>
      <c r="AA53" s="18">
        <f t="shared" si="54"/>
        <v>0</v>
      </c>
      <c r="AB53" s="19">
        <f>MARZO!AD53</f>
        <v>0</v>
      </c>
      <c r="AC53" s="377">
        <v>0</v>
      </c>
      <c r="AD53" s="18">
        <f t="shared" si="55"/>
        <v>0</v>
      </c>
      <c r="AE53" s="19">
        <f>MARZO!AG53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+IF(MARZO!A54=0,"",MARZO!A54)</f>
        <v>1130110</v>
      </c>
      <c r="B54" s="653" t="str">
        <f>+IF(MARZO!B54=0,"",MARZO!B54)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+IF(MARZO!S54=0,"",MARZO!S54)</f>
        <v>1010302-5</v>
      </c>
      <c r="T54" s="694" t="str">
        <f>+IF(MARZO!T54=0,"",MARZO!T54)</f>
        <v>Aporte a Caja Compensación Familiar</v>
      </c>
      <c r="U54" s="27">
        <f>+ENERO!U54</f>
        <v>14791923</v>
      </c>
      <c r="V54" s="15">
        <f>MARZO!V54+ABRIL!AL54</f>
        <v>0</v>
      </c>
      <c r="W54" s="15">
        <f>MARZO!W54+ABRIL!AM54</f>
        <v>0</v>
      </c>
      <c r="X54" s="18">
        <f t="shared" si="53"/>
        <v>14791923</v>
      </c>
      <c r="Y54" s="19">
        <f>MARZO!AA54</f>
        <v>2644500</v>
      </c>
      <c r="Z54" s="377">
        <v>1052400</v>
      </c>
      <c r="AA54" s="18">
        <f t="shared" si="54"/>
        <v>3696900</v>
      </c>
      <c r="AB54" s="19">
        <f>MARZO!AD54</f>
        <v>2644500</v>
      </c>
      <c r="AC54" s="377">
        <v>1052400</v>
      </c>
      <c r="AD54" s="18">
        <f t="shared" si="55"/>
        <v>3696900</v>
      </c>
      <c r="AE54" s="19">
        <f>MARZO!AG54</f>
        <v>2116600</v>
      </c>
      <c r="AF54" s="377">
        <v>527900</v>
      </c>
      <c r="AG54" s="18">
        <f t="shared" si="56"/>
        <v>2644500</v>
      </c>
      <c r="AH54" s="19">
        <f t="shared" si="57"/>
        <v>11095023</v>
      </c>
      <c r="AI54" s="15">
        <f t="shared" si="58"/>
        <v>11095023</v>
      </c>
      <c r="AJ54" s="16">
        <f t="shared" si="59"/>
        <v>12147423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+IF(MARZO!A55=0,"",MARZO!A55)</f>
        <v>1130110-1</v>
      </c>
      <c r="B55" s="654" t="str">
        <f>+CONCATENATE("Vigencia ",INSTRUCCIONES!$F$3)</f>
        <v>Vigencia 2015</v>
      </c>
      <c r="C55" s="375">
        <f>+ENERO!C55</f>
        <v>0</v>
      </c>
      <c r="D55" s="376">
        <f>MARZO!D55+ABRIL!P55</f>
        <v>0</v>
      </c>
      <c r="E55" s="376">
        <f>MARZO!E55+ABRIL!Q55</f>
        <v>0</v>
      </c>
      <c r="F55" s="376">
        <f>SUM(C55:E55)</f>
        <v>0</v>
      </c>
      <c r="G55" s="376">
        <f>MARZO!I55</f>
        <v>0</v>
      </c>
      <c r="H55" s="377">
        <v>0</v>
      </c>
      <c r="I55" s="376">
        <f>SUM(G55:H55)</f>
        <v>0</v>
      </c>
      <c r="J55" s="376">
        <f>MARZO!L55</f>
        <v>0</v>
      </c>
      <c r="K55" s="377">
        <v>0</v>
      </c>
      <c r="L55" s="376">
        <f>SUM(J55:K55)</f>
        <v>0</v>
      </c>
      <c r="M55" s="376">
        <f>F55-I55</f>
        <v>0</v>
      </c>
      <c r="N55" s="146">
        <f>F55-L55</f>
        <v>0</v>
      </c>
      <c r="O55" s="385"/>
      <c r="P55" s="375">
        <v>0</v>
      </c>
      <c r="Q55" s="378">
        <v>0</v>
      </c>
      <c r="R55" s="9"/>
      <c r="S55" s="719">
        <f>+IF(MARZO!S55=0,"",MARZO!S55)</f>
        <v>1010399</v>
      </c>
      <c r="T55" s="693" t="str">
        <f>+IF(MARZO!T55=0,"",MARZO!T55)</f>
        <v>Vigencias Anteriores</v>
      </c>
      <c r="U55" s="27">
        <f>+ENERO!U55</f>
        <v>0</v>
      </c>
      <c r="V55" s="15">
        <f>MARZO!V55+ABRIL!AL55</f>
        <v>0</v>
      </c>
      <c r="W55" s="15">
        <f>MARZO!W55+ABRIL!AM55</f>
        <v>29964174</v>
      </c>
      <c r="X55" s="18">
        <f t="shared" si="53"/>
        <v>29964174</v>
      </c>
      <c r="Y55" s="19">
        <f>MARZO!AA55</f>
        <v>29964174</v>
      </c>
      <c r="Z55" s="377">
        <v>0</v>
      </c>
      <c r="AA55" s="18">
        <f t="shared" si="54"/>
        <v>29964174</v>
      </c>
      <c r="AB55" s="19">
        <f>MARZO!AD55</f>
        <v>29964174</v>
      </c>
      <c r="AC55" s="377">
        <v>0</v>
      </c>
      <c r="AD55" s="18">
        <f t="shared" si="55"/>
        <v>29964174</v>
      </c>
      <c r="AE55" s="19">
        <f>MARZO!AG55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+IF(MARZO!A56=0,"",MARZO!A56)</f>
        <v>1130110-2</v>
      </c>
      <c r="B56" s="654" t="str">
        <f>+IF(MARZO!B56=0,"",MARZO!B56)</f>
        <v>Vigencia Anterior</v>
      </c>
      <c r="C56" s="375">
        <f>+ENERO!C56</f>
        <v>0</v>
      </c>
      <c r="D56" s="376">
        <f>MARZO!D56+ABRIL!P56</f>
        <v>0</v>
      </c>
      <c r="E56" s="376">
        <f>MARZO!E56+ABRIL!Q56</f>
        <v>0</v>
      </c>
      <c r="F56" s="376">
        <f>SUM(C56:E56)</f>
        <v>0</v>
      </c>
      <c r="G56" s="376">
        <f>MARZO!I56</f>
        <v>0</v>
      </c>
      <c r="H56" s="377">
        <v>0</v>
      </c>
      <c r="I56" s="376">
        <f>SUM(G56:H56)</f>
        <v>0</v>
      </c>
      <c r="J56" s="376">
        <f>MARZO!L56</f>
        <v>0</v>
      </c>
      <c r="K56" s="377">
        <v>0</v>
      </c>
      <c r="L56" s="376">
        <f>SUM(J56:K56)</f>
        <v>0</v>
      </c>
      <c r="M56" s="376">
        <f>F56-I56</f>
        <v>0</v>
      </c>
      <c r="N56" s="146">
        <f>F56-L56</f>
        <v>0</v>
      </c>
      <c r="O56" s="385"/>
      <c r="P56" s="375">
        <v>0</v>
      </c>
      <c r="Q56" s="378">
        <v>0</v>
      </c>
      <c r="R56" s="9"/>
      <c r="S56" s="369" t="str">
        <f>+IF(MARZO!S56=0,"",MARZO!S56)</f>
        <v/>
      </c>
      <c r="T56" s="708" t="str">
        <f>+IF(MARZO!T56=0,"",MARZO!T56)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+IF(MARZO!A57=0,"",MARZO!A57)</f>
        <v>1130111</v>
      </c>
      <c r="B57" s="653" t="str">
        <f>+IF(MARZO!B57=0,"",MARZO!B57)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+IF(MARZO!S57=0,"",MARZO!S57)</f>
        <v>1010400</v>
      </c>
      <c r="T57" s="692" t="str">
        <f>+IF(MARZO!T57=0,"",MARZO!T57)</f>
        <v>Contribuciones Inherentes nómina del Sector Publico</v>
      </c>
      <c r="U57" s="135">
        <f t="shared" ref="U57:AJ57" si="63">U58+U61</f>
        <v>18489903</v>
      </c>
      <c r="V57" s="124">
        <f t="shared" si="63"/>
        <v>0</v>
      </c>
      <c r="W57" s="124">
        <f t="shared" si="63"/>
        <v>1280600</v>
      </c>
      <c r="X57" s="132">
        <f t="shared" si="63"/>
        <v>19770503</v>
      </c>
      <c r="Y57" s="131">
        <f t="shared" si="63"/>
        <v>5757000</v>
      </c>
      <c r="Z57" s="124">
        <f t="shared" si="63"/>
        <v>1315800</v>
      </c>
      <c r="AA57" s="132">
        <f t="shared" si="63"/>
        <v>7072800</v>
      </c>
      <c r="AB57" s="131">
        <f t="shared" si="63"/>
        <v>5757000</v>
      </c>
      <c r="AC57" s="124">
        <f t="shared" si="63"/>
        <v>1315800</v>
      </c>
      <c r="AD57" s="132">
        <f t="shared" si="63"/>
        <v>7072800</v>
      </c>
      <c r="AE57" s="131">
        <f t="shared" si="63"/>
        <v>3909900</v>
      </c>
      <c r="AF57" s="124">
        <f t="shared" si="63"/>
        <v>1847100</v>
      </c>
      <c r="AG57" s="132">
        <f t="shared" si="63"/>
        <v>5757000</v>
      </c>
      <c r="AH57" s="131">
        <f t="shared" si="63"/>
        <v>12697703</v>
      </c>
      <c r="AI57" s="124">
        <f t="shared" si="63"/>
        <v>12697703</v>
      </c>
      <c r="AJ57" s="133">
        <f t="shared" si="63"/>
        <v>14013503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+IF(MARZO!A58=0,"",MARZO!A58)</f>
        <v>1130111-1</v>
      </c>
      <c r="B58" s="654" t="str">
        <f>+CONCATENATE("Vigencia ",INSTRUCCIONES!$F$3)</f>
        <v>Vigencia 2015</v>
      </c>
      <c r="C58" s="375">
        <f>+ENERO!C58</f>
        <v>0</v>
      </c>
      <c r="D58" s="376">
        <f>MARZO!D58+ABRIL!P58</f>
        <v>0</v>
      </c>
      <c r="E58" s="376">
        <f>MARZO!E58+ABRIL!Q58</f>
        <v>0</v>
      </c>
      <c r="F58" s="376">
        <f>SUM(C58:E58)</f>
        <v>0</v>
      </c>
      <c r="G58" s="376">
        <f>MARZO!I58</f>
        <v>0</v>
      </c>
      <c r="H58" s="377">
        <v>0</v>
      </c>
      <c r="I58" s="376">
        <f>SUM(G58:H58)</f>
        <v>0</v>
      </c>
      <c r="J58" s="376">
        <f>MARZO!L58</f>
        <v>0</v>
      </c>
      <c r="K58" s="377">
        <v>0</v>
      </c>
      <c r="L58" s="376">
        <f>SUM(J58:K58)</f>
        <v>0</v>
      </c>
      <c r="M58" s="376">
        <f>F58-I58</f>
        <v>0</v>
      </c>
      <c r="N58" s="146">
        <f>F58-L58</f>
        <v>0</v>
      </c>
      <c r="O58" s="385"/>
      <c r="P58" s="375">
        <v>0</v>
      </c>
      <c r="Q58" s="378">
        <v>0</v>
      </c>
      <c r="R58" s="9"/>
      <c r="S58" s="719">
        <f>+IF(MARZO!S58=0,"",MARZO!S58)</f>
        <v>1010402</v>
      </c>
      <c r="T58" s="693" t="str">
        <f>+IF(MARZO!T58=0,"",MARZO!T58)</f>
        <v>Contribuciones - Otros</v>
      </c>
      <c r="U58" s="27">
        <f t="shared" ref="U58:AJ58" si="64">SUM(U59:U60)</f>
        <v>18489903</v>
      </c>
      <c r="V58" s="15">
        <f t="shared" si="64"/>
        <v>0</v>
      </c>
      <c r="W58" s="15">
        <f t="shared" si="64"/>
        <v>0</v>
      </c>
      <c r="X58" s="18">
        <f t="shared" si="64"/>
        <v>18489903</v>
      </c>
      <c r="Y58" s="19">
        <f t="shared" si="64"/>
        <v>4476400</v>
      </c>
      <c r="Z58" s="145">
        <f t="shared" si="64"/>
        <v>1315800</v>
      </c>
      <c r="AA58" s="18">
        <f t="shared" si="64"/>
        <v>5792200</v>
      </c>
      <c r="AB58" s="19">
        <f t="shared" si="64"/>
        <v>4476400</v>
      </c>
      <c r="AC58" s="145">
        <f t="shared" si="64"/>
        <v>1315800</v>
      </c>
      <c r="AD58" s="18">
        <f t="shared" si="64"/>
        <v>5792200</v>
      </c>
      <c r="AE58" s="19">
        <f t="shared" si="64"/>
        <v>2629300</v>
      </c>
      <c r="AF58" s="145">
        <f t="shared" si="64"/>
        <v>1847100</v>
      </c>
      <c r="AG58" s="18">
        <f t="shared" si="64"/>
        <v>4476400</v>
      </c>
      <c r="AH58" s="19">
        <f t="shared" si="64"/>
        <v>12697703</v>
      </c>
      <c r="AI58" s="15">
        <f t="shared" si="64"/>
        <v>12697703</v>
      </c>
      <c r="AJ58" s="16">
        <f t="shared" si="64"/>
        <v>14013503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+IF(MARZO!A59=0,"",MARZO!A59)</f>
        <v>1130111-2</v>
      </c>
      <c r="B59" s="654" t="str">
        <f>+IF(MARZO!B59=0,"",MARZO!B59)</f>
        <v>Vigencia Anterior</v>
      </c>
      <c r="C59" s="375">
        <f>+ENERO!C59</f>
        <v>0</v>
      </c>
      <c r="D59" s="376">
        <f>MARZO!D59+ABRIL!P59</f>
        <v>0</v>
      </c>
      <c r="E59" s="376">
        <f>MARZO!E59+ABRIL!Q59</f>
        <v>0</v>
      </c>
      <c r="F59" s="376">
        <f>SUM(C59:E59)</f>
        <v>0</v>
      </c>
      <c r="G59" s="376">
        <f>MARZO!I59</f>
        <v>0</v>
      </c>
      <c r="H59" s="377">
        <v>0</v>
      </c>
      <c r="I59" s="376">
        <f>SUM(G59:H59)</f>
        <v>0</v>
      </c>
      <c r="J59" s="376">
        <f>MARZO!L59</f>
        <v>0</v>
      </c>
      <c r="K59" s="377">
        <v>0</v>
      </c>
      <c r="L59" s="376">
        <f>SUM(J59:K59)</f>
        <v>0</v>
      </c>
      <c r="M59" s="376">
        <f>F59-I59</f>
        <v>0</v>
      </c>
      <c r="N59" s="146">
        <f>F59-L59</f>
        <v>0</v>
      </c>
      <c r="O59" s="385"/>
      <c r="P59" s="375">
        <v>0</v>
      </c>
      <c r="Q59" s="378">
        <v>0</v>
      </c>
      <c r="R59" s="9"/>
      <c r="S59" s="720" t="str">
        <f>+IF(MARZO!S59=0,"",MARZO!S59)</f>
        <v>1010402-1</v>
      </c>
      <c r="T59" s="693" t="str">
        <f>+IF(MARZO!T59=0,"",MARZO!T59)</f>
        <v>S.E.N.A.</v>
      </c>
      <c r="U59" s="27">
        <f>+ENERO!U59</f>
        <v>7395961</v>
      </c>
      <c r="V59" s="15">
        <f>MARZO!V59+ABRIL!AL59</f>
        <v>0</v>
      </c>
      <c r="W59" s="15">
        <f>MARZO!W59+ABRIL!AM59</f>
        <v>0</v>
      </c>
      <c r="X59" s="18">
        <f>SUM(U59:W59)</f>
        <v>7395961</v>
      </c>
      <c r="Y59" s="19">
        <f>MARZO!AA59</f>
        <v>1833300</v>
      </c>
      <c r="Z59" s="377">
        <v>526600</v>
      </c>
      <c r="AA59" s="18">
        <f>SUM(Y59:Z59)</f>
        <v>2359900</v>
      </c>
      <c r="AB59" s="19">
        <f>MARZO!AD59</f>
        <v>1833300</v>
      </c>
      <c r="AC59" s="377">
        <v>526600</v>
      </c>
      <c r="AD59" s="18">
        <f>SUM(AB59:AC59)</f>
        <v>2359900</v>
      </c>
      <c r="AE59" s="19">
        <f>MARZO!AG59</f>
        <v>1041700</v>
      </c>
      <c r="AF59" s="377">
        <v>791600</v>
      </c>
      <c r="AG59" s="18">
        <f>SUM(AE59:AF59)</f>
        <v>1833300</v>
      </c>
      <c r="AH59" s="19">
        <f>X59-AA59</f>
        <v>5036061</v>
      </c>
      <c r="AI59" s="15">
        <f>X59-AD59</f>
        <v>5036061</v>
      </c>
      <c r="AJ59" s="16">
        <f>X59-AG59</f>
        <v>5562661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+IF(MARZO!A60=0,"",MARZO!A60)</f>
        <v>1130112</v>
      </c>
      <c r="B60" s="653" t="str">
        <f>+IF(MARZO!B60=0,"",MARZO!B60)</f>
        <v>IPS PUBLICAS</v>
      </c>
      <c r="C60" s="43">
        <f t="shared" ref="C60:N60" si="65">SUM(C61:C62)</f>
        <v>3473660</v>
      </c>
      <c r="D60" s="44">
        <f t="shared" si="65"/>
        <v>0</v>
      </c>
      <c r="E60" s="44">
        <f t="shared" si="65"/>
        <v>0</v>
      </c>
      <c r="F60" s="44">
        <f t="shared" si="65"/>
        <v>3473660</v>
      </c>
      <c r="G60" s="44">
        <f t="shared" si="65"/>
        <v>1293849</v>
      </c>
      <c r="H60" s="44">
        <f t="shared" si="65"/>
        <v>1100220</v>
      </c>
      <c r="I60" s="44">
        <f t="shared" si="65"/>
        <v>2394069</v>
      </c>
      <c r="J60" s="44">
        <f t="shared" si="65"/>
        <v>0</v>
      </c>
      <c r="K60" s="44">
        <f t="shared" si="65"/>
        <v>0</v>
      </c>
      <c r="L60" s="44">
        <f t="shared" si="65"/>
        <v>0</v>
      </c>
      <c r="M60" s="44">
        <f t="shared" si="65"/>
        <v>1079591</v>
      </c>
      <c r="N60" s="45">
        <f t="shared" si="65"/>
        <v>3473660</v>
      </c>
      <c r="P60" s="43">
        <f>SUM(P61:P62)</f>
        <v>0</v>
      </c>
      <c r="Q60" s="45">
        <f>SUM(Q61:Q62)</f>
        <v>0</v>
      </c>
      <c r="R60" s="9"/>
      <c r="S60" s="720" t="str">
        <f>+IF(MARZO!S60=0,"",MARZO!S60)</f>
        <v>1010402-2</v>
      </c>
      <c r="T60" s="693" t="str">
        <f>+IF(MARZO!T60=0,"",MARZO!T60)</f>
        <v>I.C.B.F.</v>
      </c>
      <c r="U60" s="27">
        <f>+ENERO!U60</f>
        <v>11093942</v>
      </c>
      <c r="V60" s="15">
        <f>MARZO!V60+ABRIL!AL60</f>
        <v>0</v>
      </c>
      <c r="W60" s="15">
        <f>MARZO!W60+ABRIL!AM60</f>
        <v>0</v>
      </c>
      <c r="X60" s="18">
        <f>SUM(U60:W60)</f>
        <v>11093942</v>
      </c>
      <c r="Y60" s="19">
        <f>MARZO!AA60</f>
        <v>2643100</v>
      </c>
      <c r="Z60" s="377">
        <v>789200</v>
      </c>
      <c r="AA60" s="18">
        <f>SUM(Y60:Z60)</f>
        <v>3432300</v>
      </c>
      <c r="AB60" s="19">
        <f>MARZO!AD60</f>
        <v>2643100</v>
      </c>
      <c r="AC60" s="377">
        <v>789200</v>
      </c>
      <c r="AD60" s="18">
        <f>SUM(AB60:AC60)</f>
        <v>3432300</v>
      </c>
      <c r="AE60" s="19">
        <f>MARZO!AG60</f>
        <v>1587600</v>
      </c>
      <c r="AF60" s="377">
        <v>1055500</v>
      </c>
      <c r="AG60" s="18">
        <f>SUM(AE60:AF60)</f>
        <v>2643100</v>
      </c>
      <c r="AH60" s="19">
        <f>X60-AA60</f>
        <v>7661642</v>
      </c>
      <c r="AI60" s="15">
        <f>X60-AD60</f>
        <v>7661642</v>
      </c>
      <c r="AJ60" s="16">
        <f>X60-AG60</f>
        <v>8450842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+IF(MARZO!A61=0,"",MARZO!A61)</f>
        <v>1130112-1</v>
      </c>
      <c r="B61" s="654" t="str">
        <f>+CONCATENATE("Vigencia ",INSTRUCCIONES!$F$3)</f>
        <v>Vigencia 2015</v>
      </c>
      <c r="C61" s="375">
        <f>+ENERO!C61</f>
        <v>3473660</v>
      </c>
      <c r="D61" s="376">
        <f>MARZO!D61+ABRIL!P61</f>
        <v>0</v>
      </c>
      <c r="E61" s="376">
        <f>MARZO!E61+ABRIL!Q61</f>
        <v>0</v>
      </c>
      <c r="F61" s="376">
        <f>SUM(C61:E61)</f>
        <v>3473660</v>
      </c>
      <c r="G61" s="376">
        <f>MARZO!I61</f>
        <v>1293849</v>
      </c>
      <c r="H61" s="377">
        <v>1100220</v>
      </c>
      <c r="I61" s="376">
        <f>SUM(G61:H61)</f>
        <v>2394069</v>
      </c>
      <c r="J61" s="376">
        <f>MARZO!L61</f>
        <v>0</v>
      </c>
      <c r="K61" s="377">
        <v>0</v>
      </c>
      <c r="L61" s="376">
        <f>SUM(J61:K61)</f>
        <v>0</v>
      </c>
      <c r="M61" s="376">
        <f>F61-I61</f>
        <v>1079591</v>
      </c>
      <c r="N61" s="146">
        <f>F61-L61</f>
        <v>3473660</v>
      </c>
      <c r="O61" s="385"/>
      <c r="P61" s="375">
        <v>0</v>
      </c>
      <c r="Q61" s="378">
        <v>0</v>
      </c>
      <c r="R61" s="9"/>
      <c r="S61" s="719">
        <f>+IF(MARZO!S61=0,"",MARZO!S61)</f>
        <v>1010499</v>
      </c>
      <c r="T61" s="693" t="str">
        <f>+IF(MARZO!T61=0,"",MARZO!T61)</f>
        <v>Vigencias Anteriores</v>
      </c>
      <c r="U61" s="27">
        <f>+ENERO!U61</f>
        <v>0</v>
      </c>
      <c r="V61" s="15">
        <f>MARZO!V61+ABRIL!AL61</f>
        <v>0</v>
      </c>
      <c r="W61" s="15">
        <f>MARZO!W61+ABRIL!AM61</f>
        <v>1280600</v>
      </c>
      <c r="X61" s="18">
        <f>SUM(U61:W61)</f>
        <v>1280600</v>
      </c>
      <c r="Y61" s="19">
        <f>MARZO!AA61</f>
        <v>1280600</v>
      </c>
      <c r="Z61" s="377">
        <v>0</v>
      </c>
      <c r="AA61" s="18">
        <f>SUM(Y61:Z61)</f>
        <v>1280600</v>
      </c>
      <c r="AB61" s="19">
        <f>MARZO!AD61</f>
        <v>1280600</v>
      </c>
      <c r="AC61" s="377">
        <v>0</v>
      </c>
      <c r="AD61" s="18">
        <f>SUM(AB61:AC61)</f>
        <v>1280600</v>
      </c>
      <c r="AE61" s="19">
        <f>MARZO!AG61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+IF(MARZO!A62=0,"",MARZO!A62)</f>
        <v>1130112-2</v>
      </c>
      <c r="B62" s="654" t="str">
        <f>+IF(MARZO!B62=0,"",MARZO!B62)</f>
        <v>Vigencia Anterior</v>
      </c>
      <c r="C62" s="375">
        <f>+ENERO!C62</f>
        <v>0</v>
      </c>
      <c r="D62" s="376">
        <f>MARZO!D62+ABRIL!P62</f>
        <v>0</v>
      </c>
      <c r="E62" s="376">
        <f>MARZO!E62+ABRIL!Q62</f>
        <v>0</v>
      </c>
      <c r="F62" s="376">
        <f>SUM(C62:E62)</f>
        <v>0</v>
      </c>
      <c r="G62" s="376">
        <f>MARZO!I62</f>
        <v>0</v>
      </c>
      <c r="H62" s="377">
        <v>0</v>
      </c>
      <c r="I62" s="376">
        <f>SUM(G62:H62)</f>
        <v>0</v>
      </c>
      <c r="J62" s="376">
        <f>MARZO!L62</f>
        <v>0</v>
      </c>
      <c r="K62" s="377">
        <v>0</v>
      </c>
      <c r="L62" s="376">
        <f>SUM(J62:K62)</f>
        <v>0</v>
      </c>
      <c r="M62" s="376">
        <f>F62-I62</f>
        <v>0</v>
      </c>
      <c r="N62" s="146">
        <f>F62-L62</f>
        <v>0</v>
      </c>
      <c r="O62" s="385"/>
      <c r="P62" s="375">
        <v>0</v>
      </c>
      <c r="Q62" s="378">
        <v>0</v>
      </c>
      <c r="R62" s="9"/>
      <c r="S62" s="369" t="str">
        <f>+IF(MARZO!S62=0,"",MARZO!S62)</f>
        <v/>
      </c>
      <c r="T62" s="708" t="str">
        <f>+IF(MARZO!T62=0,"",MARZO!T62)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+IF(MARZO!A63=0,"",MARZO!A63)</f>
        <v>1130113</v>
      </c>
      <c r="B63" s="653" t="str">
        <f>+IF(MARZO!B63=0,"",MARZO!B63)</f>
        <v>COMPAÑIAS DE SEGUROS  - ACCIDENTES DE TRANSITO (SOAT)</v>
      </c>
      <c r="C63" s="43">
        <f t="shared" ref="C63:N63" si="66">SUM(C64:C65)</f>
        <v>22951026</v>
      </c>
      <c r="D63" s="44">
        <f t="shared" si="66"/>
        <v>0</v>
      </c>
      <c r="E63" s="44">
        <f t="shared" si="66"/>
        <v>2940835</v>
      </c>
      <c r="F63" s="44">
        <f t="shared" si="66"/>
        <v>25891861</v>
      </c>
      <c r="G63" s="44">
        <f t="shared" si="66"/>
        <v>9016378</v>
      </c>
      <c r="H63" s="44">
        <f t="shared" si="66"/>
        <v>2740579</v>
      </c>
      <c r="I63" s="44">
        <f t="shared" si="66"/>
        <v>11756957</v>
      </c>
      <c r="J63" s="44">
        <f t="shared" si="66"/>
        <v>3712333</v>
      </c>
      <c r="K63" s="44">
        <f t="shared" si="66"/>
        <v>377903</v>
      </c>
      <c r="L63" s="44">
        <f t="shared" si="66"/>
        <v>4090236</v>
      </c>
      <c r="M63" s="44">
        <f t="shared" si="66"/>
        <v>14134904</v>
      </c>
      <c r="N63" s="45">
        <f t="shared" si="66"/>
        <v>21801625</v>
      </c>
      <c r="P63" s="43">
        <f>SUM(P64:P65)</f>
        <v>0</v>
      </c>
      <c r="Q63" s="45">
        <f>SUM(Q64:Q65)</f>
        <v>0</v>
      </c>
      <c r="R63" s="9"/>
      <c r="S63" s="717">
        <f>+IF(MARZO!S63=0,"",MARZO!S63)</f>
        <v>1020010</v>
      </c>
      <c r="T63" s="691" t="str">
        <f>+IF(MARZO!T63=0,"",MARZO!T63)</f>
        <v>Gastos de Operación</v>
      </c>
      <c r="U63" s="135">
        <f t="shared" ref="U63:AJ63" si="67">U65+U83+U90+U104</f>
        <v>1276921669</v>
      </c>
      <c r="V63" s="124">
        <f t="shared" si="67"/>
        <v>20000000</v>
      </c>
      <c r="W63" s="124">
        <f t="shared" si="67"/>
        <v>78294418</v>
      </c>
      <c r="X63" s="132">
        <f t="shared" si="67"/>
        <v>1375216087</v>
      </c>
      <c r="Y63" s="131">
        <f t="shared" si="67"/>
        <v>402687982</v>
      </c>
      <c r="Z63" s="124">
        <f t="shared" si="67"/>
        <v>95708876</v>
      </c>
      <c r="AA63" s="132">
        <f t="shared" si="67"/>
        <v>498396858</v>
      </c>
      <c r="AB63" s="131">
        <f t="shared" si="67"/>
        <v>365605315</v>
      </c>
      <c r="AC63" s="124">
        <f t="shared" si="67"/>
        <v>95886876</v>
      </c>
      <c r="AD63" s="132">
        <f t="shared" si="67"/>
        <v>461492191</v>
      </c>
      <c r="AE63" s="131">
        <f t="shared" si="67"/>
        <v>310866486</v>
      </c>
      <c r="AF63" s="124">
        <f t="shared" si="67"/>
        <v>100342532</v>
      </c>
      <c r="AG63" s="132">
        <f t="shared" si="67"/>
        <v>411209018</v>
      </c>
      <c r="AH63" s="131">
        <f t="shared" si="67"/>
        <v>876819229</v>
      </c>
      <c r="AI63" s="124">
        <f t="shared" si="67"/>
        <v>913723896</v>
      </c>
      <c r="AJ63" s="133">
        <f t="shared" si="67"/>
        <v>964007069</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+IF(MARZO!A64=0,"",MARZO!A64)</f>
        <v>1130113-1</v>
      </c>
      <c r="B64" s="654" t="str">
        <f>+CONCATENATE("Vigencia ",INSTRUCCIONES!$F$3)</f>
        <v>Vigencia 2015</v>
      </c>
      <c r="C64" s="375">
        <f>+ENERO!C64</f>
        <v>22951026</v>
      </c>
      <c r="D64" s="376">
        <f>MARZO!D64+ABRIL!P64</f>
        <v>0</v>
      </c>
      <c r="E64" s="376">
        <f>MARZO!E64+ABRIL!Q64</f>
        <v>0</v>
      </c>
      <c r="F64" s="376">
        <f>SUM(C64:E64)</f>
        <v>22951026</v>
      </c>
      <c r="G64" s="376">
        <f>MARZO!I64</f>
        <v>5708526</v>
      </c>
      <c r="H64" s="377">
        <v>2740579</v>
      </c>
      <c r="I64" s="376">
        <f>SUM(G64:H64)</f>
        <v>8449105</v>
      </c>
      <c r="J64" s="376">
        <f>MARZO!L64</f>
        <v>404481</v>
      </c>
      <c r="K64" s="377">
        <v>377903</v>
      </c>
      <c r="L64" s="376">
        <f>SUM(J64:K64)</f>
        <v>782384</v>
      </c>
      <c r="M64" s="376">
        <f>F64-I64</f>
        <v>14501921</v>
      </c>
      <c r="N64" s="146">
        <f>F64-L64</f>
        <v>22168642</v>
      </c>
      <c r="O64" s="385"/>
      <c r="P64" s="375">
        <v>0</v>
      </c>
      <c r="Q64" s="378">
        <v>0</v>
      </c>
      <c r="R64" s="9"/>
      <c r="S64" s="369" t="str">
        <f>+IF(MARZO!S64=0,"",MARZO!S64)</f>
        <v/>
      </c>
      <c r="T64" s="708" t="str">
        <f>+IF(MARZO!T64=0,"",MARZO!T64)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+IF(MARZO!A65=0,"",MARZO!A65)</f>
        <v>1130113-2</v>
      </c>
      <c r="B65" s="654" t="str">
        <f>+IF(MARZO!B65=0,"",MARZO!B65)</f>
        <v>Vigencia Anterior</v>
      </c>
      <c r="C65" s="375">
        <f>+ENERO!C65</f>
        <v>0</v>
      </c>
      <c r="D65" s="376">
        <f>MARZO!D65+ABRIL!P65</f>
        <v>0</v>
      </c>
      <c r="E65" s="376">
        <f>MARZO!E65+ABRIL!Q65</f>
        <v>2940835</v>
      </c>
      <c r="F65" s="376">
        <f>SUM(C65:E65)</f>
        <v>2940835</v>
      </c>
      <c r="G65" s="376">
        <f>MARZO!I65</f>
        <v>3307852</v>
      </c>
      <c r="H65" s="377">
        <v>0</v>
      </c>
      <c r="I65" s="376">
        <f>SUM(G65:H65)</f>
        <v>3307852</v>
      </c>
      <c r="J65" s="376">
        <f>MARZO!L65</f>
        <v>3307852</v>
      </c>
      <c r="K65" s="377">
        <v>0</v>
      </c>
      <c r="L65" s="376">
        <f>SUM(J65:K65)</f>
        <v>3307852</v>
      </c>
      <c r="M65" s="376">
        <f>F65-I65</f>
        <v>-367017</v>
      </c>
      <c r="N65" s="146">
        <f>F65-L65</f>
        <v>-367017</v>
      </c>
      <c r="O65" s="385"/>
      <c r="P65" s="375">
        <v>0</v>
      </c>
      <c r="Q65" s="378">
        <v>0</v>
      </c>
      <c r="R65" s="9"/>
      <c r="S65" s="718">
        <f>+IF(MARZO!S65=0,"",MARZO!S65)</f>
        <v>1020100</v>
      </c>
      <c r="T65" s="692" t="str">
        <f>+IF(MARZO!T65=0,"",MARZO!T65)</f>
        <v>Servicios Personales Asociados a Nómina</v>
      </c>
      <c r="U65" s="135">
        <f t="shared" ref="U65:AJ65" si="68">SUM(U66:U69)+U81</f>
        <v>815343813</v>
      </c>
      <c r="V65" s="124">
        <f t="shared" si="68"/>
        <v>20000000</v>
      </c>
      <c r="W65" s="124">
        <f t="shared" si="68"/>
        <v>13655677</v>
      </c>
      <c r="X65" s="132">
        <f t="shared" si="68"/>
        <v>848999490</v>
      </c>
      <c r="Y65" s="131">
        <f t="shared" si="68"/>
        <v>208935654</v>
      </c>
      <c r="Z65" s="124">
        <f t="shared" si="68"/>
        <v>62890022</v>
      </c>
      <c r="AA65" s="132">
        <f t="shared" si="68"/>
        <v>271825676</v>
      </c>
      <c r="AB65" s="131">
        <f t="shared" si="68"/>
        <v>208935654</v>
      </c>
      <c r="AC65" s="124">
        <f t="shared" si="68"/>
        <v>62890022</v>
      </c>
      <c r="AD65" s="132">
        <f t="shared" si="68"/>
        <v>271825676</v>
      </c>
      <c r="AE65" s="131">
        <f t="shared" si="68"/>
        <v>174282843</v>
      </c>
      <c r="AF65" s="124">
        <f t="shared" si="68"/>
        <v>67797878</v>
      </c>
      <c r="AG65" s="132">
        <f t="shared" si="68"/>
        <v>242080721</v>
      </c>
      <c r="AH65" s="131">
        <f t="shared" si="68"/>
        <v>577173814</v>
      </c>
      <c r="AI65" s="124">
        <f t="shared" si="68"/>
        <v>577173814</v>
      </c>
      <c r="AJ65" s="133">
        <f t="shared" si="68"/>
        <v>606918769</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+IF(MARZO!A66=0,"",MARZO!A66)</f>
        <v>1130114</v>
      </c>
      <c r="B66" s="653" t="str">
        <f>+IF(MARZO!B66=0,"",MARZO!B66)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+IF(MARZO!S66=0,"",MARZO!S66)</f>
        <v>1020101</v>
      </c>
      <c r="T66" s="693" t="str">
        <f>+IF(MARZO!T66=0,"",MARZO!T66)</f>
        <v>Sueldos del Personal de nómina</v>
      </c>
      <c r="U66" s="27">
        <f>+ENERO!U66</f>
        <v>641065344</v>
      </c>
      <c r="V66" s="15">
        <f>MARZO!V66+ABRIL!AL66</f>
        <v>0</v>
      </c>
      <c r="W66" s="15">
        <f>MARZO!W66+ABRIL!AM66</f>
        <v>0</v>
      </c>
      <c r="X66" s="18">
        <f>SUM(U66:W66)</f>
        <v>641065344</v>
      </c>
      <c r="Y66" s="19">
        <f>MARZO!AA66</f>
        <v>159501204</v>
      </c>
      <c r="Z66" s="377">
        <v>51119368</v>
      </c>
      <c r="AA66" s="18">
        <f>SUM(Y66:Z66)</f>
        <v>210620572</v>
      </c>
      <c r="AB66" s="19">
        <f>MARZO!AD66</f>
        <v>159501204</v>
      </c>
      <c r="AC66" s="377">
        <v>51119368</v>
      </c>
      <c r="AD66" s="18">
        <f>SUM(AB66:AC66)</f>
        <v>210620572</v>
      </c>
      <c r="AE66" s="19">
        <f>MARZO!AG66</f>
        <v>136427913</v>
      </c>
      <c r="AF66" s="377">
        <v>55136145</v>
      </c>
      <c r="AG66" s="18">
        <f>SUM(AE66:AF66)</f>
        <v>191564058</v>
      </c>
      <c r="AH66" s="19">
        <f>X66-AA66</f>
        <v>430444772</v>
      </c>
      <c r="AI66" s="15">
        <f>X66-AD66</f>
        <v>430444772</v>
      </c>
      <c r="AJ66" s="16">
        <f>X66-AG66</f>
        <v>449501286</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+IF(MARZO!A67=0,"",MARZO!A67)</f>
        <v>1130114-1</v>
      </c>
      <c r="B67" s="654" t="str">
        <f>+CONCATENATE("Vigencia ",INSTRUCCIONES!$F$3)</f>
        <v>Vigencia 2015</v>
      </c>
      <c r="C67" s="375">
        <f>+ENERO!C67</f>
        <v>338898</v>
      </c>
      <c r="D67" s="376">
        <f>MARZO!D67+ABRIL!P67</f>
        <v>0</v>
      </c>
      <c r="E67" s="376">
        <f>MARZO!E67+ABRIL!Q67</f>
        <v>0</v>
      </c>
      <c r="F67" s="376">
        <f>SUM(C67:E67)</f>
        <v>338898</v>
      </c>
      <c r="G67" s="376">
        <f>MARZO!I67</f>
        <v>0</v>
      </c>
      <c r="H67" s="377">
        <v>0</v>
      </c>
      <c r="I67" s="376">
        <f>SUM(G67:H67)</f>
        <v>0</v>
      </c>
      <c r="J67" s="376">
        <f>MARZO!L67</f>
        <v>0</v>
      </c>
      <c r="K67" s="377">
        <v>0</v>
      </c>
      <c r="L67" s="376">
        <f>SUM(J67:K67)</f>
        <v>0</v>
      </c>
      <c r="M67" s="376">
        <f>F67-I67</f>
        <v>338898</v>
      </c>
      <c r="N67" s="146">
        <f>F67-L67</f>
        <v>338898</v>
      </c>
      <c r="O67" s="385"/>
      <c r="P67" s="375">
        <v>0</v>
      </c>
      <c r="Q67" s="378">
        <v>0</v>
      </c>
      <c r="R67" s="9"/>
      <c r="S67" s="719">
        <f>+IF(MARZO!S67=0,"",MARZO!S67)</f>
        <v>1020102</v>
      </c>
      <c r="T67" s="693" t="str">
        <f>+IF(MARZO!T67=0,"",MARZO!T67)</f>
        <v>Horas Extras,Dominic.,Festivos y Rec. Nocturnos</v>
      </c>
      <c r="U67" s="27">
        <f>+ENERO!U67</f>
        <v>57949728</v>
      </c>
      <c r="V67" s="15">
        <f>MARZO!V67+ABRIL!AL67</f>
        <v>20000000</v>
      </c>
      <c r="W67" s="15">
        <f>MARZO!W67+ABRIL!AM67</f>
        <v>0</v>
      </c>
      <c r="X67" s="18">
        <f>SUM(U67:W67)</f>
        <v>77949728</v>
      </c>
      <c r="Y67" s="19">
        <f>MARZO!AA67</f>
        <v>33506037</v>
      </c>
      <c r="Z67" s="377">
        <v>11770654</v>
      </c>
      <c r="AA67" s="18">
        <f>SUM(Y67:Z67)</f>
        <v>45276691</v>
      </c>
      <c r="AB67" s="19">
        <f>MARZO!AD67</f>
        <v>33506037</v>
      </c>
      <c r="AC67" s="377">
        <v>11770654</v>
      </c>
      <c r="AD67" s="18">
        <f>SUM(AB67:AC67)</f>
        <v>45276691</v>
      </c>
      <c r="AE67" s="19">
        <f>MARZO!AG67</f>
        <v>28464947</v>
      </c>
      <c r="AF67" s="377">
        <v>12661733</v>
      </c>
      <c r="AG67" s="18">
        <f>SUM(AE67:AF67)</f>
        <v>41126680</v>
      </c>
      <c r="AH67" s="19">
        <f>X67-AA67</f>
        <v>32673037</v>
      </c>
      <c r="AI67" s="15">
        <f>X67-AD67</f>
        <v>32673037</v>
      </c>
      <c r="AJ67" s="16">
        <f>X67-AG67</f>
        <v>36823048</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+IF(MARZO!A68=0,"",MARZO!A68)</f>
        <v>1130114-2</v>
      </c>
      <c r="B68" s="654" t="str">
        <f>+IF(MARZO!B68=0,"",MARZO!B68)</f>
        <v>Vigencia Anterior</v>
      </c>
      <c r="C68" s="375">
        <f>+ENERO!C68</f>
        <v>0</v>
      </c>
      <c r="D68" s="376">
        <f>MARZO!D68+ABRIL!P68</f>
        <v>0</v>
      </c>
      <c r="E68" s="376">
        <f>MARZO!E68+ABRIL!Q68</f>
        <v>0</v>
      </c>
      <c r="F68" s="376">
        <f>SUM(C68:E68)</f>
        <v>0</v>
      </c>
      <c r="G68" s="376">
        <f>MARZO!I68</f>
        <v>78500</v>
      </c>
      <c r="H68" s="377">
        <v>0</v>
      </c>
      <c r="I68" s="376">
        <f>SUM(G68:H68)</f>
        <v>78500</v>
      </c>
      <c r="J68" s="376">
        <f>MARZO!L68</f>
        <v>78500</v>
      </c>
      <c r="K68" s="377">
        <v>0</v>
      </c>
      <c r="L68" s="376">
        <f>SUM(J68:K68)</f>
        <v>78500</v>
      </c>
      <c r="M68" s="376">
        <f>F68-I68</f>
        <v>-78500</v>
      </c>
      <c r="N68" s="146">
        <f>F68-L68</f>
        <v>-78500</v>
      </c>
      <c r="O68" s="385"/>
      <c r="P68" s="375">
        <v>0</v>
      </c>
      <c r="Q68" s="378">
        <v>0</v>
      </c>
      <c r="R68" s="9"/>
      <c r="S68" s="719">
        <f>+IF(MARZO!S68=0,"",MARZO!S68)</f>
        <v>1020103</v>
      </c>
      <c r="T68" s="693" t="str">
        <f>+IF(MARZO!T68=0,"",MARZO!T68)</f>
        <v>Prima Técnica</v>
      </c>
      <c r="U68" s="27">
        <f>+ENERO!U68</f>
        <v>0</v>
      </c>
      <c r="V68" s="15">
        <f>MARZO!V68+ABRIL!AL68</f>
        <v>0</v>
      </c>
      <c r="W68" s="15">
        <f>MARZO!W68+ABRIL!AM68</f>
        <v>0</v>
      </c>
      <c r="X68" s="18">
        <f>SUM(U68:W68)</f>
        <v>0</v>
      </c>
      <c r="Y68" s="19">
        <f>MARZO!AA68</f>
        <v>0</v>
      </c>
      <c r="Z68" s="377">
        <v>0</v>
      </c>
      <c r="AA68" s="18">
        <f>SUM(Y68:Z68)</f>
        <v>0</v>
      </c>
      <c r="AB68" s="19">
        <f>MARZO!AD68</f>
        <v>0</v>
      </c>
      <c r="AC68" s="377">
        <v>0</v>
      </c>
      <c r="AD68" s="18">
        <f>SUM(AB68:AC68)</f>
        <v>0</v>
      </c>
      <c r="AE68" s="19">
        <f>MARZO!AG68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+IF(MARZO!A69=0,"",MARZO!A69)</f>
        <v>1130115</v>
      </c>
      <c r="B69" s="653" t="str">
        <f>+IF(MARZO!B69=0,"",MARZO!B69)</f>
        <v>ENTIDADES DE REGIMEN ESPECIAL (Magisterio, Fuerza Pca.)</v>
      </c>
      <c r="C69" s="43">
        <f t="shared" ref="C69:N69" si="70">SUM(C70:C71)</f>
        <v>53468516</v>
      </c>
      <c r="D69" s="44">
        <f t="shared" si="70"/>
        <v>0</v>
      </c>
      <c r="E69" s="44">
        <f t="shared" si="70"/>
        <v>27541841</v>
      </c>
      <c r="F69" s="44">
        <f t="shared" si="70"/>
        <v>81010357</v>
      </c>
      <c r="G69" s="44">
        <f t="shared" si="70"/>
        <v>25524529</v>
      </c>
      <c r="H69" s="44">
        <f t="shared" si="70"/>
        <v>11096929</v>
      </c>
      <c r="I69" s="44">
        <f t="shared" si="70"/>
        <v>36621458</v>
      </c>
      <c r="J69" s="44">
        <f t="shared" si="70"/>
        <v>13644902</v>
      </c>
      <c r="K69" s="44">
        <f t="shared" si="70"/>
        <v>6000000</v>
      </c>
      <c r="L69" s="44">
        <f t="shared" si="70"/>
        <v>19644902</v>
      </c>
      <c r="M69" s="44">
        <f t="shared" si="70"/>
        <v>44388899</v>
      </c>
      <c r="N69" s="45">
        <f t="shared" si="70"/>
        <v>61365455</v>
      </c>
      <c r="P69" s="43">
        <f>SUM(P70:P71)</f>
        <v>0</v>
      </c>
      <c r="Q69" s="45">
        <f>SUM(Q70:Q71)</f>
        <v>0</v>
      </c>
      <c r="R69" s="9"/>
      <c r="S69" s="719">
        <f>+IF(MARZO!S69=0,"",MARZO!S69)</f>
        <v>1020104</v>
      </c>
      <c r="T69" s="693" t="str">
        <f>+IF(MARZO!T69=0,"",MARZO!T69)</f>
        <v>Otros</v>
      </c>
      <c r="U69" s="27">
        <f t="shared" ref="U69:AJ69" si="71">SUM(U70:U80)</f>
        <v>116328741</v>
      </c>
      <c r="V69" s="15">
        <f t="shared" si="71"/>
        <v>0</v>
      </c>
      <c r="W69" s="15">
        <f t="shared" si="71"/>
        <v>0</v>
      </c>
      <c r="X69" s="18">
        <f t="shared" si="71"/>
        <v>116328741</v>
      </c>
      <c r="Y69" s="19">
        <f t="shared" si="71"/>
        <v>2272736</v>
      </c>
      <c r="Z69" s="145">
        <f t="shared" si="71"/>
        <v>0</v>
      </c>
      <c r="AA69" s="18">
        <f t="shared" si="71"/>
        <v>2272736</v>
      </c>
      <c r="AB69" s="19">
        <f t="shared" si="71"/>
        <v>2272736</v>
      </c>
      <c r="AC69" s="145">
        <f t="shared" si="71"/>
        <v>0</v>
      </c>
      <c r="AD69" s="18">
        <f t="shared" si="71"/>
        <v>2272736</v>
      </c>
      <c r="AE69" s="19">
        <f t="shared" si="71"/>
        <v>2259485</v>
      </c>
      <c r="AF69" s="145">
        <f t="shared" si="71"/>
        <v>0</v>
      </c>
      <c r="AG69" s="18">
        <f t="shared" si="71"/>
        <v>2259485</v>
      </c>
      <c r="AH69" s="19">
        <f t="shared" si="71"/>
        <v>114056005</v>
      </c>
      <c r="AI69" s="15">
        <f t="shared" si="71"/>
        <v>114056005</v>
      </c>
      <c r="AJ69" s="16">
        <f t="shared" si="71"/>
        <v>114069256</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+IF(MARZO!A70=0,"",MARZO!A70)</f>
        <v>1130115-1</v>
      </c>
      <c r="B70" s="654" t="str">
        <f>+CONCATENATE("Vigencia ",INSTRUCCIONES!$F$3)</f>
        <v>Vigencia 2015</v>
      </c>
      <c r="C70" s="375">
        <f>+ENERO!C70</f>
        <v>53468516</v>
      </c>
      <c r="D70" s="376">
        <f>MARZO!D70+ABRIL!P70</f>
        <v>0</v>
      </c>
      <c r="E70" s="376">
        <f>MARZO!E70+ABRIL!Q70</f>
        <v>0</v>
      </c>
      <c r="F70" s="376">
        <f>SUM(C70:E70)</f>
        <v>53468516</v>
      </c>
      <c r="G70" s="376">
        <f>MARZO!I70</f>
        <v>11879627</v>
      </c>
      <c r="H70" s="377">
        <v>5096929</v>
      </c>
      <c r="I70" s="376">
        <f>SUM(G70:H70)</f>
        <v>16976556</v>
      </c>
      <c r="J70" s="376">
        <f>MARZO!L70</f>
        <v>0</v>
      </c>
      <c r="K70" s="377">
        <v>0</v>
      </c>
      <c r="L70" s="376">
        <f>SUM(J70:K70)</f>
        <v>0</v>
      </c>
      <c r="M70" s="376">
        <f>F70-I70</f>
        <v>36491960</v>
      </c>
      <c r="N70" s="146">
        <f>F70-L70</f>
        <v>53468516</v>
      </c>
      <c r="O70" s="385"/>
      <c r="P70" s="375">
        <v>0</v>
      </c>
      <c r="Q70" s="378">
        <v>0</v>
      </c>
      <c r="R70" s="9"/>
      <c r="S70" s="720" t="str">
        <f>+IF(MARZO!S70=0,"",MARZO!S70)</f>
        <v>1020104-1</v>
      </c>
      <c r="T70" s="694" t="str">
        <f>+IF(MARZO!T70=0,"",MARZO!T70)</f>
        <v xml:space="preserve">Prima de Navidad </v>
      </c>
      <c r="U70" s="27">
        <f>+ENERO!U70</f>
        <v>57873955</v>
      </c>
      <c r="V70" s="15">
        <f>MARZO!V70+ABRIL!AL70</f>
        <v>0</v>
      </c>
      <c r="W70" s="15">
        <f>MARZO!W70+ABRIL!AM70</f>
        <v>0</v>
      </c>
      <c r="X70" s="18">
        <f t="shared" ref="X70:X81" si="72">SUM(U70:W70)</f>
        <v>57873955</v>
      </c>
      <c r="Y70" s="19">
        <f>MARZO!AA70</f>
        <v>0</v>
      </c>
      <c r="Z70" s="377">
        <v>0</v>
      </c>
      <c r="AA70" s="18">
        <f t="shared" ref="AA70:AA81" si="73">SUM(Y70:Z70)</f>
        <v>0</v>
      </c>
      <c r="AB70" s="19">
        <f>MARZO!AD70</f>
        <v>0</v>
      </c>
      <c r="AC70" s="377">
        <v>0</v>
      </c>
      <c r="AD70" s="18">
        <f t="shared" ref="AD70:AD81" si="74">SUM(AB70:AC70)</f>
        <v>0</v>
      </c>
      <c r="AE70" s="19">
        <f>MARZO!AG70</f>
        <v>0</v>
      </c>
      <c r="AF70" s="377">
        <v>0</v>
      </c>
      <c r="AG70" s="18">
        <f t="shared" ref="AG70:AG81" si="75">SUM(AE70:AF70)</f>
        <v>0</v>
      </c>
      <c r="AH70" s="19">
        <f t="shared" ref="AH70:AH81" si="76">X70-AA70</f>
        <v>57873955</v>
      </c>
      <c r="AI70" s="15">
        <f t="shared" ref="AI70:AI81" si="77">X70-AD70</f>
        <v>57873955</v>
      </c>
      <c r="AJ70" s="16">
        <f t="shared" ref="AJ70:AJ81" si="78">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+IF(MARZO!A71=0,"",MARZO!A71)</f>
        <v>1130115-2</v>
      </c>
      <c r="B71" s="654" t="str">
        <f>+IF(MARZO!B71=0,"",MARZO!B71)</f>
        <v>Vigencia Anterior</v>
      </c>
      <c r="C71" s="375">
        <f>+ENERO!C71</f>
        <v>0</v>
      </c>
      <c r="D71" s="376">
        <f>MARZO!D71+ABRIL!P71</f>
        <v>0</v>
      </c>
      <c r="E71" s="376">
        <f>MARZO!E71+ABRIL!Q71</f>
        <v>27541841</v>
      </c>
      <c r="F71" s="376">
        <f>SUM(C71:E71)</f>
        <v>27541841</v>
      </c>
      <c r="G71" s="376">
        <f>MARZO!I71</f>
        <v>13644902</v>
      </c>
      <c r="H71" s="377">
        <v>6000000</v>
      </c>
      <c r="I71" s="376">
        <f>SUM(G71:H71)</f>
        <v>19644902</v>
      </c>
      <c r="J71" s="376">
        <f>MARZO!L71</f>
        <v>13644902</v>
      </c>
      <c r="K71" s="377">
        <v>6000000</v>
      </c>
      <c r="L71" s="376">
        <f>SUM(J71:K71)</f>
        <v>19644902</v>
      </c>
      <c r="M71" s="376">
        <f>F71-I71</f>
        <v>7896939</v>
      </c>
      <c r="N71" s="146">
        <f>F71-L71</f>
        <v>7896939</v>
      </c>
      <c r="O71" s="385"/>
      <c r="P71" s="375">
        <v>0</v>
      </c>
      <c r="Q71" s="378">
        <v>0</v>
      </c>
      <c r="R71" s="9"/>
      <c r="S71" s="720" t="str">
        <f>+IF(MARZO!S71=0,"",MARZO!S71)</f>
        <v>1020104-2</v>
      </c>
      <c r="T71" s="694" t="str">
        <f>+IF(MARZO!T71=0,"",MARZO!T71)</f>
        <v>Prima Vida Cara</v>
      </c>
      <c r="U71" s="27">
        <f>+ENERO!U71</f>
        <v>0</v>
      </c>
      <c r="V71" s="15">
        <f>MARZO!V71+ABRIL!AL71</f>
        <v>0</v>
      </c>
      <c r="W71" s="15">
        <f>MARZO!W71+ABRIL!AM71</f>
        <v>0</v>
      </c>
      <c r="X71" s="18">
        <f t="shared" si="72"/>
        <v>0</v>
      </c>
      <c r="Y71" s="19">
        <f>MARZO!AA71</f>
        <v>0</v>
      </c>
      <c r="Z71" s="377">
        <v>0</v>
      </c>
      <c r="AA71" s="18">
        <f t="shared" si="73"/>
        <v>0</v>
      </c>
      <c r="AB71" s="19">
        <f>MARZO!AD71</f>
        <v>0</v>
      </c>
      <c r="AC71" s="377">
        <v>0</v>
      </c>
      <c r="AD71" s="18">
        <f t="shared" si="74"/>
        <v>0</v>
      </c>
      <c r="AE71" s="19">
        <f>MARZO!AG71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+IF(MARZO!A72=0,"",MARZO!A72)</f>
        <v>1130116</v>
      </c>
      <c r="B72" s="653" t="str">
        <f>+IF(MARZO!B72=0,"",MARZO!B72)</f>
        <v>ADMINISTRADORAS DE RIESGOS PROFESIONALES</v>
      </c>
      <c r="C72" s="43">
        <f t="shared" ref="C72:N72" si="79">SUM(C73:C74)</f>
        <v>47982534</v>
      </c>
      <c r="D72" s="44">
        <f t="shared" si="79"/>
        <v>0</v>
      </c>
      <c r="E72" s="44">
        <f t="shared" si="79"/>
        <v>7739704</v>
      </c>
      <c r="F72" s="44">
        <f t="shared" si="79"/>
        <v>55722238</v>
      </c>
      <c r="G72" s="44">
        <f t="shared" si="79"/>
        <v>18747716</v>
      </c>
      <c r="H72" s="44">
        <f t="shared" si="79"/>
        <v>3254706</v>
      </c>
      <c r="I72" s="44">
        <f t="shared" si="79"/>
        <v>22002422</v>
      </c>
      <c r="J72" s="44">
        <f t="shared" si="79"/>
        <v>12326084</v>
      </c>
      <c r="K72" s="44">
        <f t="shared" si="79"/>
        <v>1797832</v>
      </c>
      <c r="L72" s="44">
        <f t="shared" si="79"/>
        <v>14123916</v>
      </c>
      <c r="M72" s="44">
        <f t="shared" si="79"/>
        <v>33719816</v>
      </c>
      <c r="N72" s="45">
        <f t="shared" si="79"/>
        <v>41598322</v>
      </c>
      <c r="P72" s="43">
        <f>SUM(P73:P74)</f>
        <v>0</v>
      </c>
      <c r="Q72" s="45">
        <f>SUM(Q73:Q74)</f>
        <v>0</v>
      </c>
      <c r="R72" s="9"/>
      <c r="S72" s="720" t="str">
        <f>+IF(MARZO!S72=0,"",MARZO!S72)</f>
        <v>1020104-3</v>
      </c>
      <c r="T72" s="694" t="str">
        <f>+IF(MARZO!T72=0,"",MARZO!T72)</f>
        <v>Prima de Vacaciones</v>
      </c>
      <c r="U72" s="27">
        <f>+ENERO!U72</f>
        <v>26711056</v>
      </c>
      <c r="V72" s="15">
        <f>MARZO!V72+ABRIL!AL72</f>
        <v>0</v>
      </c>
      <c r="W72" s="15">
        <f>MARZO!W72+ABRIL!AM72</f>
        <v>0</v>
      </c>
      <c r="X72" s="18">
        <f t="shared" si="72"/>
        <v>26711056</v>
      </c>
      <c r="Y72" s="19">
        <f>MARZO!AA72</f>
        <v>1876532</v>
      </c>
      <c r="Z72" s="377">
        <v>0</v>
      </c>
      <c r="AA72" s="18">
        <f t="shared" si="73"/>
        <v>1876532</v>
      </c>
      <c r="AB72" s="19">
        <f>MARZO!AD72</f>
        <v>1876532</v>
      </c>
      <c r="AC72" s="377">
        <v>0</v>
      </c>
      <c r="AD72" s="18">
        <f t="shared" si="74"/>
        <v>1876532</v>
      </c>
      <c r="AE72" s="19">
        <f>MARZO!AG72</f>
        <v>1876532</v>
      </c>
      <c r="AF72" s="377">
        <v>0</v>
      </c>
      <c r="AG72" s="18">
        <f t="shared" si="75"/>
        <v>1876532</v>
      </c>
      <c r="AH72" s="19">
        <f t="shared" si="76"/>
        <v>24834524</v>
      </c>
      <c r="AI72" s="15">
        <f t="shared" si="77"/>
        <v>24834524</v>
      </c>
      <c r="AJ72" s="16">
        <f t="shared" si="78"/>
        <v>24834524</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+IF(MARZO!A73=0,"",MARZO!A73)</f>
        <v>1130116-1</v>
      </c>
      <c r="B73" s="654" t="str">
        <f>+CONCATENATE("Vigencia ",INSTRUCCIONES!$F$3)</f>
        <v>Vigencia 2015</v>
      </c>
      <c r="C73" s="375">
        <f>+ENERO!C73</f>
        <v>47982534</v>
      </c>
      <c r="D73" s="376">
        <f>MARZO!D73+ABRIL!P73</f>
        <v>0</v>
      </c>
      <c r="E73" s="376">
        <f>MARZO!E73+ABRIL!Q73</f>
        <v>0</v>
      </c>
      <c r="F73" s="376">
        <f>SUM(C73:E73)</f>
        <v>47982534</v>
      </c>
      <c r="G73" s="376">
        <f>MARZO!I73</f>
        <v>11640367</v>
      </c>
      <c r="H73" s="377">
        <v>3254706</v>
      </c>
      <c r="I73" s="376">
        <f>SUM(G73:H73)</f>
        <v>14895073</v>
      </c>
      <c r="J73" s="376">
        <f>MARZO!L73</f>
        <v>5218735</v>
      </c>
      <c r="K73" s="377">
        <v>1797832</v>
      </c>
      <c r="L73" s="376">
        <f>SUM(J73:K73)</f>
        <v>7016567</v>
      </c>
      <c r="M73" s="376">
        <f>F73-I73</f>
        <v>33087461</v>
      </c>
      <c r="N73" s="146">
        <f>F73-L73</f>
        <v>40965967</v>
      </c>
      <c r="O73" s="385"/>
      <c r="P73" s="375">
        <v>0</v>
      </c>
      <c r="Q73" s="378">
        <v>0</v>
      </c>
      <c r="R73" s="9"/>
      <c r="S73" s="720" t="str">
        <f>+IF(MARZO!S73=0,"",MARZO!S73)</f>
        <v>1020104-4</v>
      </c>
      <c r="T73" s="694" t="str">
        <f>+IF(MARZO!T73=0,"",MARZO!T73)</f>
        <v>Prima Clima</v>
      </c>
      <c r="U73" s="27">
        <f>+ENERO!U73</f>
        <v>0</v>
      </c>
      <c r="V73" s="15">
        <f>MARZO!V73+ABRIL!AL73</f>
        <v>0</v>
      </c>
      <c r="W73" s="15">
        <f>MARZO!W73+ABRIL!AM73</f>
        <v>0</v>
      </c>
      <c r="X73" s="18">
        <f t="shared" si="72"/>
        <v>0</v>
      </c>
      <c r="Y73" s="19">
        <f>MARZO!AA73</f>
        <v>0</v>
      </c>
      <c r="Z73" s="377">
        <v>0</v>
      </c>
      <c r="AA73" s="18">
        <f t="shared" si="73"/>
        <v>0</v>
      </c>
      <c r="AB73" s="19">
        <f>MARZO!AD73</f>
        <v>0</v>
      </c>
      <c r="AC73" s="377">
        <v>0</v>
      </c>
      <c r="AD73" s="18">
        <f t="shared" si="74"/>
        <v>0</v>
      </c>
      <c r="AE73" s="19">
        <f>MARZO!AG73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+IF(MARZO!A74=0,"",MARZO!A74)</f>
        <v>1130116-2</v>
      </c>
      <c r="B74" s="654" t="str">
        <f>+IF(MARZO!B74=0,"",MARZO!B74)</f>
        <v>Vigencia Anterior</v>
      </c>
      <c r="C74" s="375">
        <f>+ENERO!C74</f>
        <v>0</v>
      </c>
      <c r="D74" s="376">
        <f>MARZO!D74+ABRIL!P74</f>
        <v>0</v>
      </c>
      <c r="E74" s="376">
        <f>MARZO!E74+ABRIL!Q74</f>
        <v>7739704</v>
      </c>
      <c r="F74" s="376">
        <f>SUM(C74:E74)</f>
        <v>7739704</v>
      </c>
      <c r="G74" s="376">
        <f>MARZO!I74</f>
        <v>7107349</v>
      </c>
      <c r="H74" s="377">
        <v>0</v>
      </c>
      <c r="I74" s="376">
        <f>SUM(G74:H74)</f>
        <v>7107349</v>
      </c>
      <c r="J74" s="376">
        <f>MARZO!L74</f>
        <v>7107349</v>
      </c>
      <c r="K74" s="377">
        <v>0</v>
      </c>
      <c r="L74" s="376">
        <f>SUM(J74:K74)</f>
        <v>7107349</v>
      </c>
      <c r="M74" s="376">
        <f>F74-I74</f>
        <v>632355</v>
      </c>
      <c r="N74" s="146">
        <f>F74-L74</f>
        <v>632355</v>
      </c>
      <c r="O74" s="385"/>
      <c r="P74" s="375">
        <v>0</v>
      </c>
      <c r="Q74" s="378">
        <v>0</v>
      </c>
      <c r="R74" s="9"/>
      <c r="S74" s="720" t="str">
        <f>+IF(MARZO!S74=0,"",MARZO!S74)</f>
        <v>1020104-5</v>
      </c>
      <c r="T74" s="694" t="str">
        <f>+IF(MARZO!T74=0,"",MARZO!T74)</f>
        <v>Prima de Servicios</v>
      </c>
      <c r="U74" s="27">
        <f>+ENERO!U74</f>
        <v>26711056</v>
      </c>
      <c r="V74" s="15">
        <f>MARZO!V74+ABRIL!AL74</f>
        <v>0</v>
      </c>
      <c r="W74" s="15">
        <f>MARZO!W74+ABRIL!AM74</f>
        <v>0</v>
      </c>
      <c r="X74" s="18">
        <f t="shared" si="72"/>
        <v>26711056</v>
      </c>
      <c r="Y74" s="19">
        <f>MARZO!AA74</f>
        <v>0</v>
      </c>
      <c r="Z74" s="377">
        <v>0</v>
      </c>
      <c r="AA74" s="18">
        <f t="shared" si="73"/>
        <v>0</v>
      </c>
      <c r="AB74" s="19">
        <f>MARZO!AD74</f>
        <v>0</v>
      </c>
      <c r="AC74" s="377">
        <v>0</v>
      </c>
      <c r="AD74" s="18">
        <f t="shared" si="74"/>
        <v>0</v>
      </c>
      <c r="AE74" s="19">
        <f>MARZO!AG74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+IF(MARZO!A75=0,"",MARZO!A75)</f>
        <v>1130117</v>
      </c>
      <c r="B75" s="653" t="str">
        <f>+IF(MARZO!B75=0,"",MARZO!B75)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+IF(MARZO!S75=0,"",MARZO!S75)</f>
        <v>1020104-8</v>
      </c>
      <c r="T75" s="694" t="str">
        <f>+IF(MARZO!T75=0,"",MARZO!T75)</f>
        <v>Bonific. por Servicios Prestados (Convencional)</v>
      </c>
      <c r="U75" s="27">
        <f>+ENERO!U75</f>
        <v>0</v>
      </c>
      <c r="V75" s="15">
        <f>MARZO!V75+ABRIL!AL75</f>
        <v>0</v>
      </c>
      <c r="W75" s="15">
        <f>MARZO!W75+ABRIL!AM75</f>
        <v>0</v>
      </c>
      <c r="X75" s="18">
        <f t="shared" si="72"/>
        <v>0</v>
      </c>
      <c r="Y75" s="19">
        <f>MARZO!AA75</f>
        <v>0</v>
      </c>
      <c r="Z75" s="377">
        <v>0</v>
      </c>
      <c r="AA75" s="18">
        <f t="shared" si="73"/>
        <v>0</v>
      </c>
      <c r="AB75" s="19">
        <f>MARZO!AD75</f>
        <v>0</v>
      </c>
      <c r="AC75" s="377">
        <v>0</v>
      </c>
      <c r="AD75" s="18">
        <f t="shared" si="74"/>
        <v>0</v>
      </c>
      <c r="AE75" s="19">
        <f>MARZO!AG75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+IF(MARZO!A76=0,"",MARZO!A76)</f>
        <v>1130117-1</v>
      </c>
      <c r="B76" s="654" t="str">
        <f>+CONCATENATE("Vigencia ",INSTRUCCIONES!$F$3)</f>
        <v>Vigencia 2015</v>
      </c>
      <c r="C76" s="375">
        <f>+ENERO!C76</f>
        <v>0</v>
      </c>
      <c r="D76" s="376">
        <f>MARZO!D76+ABRIL!P76</f>
        <v>0</v>
      </c>
      <c r="E76" s="376">
        <f>MARZO!E76+ABRIL!Q76</f>
        <v>0</v>
      </c>
      <c r="F76" s="376">
        <f t="shared" ref="F76:F83" si="81">SUM(C76:E76)</f>
        <v>0</v>
      </c>
      <c r="G76" s="376">
        <f>MARZO!I76</f>
        <v>0</v>
      </c>
      <c r="H76" s="377">
        <v>0</v>
      </c>
      <c r="I76" s="376">
        <f t="shared" ref="I76:I83" si="82">SUM(G76:H76)</f>
        <v>0</v>
      </c>
      <c r="J76" s="376">
        <f>MARZO!L76</f>
        <v>0</v>
      </c>
      <c r="K76" s="377">
        <v>0</v>
      </c>
      <c r="L76" s="376">
        <f t="shared" ref="L76:L83" si="83">SUM(J76:K76)</f>
        <v>0</v>
      </c>
      <c r="M76" s="376">
        <f t="shared" ref="M76:M83" si="84">F76-I76</f>
        <v>0</v>
      </c>
      <c r="N76" s="146">
        <f t="shared" ref="N76:N83" si="85">F76-L76</f>
        <v>0</v>
      </c>
      <c r="O76" s="385"/>
      <c r="P76" s="375">
        <v>0</v>
      </c>
      <c r="Q76" s="378">
        <v>0</v>
      </c>
      <c r="R76" s="9"/>
      <c r="S76" s="720" t="str">
        <f>+IF(MARZO!S76=0,"",MARZO!S76)</f>
        <v>1020104-9</v>
      </c>
      <c r="T76" s="694" t="str">
        <f>+IF(MARZO!T76=0,"",MARZO!T76)</f>
        <v>Auxilio de Transporte</v>
      </c>
      <c r="U76" s="27">
        <f>+ENERO!U76</f>
        <v>1471200</v>
      </c>
      <c r="V76" s="15">
        <f>MARZO!V76+ABRIL!AL76</f>
        <v>0</v>
      </c>
      <c r="W76" s="15">
        <f>MARZO!W76+ABRIL!AM76</f>
        <v>0</v>
      </c>
      <c r="X76" s="18">
        <f t="shared" si="72"/>
        <v>1471200</v>
      </c>
      <c r="Y76" s="19">
        <f>MARZO!AA76</f>
        <v>146000</v>
      </c>
      <c r="Z76" s="377">
        <v>0</v>
      </c>
      <c r="AA76" s="18">
        <f t="shared" si="73"/>
        <v>146000</v>
      </c>
      <c r="AB76" s="19">
        <f>MARZO!AD76</f>
        <v>146000</v>
      </c>
      <c r="AC76" s="377">
        <v>0</v>
      </c>
      <c r="AD76" s="18">
        <f t="shared" si="74"/>
        <v>146000</v>
      </c>
      <c r="AE76" s="19">
        <f>MARZO!AG76</f>
        <v>132749</v>
      </c>
      <c r="AF76" s="377">
        <v>0</v>
      </c>
      <c r="AG76" s="18">
        <f t="shared" si="75"/>
        <v>132749</v>
      </c>
      <c r="AH76" s="19">
        <f t="shared" si="76"/>
        <v>1325200</v>
      </c>
      <c r="AI76" s="15">
        <f t="shared" si="77"/>
        <v>1325200</v>
      </c>
      <c r="AJ76" s="16">
        <f t="shared" si="78"/>
        <v>1338451</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+IF(MARZO!A77=0,"",MARZO!A77)</f>
        <v>1130117-2</v>
      </c>
      <c r="B77" s="654" t="str">
        <f>+IF(MARZO!B77=0,"",MARZO!B77)</f>
        <v>Vigencia Anterior</v>
      </c>
      <c r="C77" s="375">
        <f>+ENERO!C77</f>
        <v>0</v>
      </c>
      <c r="D77" s="376">
        <f>MARZO!D77+ABRIL!P77</f>
        <v>0</v>
      </c>
      <c r="E77" s="376">
        <f>MARZO!E77+ABRIL!Q77</f>
        <v>0</v>
      </c>
      <c r="F77" s="376">
        <f t="shared" si="81"/>
        <v>0</v>
      </c>
      <c r="G77" s="376">
        <f>MARZO!I77</f>
        <v>0</v>
      </c>
      <c r="H77" s="377">
        <v>0</v>
      </c>
      <c r="I77" s="376">
        <f t="shared" si="82"/>
        <v>0</v>
      </c>
      <c r="J77" s="376">
        <f>MARZO!L77</f>
        <v>0</v>
      </c>
      <c r="K77" s="377">
        <v>0</v>
      </c>
      <c r="L77" s="376">
        <f t="shared" si="83"/>
        <v>0</v>
      </c>
      <c r="M77" s="376">
        <f t="shared" si="84"/>
        <v>0</v>
      </c>
      <c r="N77" s="146">
        <f t="shared" si="85"/>
        <v>0</v>
      </c>
      <c r="O77" s="385"/>
      <c r="P77" s="375">
        <v>0</v>
      </c>
      <c r="Q77" s="378">
        <v>0</v>
      </c>
      <c r="R77" s="9"/>
      <c r="S77" s="720" t="str">
        <f>+IF(MARZO!S77=0,"",MARZO!S77)</f>
        <v>1020104-10</v>
      </c>
      <c r="T77" s="694" t="str">
        <f>+IF(MARZO!T77=0,"",MARZO!T77)</f>
        <v>Subsidio de Alimentación</v>
      </c>
      <c r="U77" s="27">
        <f>+ENERO!U77</f>
        <v>0</v>
      </c>
      <c r="V77" s="15">
        <f>MARZO!V77+ABRIL!AL77</f>
        <v>0</v>
      </c>
      <c r="W77" s="15">
        <f>MARZO!W77+ABRIL!AM77</f>
        <v>0</v>
      </c>
      <c r="X77" s="18">
        <f t="shared" si="72"/>
        <v>0</v>
      </c>
      <c r="Y77" s="19">
        <f>MARZO!AA77</f>
        <v>0</v>
      </c>
      <c r="Z77" s="377">
        <v>0</v>
      </c>
      <c r="AA77" s="18">
        <f t="shared" si="73"/>
        <v>0</v>
      </c>
      <c r="AB77" s="19">
        <f>MARZO!AD77</f>
        <v>0</v>
      </c>
      <c r="AC77" s="377">
        <v>0</v>
      </c>
      <c r="AD77" s="18">
        <f t="shared" si="74"/>
        <v>0</v>
      </c>
      <c r="AE77" s="19">
        <f>MARZO!AG77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+IF(MARZO!A78=0,"",MARZO!A78)</f>
        <v>1130118</v>
      </c>
      <c r="B78" s="653" t="str">
        <f>+IF(MARZO!B78=0,"",MARZO!B78)</f>
        <v>PARTICULARES   (Venta de Contado)</v>
      </c>
      <c r="C78" s="43">
        <f>SUM(C79:C80)</f>
        <v>151788162</v>
      </c>
      <c r="D78" s="44">
        <f>SUM(D79:D80)</f>
        <v>0</v>
      </c>
      <c r="E78" s="44">
        <f>SUM(E79:E80)</f>
        <v>0</v>
      </c>
      <c r="F78" s="44">
        <f t="shared" si="81"/>
        <v>151788162</v>
      </c>
      <c r="G78" s="44">
        <f>SUM(G79:G80)</f>
        <v>33375975</v>
      </c>
      <c r="H78" s="44">
        <f>SUM(H79:H80)</f>
        <v>10774826</v>
      </c>
      <c r="I78" s="44">
        <f t="shared" si="82"/>
        <v>44150801</v>
      </c>
      <c r="J78" s="44">
        <f>SUM(J79:J80)</f>
        <v>33375975</v>
      </c>
      <c r="K78" s="44">
        <f>SUM(K79:K80)</f>
        <v>10774826</v>
      </c>
      <c r="L78" s="44">
        <f t="shared" si="83"/>
        <v>44150801</v>
      </c>
      <c r="M78" s="44">
        <f t="shared" si="84"/>
        <v>107637361</v>
      </c>
      <c r="N78" s="45">
        <f t="shared" si="85"/>
        <v>107637361</v>
      </c>
      <c r="O78" s="385"/>
      <c r="P78" s="43">
        <f>SUM(P79:P80)</f>
        <v>0</v>
      </c>
      <c r="Q78" s="45">
        <f>SUM(Q79:Q80)</f>
        <v>0</v>
      </c>
      <c r="R78" s="9"/>
      <c r="S78" s="720" t="str">
        <f>+IF(MARZO!S78=0,"",MARZO!S78)</f>
        <v>1020104-12</v>
      </c>
      <c r="T78" s="694" t="str">
        <f>+IF(MARZO!T78=0,"",MARZO!T78)</f>
        <v>Indemnizaciones por Vacaciones o Supresión de Cargos por Reestructuración</v>
      </c>
      <c r="U78" s="27">
        <f>+ENERO!U78</f>
        <v>0</v>
      </c>
      <c r="V78" s="15">
        <f>MARZO!V78+ABRIL!AL78</f>
        <v>0</v>
      </c>
      <c r="W78" s="15">
        <f>MARZO!W78+ABRIL!AM78</f>
        <v>0</v>
      </c>
      <c r="X78" s="18">
        <f t="shared" si="72"/>
        <v>0</v>
      </c>
      <c r="Y78" s="19">
        <f>MARZO!AA78</f>
        <v>0</v>
      </c>
      <c r="Z78" s="377">
        <v>0</v>
      </c>
      <c r="AA78" s="18">
        <f t="shared" si="73"/>
        <v>0</v>
      </c>
      <c r="AB78" s="19">
        <f>MARZO!AD78</f>
        <v>0</v>
      </c>
      <c r="AC78" s="377">
        <v>0</v>
      </c>
      <c r="AD78" s="18">
        <f t="shared" si="74"/>
        <v>0</v>
      </c>
      <c r="AE78" s="19">
        <f>MARZO!AG78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+IF(MARZO!A79=0,"",MARZO!A79)</f>
        <v>1130118-1</v>
      </c>
      <c r="B79" s="654" t="str">
        <f>+CONCATENATE("Vigencia ",INSTRUCCIONES!$F$3)</f>
        <v>Vigencia 2015</v>
      </c>
      <c r="C79" s="375">
        <f>+ENERO!C79</f>
        <v>151788162</v>
      </c>
      <c r="D79" s="376">
        <f>MARZO!D79+ABRIL!P79</f>
        <v>0</v>
      </c>
      <c r="E79" s="376">
        <f>MARZO!E79+ABRIL!Q79</f>
        <v>0</v>
      </c>
      <c r="F79" s="376">
        <f t="shared" si="81"/>
        <v>151788162</v>
      </c>
      <c r="G79" s="376">
        <f>MARZO!I79</f>
        <v>33375975</v>
      </c>
      <c r="H79" s="377">
        <v>10774826</v>
      </c>
      <c r="I79" s="376">
        <f t="shared" si="82"/>
        <v>44150801</v>
      </c>
      <c r="J79" s="376">
        <f>MARZO!L79</f>
        <v>33375975</v>
      </c>
      <c r="K79" s="377">
        <v>10774826</v>
      </c>
      <c r="L79" s="376">
        <f t="shared" si="83"/>
        <v>44150801</v>
      </c>
      <c r="M79" s="376">
        <f t="shared" si="84"/>
        <v>107637361</v>
      </c>
      <c r="N79" s="146">
        <f t="shared" si="85"/>
        <v>107637361</v>
      </c>
      <c r="P79" s="375">
        <v>0</v>
      </c>
      <c r="Q79" s="378">
        <v>0</v>
      </c>
      <c r="R79" s="9"/>
      <c r="S79" s="720" t="str">
        <f>+IF(MARZO!S79=0,"",MARZO!S79)</f>
        <v>1020104-13</v>
      </c>
      <c r="T79" s="694" t="str">
        <f>+IF(MARZO!T79=0,"",MARZO!T79)</f>
        <v>Bonificación Especial por Recreación</v>
      </c>
      <c r="U79" s="27">
        <f>+ENERO!U79</f>
        <v>3561474</v>
      </c>
      <c r="V79" s="15">
        <f>MARZO!V79+ABRIL!AL79</f>
        <v>0</v>
      </c>
      <c r="W79" s="15">
        <f>MARZO!W79+ABRIL!AM79</f>
        <v>0</v>
      </c>
      <c r="X79" s="18">
        <f t="shared" si="72"/>
        <v>3561474</v>
      </c>
      <c r="Y79" s="19">
        <f>MARZO!AA79</f>
        <v>250204</v>
      </c>
      <c r="Z79" s="377">
        <v>0</v>
      </c>
      <c r="AA79" s="18">
        <f t="shared" si="73"/>
        <v>250204</v>
      </c>
      <c r="AB79" s="19">
        <f>MARZO!AD79</f>
        <v>250204</v>
      </c>
      <c r="AC79" s="377">
        <v>0</v>
      </c>
      <c r="AD79" s="18">
        <f t="shared" si="74"/>
        <v>250204</v>
      </c>
      <c r="AE79" s="19">
        <f>MARZO!AG79</f>
        <v>250204</v>
      </c>
      <c r="AF79" s="377">
        <v>0</v>
      </c>
      <c r="AG79" s="18">
        <f t="shared" si="75"/>
        <v>250204</v>
      </c>
      <c r="AH79" s="19">
        <f t="shared" si="76"/>
        <v>3311270</v>
      </c>
      <c r="AI79" s="15">
        <f t="shared" si="77"/>
        <v>3311270</v>
      </c>
      <c r="AJ79" s="16">
        <f t="shared" si="78"/>
        <v>3311270</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+IF(MARZO!A80=0,"",MARZO!A80)</f>
        <v>1130118-2</v>
      </c>
      <c r="B80" s="654" t="str">
        <f>+IF(MARZO!B80=0,"",MARZO!B80)</f>
        <v>Vigencia Anterior</v>
      </c>
      <c r="C80" s="375">
        <f>+ENERO!C80</f>
        <v>0</v>
      </c>
      <c r="D80" s="376">
        <f>MARZO!D80+ABRIL!P80</f>
        <v>0</v>
      </c>
      <c r="E80" s="376">
        <f>MARZO!E80+ABRIL!Q80</f>
        <v>0</v>
      </c>
      <c r="F80" s="376">
        <f t="shared" si="81"/>
        <v>0</v>
      </c>
      <c r="G80" s="376">
        <f>MARZO!I80</f>
        <v>0</v>
      </c>
      <c r="H80" s="377">
        <v>0</v>
      </c>
      <c r="I80" s="376">
        <f t="shared" si="82"/>
        <v>0</v>
      </c>
      <c r="J80" s="376">
        <f>MARZO!L80</f>
        <v>0</v>
      </c>
      <c r="K80" s="377">
        <v>0</v>
      </c>
      <c r="L80" s="376">
        <f t="shared" si="83"/>
        <v>0</v>
      </c>
      <c r="M80" s="376">
        <f t="shared" si="84"/>
        <v>0</v>
      </c>
      <c r="N80" s="146">
        <f t="shared" si="85"/>
        <v>0</v>
      </c>
      <c r="O80" s="385"/>
      <c r="P80" s="375">
        <v>0</v>
      </c>
      <c r="Q80" s="378">
        <v>0</v>
      </c>
      <c r="S80" s="720" t="str">
        <f>+IF(MARZO!S80=0,"",MARZO!S80)</f>
        <v>1020104-14</v>
      </c>
      <c r="T80" s="694" t="str">
        <f>+IF(MARZO!T80=0,"",MARZO!T80)</f>
        <v/>
      </c>
      <c r="U80" s="27">
        <f>+ENERO!U80</f>
        <v>0</v>
      </c>
      <c r="V80" s="15">
        <f>MARZO!V80+ABRIL!AL80</f>
        <v>0</v>
      </c>
      <c r="W80" s="15">
        <f>MARZO!W80+ABRIL!AM80</f>
        <v>0</v>
      </c>
      <c r="X80" s="18">
        <f t="shared" si="72"/>
        <v>0</v>
      </c>
      <c r="Y80" s="19">
        <f>MARZO!AA80</f>
        <v>0</v>
      </c>
      <c r="Z80" s="377">
        <v>0</v>
      </c>
      <c r="AA80" s="18">
        <f t="shared" si="73"/>
        <v>0</v>
      </c>
      <c r="AB80" s="19">
        <f>MARZO!AD80</f>
        <v>0</v>
      </c>
      <c r="AC80" s="377">
        <v>0</v>
      </c>
      <c r="AD80" s="18">
        <f t="shared" si="74"/>
        <v>0</v>
      </c>
      <c r="AE80" s="19">
        <f>MARZO!AG80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+IF(MARZO!A81=0,"",MARZO!A81)</f>
        <v>1130119</v>
      </c>
      <c r="B81" s="657" t="str">
        <f>+IF(MARZO!B81=0,"",MARZO!B81)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+IF(MARZO!S81=0,"",MARZO!S81)</f>
        <v>1020199</v>
      </c>
      <c r="T81" s="693" t="str">
        <f>+IF(MARZO!T81=0,"",MARZO!T81)</f>
        <v>Vigencias Anteriores</v>
      </c>
      <c r="U81" s="27">
        <f>+ENERO!U81</f>
        <v>0</v>
      </c>
      <c r="V81" s="15">
        <f>MARZO!V81+ABRIL!AL81</f>
        <v>0</v>
      </c>
      <c r="W81" s="15">
        <f>MARZO!W81+ABRIL!AM81</f>
        <v>13655677</v>
      </c>
      <c r="X81" s="18">
        <f t="shared" si="72"/>
        <v>13655677</v>
      </c>
      <c r="Y81" s="19">
        <f>MARZO!AA81</f>
        <v>13655677</v>
      </c>
      <c r="Z81" s="377">
        <v>0</v>
      </c>
      <c r="AA81" s="18">
        <f t="shared" si="73"/>
        <v>13655677</v>
      </c>
      <c r="AB81" s="19">
        <f>MARZO!AD81</f>
        <v>13655677</v>
      </c>
      <c r="AC81" s="377">
        <v>0</v>
      </c>
      <c r="AD81" s="18">
        <f t="shared" si="74"/>
        <v>13655677</v>
      </c>
      <c r="AE81" s="19">
        <f>MARZO!AG81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+IF(MARZO!A82=0,"",MARZO!A82)</f>
        <v>1130119-1</v>
      </c>
      <c r="B82" s="654" t="str">
        <f>+CONCATENATE("Vigencia ",INSTRUCCIONES!$F$3)</f>
        <v>Vigencia 2015</v>
      </c>
      <c r="C82" s="375">
        <f>+ENERO!C82</f>
        <v>0</v>
      </c>
      <c r="D82" s="376">
        <f>MARZO!D82+ABRIL!P82</f>
        <v>0</v>
      </c>
      <c r="E82" s="376">
        <f>MARZO!E82+ABRIL!Q82</f>
        <v>0</v>
      </c>
      <c r="F82" s="376">
        <f t="shared" si="81"/>
        <v>0</v>
      </c>
      <c r="G82" s="376">
        <f>MARZO!I82</f>
        <v>0</v>
      </c>
      <c r="H82" s="377">
        <v>0</v>
      </c>
      <c r="I82" s="376">
        <f t="shared" si="82"/>
        <v>0</v>
      </c>
      <c r="J82" s="376">
        <f>MARZO!L82</f>
        <v>0</v>
      </c>
      <c r="K82" s="377">
        <v>0</v>
      </c>
      <c r="L82" s="376">
        <f t="shared" si="83"/>
        <v>0</v>
      </c>
      <c r="M82" s="376">
        <f t="shared" si="84"/>
        <v>0</v>
      </c>
      <c r="N82" s="146">
        <f t="shared" si="85"/>
        <v>0</v>
      </c>
      <c r="P82" s="375">
        <v>0</v>
      </c>
      <c r="Q82" s="378">
        <v>0</v>
      </c>
      <c r="R82" s="9"/>
      <c r="S82" s="369" t="str">
        <f>+IF(MARZO!S82=0,"",MARZO!S82)</f>
        <v/>
      </c>
      <c r="T82" s="708" t="str">
        <f>+IF(MARZO!T82=0,"",MARZO!T82)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+IF(MARZO!A83=0,"",MARZO!A83)</f>
        <v>1130119-2</v>
      </c>
      <c r="B83" s="658" t="str">
        <f>+IF(MARZO!B83=0,"",MARZO!B83)</f>
        <v>Vigencia Anterior</v>
      </c>
      <c r="C83" s="387">
        <f>+ENERO!C83</f>
        <v>0</v>
      </c>
      <c r="D83" s="388">
        <f>MARZO!D83+ABRIL!P83</f>
        <v>0</v>
      </c>
      <c r="E83" s="388">
        <f>MARZO!E83+ABRIL!Q83</f>
        <v>0</v>
      </c>
      <c r="F83" s="388">
        <f t="shared" si="81"/>
        <v>0</v>
      </c>
      <c r="G83" s="388">
        <f>MARZO!I83</f>
        <v>0</v>
      </c>
      <c r="H83" s="391">
        <v>0</v>
      </c>
      <c r="I83" s="388">
        <f t="shared" si="82"/>
        <v>0</v>
      </c>
      <c r="J83" s="388">
        <f>MARZO!L83</f>
        <v>0</v>
      </c>
      <c r="K83" s="391">
        <v>0</v>
      </c>
      <c r="L83" s="388">
        <f t="shared" si="83"/>
        <v>0</v>
      </c>
      <c r="M83" s="388">
        <f t="shared" si="84"/>
        <v>0</v>
      </c>
      <c r="N83" s="389">
        <f t="shared" si="85"/>
        <v>0</v>
      </c>
      <c r="P83" s="375">
        <v>0</v>
      </c>
      <c r="Q83" s="378">
        <v>0</v>
      </c>
      <c r="R83" s="9"/>
      <c r="S83" s="718">
        <f>+IF(MARZO!S83=0,"",MARZO!S83)</f>
        <v>1020200</v>
      </c>
      <c r="T83" s="692" t="str">
        <f>+IF(MARZO!T83=0,"",MARZO!T83)</f>
        <v>Servicios Personales Indirectos</v>
      </c>
      <c r="U83" s="135">
        <f t="shared" ref="U83:AJ83" si="87">SUM(U84:U88)</f>
        <v>151257124</v>
      </c>
      <c r="V83" s="124">
        <f t="shared" si="87"/>
        <v>0</v>
      </c>
      <c r="W83" s="124">
        <f t="shared" si="87"/>
        <v>6884000</v>
      </c>
      <c r="X83" s="132">
        <f t="shared" si="87"/>
        <v>158141124</v>
      </c>
      <c r="Y83" s="131">
        <f t="shared" si="87"/>
        <v>74728667</v>
      </c>
      <c r="Z83" s="124">
        <f t="shared" si="87"/>
        <v>12730000</v>
      </c>
      <c r="AA83" s="132">
        <f t="shared" si="87"/>
        <v>87458667</v>
      </c>
      <c r="AB83" s="131">
        <f t="shared" si="87"/>
        <v>37646000</v>
      </c>
      <c r="AC83" s="124">
        <f t="shared" si="87"/>
        <v>12908000</v>
      </c>
      <c r="AD83" s="132">
        <f t="shared" si="87"/>
        <v>50554000</v>
      </c>
      <c r="AE83" s="131">
        <f t="shared" si="87"/>
        <v>27538000</v>
      </c>
      <c r="AF83" s="124">
        <f t="shared" si="87"/>
        <v>12308000</v>
      </c>
      <c r="AG83" s="132">
        <f t="shared" si="87"/>
        <v>39846000</v>
      </c>
      <c r="AH83" s="131">
        <f t="shared" si="87"/>
        <v>70682457</v>
      </c>
      <c r="AI83" s="124">
        <f t="shared" si="87"/>
        <v>107587124</v>
      </c>
      <c r="AJ83" s="133">
        <f t="shared" si="87"/>
        <v>118295124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+IF(MARZO!A84=0,"",MARZO!A84)</f>
        <v/>
      </c>
      <c r="B84" s="659" t="str">
        <f>+IF(MARZO!B84=0,"",MARZO!B84)</f>
        <v/>
      </c>
      <c r="C84" s="297"/>
      <c r="D84" s="297"/>
      <c r="E84" s="297"/>
      <c r="F84" s="297"/>
      <c r="G84" s="297"/>
      <c r="H84" s="297"/>
      <c r="I84" s="297"/>
      <c r="J84" s="297"/>
      <c r="K84" s="297"/>
      <c r="L84" s="297"/>
      <c r="M84" s="297"/>
      <c r="N84" s="466"/>
      <c r="O84" s="464"/>
      <c r="P84" s="470"/>
      <c r="Q84" s="394"/>
      <c r="R84" s="9"/>
      <c r="S84" s="719" t="str">
        <f>+IF(MARZO!S84=0,"",MARZO!S84)</f>
        <v>1020200-1</v>
      </c>
      <c r="T84" s="693" t="str">
        <f>+IF(MARZO!T84=0,"",MARZO!T84)</f>
        <v>Remuneración y Honorarios por Servicios Técnicos y Profesionales</v>
      </c>
      <c r="U84" s="27">
        <f>+ENERO!U84</f>
        <v>151257124</v>
      </c>
      <c r="V84" s="15">
        <f>MARZO!V84+ABRIL!AL84</f>
        <v>0</v>
      </c>
      <c r="W84" s="15">
        <f>MARZO!W84+ABRIL!AM84</f>
        <v>0</v>
      </c>
      <c r="X84" s="18">
        <f>SUM(U84:W84)</f>
        <v>151257124</v>
      </c>
      <c r="Y84" s="19">
        <f>MARZO!AA84</f>
        <v>67844667</v>
      </c>
      <c r="Z84" s="377">
        <v>12730000</v>
      </c>
      <c r="AA84" s="18">
        <f>SUM(Y84:Z84)</f>
        <v>80574667</v>
      </c>
      <c r="AB84" s="19">
        <f>MARZO!AD84</f>
        <v>30762000</v>
      </c>
      <c r="AC84" s="377">
        <v>12908000</v>
      </c>
      <c r="AD84" s="18">
        <f>SUM(AB84:AC84)</f>
        <v>43670000</v>
      </c>
      <c r="AE84" s="19">
        <f>MARZO!AG84</f>
        <v>20654000</v>
      </c>
      <c r="AF84" s="377">
        <v>12308000</v>
      </c>
      <c r="AG84" s="18">
        <f>SUM(AE84:AF84)</f>
        <v>32962000</v>
      </c>
      <c r="AH84" s="19">
        <f>X84-AA84</f>
        <v>70682457</v>
      </c>
      <c r="AI84" s="15">
        <f>X84-AD84</f>
        <v>107587124</v>
      </c>
      <c r="AJ84" s="16">
        <f>X84-AG84</f>
        <v>118295124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+IF(MARZO!A85=0,"",MARZO!A85)</f>
        <v>11302</v>
      </c>
      <c r="B85" s="660" t="str">
        <f>+IF(MARZO!B85=0,"",MARZO!B85)</f>
        <v>Otras Ventas de Servicios de Salud</v>
      </c>
      <c r="C85" s="625">
        <f t="shared" ref="C85:N85" si="88">SUM(C86:C92)</f>
        <v>74000000</v>
      </c>
      <c r="D85" s="623">
        <f t="shared" si="88"/>
        <v>0</v>
      </c>
      <c r="E85" s="623">
        <f t="shared" si="88"/>
        <v>0</v>
      </c>
      <c r="F85" s="623">
        <f t="shared" si="88"/>
        <v>74000000</v>
      </c>
      <c r="G85" s="623">
        <f t="shared" si="88"/>
        <v>15804519</v>
      </c>
      <c r="H85" s="623">
        <f t="shared" si="88"/>
        <v>3334167</v>
      </c>
      <c r="I85" s="623">
        <f t="shared" si="88"/>
        <v>19138686</v>
      </c>
      <c r="J85" s="623">
        <f t="shared" si="88"/>
        <v>0</v>
      </c>
      <c r="K85" s="623">
        <f t="shared" si="88"/>
        <v>0</v>
      </c>
      <c r="L85" s="623">
        <f t="shared" si="88"/>
        <v>0</v>
      </c>
      <c r="M85" s="623">
        <f t="shared" si="88"/>
        <v>54861314</v>
      </c>
      <c r="N85" s="624">
        <f t="shared" si="88"/>
        <v>74000000</v>
      </c>
      <c r="P85" s="43">
        <f>SUM(P86:P92)</f>
        <v>0</v>
      </c>
      <c r="Q85" s="45">
        <f>SUM(Q86:Q92)</f>
        <v>0</v>
      </c>
      <c r="R85" s="9"/>
      <c r="S85" s="719" t="str">
        <f>+IF(MARZO!S85=0,"",MARZO!S85)</f>
        <v>1020200-2</v>
      </c>
      <c r="T85" s="693" t="str">
        <f>+IF(MARZO!T85=0,"",MARZO!T85)</f>
        <v>Personal Supernumerario</v>
      </c>
      <c r="U85" s="27">
        <f>+ENERO!U85</f>
        <v>0</v>
      </c>
      <c r="V85" s="15">
        <f>MARZO!V85+ABRIL!AL85</f>
        <v>0</v>
      </c>
      <c r="W85" s="15">
        <f>MARZO!W85+ABRIL!AM85</f>
        <v>0</v>
      </c>
      <c r="X85" s="18">
        <f>SUM(U85:W85)</f>
        <v>0</v>
      </c>
      <c r="Y85" s="19">
        <f>MARZO!AA85</f>
        <v>0</v>
      </c>
      <c r="Z85" s="377">
        <v>0</v>
      </c>
      <c r="AA85" s="18">
        <f>SUM(Y85:Z85)</f>
        <v>0</v>
      </c>
      <c r="AB85" s="19">
        <f>MARZO!AD85</f>
        <v>0</v>
      </c>
      <c r="AC85" s="377">
        <v>0</v>
      </c>
      <c r="AD85" s="18">
        <f>SUM(AB85:AC85)</f>
        <v>0</v>
      </c>
      <c r="AE85" s="19">
        <f>MARZO!AG85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+IF(MARZO!A86=0,"",MARZO!A86)</f>
        <v>1130201</v>
      </c>
      <c r="B86" s="634" t="str">
        <f>+IF(MARZO!B86=0,"",MARZO!B86)</f>
        <v/>
      </c>
      <c r="C86" s="401">
        <f>+ENERO!C86</f>
        <v>0</v>
      </c>
      <c r="D86" s="376">
        <f>MARZO!D86+ABRIL!P86</f>
        <v>0</v>
      </c>
      <c r="E86" s="376">
        <f>MARZO!E86+ABRIL!Q86</f>
        <v>0</v>
      </c>
      <c r="F86" s="376">
        <f t="shared" ref="F86:F92" si="89">SUM(C86:E86)</f>
        <v>0</v>
      </c>
      <c r="G86" s="376">
        <f>MARZO!I86</f>
        <v>0</v>
      </c>
      <c r="H86" s="377">
        <v>0</v>
      </c>
      <c r="I86" s="376">
        <f t="shared" ref="I86:I92" si="90">SUM(G86:H86)</f>
        <v>0</v>
      </c>
      <c r="J86" s="376">
        <f>MARZO!L86</f>
        <v>0</v>
      </c>
      <c r="K86" s="377">
        <v>0</v>
      </c>
      <c r="L86" s="376">
        <f t="shared" ref="L86:L92" si="91">SUM(J86:K86)</f>
        <v>0</v>
      </c>
      <c r="M86" s="376">
        <f t="shared" ref="M86:M92" si="92">F86-I86</f>
        <v>0</v>
      </c>
      <c r="N86" s="146">
        <f t="shared" ref="N86:N92" si="93">F86-L86</f>
        <v>0</v>
      </c>
      <c r="O86" s="385"/>
      <c r="P86" s="375">
        <v>0</v>
      </c>
      <c r="Q86" s="378">
        <v>0</v>
      </c>
      <c r="S86" s="719" t="str">
        <f>+IF(MARZO!S86=0,"",MARZO!S86)</f>
        <v>1020200-4</v>
      </c>
      <c r="T86" s="693" t="str">
        <f>+IF(MARZO!T86=0,"",MARZO!T86)</f>
        <v>Otros Honorarios (Servicios de Cooperativa)</v>
      </c>
      <c r="U86" s="27">
        <f>+ENERO!U86</f>
        <v>0</v>
      </c>
      <c r="V86" s="15">
        <f>MARZO!V86+ABRIL!AL86</f>
        <v>0</v>
      </c>
      <c r="W86" s="15">
        <f>MARZO!W86+ABRIL!AM86</f>
        <v>0</v>
      </c>
      <c r="X86" s="18">
        <f>SUM(U86:W86)</f>
        <v>0</v>
      </c>
      <c r="Y86" s="19">
        <f>MARZO!AA86</f>
        <v>0</v>
      </c>
      <c r="Z86" s="377">
        <v>0</v>
      </c>
      <c r="AA86" s="18">
        <f>SUM(Y86:Z86)</f>
        <v>0</v>
      </c>
      <c r="AB86" s="19">
        <f>MARZO!AD86</f>
        <v>0</v>
      </c>
      <c r="AC86" s="377">
        <v>0</v>
      </c>
      <c r="AD86" s="18">
        <f>SUM(AB86:AC86)</f>
        <v>0</v>
      </c>
      <c r="AE86" s="19">
        <f>MARZO!AG86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+IF(MARZO!A87=0,"",MARZO!A87)</f>
        <v>1130202</v>
      </c>
      <c r="B87" s="634" t="str">
        <f>+IF(MARZO!B87=0,"",MARZO!B87)</f>
        <v/>
      </c>
      <c r="C87" s="401">
        <f>+ENERO!C87</f>
        <v>0</v>
      </c>
      <c r="D87" s="376">
        <f>MARZO!D87+ABRIL!P87</f>
        <v>0</v>
      </c>
      <c r="E87" s="376">
        <f>MARZO!E87+ABRIL!Q87</f>
        <v>0</v>
      </c>
      <c r="F87" s="376">
        <f t="shared" si="89"/>
        <v>0</v>
      </c>
      <c r="G87" s="376">
        <f>MARZO!I87</f>
        <v>0</v>
      </c>
      <c r="H87" s="377">
        <v>0</v>
      </c>
      <c r="I87" s="376">
        <f t="shared" si="90"/>
        <v>0</v>
      </c>
      <c r="J87" s="376">
        <f>MARZO!L87</f>
        <v>0</v>
      </c>
      <c r="K87" s="377">
        <v>0</v>
      </c>
      <c r="L87" s="376">
        <f t="shared" si="91"/>
        <v>0</v>
      </c>
      <c r="M87" s="376">
        <f t="shared" si="92"/>
        <v>0</v>
      </c>
      <c r="N87" s="146">
        <f t="shared" si="93"/>
        <v>0</v>
      </c>
      <c r="P87" s="375">
        <v>0</v>
      </c>
      <c r="Q87" s="378">
        <v>0</v>
      </c>
      <c r="R87" s="9"/>
      <c r="S87" s="719" t="str">
        <f>+IF(MARZO!S87=0,"",MARZO!S87)</f>
        <v/>
      </c>
      <c r="T87" s="693" t="str">
        <f>+IF(MARZO!T87=0,"",MARZO!T87)</f>
        <v/>
      </c>
      <c r="U87" s="27">
        <f>+ENERO!U87</f>
        <v>0</v>
      </c>
      <c r="V87" s="15">
        <f>MARZO!V87+ABRIL!AL87</f>
        <v>0</v>
      </c>
      <c r="W87" s="15">
        <f>MARZO!W87+ABRIL!AM87</f>
        <v>0</v>
      </c>
      <c r="X87" s="18">
        <f>SUM(U87:W87)</f>
        <v>0</v>
      </c>
      <c r="Y87" s="19">
        <f>MARZO!AA87</f>
        <v>0</v>
      </c>
      <c r="Z87" s="377">
        <v>0</v>
      </c>
      <c r="AA87" s="18">
        <f>SUM(Y87:Z87)</f>
        <v>0</v>
      </c>
      <c r="AB87" s="19">
        <f>MARZO!AD87</f>
        <v>0</v>
      </c>
      <c r="AC87" s="377">
        <v>0</v>
      </c>
      <c r="AD87" s="18">
        <f>SUM(AB87:AC87)</f>
        <v>0</v>
      </c>
      <c r="AE87" s="19">
        <f>MARZO!AG87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+IF(MARZO!A88=0,"",MARZO!A88)</f>
        <v>1130203</v>
      </c>
      <c r="B88" s="635" t="str">
        <f>+IF(MARZO!B88=0,"",MARZO!B88)</f>
        <v>CONVENIOS CON LA NACION LIGADOS A LA VENTA DE SERVICIOS</v>
      </c>
      <c r="C88" s="401">
        <f>+ENERO!C88</f>
        <v>0</v>
      </c>
      <c r="D88" s="376">
        <f>MARZO!D88+ABRIL!P88</f>
        <v>0</v>
      </c>
      <c r="E88" s="376">
        <f>MARZO!E88+ABRIL!Q88</f>
        <v>0</v>
      </c>
      <c r="F88" s="376">
        <f t="shared" si="89"/>
        <v>0</v>
      </c>
      <c r="G88" s="376">
        <f>MARZO!I88</f>
        <v>0</v>
      </c>
      <c r="H88" s="377">
        <v>0</v>
      </c>
      <c r="I88" s="376">
        <f t="shared" si="90"/>
        <v>0</v>
      </c>
      <c r="J88" s="376">
        <f>MARZO!L88</f>
        <v>0</v>
      </c>
      <c r="K88" s="377">
        <v>0</v>
      </c>
      <c r="L88" s="376">
        <f t="shared" si="91"/>
        <v>0</v>
      </c>
      <c r="M88" s="376">
        <f t="shared" si="92"/>
        <v>0</v>
      </c>
      <c r="N88" s="146">
        <f t="shared" si="93"/>
        <v>0</v>
      </c>
      <c r="P88" s="375">
        <v>0</v>
      </c>
      <c r="Q88" s="378">
        <v>0</v>
      </c>
      <c r="R88" s="9"/>
      <c r="S88" s="719">
        <f>+IF(MARZO!S88=0,"",MARZO!S88)</f>
        <v>1020299</v>
      </c>
      <c r="T88" s="693" t="str">
        <f>+IF(MARZO!T88=0,"",MARZO!T88)</f>
        <v>Vigencias Anteriores</v>
      </c>
      <c r="U88" s="27">
        <f>+ENERO!U88</f>
        <v>0</v>
      </c>
      <c r="V88" s="15">
        <f>MARZO!V88+ABRIL!AL88</f>
        <v>0</v>
      </c>
      <c r="W88" s="15">
        <f>MARZO!W88+ABRIL!AM88</f>
        <v>6884000</v>
      </c>
      <c r="X88" s="18">
        <f>SUM(U88:W88)</f>
        <v>6884000</v>
      </c>
      <c r="Y88" s="19">
        <f>MARZO!AA88</f>
        <v>6884000</v>
      </c>
      <c r="Z88" s="377">
        <v>0</v>
      </c>
      <c r="AA88" s="18">
        <f>SUM(Y88:Z88)</f>
        <v>6884000</v>
      </c>
      <c r="AB88" s="19">
        <f>MARZO!AD88</f>
        <v>6884000</v>
      </c>
      <c r="AC88" s="377">
        <v>0</v>
      </c>
      <c r="AD88" s="18">
        <f>SUM(AB88:AC88)</f>
        <v>6884000</v>
      </c>
      <c r="AE88" s="19">
        <f>MARZO!AG88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+IF(MARZO!A89=0,"",MARZO!A89)</f>
        <v>1130204</v>
      </c>
      <c r="B89" s="635" t="str">
        <f>+IF(MARZO!B89=0,"",MARZO!B89)</f>
        <v>CONVENIOS CON EL DEPARTAMENTO LIGADOS A LA VENTA SERVICIOS</v>
      </c>
      <c r="C89" s="401">
        <f>+ENERO!C89</f>
        <v>50000000</v>
      </c>
      <c r="D89" s="376">
        <f>MARZO!D89+ABRIL!P89</f>
        <v>0</v>
      </c>
      <c r="E89" s="376">
        <f>MARZO!E89+ABRIL!Q89</f>
        <v>0</v>
      </c>
      <c r="F89" s="376">
        <f t="shared" si="89"/>
        <v>50000000</v>
      </c>
      <c r="G89" s="376">
        <f>MARZO!I89</f>
        <v>12364519</v>
      </c>
      <c r="H89" s="377">
        <v>2294167</v>
      </c>
      <c r="I89" s="376">
        <f t="shared" si="90"/>
        <v>14658686</v>
      </c>
      <c r="J89" s="376">
        <f>MARZO!L89</f>
        <v>0</v>
      </c>
      <c r="K89" s="377">
        <v>0</v>
      </c>
      <c r="L89" s="376">
        <f t="shared" si="91"/>
        <v>0</v>
      </c>
      <c r="M89" s="376">
        <f t="shared" si="92"/>
        <v>35341314</v>
      </c>
      <c r="N89" s="146">
        <f t="shared" si="93"/>
        <v>50000000</v>
      </c>
      <c r="P89" s="375">
        <v>0</v>
      </c>
      <c r="Q89" s="378">
        <v>0</v>
      </c>
      <c r="R89" s="9"/>
      <c r="S89" s="369" t="str">
        <f>+IF(MARZO!S89=0,"",MARZO!S89)</f>
        <v/>
      </c>
      <c r="T89" s="708" t="str">
        <f>+IF(MARZO!T89=0,"",MARZO!T89)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+IF(MARZO!A90=0,"",MARZO!A90)</f>
        <v>1130205</v>
      </c>
      <c r="B90" s="635" t="str">
        <f>+IF(MARZO!B90=0,"",MARZO!B90)</f>
        <v>CONVENIOS CON EL MUNICIPIO LIGADOS A LA VENTA DE SERVICIOS</v>
      </c>
      <c r="C90" s="401">
        <f>+ENERO!C90</f>
        <v>24000000</v>
      </c>
      <c r="D90" s="376">
        <f>MARZO!D90+ABRIL!P90</f>
        <v>0</v>
      </c>
      <c r="E90" s="376">
        <f>MARZO!E90+ABRIL!Q90</f>
        <v>0</v>
      </c>
      <c r="F90" s="376">
        <f t="shared" si="89"/>
        <v>24000000</v>
      </c>
      <c r="G90" s="376">
        <f>MARZO!I90</f>
        <v>3440000</v>
      </c>
      <c r="H90" s="377">
        <v>1040000</v>
      </c>
      <c r="I90" s="376">
        <f t="shared" si="90"/>
        <v>4480000</v>
      </c>
      <c r="J90" s="376">
        <f>MARZO!L90</f>
        <v>0</v>
      </c>
      <c r="K90" s="377">
        <v>0</v>
      </c>
      <c r="L90" s="376">
        <f t="shared" si="91"/>
        <v>0</v>
      </c>
      <c r="M90" s="376">
        <f t="shared" si="92"/>
        <v>19520000</v>
      </c>
      <c r="N90" s="146">
        <f t="shared" si="93"/>
        <v>24000000</v>
      </c>
      <c r="O90" s="385"/>
      <c r="P90" s="375">
        <v>0</v>
      </c>
      <c r="Q90" s="378">
        <v>0</v>
      </c>
      <c r="R90" s="30"/>
      <c r="S90" s="718">
        <f>+IF(MARZO!S90=0,"",MARZO!S90)</f>
        <v>1020300</v>
      </c>
      <c r="T90" s="692" t="str">
        <f>+IF(MARZO!T90=0,"",MARZO!T90)</f>
        <v>Contribuciones Inherentes nómina al Sector Privado</v>
      </c>
      <c r="U90" s="135">
        <f t="shared" ref="U90:AJ90" si="94">U91+U96+U102</f>
        <v>269700847</v>
      </c>
      <c r="V90" s="124">
        <f t="shared" si="94"/>
        <v>0</v>
      </c>
      <c r="W90" s="124">
        <f t="shared" si="94"/>
        <v>54740941</v>
      </c>
      <c r="X90" s="132">
        <f t="shared" si="94"/>
        <v>324441788</v>
      </c>
      <c r="Y90" s="131">
        <f t="shared" si="94"/>
        <v>106471361</v>
      </c>
      <c r="Z90" s="124">
        <f t="shared" si="94"/>
        <v>16941954</v>
      </c>
      <c r="AA90" s="132">
        <f t="shared" si="94"/>
        <v>123413315</v>
      </c>
      <c r="AB90" s="131">
        <f t="shared" si="94"/>
        <v>106471361</v>
      </c>
      <c r="AC90" s="124">
        <f t="shared" si="94"/>
        <v>16941954</v>
      </c>
      <c r="AD90" s="132">
        <f t="shared" si="94"/>
        <v>123413315</v>
      </c>
      <c r="AE90" s="131">
        <f t="shared" si="94"/>
        <v>99722243</v>
      </c>
      <c r="AF90" s="124">
        <f t="shared" si="94"/>
        <v>17007754</v>
      </c>
      <c r="AG90" s="132">
        <f t="shared" si="94"/>
        <v>116729997</v>
      </c>
      <c r="AH90" s="131">
        <f t="shared" si="94"/>
        <v>201028473</v>
      </c>
      <c r="AI90" s="124">
        <f t="shared" si="94"/>
        <v>201028473</v>
      </c>
      <c r="AJ90" s="133">
        <f t="shared" si="94"/>
        <v>207711791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+IF(MARZO!A91=0,"",MARZO!A91)</f>
        <v>1130206</v>
      </c>
      <c r="B91" s="635" t="str">
        <f>+IF(MARZO!B91=0,"",MARZO!B91)</f>
        <v>OTROS CONVENIOS LIGADOS A LA VENTA DE SERVICIOS</v>
      </c>
      <c r="C91" s="401">
        <f>+ENERO!C91</f>
        <v>0</v>
      </c>
      <c r="D91" s="376">
        <f>MARZO!D91+ABRIL!P91</f>
        <v>0</v>
      </c>
      <c r="E91" s="376">
        <f>MARZO!E91+ABRIL!Q91</f>
        <v>0</v>
      </c>
      <c r="F91" s="376">
        <f t="shared" si="89"/>
        <v>0</v>
      </c>
      <c r="G91" s="376">
        <f>MARZO!I91</f>
        <v>0</v>
      </c>
      <c r="H91" s="377">
        <v>0</v>
      </c>
      <c r="I91" s="376">
        <f t="shared" si="90"/>
        <v>0</v>
      </c>
      <c r="J91" s="376">
        <f>MARZO!L91</f>
        <v>0</v>
      </c>
      <c r="K91" s="377">
        <v>0</v>
      </c>
      <c r="L91" s="376">
        <f t="shared" si="91"/>
        <v>0</v>
      </c>
      <c r="M91" s="376">
        <f t="shared" si="92"/>
        <v>0</v>
      </c>
      <c r="N91" s="146">
        <f t="shared" si="93"/>
        <v>0</v>
      </c>
      <c r="O91" s="385"/>
      <c r="P91" s="375">
        <v>0</v>
      </c>
      <c r="Q91" s="378">
        <v>0</v>
      </c>
      <c r="R91" s="30"/>
      <c r="S91" s="719">
        <f>+IF(MARZO!S91=0,"",MARZO!S91)</f>
        <v>1020301</v>
      </c>
      <c r="T91" s="693" t="str">
        <f>+IF(MARZO!T91=0,"",MARZO!T91)</f>
        <v>Contribuciones - Sin Situación de Fondos</v>
      </c>
      <c r="U91" s="27">
        <f t="shared" ref="U91:AJ91" si="95">SUM(U92:U95)</f>
        <v>230094736</v>
      </c>
      <c r="V91" s="15">
        <f t="shared" si="95"/>
        <v>0</v>
      </c>
      <c r="W91" s="15">
        <f t="shared" si="95"/>
        <v>0</v>
      </c>
      <c r="X91" s="18">
        <f t="shared" si="95"/>
        <v>230094736</v>
      </c>
      <c r="Y91" s="19">
        <f t="shared" si="95"/>
        <v>44099220</v>
      </c>
      <c r="Z91" s="145">
        <f t="shared" si="95"/>
        <v>14424454</v>
      </c>
      <c r="AA91" s="18">
        <f t="shared" si="95"/>
        <v>58523674</v>
      </c>
      <c r="AB91" s="19">
        <f t="shared" si="95"/>
        <v>44099220</v>
      </c>
      <c r="AC91" s="145">
        <f t="shared" si="95"/>
        <v>14424454</v>
      </c>
      <c r="AD91" s="18">
        <f t="shared" si="95"/>
        <v>58523674</v>
      </c>
      <c r="AE91" s="19">
        <f t="shared" si="95"/>
        <v>41713207</v>
      </c>
      <c r="AF91" s="145">
        <f t="shared" si="95"/>
        <v>14424454</v>
      </c>
      <c r="AG91" s="18">
        <f t="shared" si="95"/>
        <v>56137661</v>
      </c>
      <c r="AH91" s="19">
        <f t="shared" si="95"/>
        <v>171571062</v>
      </c>
      <c r="AI91" s="15">
        <f t="shared" si="95"/>
        <v>171571062</v>
      </c>
      <c r="AJ91" s="16">
        <f t="shared" si="95"/>
        <v>173957075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+IF(MARZO!A92=0,"",MARZO!A92)</f>
        <v>1130207</v>
      </c>
      <c r="B92" s="636" t="str">
        <f>+IF(MARZO!B92=0,"",MARZO!B92)</f>
        <v>Vigencia Anterior</v>
      </c>
      <c r="C92" s="491">
        <f>+ENERO!C92</f>
        <v>0</v>
      </c>
      <c r="D92" s="388">
        <f>MARZO!D92+ABRIL!P92</f>
        <v>0</v>
      </c>
      <c r="E92" s="388">
        <f>MARZO!E92+ABRIL!Q92</f>
        <v>0</v>
      </c>
      <c r="F92" s="388">
        <f t="shared" si="89"/>
        <v>0</v>
      </c>
      <c r="G92" s="388">
        <f>MARZO!I92</f>
        <v>0</v>
      </c>
      <c r="H92" s="391">
        <v>0</v>
      </c>
      <c r="I92" s="388">
        <f t="shared" si="90"/>
        <v>0</v>
      </c>
      <c r="J92" s="388">
        <f>MARZO!L92</f>
        <v>0</v>
      </c>
      <c r="K92" s="391">
        <v>0</v>
      </c>
      <c r="L92" s="388">
        <f t="shared" si="91"/>
        <v>0</v>
      </c>
      <c r="M92" s="388">
        <f t="shared" si="92"/>
        <v>0</v>
      </c>
      <c r="N92" s="389">
        <f t="shared" si="93"/>
        <v>0</v>
      </c>
      <c r="O92" s="385"/>
      <c r="P92" s="375">
        <v>0</v>
      </c>
      <c r="Q92" s="378">
        <v>0</v>
      </c>
      <c r="R92" s="30"/>
      <c r="S92" s="720" t="str">
        <f>+IF(MARZO!S92=0,"",MARZO!S92)</f>
        <v>1020301-1</v>
      </c>
      <c r="T92" s="694" t="str">
        <f>+IF(MARZO!T92=0,"",MARZO!T92)</f>
        <v>Aportes a E.P.S.- Sin sit. Fondos</v>
      </c>
      <c r="U92" s="27">
        <f>+ENERO!U92</f>
        <v>59416260</v>
      </c>
      <c r="V92" s="15">
        <f>MARZO!V92+ABRIL!AL92</f>
        <v>0</v>
      </c>
      <c r="W92" s="15">
        <f>MARZO!W92+ABRIL!AM92</f>
        <v>0</v>
      </c>
      <c r="X92" s="18">
        <f>SUM(U92:W92)</f>
        <v>59416260</v>
      </c>
      <c r="Y92" s="19">
        <f>MARZO!AA92</f>
        <v>16405608</v>
      </c>
      <c r="Z92" s="377">
        <v>5345651</v>
      </c>
      <c r="AA92" s="18">
        <f>SUM(Y92:Z92)</f>
        <v>21751259</v>
      </c>
      <c r="AB92" s="19">
        <f>MARZO!AD92</f>
        <v>16405608</v>
      </c>
      <c r="AC92" s="377">
        <v>5345651</v>
      </c>
      <c r="AD92" s="18">
        <f>SUM(AB92:AC92)</f>
        <v>21751259</v>
      </c>
      <c r="AE92" s="19">
        <f>MARZO!AG92</f>
        <v>16405608</v>
      </c>
      <c r="AF92" s="377">
        <v>5345651</v>
      </c>
      <c r="AG92" s="18">
        <f>SUM(AE92:AF92)</f>
        <v>21751259</v>
      </c>
      <c r="AH92" s="19">
        <f>X92-AA92</f>
        <v>37665001</v>
      </c>
      <c r="AI92" s="15">
        <f>X92-AD92</f>
        <v>37665001</v>
      </c>
      <c r="AJ92" s="16">
        <f>X92-AG92</f>
        <v>37665001</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+IF(MARZO!A93=0,"",MARZO!A93)</f>
        <v/>
      </c>
      <c r="B93" s="659" t="str">
        <f>+IF(MARZO!B93=0,"",MARZO!B93)</f>
        <v/>
      </c>
      <c r="C93" s="297"/>
      <c r="D93" s="297"/>
      <c r="E93" s="297"/>
      <c r="F93" s="297"/>
      <c r="G93" s="297"/>
      <c r="H93" s="297"/>
      <c r="I93" s="297"/>
      <c r="J93" s="297"/>
      <c r="K93" s="297"/>
      <c r="L93" s="297"/>
      <c r="M93" s="297"/>
      <c r="N93" s="466"/>
      <c r="P93" s="470"/>
      <c r="Q93" s="394"/>
      <c r="R93" s="30"/>
      <c r="S93" s="720" t="str">
        <f>+IF(MARZO!S93=0,"",MARZO!S93)</f>
        <v>1020301-2</v>
      </c>
      <c r="T93" s="694" t="str">
        <f>+IF(MARZO!T93=0,"",MARZO!T93)</f>
        <v>Aportes Fondos Pensionales - Sin Sit. Fondos</v>
      </c>
      <c r="U93" s="27">
        <f>+ENERO!U93</f>
        <v>81857136</v>
      </c>
      <c r="V93" s="15">
        <f>MARZO!V93+ABRIL!AL93</f>
        <v>0</v>
      </c>
      <c r="W93" s="15">
        <f>MARZO!W93+ABRIL!AM93</f>
        <v>0</v>
      </c>
      <c r="X93" s="18">
        <f>SUM(U93:W93)</f>
        <v>81857136</v>
      </c>
      <c r="Y93" s="19">
        <f>MARZO!AA93</f>
        <v>23160864</v>
      </c>
      <c r="Z93" s="377">
        <v>7546802</v>
      </c>
      <c r="AA93" s="18">
        <f>SUM(Y93:Z93)</f>
        <v>30707666</v>
      </c>
      <c r="AB93" s="19">
        <f>MARZO!AD93</f>
        <v>23160864</v>
      </c>
      <c r="AC93" s="377">
        <v>7546802</v>
      </c>
      <c r="AD93" s="18">
        <f>SUM(AB93:AC93)</f>
        <v>30707666</v>
      </c>
      <c r="AE93" s="19">
        <f>MARZO!AG93</f>
        <v>20774851</v>
      </c>
      <c r="AF93" s="377">
        <v>7546802</v>
      </c>
      <c r="AG93" s="18">
        <f>SUM(AE93:AF93)</f>
        <v>28321653</v>
      </c>
      <c r="AH93" s="19">
        <f>X93-AA93</f>
        <v>51149470</v>
      </c>
      <c r="AI93" s="15">
        <f>X93-AD93</f>
        <v>51149470</v>
      </c>
      <c r="AJ93" s="16">
        <f>X93-AG93</f>
        <v>53535483</v>
      </c>
      <c r="AK93" s="9"/>
      <c r="AL93" s="375">
        <v>0</v>
      </c>
      <c r="AM93" s="378">
        <v>0</v>
      </c>
      <c r="AN93" s="30"/>
      <c r="AO93" s="463"/>
      <c r="AP93" s="463"/>
      <c r="AQ93" s="463"/>
      <c r="AR93" s="463"/>
      <c r="AS93" s="463"/>
      <c r="AT93" s="463"/>
      <c r="AU93" s="463"/>
      <c r="AV93" s="463"/>
      <c r="AW93" s="463"/>
      <c r="AX93" s="463"/>
      <c r="AY93" s="463"/>
      <c r="AZ93" s="463"/>
      <c r="BL93" s="30"/>
    </row>
    <row r="94" spans="1:70" s="464" customFormat="1" ht="39" customHeight="1" x14ac:dyDescent="0.2">
      <c r="A94" s="753">
        <f>+IF(MARZO!A94=0,"",MARZO!A94)</f>
        <v>11303</v>
      </c>
      <c r="B94" s="626" t="str">
        <f>+IF(MARZO!B94=0,"",MARZO!B94)</f>
        <v>Aportes (No ligados a la venta de servicios de salud)</v>
      </c>
      <c r="C94" s="625">
        <f>SUM(C95:C102)</f>
        <v>0</v>
      </c>
      <c r="D94" s="623">
        <f t="shared" ref="D94:N94" si="96">SUM(D95:D102)</f>
        <v>0</v>
      </c>
      <c r="E94" s="623">
        <f t="shared" si="96"/>
        <v>0</v>
      </c>
      <c r="F94" s="623">
        <f t="shared" si="96"/>
        <v>0</v>
      </c>
      <c r="G94" s="623">
        <f t="shared" si="96"/>
        <v>0</v>
      </c>
      <c r="H94" s="623">
        <f t="shared" si="96"/>
        <v>0</v>
      </c>
      <c r="I94" s="623">
        <f t="shared" si="96"/>
        <v>0</v>
      </c>
      <c r="J94" s="623">
        <f t="shared" si="96"/>
        <v>0</v>
      </c>
      <c r="K94" s="623">
        <f t="shared" si="96"/>
        <v>0</v>
      </c>
      <c r="L94" s="623">
        <f t="shared" si="96"/>
        <v>0</v>
      </c>
      <c r="M94" s="623">
        <f t="shared" si="96"/>
        <v>0</v>
      </c>
      <c r="N94" s="624">
        <f t="shared" si="96"/>
        <v>0</v>
      </c>
      <c r="O94" s="385"/>
      <c r="P94" s="43">
        <f>SUM(P95:P102)</f>
        <v>0</v>
      </c>
      <c r="Q94" s="45">
        <f>SUM(Q95:Q102)</f>
        <v>0</v>
      </c>
      <c r="R94" s="30"/>
      <c r="S94" s="720" t="str">
        <f>+IF(MARZO!S94=0,"",MARZO!S94)</f>
        <v>1020301-3</v>
      </c>
      <c r="T94" s="694" t="str">
        <f>+IF(MARZO!T94=0,"",MARZO!T94)</f>
        <v xml:space="preserve">Aportes a Fondos de Cesantia - Sin Sit. de Fondos </v>
      </c>
      <c r="U94" s="27">
        <f>+ENERO!U94</f>
        <v>71793333</v>
      </c>
      <c r="V94" s="15">
        <f>MARZO!V94+ABRIL!AL94</f>
        <v>0</v>
      </c>
      <c r="W94" s="15">
        <f>MARZO!W94+ABRIL!AM94</f>
        <v>0</v>
      </c>
      <c r="X94" s="18">
        <f>SUM(U94:W94)</f>
        <v>71793333</v>
      </c>
      <c r="Y94" s="19">
        <f>MARZO!AA94</f>
        <v>0</v>
      </c>
      <c r="Z94" s="377">
        <v>0</v>
      </c>
      <c r="AA94" s="18">
        <f>SUM(Y94:Z94)</f>
        <v>0</v>
      </c>
      <c r="AB94" s="19">
        <f>MARZO!AD94</f>
        <v>0</v>
      </c>
      <c r="AC94" s="377">
        <v>0</v>
      </c>
      <c r="AD94" s="18">
        <f>SUM(AB94:AC94)</f>
        <v>0</v>
      </c>
      <c r="AE94" s="19">
        <f>MARZO!AG94</f>
        <v>0</v>
      </c>
      <c r="AF94" s="377">
        <v>0</v>
      </c>
      <c r="AG94" s="18">
        <f>SUM(AE94:AF94)</f>
        <v>0</v>
      </c>
      <c r="AH94" s="19">
        <f>X94-AA94</f>
        <v>71793333</v>
      </c>
      <c r="AI94" s="15">
        <f>X94-AD94</f>
        <v>71793333</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+IF(MARZO!A95=0,"",MARZO!A95)</f>
        <v>11303-1</v>
      </c>
      <c r="B95" s="627" t="str">
        <f>+IF(MARZO!B95=0,"",MARZO!B95)</f>
        <v>NACION</v>
      </c>
      <c r="C95" s="401">
        <f>+ENERO!C95</f>
        <v>0</v>
      </c>
      <c r="D95" s="376">
        <f>MARZO!D95+ABRIL!P95</f>
        <v>0</v>
      </c>
      <c r="E95" s="376">
        <f>MARZO!E95+ABRIL!Q95</f>
        <v>0</v>
      </c>
      <c r="F95" s="376">
        <f t="shared" ref="F95:F102" si="97">SUM(C95:E95)</f>
        <v>0</v>
      </c>
      <c r="G95" s="376">
        <f>MARZO!I95</f>
        <v>0</v>
      </c>
      <c r="H95" s="377">
        <v>0</v>
      </c>
      <c r="I95" s="376">
        <f t="shared" ref="I95:I102" si="98">SUM(G95:H95)</f>
        <v>0</v>
      </c>
      <c r="J95" s="376">
        <f>MARZO!L95</f>
        <v>0</v>
      </c>
      <c r="K95" s="377">
        <v>0</v>
      </c>
      <c r="L95" s="376">
        <f t="shared" ref="L95:L102" si="99">SUM(J95:K95)</f>
        <v>0</v>
      </c>
      <c r="M95" s="376">
        <f t="shared" ref="M95:M102" si="100">F95-I95</f>
        <v>0</v>
      </c>
      <c r="N95" s="146">
        <f t="shared" ref="N95:N102" si="101">F95-L95</f>
        <v>0</v>
      </c>
      <c r="O95" s="385"/>
      <c r="P95" s="375">
        <v>0</v>
      </c>
      <c r="Q95" s="378">
        <v>0</v>
      </c>
      <c r="R95" s="30"/>
      <c r="S95" s="720" t="str">
        <f>+IF(MARZO!S95=0,"",MARZO!S95)</f>
        <v>1020301-4</v>
      </c>
      <c r="T95" s="694" t="str">
        <f>+IF(MARZO!T95=0,"",MARZO!T95)</f>
        <v>Aporte a ARL. - Sin Sit. de Fondos</v>
      </c>
      <c r="U95" s="27">
        <f>+ENERO!U95</f>
        <v>17028007</v>
      </c>
      <c r="V95" s="15">
        <f>MARZO!V95+ABRIL!AL95</f>
        <v>0</v>
      </c>
      <c r="W95" s="15">
        <f>MARZO!W95+ABRIL!AM95</f>
        <v>0</v>
      </c>
      <c r="X95" s="18">
        <f>SUM(U95:W95)</f>
        <v>17028007</v>
      </c>
      <c r="Y95" s="19">
        <f>MARZO!AA95</f>
        <v>4532748</v>
      </c>
      <c r="Z95" s="377">
        <v>1532001</v>
      </c>
      <c r="AA95" s="18">
        <f>SUM(Y95:Z95)</f>
        <v>6064749</v>
      </c>
      <c r="AB95" s="19">
        <f>MARZO!AD95</f>
        <v>4532748</v>
      </c>
      <c r="AC95" s="377">
        <v>1532001</v>
      </c>
      <c r="AD95" s="18">
        <f>SUM(AB95:AC95)</f>
        <v>6064749</v>
      </c>
      <c r="AE95" s="19">
        <f>MARZO!AG95</f>
        <v>4532748</v>
      </c>
      <c r="AF95" s="377">
        <v>1532001</v>
      </c>
      <c r="AG95" s="18">
        <f>SUM(AE95:AF95)</f>
        <v>6064749</v>
      </c>
      <c r="AH95" s="19">
        <f>X95-AA95</f>
        <v>10963258</v>
      </c>
      <c r="AI95" s="15">
        <f>X95-AD95</f>
        <v>10963258</v>
      </c>
      <c r="AJ95" s="16">
        <f>X95-AG95</f>
        <v>10963258</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+IF(MARZO!A96=0,"",MARZO!A96)</f>
        <v>11303-2</v>
      </c>
      <c r="B96" s="627" t="str">
        <f>+IF(MARZO!B96=0,"",MARZO!B96)</f>
        <v>DEPARTAMENTO</v>
      </c>
      <c r="C96" s="401">
        <f>+ENERO!C96</f>
        <v>0</v>
      </c>
      <c r="D96" s="376">
        <f>MARZO!D96+ABRIL!P96</f>
        <v>0</v>
      </c>
      <c r="E96" s="376">
        <f>MARZO!E96+ABRIL!Q96</f>
        <v>0</v>
      </c>
      <c r="F96" s="376">
        <f t="shared" si="97"/>
        <v>0</v>
      </c>
      <c r="G96" s="376">
        <f>MARZO!I96</f>
        <v>0</v>
      </c>
      <c r="H96" s="377">
        <v>0</v>
      </c>
      <c r="I96" s="376">
        <f t="shared" si="98"/>
        <v>0</v>
      </c>
      <c r="J96" s="376">
        <f>MARZO!L96</f>
        <v>0</v>
      </c>
      <c r="K96" s="377">
        <v>0</v>
      </c>
      <c r="L96" s="376">
        <f t="shared" si="99"/>
        <v>0</v>
      </c>
      <c r="M96" s="376">
        <f t="shared" si="100"/>
        <v>0</v>
      </c>
      <c r="N96" s="146">
        <f t="shared" si="101"/>
        <v>0</v>
      </c>
      <c r="O96" s="385"/>
      <c r="P96" s="375">
        <v>0</v>
      </c>
      <c r="Q96" s="378">
        <v>0</v>
      </c>
      <c r="S96" s="719">
        <f>+IF(MARZO!S96=0,"",MARZO!S96)</f>
        <v>1020302</v>
      </c>
      <c r="T96" s="693" t="str">
        <f>+IF(MARZO!T96=0,"",MARZO!T96)</f>
        <v>Contribuciones - Otros</v>
      </c>
      <c r="U96" s="27">
        <f t="shared" ref="U96:AJ96" si="102">SUM(U97:U101)</f>
        <v>39606111</v>
      </c>
      <c r="V96" s="15">
        <f t="shared" si="102"/>
        <v>0</v>
      </c>
      <c r="W96" s="15">
        <f t="shared" si="102"/>
        <v>0</v>
      </c>
      <c r="X96" s="18">
        <f t="shared" si="102"/>
        <v>39606111</v>
      </c>
      <c r="Y96" s="19">
        <f t="shared" si="102"/>
        <v>7631200</v>
      </c>
      <c r="Z96" s="145">
        <f t="shared" si="102"/>
        <v>2517500</v>
      </c>
      <c r="AA96" s="18">
        <f t="shared" si="102"/>
        <v>10148700</v>
      </c>
      <c r="AB96" s="19">
        <f t="shared" si="102"/>
        <v>7631200</v>
      </c>
      <c r="AC96" s="145">
        <f t="shared" si="102"/>
        <v>2517500</v>
      </c>
      <c r="AD96" s="18">
        <f t="shared" si="102"/>
        <v>10148700</v>
      </c>
      <c r="AE96" s="19">
        <f t="shared" si="102"/>
        <v>5047900</v>
      </c>
      <c r="AF96" s="145">
        <f t="shared" si="102"/>
        <v>2583300</v>
      </c>
      <c r="AG96" s="18">
        <f t="shared" si="102"/>
        <v>7631200</v>
      </c>
      <c r="AH96" s="19">
        <f t="shared" si="102"/>
        <v>29457411</v>
      </c>
      <c r="AI96" s="15">
        <f t="shared" si="102"/>
        <v>29457411</v>
      </c>
      <c r="AJ96" s="16">
        <f t="shared" si="102"/>
        <v>31974911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+IF(MARZO!A97=0,"",MARZO!A97)</f>
        <v>11303-3</v>
      </c>
      <c r="B97" s="627" t="str">
        <f>+IF(MARZO!B97=0,"",MARZO!B97)</f>
        <v>MUNICIPIO</v>
      </c>
      <c r="C97" s="401">
        <f>+ENERO!C97</f>
        <v>0</v>
      </c>
      <c r="D97" s="376">
        <f>MARZO!D97+ABRIL!P97</f>
        <v>0</v>
      </c>
      <c r="E97" s="376">
        <f>MARZO!E97+ABRIL!Q97</f>
        <v>0</v>
      </c>
      <c r="F97" s="376">
        <f t="shared" si="97"/>
        <v>0</v>
      </c>
      <c r="G97" s="376">
        <f>MARZO!I97</f>
        <v>0</v>
      </c>
      <c r="H97" s="377">
        <v>0</v>
      </c>
      <c r="I97" s="376">
        <f t="shared" si="98"/>
        <v>0</v>
      </c>
      <c r="J97" s="376">
        <f>MARZO!L97</f>
        <v>0</v>
      </c>
      <c r="K97" s="377">
        <v>0</v>
      </c>
      <c r="L97" s="376">
        <f t="shared" si="99"/>
        <v>0</v>
      </c>
      <c r="M97" s="376">
        <f t="shared" si="100"/>
        <v>0</v>
      </c>
      <c r="N97" s="146">
        <f t="shared" si="101"/>
        <v>0</v>
      </c>
      <c r="O97" s="385"/>
      <c r="P97" s="375">
        <v>0</v>
      </c>
      <c r="Q97" s="378">
        <v>0</v>
      </c>
      <c r="R97" s="30"/>
      <c r="S97" s="720" t="str">
        <f>+IF(MARZO!S97=0,"",MARZO!S97)</f>
        <v>1020302-1</v>
      </c>
      <c r="T97" s="694" t="str">
        <f>+IF(MARZO!T97=0,"",MARZO!T97)</f>
        <v>Aportes a E.P.S.- Con sit. Fondos</v>
      </c>
      <c r="U97" s="27">
        <f>+ENERO!U97</f>
        <v>1005165</v>
      </c>
      <c r="V97" s="15">
        <f>MARZO!V97+ABRIL!AL97</f>
        <v>0</v>
      </c>
      <c r="W97" s="15">
        <f>MARZO!W97+ABRIL!AM97</f>
        <v>0</v>
      </c>
      <c r="X97" s="18">
        <f t="shared" ref="X97:X102" si="103">SUM(U97:W97)</f>
        <v>1005165</v>
      </c>
      <c r="Y97" s="19">
        <f>MARZO!AA97</f>
        <v>0</v>
      </c>
      <c r="Z97" s="377">
        <v>0</v>
      </c>
      <c r="AA97" s="18">
        <f t="shared" ref="AA97:AA102" si="104">SUM(Y97:Z97)</f>
        <v>0</v>
      </c>
      <c r="AB97" s="19">
        <f>MARZO!AD97</f>
        <v>0</v>
      </c>
      <c r="AC97" s="377">
        <v>0</v>
      </c>
      <c r="AD97" s="18">
        <f t="shared" ref="AD97:AD102" si="105">SUM(AB97:AC97)</f>
        <v>0</v>
      </c>
      <c r="AE97" s="19">
        <f>MARZO!AG97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+IF(MARZO!A98=0,"",MARZO!A98)</f>
        <v>11303-4</v>
      </c>
      <c r="B98" s="627" t="str">
        <f>+IF(MARZO!B98=0,"",MARZO!B98)</f>
        <v>CONVENIOS (EMPRESTITO)</v>
      </c>
      <c r="C98" s="401">
        <f>+ENERO!C98</f>
        <v>0</v>
      </c>
      <c r="D98" s="376">
        <f>MARZO!D98+ABRIL!P98</f>
        <v>0</v>
      </c>
      <c r="E98" s="376">
        <f>MARZO!E98+ABRIL!Q98</f>
        <v>0</v>
      </c>
      <c r="F98" s="376">
        <f t="shared" si="97"/>
        <v>0</v>
      </c>
      <c r="G98" s="376">
        <f>MARZO!I98</f>
        <v>0</v>
      </c>
      <c r="H98" s="377">
        <v>0</v>
      </c>
      <c r="I98" s="376">
        <f t="shared" si="98"/>
        <v>0</v>
      </c>
      <c r="J98" s="376">
        <f>MARZO!L98</f>
        <v>0</v>
      </c>
      <c r="K98" s="377">
        <v>0</v>
      </c>
      <c r="L98" s="376">
        <f t="shared" si="99"/>
        <v>0</v>
      </c>
      <c r="M98" s="376">
        <f t="shared" si="100"/>
        <v>0</v>
      </c>
      <c r="N98" s="146">
        <f t="shared" si="101"/>
        <v>0</v>
      </c>
      <c r="O98" s="385"/>
      <c r="P98" s="375">
        <v>0</v>
      </c>
      <c r="Q98" s="378">
        <v>0</v>
      </c>
      <c r="R98" s="30"/>
      <c r="S98" s="720" t="str">
        <f>+IF(MARZO!S98=0,"",MARZO!S98)</f>
        <v>1020302-2</v>
      </c>
      <c r="T98" s="694" t="str">
        <f>+IF(MARZO!T98=0,"",MARZO!T98)</f>
        <v>Aportes Fondos Pensionales - Con Sit. Fondos</v>
      </c>
      <c r="U98" s="27">
        <f>+ENERO!U98</f>
        <v>3635130</v>
      </c>
      <c r="V98" s="15">
        <f>MARZO!V98+ABRIL!AL98</f>
        <v>0</v>
      </c>
      <c r="W98" s="15">
        <f>MARZO!W98+ABRIL!AM98</f>
        <v>0</v>
      </c>
      <c r="X98" s="18">
        <f t="shared" si="103"/>
        <v>3635130</v>
      </c>
      <c r="Y98" s="19">
        <f>MARZO!AA98</f>
        <v>0</v>
      </c>
      <c r="Z98" s="377">
        <v>0</v>
      </c>
      <c r="AA98" s="18">
        <f t="shared" si="104"/>
        <v>0</v>
      </c>
      <c r="AB98" s="19">
        <f>MARZO!AD98</f>
        <v>0</v>
      </c>
      <c r="AC98" s="377">
        <v>0</v>
      </c>
      <c r="AD98" s="18">
        <f t="shared" si="105"/>
        <v>0</v>
      </c>
      <c r="AE98" s="19">
        <f>MARZO!AG98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+IF(MARZO!A99=0,"",MARZO!A99)</f>
        <v>11303-5</v>
      </c>
      <c r="B99" s="627" t="str">
        <f>+IF(MARZO!B99=0,"",MARZO!B99)</f>
        <v>APORTES PATRONALES - MUNICIPIO / DEPARTAMENTO</v>
      </c>
      <c r="C99" s="681">
        <f>+ENERO!C99</f>
        <v>0</v>
      </c>
      <c r="D99" s="376">
        <f>MARZO!D99+ABRIL!P99</f>
        <v>0</v>
      </c>
      <c r="E99" s="376">
        <f>MARZO!E99+ABRIL!Q99</f>
        <v>0</v>
      </c>
      <c r="F99" s="376">
        <f t="shared" si="97"/>
        <v>0</v>
      </c>
      <c r="G99" s="376">
        <f>MARZO!I99</f>
        <v>0</v>
      </c>
      <c r="H99" s="682">
        <v>0</v>
      </c>
      <c r="I99" s="376">
        <f t="shared" si="98"/>
        <v>0</v>
      </c>
      <c r="J99" s="376">
        <f>MARZO!L99</f>
        <v>0</v>
      </c>
      <c r="K99" s="682">
        <v>0</v>
      </c>
      <c r="L99" s="376">
        <f t="shared" si="99"/>
        <v>0</v>
      </c>
      <c r="M99" s="376">
        <f t="shared" si="100"/>
        <v>0</v>
      </c>
      <c r="N99" s="146">
        <f t="shared" si="101"/>
        <v>0</v>
      </c>
      <c r="O99" s="385"/>
      <c r="P99" s="683">
        <v>0</v>
      </c>
      <c r="Q99" s="684">
        <v>0</v>
      </c>
      <c r="R99" s="30"/>
      <c r="S99" s="720" t="str">
        <f>+IF(MARZO!S99=0,"",MARZO!S99)</f>
        <v>1020302-3</v>
      </c>
      <c r="T99" s="694" t="str">
        <f>+IF(MARZO!T99=0,"",MARZO!T99)</f>
        <v xml:space="preserve">Aportes a Fondos de Cesantia - Con Sit. de Fondos </v>
      </c>
      <c r="U99" s="27">
        <f>+ENERO!U99</f>
        <v>2469908</v>
      </c>
      <c r="V99" s="15">
        <f>MARZO!V99+ABRIL!AL99</f>
        <v>0</v>
      </c>
      <c r="W99" s="15">
        <f>MARZO!W99+ABRIL!AM99</f>
        <v>0</v>
      </c>
      <c r="X99" s="18">
        <f t="shared" si="103"/>
        <v>2469908</v>
      </c>
      <c r="Y99" s="19">
        <f>MARZO!AA99</f>
        <v>0</v>
      </c>
      <c r="Z99" s="377">
        <v>0</v>
      </c>
      <c r="AA99" s="18">
        <f t="shared" si="104"/>
        <v>0</v>
      </c>
      <c r="AB99" s="19">
        <f>MARZO!AD99</f>
        <v>0</v>
      </c>
      <c r="AC99" s="377">
        <v>0</v>
      </c>
      <c r="AD99" s="18">
        <f t="shared" si="105"/>
        <v>0</v>
      </c>
      <c r="AE99" s="19">
        <f>MARZO!AG99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+IF(MARZO!A100=0,"",MARZO!A100)</f>
        <v>11303-6</v>
      </c>
      <c r="B100" s="627" t="str">
        <f>+IF(MARZO!B100=0,"",MARZO!B100)</f>
        <v>RECURSOS PARA PROGRAMA DE SANEAMIENTO FINANCIERO</v>
      </c>
      <c r="C100" s="401">
        <f>+ENERO!C100</f>
        <v>0</v>
      </c>
      <c r="D100" s="376">
        <f>MARZO!D100+ABRIL!P100</f>
        <v>0</v>
      </c>
      <c r="E100" s="376">
        <f>MARZO!E100+ABRIL!Q100</f>
        <v>0</v>
      </c>
      <c r="F100" s="376">
        <f t="shared" si="97"/>
        <v>0</v>
      </c>
      <c r="G100" s="376">
        <f>MARZO!I100</f>
        <v>0</v>
      </c>
      <c r="H100" s="377">
        <v>0</v>
      </c>
      <c r="I100" s="376">
        <f t="shared" si="98"/>
        <v>0</v>
      </c>
      <c r="J100" s="376">
        <f>MARZO!L100</f>
        <v>0</v>
      </c>
      <c r="K100" s="377">
        <v>0</v>
      </c>
      <c r="L100" s="376">
        <f t="shared" si="99"/>
        <v>0</v>
      </c>
      <c r="M100" s="376">
        <f t="shared" si="100"/>
        <v>0</v>
      </c>
      <c r="N100" s="146">
        <f t="shared" si="101"/>
        <v>0</v>
      </c>
      <c r="P100" s="375">
        <v>0</v>
      </c>
      <c r="Q100" s="378">
        <v>0</v>
      </c>
      <c r="R100" s="9"/>
      <c r="S100" s="720" t="str">
        <f>+IF(MARZO!S100=0,"",MARZO!S100)</f>
        <v>1020302-4</v>
      </c>
      <c r="T100" s="694" t="str">
        <f>+IF(MARZO!T100=0,"",MARZO!T100)</f>
        <v>Aporte a ARL. - Con Sit. de Fondos</v>
      </c>
      <c r="U100" s="27">
        <f>+ENERO!U100</f>
        <v>0</v>
      </c>
      <c r="V100" s="15">
        <f>MARZO!V100+ABRIL!AL100</f>
        <v>0</v>
      </c>
      <c r="W100" s="15">
        <f>MARZO!W100+ABRIL!AM100</f>
        <v>0</v>
      </c>
      <c r="X100" s="18">
        <f t="shared" si="103"/>
        <v>0</v>
      </c>
      <c r="Y100" s="19">
        <f>MARZO!AA100</f>
        <v>0</v>
      </c>
      <c r="Z100" s="377">
        <v>0</v>
      </c>
      <c r="AA100" s="18">
        <f t="shared" si="104"/>
        <v>0</v>
      </c>
      <c r="AB100" s="19">
        <f>MARZO!AD100</f>
        <v>0</v>
      </c>
      <c r="AC100" s="377">
        <v>0</v>
      </c>
      <c r="AD100" s="18">
        <f t="shared" si="105"/>
        <v>0</v>
      </c>
      <c r="AE100" s="19">
        <f>MARZO!AG100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93" t="str">
        <f>+IF(MARZO!A101=0,"",MARZO!A101)</f>
        <v>11303-7</v>
      </c>
      <c r="B101" s="792" t="str">
        <f>+IF(MARZO!B101=0,"",MARZO!B101)</f>
        <v xml:space="preserve">SANEAMIENTO APORTES PATRONALES </v>
      </c>
      <c r="C101" s="401">
        <f>+ENERO!C101</f>
        <v>0</v>
      </c>
      <c r="D101" s="376">
        <f>MARZO!D101+ABRIL!P101</f>
        <v>0</v>
      </c>
      <c r="E101" s="376">
        <f>MARZO!E101+ABRIL!Q101</f>
        <v>0</v>
      </c>
      <c r="F101" s="376">
        <f t="shared" si="97"/>
        <v>0</v>
      </c>
      <c r="G101" s="376">
        <f>MARZO!I101</f>
        <v>0</v>
      </c>
      <c r="H101" s="377">
        <v>0</v>
      </c>
      <c r="I101" s="376">
        <f t="shared" si="98"/>
        <v>0</v>
      </c>
      <c r="J101" s="376">
        <f>MARZO!L101</f>
        <v>0</v>
      </c>
      <c r="K101" s="377">
        <v>0</v>
      </c>
      <c r="L101" s="376">
        <f t="shared" si="99"/>
        <v>0</v>
      </c>
      <c r="M101" s="376">
        <f t="shared" si="100"/>
        <v>0</v>
      </c>
      <c r="N101" s="146">
        <f t="shared" si="101"/>
        <v>0</v>
      </c>
      <c r="P101" s="375">
        <v>0</v>
      </c>
      <c r="Q101" s="378">
        <v>0</v>
      </c>
      <c r="R101" s="9"/>
      <c r="S101" s="720" t="str">
        <f>+IF(MARZO!S101=0,"",MARZO!S101)</f>
        <v>1020302-5</v>
      </c>
      <c r="T101" s="694" t="str">
        <f>+IF(MARZO!T101=0,"",MARZO!T101)</f>
        <v>Aporte a Caja Compensación Familiar</v>
      </c>
      <c r="U101" s="27">
        <f>+ENERO!U101</f>
        <v>32495908</v>
      </c>
      <c r="V101" s="15">
        <f>MARZO!V101+ABRIL!AL101</f>
        <v>0</v>
      </c>
      <c r="W101" s="15">
        <f>MARZO!W101+ABRIL!AM101</f>
        <v>0</v>
      </c>
      <c r="X101" s="18">
        <f t="shared" si="103"/>
        <v>32495908</v>
      </c>
      <c r="Y101" s="19">
        <f>MARZO!AA101</f>
        <v>7631200</v>
      </c>
      <c r="Z101" s="377">
        <v>2517500</v>
      </c>
      <c r="AA101" s="18">
        <f t="shared" si="104"/>
        <v>10148700</v>
      </c>
      <c r="AB101" s="19">
        <f>MARZO!AD101</f>
        <v>7631200</v>
      </c>
      <c r="AC101" s="377">
        <v>2517500</v>
      </c>
      <c r="AD101" s="18">
        <f t="shared" si="105"/>
        <v>10148700</v>
      </c>
      <c r="AE101" s="19">
        <f>MARZO!AG101</f>
        <v>5047900</v>
      </c>
      <c r="AF101" s="377">
        <v>2583300</v>
      </c>
      <c r="AG101" s="18">
        <f t="shared" si="106"/>
        <v>7631200</v>
      </c>
      <c r="AH101" s="19">
        <f t="shared" si="107"/>
        <v>22347208</v>
      </c>
      <c r="AI101" s="15">
        <f t="shared" si="108"/>
        <v>22347208</v>
      </c>
      <c r="AJ101" s="16">
        <f t="shared" si="109"/>
        <v>24864708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+IF(MARZO!A102=0,"",MARZO!A102)</f>
        <v>11303-8</v>
      </c>
      <c r="B102" s="636" t="str">
        <f>+IF(MARZO!B102=0,"",MARZO!B102)</f>
        <v>Vigencia Anterior</v>
      </c>
      <c r="C102" s="491">
        <f>+ENERO!C102</f>
        <v>0</v>
      </c>
      <c r="D102" s="388">
        <f>MARZO!D102+ABRIL!P102</f>
        <v>0</v>
      </c>
      <c r="E102" s="388">
        <f>MARZO!E102+ABRIL!Q102</f>
        <v>0</v>
      </c>
      <c r="F102" s="388">
        <f t="shared" si="97"/>
        <v>0</v>
      </c>
      <c r="G102" s="388">
        <f>MARZO!I102</f>
        <v>0</v>
      </c>
      <c r="H102" s="391">
        <v>0</v>
      </c>
      <c r="I102" s="388">
        <f t="shared" si="98"/>
        <v>0</v>
      </c>
      <c r="J102" s="388">
        <f>MARZO!L102</f>
        <v>0</v>
      </c>
      <c r="K102" s="391">
        <v>0</v>
      </c>
      <c r="L102" s="388">
        <f t="shared" si="99"/>
        <v>0</v>
      </c>
      <c r="M102" s="388">
        <f t="shared" si="100"/>
        <v>0</v>
      </c>
      <c r="N102" s="389">
        <f t="shared" si="101"/>
        <v>0</v>
      </c>
      <c r="P102" s="375">
        <v>0</v>
      </c>
      <c r="Q102" s="378">
        <v>0</v>
      </c>
      <c r="R102" s="9"/>
      <c r="S102" s="719">
        <f>+IF(MARZO!S102=0,"",MARZO!S102)</f>
        <v>1020399</v>
      </c>
      <c r="T102" s="693" t="str">
        <f>+IF(MARZO!T102=0,"",MARZO!T102)</f>
        <v>Vigencias Anteriores</v>
      </c>
      <c r="U102" s="27">
        <f>+ENERO!U102</f>
        <v>0</v>
      </c>
      <c r="V102" s="15">
        <f>MARZO!V102+ABRIL!AL102</f>
        <v>0</v>
      </c>
      <c r="W102" s="15">
        <f>MARZO!W102+ABRIL!AM102</f>
        <v>54740941</v>
      </c>
      <c r="X102" s="18">
        <f t="shared" si="103"/>
        <v>54740941</v>
      </c>
      <c r="Y102" s="19">
        <f>MARZO!AA102</f>
        <v>54740941</v>
      </c>
      <c r="Z102" s="377">
        <v>0</v>
      </c>
      <c r="AA102" s="18">
        <f t="shared" si="104"/>
        <v>54740941</v>
      </c>
      <c r="AB102" s="19">
        <f>MARZO!AD102</f>
        <v>54740941</v>
      </c>
      <c r="AC102" s="377">
        <v>0</v>
      </c>
      <c r="AD102" s="18">
        <f t="shared" si="105"/>
        <v>54740941</v>
      </c>
      <c r="AE102" s="19">
        <f>MARZO!AG102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+IF(MARZO!A103=0,"",MARZO!A103)</f>
        <v/>
      </c>
      <c r="B103" s="661" t="str">
        <f>+IF(MARZO!B103=0,"",MARZO!B103)</f>
        <v/>
      </c>
      <c r="C103" s="483"/>
      <c r="D103" s="483"/>
      <c r="E103" s="483"/>
      <c r="F103" s="483"/>
      <c r="G103" s="483"/>
      <c r="H103" s="483"/>
      <c r="I103" s="483"/>
      <c r="J103" s="483"/>
      <c r="K103" s="483"/>
      <c r="L103" s="483"/>
      <c r="M103" s="483"/>
      <c r="N103" s="484"/>
      <c r="P103" s="485"/>
      <c r="Q103" s="484"/>
      <c r="R103" s="9"/>
      <c r="S103" s="369" t="str">
        <f>+IF(MARZO!S103=0,"",MARZO!S103)</f>
        <v/>
      </c>
      <c r="T103" s="708" t="str">
        <f>+IF(MARZO!T103=0,"",MARZO!T103)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+IF(MARZO!A104=0,"",MARZO!A104)</f>
        <v>11304</v>
      </c>
      <c r="B104" s="626" t="str">
        <f>+IF(MARZO!B104=0,"",MARZO!B104)</f>
        <v>Otros ingresos corrientes</v>
      </c>
      <c r="C104" s="625">
        <f>SUM(C105:C111)</f>
        <v>107181679</v>
      </c>
      <c r="D104" s="623">
        <f t="shared" ref="D104:N104" si="110">SUM(D105:D111)</f>
        <v>0</v>
      </c>
      <c r="E104" s="623">
        <f t="shared" si="110"/>
        <v>0</v>
      </c>
      <c r="F104" s="623">
        <f t="shared" si="110"/>
        <v>107181679</v>
      </c>
      <c r="G104" s="623">
        <f t="shared" si="110"/>
        <v>28096132</v>
      </c>
      <c r="H104" s="623">
        <f t="shared" si="110"/>
        <v>8183504</v>
      </c>
      <c r="I104" s="623">
        <f t="shared" si="110"/>
        <v>36279636</v>
      </c>
      <c r="J104" s="623">
        <f t="shared" si="110"/>
        <v>28096132</v>
      </c>
      <c r="K104" s="623">
        <f t="shared" si="110"/>
        <v>8183504</v>
      </c>
      <c r="L104" s="623">
        <f t="shared" si="110"/>
        <v>36279636</v>
      </c>
      <c r="M104" s="623">
        <f t="shared" si="110"/>
        <v>70902043</v>
      </c>
      <c r="N104" s="624">
        <f t="shared" si="110"/>
        <v>70902043</v>
      </c>
      <c r="P104" s="43">
        <f>SUM(P105:P111)</f>
        <v>0</v>
      </c>
      <c r="Q104" s="45">
        <f>SUM(Q105:Q111)</f>
        <v>0</v>
      </c>
      <c r="R104" s="9"/>
      <c r="S104" s="718">
        <f>+IF(MARZO!S104=0,"",MARZO!S104)</f>
        <v>1020400</v>
      </c>
      <c r="T104" s="692" t="str">
        <f>+IF(MARZO!T104=0,"",MARZO!T104)</f>
        <v>Contribuciones Inherentes nómina del Sector Publico</v>
      </c>
      <c r="U104" s="135">
        <f t="shared" ref="U104:AJ104" si="111">U105+U108</f>
        <v>40619885</v>
      </c>
      <c r="V104" s="124">
        <f t="shared" si="111"/>
        <v>0</v>
      </c>
      <c r="W104" s="124">
        <f t="shared" si="111"/>
        <v>3013800</v>
      </c>
      <c r="X104" s="132">
        <f t="shared" si="111"/>
        <v>43633685</v>
      </c>
      <c r="Y104" s="131">
        <f t="shared" si="111"/>
        <v>12552300</v>
      </c>
      <c r="Z104" s="124">
        <f t="shared" si="111"/>
        <v>3146900</v>
      </c>
      <c r="AA104" s="132">
        <f t="shared" si="111"/>
        <v>15699200</v>
      </c>
      <c r="AB104" s="131">
        <f t="shared" si="111"/>
        <v>12552300</v>
      </c>
      <c r="AC104" s="124">
        <f t="shared" si="111"/>
        <v>3146900</v>
      </c>
      <c r="AD104" s="132">
        <f t="shared" si="111"/>
        <v>15699200</v>
      </c>
      <c r="AE104" s="131">
        <f t="shared" si="111"/>
        <v>9323400</v>
      </c>
      <c r="AF104" s="124">
        <f t="shared" si="111"/>
        <v>3228900</v>
      </c>
      <c r="AG104" s="132">
        <f t="shared" si="111"/>
        <v>12552300</v>
      </c>
      <c r="AH104" s="131">
        <f t="shared" si="111"/>
        <v>27934485</v>
      </c>
      <c r="AI104" s="124">
        <f t="shared" si="111"/>
        <v>27934485</v>
      </c>
      <c r="AJ104" s="133">
        <f t="shared" si="111"/>
        <v>31081385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+IF(MARZO!A105=0,"",MARZO!A105)</f>
        <v>11304-1</v>
      </c>
      <c r="B105" s="627" t="str">
        <f>+IF(MARZO!B105=0,"",MARZO!B105)</f>
        <v>ARRENDAMIENTO Y ALQUILER DE BIENES MUEBLES E INMUEBLES</v>
      </c>
      <c r="C105" s="401">
        <f>+ENERO!C105</f>
        <v>916364</v>
      </c>
      <c r="D105" s="376">
        <f>MARZO!D105+ABRIL!P105</f>
        <v>0</v>
      </c>
      <c r="E105" s="376">
        <f>MARZO!E105+ABRIL!Q105</f>
        <v>0</v>
      </c>
      <c r="F105" s="376">
        <f t="shared" ref="F105:F111" si="112">SUM(C105:E105)</f>
        <v>916364</v>
      </c>
      <c r="G105" s="376">
        <f>MARZO!I105</f>
        <v>160000</v>
      </c>
      <c r="H105" s="377">
        <v>80000</v>
      </c>
      <c r="I105" s="376">
        <f t="shared" ref="I105:I111" si="113">SUM(G105:H105)</f>
        <v>240000</v>
      </c>
      <c r="J105" s="376">
        <f>MARZO!L105</f>
        <v>160000</v>
      </c>
      <c r="K105" s="377">
        <v>80000</v>
      </c>
      <c r="L105" s="376">
        <f t="shared" ref="L105:L111" si="114">SUM(J105:K105)</f>
        <v>240000</v>
      </c>
      <c r="M105" s="376">
        <f t="shared" ref="M105:M111" si="115">F105-I105</f>
        <v>676364</v>
      </c>
      <c r="N105" s="146">
        <f t="shared" ref="N105:N111" si="116">F105-L105</f>
        <v>676364</v>
      </c>
      <c r="P105" s="375">
        <v>0</v>
      </c>
      <c r="Q105" s="378">
        <v>0</v>
      </c>
      <c r="R105" s="9"/>
      <c r="S105" s="719">
        <f>+IF(MARZO!S105=0,"",MARZO!S105)</f>
        <v>1020402</v>
      </c>
      <c r="T105" s="693" t="str">
        <f>+IF(MARZO!T105=0,"",MARZO!T105)</f>
        <v>Contribuciones - Otros</v>
      </c>
      <c r="U105" s="27">
        <f t="shared" ref="U105:AJ105" si="117">SUM(U106:U107)</f>
        <v>40619885</v>
      </c>
      <c r="V105" s="15">
        <f t="shared" si="117"/>
        <v>0</v>
      </c>
      <c r="W105" s="15">
        <f t="shared" si="117"/>
        <v>0</v>
      </c>
      <c r="X105" s="18">
        <f t="shared" si="117"/>
        <v>40619885</v>
      </c>
      <c r="Y105" s="19">
        <f t="shared" si="117"/>
        <v>9538500</v>
      </c>
      <c r="Z105" s="145">
        <f t="shared" si="117"/>
        <v>3146900</v>
      </c>
      <c r="AA105" s="18">
        <f t="shared" si="117"/>
        <v>12685400</v>
      </c>
      <c r="AB105" s="19">
        <f t="shared" si="117"/>
        <v>9538500</v>
      </c>
      <c r="AC105" s="145">
        <f t="shared" si="117"/>
        <v>3146900</v>
      </c>
      <c r="AD105" s="18">
        <f t="shared" si="117"/>
        <v>12685400</v>
      </c>
      <c r="AE105" s="19">
        <f t="shared" si="117"/>
        <v>6309600</v>
      </c>
      <c r="AF105" s="145">
        <f t="shared" si="117"/>
        <v>3228900</v>
      </c>
      <c r="AG105" s="18">
        <f t="shared" si="117"/>
        <v>9538500</v>
      </c>
      <c r="AH105" s="19">
        <f t="shared" si="117"/>
        <v>27934485</v>
      </c>
      <c r="AI105" s="15">
        <f t="shared" si="117"/>
        <v>27934485</v>
      </c>
      <c r="AJ105" s="16">
        <f t="shared" si="117"/>
        <v>31081385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+IF(MARZO!A106=0,"",MARZO!A106)</f>
        <v>11304-2</v>
      </c>
      <c r="B106" s="628" t="str">
        <f>+IF(MARZO!B106=0,"",MARZO!B106)</f>
        <v>COMERCIALIZACIÓN DE MERCANCÍAS</v>
      </c>
      <c r="C106" s="401">
        <f>+ENERO!C106</f>
        <v>105119431</v>
      </c>
      <c r="D106" s="376">
        <f>MARZO!D106+ABRIL!P106</f>
        <v>0</v>
      </c>
      <c r="E106" s="376">
        <f>MARZO!E106+ABRIL!Q106</f>
        <v>0</v>
      </c>
      <c r="F106" s="376">
        <f t="shared" si="112"/>
        <v>105119431</v>
      </c>
      <c r="G106" s="376">
        <f>MARZO!I106</f>
        <v>25677143</v>
      </c>
      <c r="H106" s="377">
        <v>8051454</v>
      </c>
      <c r="I106" s="376">
        <f t="shared" si="113"/>
        <v>33728597</v>
      </c>
      <c r="J106" s="376">
        <f>MARZO!L106</f>
        <v>25677143</v>
      </c>
      <c r="K106" s="377">
        <v>8051454</v>
      </c>
      <c r="L106" s="376">
        <f t="shared" si="114"/>
        <v>33728597</v>
      </c>
      <c r="M106" s="376">
        <f t="shared" si="115"/>
        <v>71390834</v>
      </c>
      <c r="N106" s="146">
        <f t="shared" si="116"/>
        <v>71390834</v>
      </c>
      <c r="P106" s="375">
        <v>0</v>
      </c>
      <c r="Q106" s="378">
        <v>0</v>
      </c>
      <c r="R106" s="9"/>
      <c r="S106" s="720" t="str">
        <f>+IF(MARZO!S106=0,"",MARZO!S106)</f>
        <v>1020402-1</v>
      </c>
      <c r="T106" s="693" t="str">
        <f>+IF(MARZO!T106=0,"",MARZO!T106)</f>
        <v>S.E.N.A.</v>
      </c>
      <c r="U106" s="27">
        <f>+ENERO!U106</f>
        <v>16247954</v>
      </c>
      <c r="V106" s="15">
        <f>MARZO!V106+ABRIL!AL106</f>
        <v>0</v>
      </c>
      <c r="W106" s="15">
        <f>MARZO!W106+ABRIL!AM106</f>
        <v>0</v>
      </c>
      <c r="X106" s="18">
        <f>SUM(U106:W106)</f>
        <v>16247954</v>
      </c>
      <c r="Y106" s="19">
        <f>MARZO!AA106</f>
        <v>3815600</v>
      </c>
      <c r="Z106" s="377">
        <v>1258800</v>
      </c>
      <c r="AA106" s="18">
        <f>SUM(Y106:Z106)</f>
        <v>5074400</v>
      </c>
      <c r="AB106" s="19">
        <f>MARZO!AD106</f>
        <v>3815600</v>
      </c>
      <c r="AC106" s="377">
        <v>1258800</v>
      </c>
      <c r="AD106" s="18">
        <f>SUM(AB106:AC106)</f>
        <v>5074400</v>
      </c>
      <c r="AE106" s="19">
        <f>MARZO!AG106</f>
        <v>2524100</v>
      </c>
      <c r="AF106" s="377">
        <v>1291500</v>
      </c>
      <c r="AG106" s="18">
        <f>SUM(AE106:AF106)</f>
        <v>3815600</v>
      </c>
      <c r="AH106" s="19">
        <f>X106-AA106</f>
        <v>11173554</v>
      </c>
      <c r="AI106" s="15">
        <f>X106-AD106</f>
        <v>11173554</v>
      </c>
      <c r="AJ106" s="16">
        <f>X106-AG106</f>
        <v>12432354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+IF(MARZO!A107=0,"",MARZO!A107)</f>
        <v>11304-3</v>
      </c>
      <c r="B107" s="627" t="str">
        <f>+IF(MARZO!B107=0,"",MARZO!B107)</f>
        <v>Bienestar Social</v>
      </c>
      <c r="C107" s="401">
        <f>+ENERO!C107</f>
        <v>0</v>
      </c>
      <c r="D107" s="376">
        <f>MARZO!D107+ABRIL!P107</f>
        <v>0</v>
      </c>
      <c r="E107" s="376">
        <f>MARZO!E107+ABRIL!Q107</f>
        <v>0</v>
      </c>
      <c r="F107" s="376">
        <f t="shared" si="112"/>
        <v>0</v>
      </c>
      <c r="G107" s="376">
        <f>MARZO!I107</f>
        <v>0</v>
      </c>
      <c r="H107" s="377">
        <v>0</v>
      </c>
      <c r="I107" s="376">
        <f t="shared" si="113"/>
        <v>0</v>
      </c>
      <c r="J107" s="376">
        <f>MARZO!L107</f>
        <v>0</v>
      </c>
      <c r="K107" s="377">
        <v>0</v>
      </c>
      <c r="L107" s="376">
        <f t="shared" si="114"/>
        <v>0</v>
      </c>
      <c r="M107" s="376">
        <f t="shared" si="115"/>
        <v>0</v>
      </c>
      <c r="N107" s="146">
        <f t="shared" si="116"/>
        <v>0</v>
      </c>
      <c r="P107" s="375">
        <v>0</v>
      </c>
      <c r="Q107" s="378">
        <v>0</v>
      </c>
      <c r="R107" s="9"/>
      <c r="S107" s="720" t="str">
        <f>+IF(MARZO!S107=0,"",MARZO!S107)</f>
        <v>1020402-2</v>
      </c>
      <c r="T107" s="693" t="str">
        <f>+IF(MARZO!T107=0,"",MARZO!T107)</f>
        <v>I.C.B.F.</v>
      </c>
      <c r="U107" s="27">
        <f>+ENERO!U107</f>
        <v>24371931</v>
      </c>
      <c r="V107" s="15">
        <f>MARZO!V107+ABRIL!AL107</f>
        <v>0</v>
      </c>
      <c r="W107" s="15">
        <f>MARZO!W107+ABRIL!AM107</f>
        <v>0</v>
      </c>
      <c r="X107" s="18">
        <f>SUM(U107:W107)</f>
        <v>24371931</v>
      </c>
      <c r="Y107" s="19">
        <f>MARZO!AA107</f>
        <v>5722900</v>
      </c>
      <c r="Z107" s="377">
        <v>1888100</v>
      </c>
      <c r="AA107" s="18">
        <f>SUM(Y107:Z107)</f>
        <v>7611000</v>
      </c>
      <c r="AB107" s="19">
        <f>MARZO!AD107</f>
        <v>5722900</v>
      </c>
      <c r="AC107" s="377">
        <v>1888100</v>
      </c>
      <c r="AD107" s="18">
        <f>SUM(AB107:AC107)</f>
        <v>7611000</v>
      </c>
      <c r="AE107" s="19">
        <f>MARZO!AG107</f>
        <v>3785500</v>
      </c>
      <c r="AF107" s="377">
        <v>1937400</v>
      </c>
      <c r="AG107" s="18">
        <f>SUM(AE107:AF107)</f>
        <v>5722900</v>
      </c>
      <c r="AH107" s="19">
        <f>X107-AA107</f>
        <v>16760931</v>
      </c>
      <c r="AI107" s="15">
        <f>X107-AD107</f>
        <v>16760931</v>
      </c>
      <c r="AJ107" s="16">
        <f>X107-AG107</f>
        <v>18649031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+IF(MARZO!A108=0,"",MARZO!A108)</f>
        <v>11304-4</v>
      </c>
      <c r="B108" s="627" t="str">
        <f>+IF(MARZO!B108=0,"",MARZO!B108)</f>
        <v>Fondo de la Vivienda</v>
      </c>
      <c r="C108" s="401">
        <f>+ENERO!C108</f>
        <v>0</v>
      </c>
      <c r="D108" s="376">
        <f>MARZO!D108+ABRIL!P108</f>
        <v>0</v>
      </c>
      <c r="E108" s="376">
        <f>MARZO!E108+ABRIL!Q108</f>
        <v>0</v>
      </c>
      <c r="F108" s="376">
        <f t="shared" si="112"/>
        <v>0</v>
      </c>
      <c r="G108" s="376">
        <f>MARZO!I108</f>
        <v>0</v>
      </c>
      <c r="H108" s="377">
        <v>0</v>
      </c>
      <c r="I108" s="376">
        <f t="shared" si="113"/>
        <v>0</v>
      </c>
      <c r="J108" s="376">
        <f>MARZO!L108</f>
        <v>0</v>
      </c>
      <c r="K108" s="377">
        <v>0</v>
      </c>
      <c r="L108" s="376">
        <f t="shared" si="114"/>
        <v>0</v>
      </c>
      <c r="M108" s="376">
        <f t="shared" si="115"/>
        <v>0</v>
      </c>
      <c r="N108" s="146">
        <f t="shared" si="116"/>
        <v>0</v>
      </c>
      <c r="P108" s="375">
        <v>0</v>
      </c>
      <c r="Q108" s="378">
        <v>0</v>
      </c>
      <c r="R108" s="9"/>
      <c r="S108" s="719">
        <f>+IF(MARZO!S108=0,"",MARZO!S108)</f>
        <v>1020499</v>
      </c>
      <c r="T108" s="693" t="str">
        <f>+IF(MARZO!T108=0,"",MARZO!T108)</f>
        <v>Vigencias Anteriores</v>
      </c>
      <c r="U108" s="27">
        <f>+ENERO!U108</f>
        <v>0</v>
      </c>
      <c r="V108" s="15">
        <f>MARZO!V108+ABRIL!AL108</f>
        <v>0</v>
      </c>
      <c r="W108" s="15">
        <f>MARZO!W108+ABRIL!AM108</f>
        <v>3013800</v>
      </c>
      <c r="X108" s="18">
        <f>SUM(U108:W108)</f>
        <v>3013800</v>
      </c>
      <c r="Y108" s="19">
        <f>MARZO!AA108</f>
        <v>3013800</v>
      </c>
      <c r="Z108" s="377">
        <v>0</v>
      </c>
      <c r="AA108" s="18">
        <f>SUM(Y108:Z108)</f>
        <v>3013800</v>
      </c>
      <c r="AB108" s="19">
        <f>MARZO!AD108</f>
        <v>3013800</v>
      </c>
      <c r="AC108" s="377">
        <v>0</v>
      </c>
      <c r="AD108" s="18">
        <f>SUM(AB108:AC108)</f>
        <v>3013800</v>
      </c>
      <c r="AE108" s="19">
        <f>MARZO!AG108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+IF(MARZO!A109=0,"",MARZO!A109)</f>
        <v>11304-5</v>
      </c>
      <c r="B109" s="627" t="str">
        <f>+IF(MARZO!B109=0,"",MARZO!B109)</f>
        <v xml:space="preserve">Aprovechamientos </v>
      </c>
      <c r="C109" s="401">
        <f>+ENERO!C109</f>
        <v>1145884</v>
      </c>
      <c r="D109" s="376">
        <f>MARZO!D109+ABRIL!P109</f>
        <v>0</v>
      </c>
      <c r="E109" s="376">
        <f>MARZO!E109+ABRIL!Q109</f>
        <v>0</v>
      </c>
      <c r="F109" s="376">
        <f t="shared" si="112"/>
        <v>1145884</v>
      </c>
      <c r="G109" s="376">
        <f>MARZO!I109</f>
        <v>2150654</v>
      </c>
      <c r="H109" s="377">
        <v>52050</v>
      </c>
      <c r="I109" s="376">
        <f t="shared" si="113"/>
        <v>2202704</v>
      </c>
      <c r="J109" s="376">
        <f>MARZO!L109</f>
        <v>2150654</v>
      </c>
      <c r="K109" s="377">
        <v>52050</v>
      </c>
      <c r="L109" s="376">
        <f t="shared" si="114"/>
        <v>2202704</v>
      </c>
      <c r="M109" s="376">
        <f t="shared" si="115"/>
        <v>-1056820</v>
      </c>
      <c r="N109" s="146">
        <f t="shared" si="116"/>
        <v>-1056820</v>
      </c>
      <c r="P109" s="375">
        <v>0</v>
      </c>
      <c r="Q109" s="378">
        <v>0</v>
      </c>
      <c r="R109" s="9"/>
      <c r="S109" s="369" t="str">
        <f>+IF(MARZO!S109=0,"",MARZO!S109)</f>
        <v/>
      </c>
      <c r="T109" s="708" t="str">
        <f>+IF(MARZO!T109=0,"",MARZO!T109)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+IF(MARZO!A110=0,"",MARZO!A110)</f>
        <v>11304-6</v>
      </c>
      <c r="B110" s="627" t="str">
        <f>+IF(MARZO!B110=0,"",MARZO!B110)</f>
        <v>Otros</v>
      </c>
      <c r="C110" s="401">
        <f>+ENERO!C110</f>
        <v>0</v>
      </c>
      <c r="D110" s="376">
        <f>MARZO!D110+ABRIL!P110</f>
        <v>0</v>
      </c>
      <c r="E110" s="376">
        <f>MARZO!E110+ABRIL!Q110</f>
        <v>0</v>
      </c>
      <c r="F110" s="376">
        <f t="shared" si="112"/>
        <v>0</v>
      </c>
      <c r="G110" s="376">
        <f>MARZO!I110</f>
        <v>28335</v>
      </c>
      <c r="H110" s="377">
        <v>0</v>
      </c>
      <c r="I110" s="376">
        <f t="shared" si="113"/>
        <v>28335</v>
      </c>
      <c r="J110" s="376">
        <f>MARZO!L110</f>
        <v>28335</v>
      </c>
      <c r="K110" s="377">
        <v>0</v>
      </c>
      <c r="L110" s="376">
        <f t="shared" si="114"/>
        <v>28335</v>
      </c>
      <c r="M110" s="376">
        <f t="shared" si="115"/>
        <v>-28335</v>
      </c>
      <c r="N110" s="146">
        <f t="shared" si="116"/>
        <v>-28335</v>
      </c>
      <c r="P110" s="375">
        <v>0</v>
      </c>
      <c r="Q110" s="378">
        <v>0</v>
      </c>
      <c r="R110" s="9"/>
      <c r="S110" s="717">
        <f>+IF(MARZO!S110=0,"",MARZO!S110)</f>
        <v>2000000</v>
      </c>
      <c r="T110" s="697" t="str">
        <f>+IF(MARZO!T110=0,"",MARZO!T110)</f>
        <v>GASTOS GENERALES</v>
      </c>
      <c r="U110" s="473">
        <f t="shared" ref="U110:AJ110" si="118">U112+U145</f>
        <v>505626661</v>
      </c>
      <c r="V110" s="474">
        <f t="shared" si="118"/>
        <v>25000000</v>
      </c>
      <c r="W110" s="474">
        <f t="shared" si="118"/>
        <v>213332840</v>
      </c>
      <c r="X110" s="475">
        <f t="shared" si="118"/>
        <v>743959501</v>
      </c>
      <c r="Y110" s="382">
        <f t="shared" si="118"/>
        <v>341447315</v>
      </c>
      <c r="Z110" s="474">
        <f t="shared" si="118"/>
        <v>16536105</v>
      </c>
      <c r="AA110" s="475">
        <f t="shared" si="118"/>
        <v>357983420</v>
      </c>
      <c r="AB110" s="382">
        <f t="shared" si="118"/>
        <v>273342175</v>
      </c>
      <c r="AC110" s="474">
        <f t="shared" si="118"/>
        <v>17041935</v>
      </c>
      <c r="AD110" s="475">
        <f t="shared" si="118"/>
        <v>290384110</v>
      </c>
      <c r="AE110" s="382">
        <f t="shared" si="118"/>
        <v>116936930</v>
      </c>
      <c r="AF110" s="474">
        <f t="shared" si="118"/>
        <v>27871192</v>
      </c>
      <c r="AG110" s="475">
        <f t="shared" si="118"/>
        <v>144808122</v>
      </c>
      <c r="AH110" s="382">
        <f t="shared" si="118"/>
        <v>385976081</v>
      </c>
      <c r="AI110" s="474">
        <f t="shared" si="118"/>
        <v>453575391</v>
      </c>
      <c r="AJ110" s="383">
        <f t="shared" si="118"/>
        <v>599151379</v>
      </c>
      <c r="AK110" s="10"/>
      <c r="AL110" s="131">
        <f>AL112+AL145</f>
        <v>0</v>
      </c>
      <c r="AM110" s="133">
        <f>AM112+AM145</f>
        <v>27176600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+IF(MARZO!A111=0,"",MARZO!A111)</f>
        <v>11304-7</v>
      </c>
      <c r="B111" s="662" t="str">
        <f>+IF(MARZO!B111=0,"",MARZO!B111)</f>
        <v>Vigencia Anterior</v>
      </c>
      <c r="C111" s="491">
        <f>+ENERO!C111</f>
        <v>0</v>
      </c>
      <c r="D111" s="388">
        <f>MARZO!D111+ABRIL!P111</f>
        <v>0</v>
      </c>
      <c r="E111" s="388">
        <f>MARZO!E111+ABRIL!Q111</f>
        <v>0</v>
      </c>
      <c r="F111" s="388">
        <f t="shared" si="112"/>
        <v>0</v>
      </c>
      <c r="G111" s="388">
        <f>MARZO!I111</f>
        <v>80000</v>
      </c>
      <c r="H111" s="391">
        <v>0</v>
      </c>
      <c r="I111" s="388">
        <f t="shared" si="113"/>
        <v>80000</v>
      </c>
      <c r="J111" s="388">
        <f>MARZO!L111</f>
        <v>80000</v>
      </c>
      <c r="K111" s="391">
        <v>0</v>
      </c>
      <c r="L111" s="388">
        <f t="shared" si="114"/>
        <v>80000</v>
      </c>
      <c r="M111" s="388">
        <f t="shared" si="115"/>
        <v>-80000</v>
      </c>
      <c r="N111" s="389">
        <f t="shared" si="116"/>
        <v>-80000</v>
      </c>
      <c r="P111" s="375">
        <v>0</v>
      </c>
      <c r="Q111" s="378">
        <v>0</v>
      </c>
      <c r="R111" s="9"/>
      <c r="S111" s="369" t="str">
        <f>+IF(MARZO!S111=0,"",MARZO!S111)</f>
        <v/>
      </c>
      <c r="T111" s="708" t="str">
        <f>+IF(MARZO!T111=0,"",MARZO!T111)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+IF(MARZO!A112=0,"",MARZO!A112)</f>
        <v/>
      </c>
      <c r="B112" s="661" t="str">
        <f>+IF(MARZO!B112=0,"",MARZO!B112)</f>
        <v/>
      </c>
      <c r="C112" s="483"/>
      <c r="D112" s="483"/>
      <c r="E112" s="483"/>
      <c r="F112" s="483"/>
      <c r="G112" s="483"/>
      <c r="H112" s="483"/>
      <c r="I112" s="483"/>
      <c r="J112" s="483"/>
      <c r="K112" s="483"/>
      <c r="L112" s="483"/>
      <c r="M112" s="483"/>
      <c r="N112" s="484"/>
      <c r="P112" s="485"/>
      <c r="Q112" s="484"/>
      <c r="R112" s="9"/>
      <c r="S112" s="717">
        <f>+IF(MARZO!S112=0,"",MARZO!S112)</f>
        <v>2010000</v>
      </c>
      <c r="T112" s="691" t="str">
        <f>+IF(MARZO!T112=0,"",MARZO!T112)</f>
        <v>Gastos de Administración</v>
      </c>
      <c r="U112" s="135">
        <f t="shared" ref="U112:AJ112" si="119">U114+U123+U141</f>
        <v>181650786</v>
      </c>
      <c r="V112" s="124">
        <f t="shared" si="119"/>
        <v>0</v>
      </c>
      <c r="W112" s="124">
        <f t="shared" si="119"/>
        <v>102233652</v>
      </c>
      <c r="X112" s="132">
        <f t="shared" si="119"/>
        <v>283884438</v>
      </c>
      <c r="Y112" s="131">
        <f t="shared" si="119"/>
        <v>94678671</v>
      </c>
      <c r="Z112" s="124">
        <f t="shared" si="119"/>
        <v>11777763</v>
      </c>
      <c r="AA112" s="132">
        <f t="shared" si="119"/>
        <v>106456434</v>
      </c>
      <c r="AB112" s="131">
        <f t="shared" si="119"/>
        <v>93358433</v>
      </c>
      <c r="AC112" s="124">
        <f t="shared" si="119"/>
        <v>10473001</v>
      </c>
      <c r="AD112" s="132">
        <f t="shared" si="119"/>
        <v>103831434</v>
      </c>
      <c r="AE112" s="131">
        <f t="shared" si="119"/>
        <v>38934008</v>
      </c>
      <c r="AF112" s="124">
        <f t="shared" si="119"/>
        <v>12932336</v>
      </c>
      <c r="AG112" s="132">
        <f t="shared" si="119"/>
        <v>51866344</v>
      </c>
      <c r="AH112" s="131">
        <f t="shared" si="119"/>
        <v>177428004</v>
      </c>
      <c r="AI112" s="124">
        <f t="shared" si="119"/>
        <v>180053004</v>
      </c>
      <c r="AJ112" s="133">
        <f t="shared" si="119"/>
        <v>232018094</v>
      </c>
      <c r="AK112" s="9"/>
      <c r="AL112" s="131">
        <f>AL114+AL123+AL141</f>
        <v>0</v>
      </c>
      <c r="AM112" s="133">
        <f>AM114+AM123+AM141</f>
        <v>27176600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+IF(MARZO!A113=0,"",MARZO!A113)</f>
        <v>2000</v>
      </c>
      <c r="B113" s="648" t="str">
        <f>+IF(MARZO!B113=0,"",MARZO!B113)</f>
        <v>INGRESOS DE CAPITAL</v>
      </c>
      <c r="C113" s="631">
        <f>SUM(C115:C124)</f>
        <v>32659146</v>
      </c>
      <c r="D113" s="632">
        <f>SUM(D115:D124)</f>
        <v>0</v>
      </c>
      <c r="E113" s="632">
        <f t="shared" ref="E113:N113" si="120">SUM(E115:E124)</f>
        <v>27176600</v>
      </c>
      <c r="F113" s="632">
        <f t="shared" si="120"/>
        <v>59835746</v>
      </c>
      <c r="G113" s="632">
        <f t="shared" si="120"/>
        <v>357482</v>
      </c>
      <c r="H113" s="632">
        <f t="shared" si="120"/>
        <v>7154945</v>
      </c>
      <c r="I113" s="632">
        <f t="shared" si="120"/>
        <v>7512427</v>
      </c>
      <c r="J113" s="632">
        <f t="shared" si="120"/>
        <v>357482</v>
      </c>
      <c r="K113" s="632">
        <f t="shared" si="120"/>
        <v>7154945</v>
      </c>
      <c r="L113" s="632">
        <f t="shared" si="120"/>
        <v>7512427</v>
      </c>
      <c r="M113" s="632">
        <f t="shared" si="120"/>
        <v>52323319</v>
      </c>
      <c r="N113" s="633">
        <f t="shared" si="120"/>
        <v>52323319</v>
      </c>
      <c r="O113" s="464"/>
      <c r="P113" s="177">
        <f>SUM(P115:P124)</f>
        <v>0</v>
      </c>
      <c r="Q113" s="178">
        <f>SUM(Q115:Q124)</f>
        <v>27176600</v>
      </c>
      <c r="R113" s="9"/>
      <c r="S113" s="369" t="str">
        <f>+IF(MARZO!S113=0,"",MARZO!S113)</f>
        <v/>
      </c>
      <c r="T113" s="708" t="str">
        <f>+IF(MARZO!T113=0,"",MARZO!T113)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+IF(MARZO!A114=0,"",MARZO!A114)</f>
        <v/>
      </c>
      <c r="B114" s="661" t="str">
        <f>+IF(MARZO!B114=0,"",MARZO!B114)</f>
        <v/>
      </c>
      <c r="C114" s="483"/>
      <c r="D114" s="483"/>
      <c r="E114" s="483"/>
      <c r="F114" s="483"/>
      <c r="G114" s="483"/>
      <c r="H114" s="483"/>
      <c r="I114" s="483"/>
      <c r="J114" s="483"/>
      <c r="K114" s="483"/>
      <c r="L114" s="483"/>
      <c r="M114" s="483"/>
      <c r="N114" s="484"/>
      <c r="P114" s="485"/>
      <c r="Q114" s="484"/>
      <c r="R114" s="9"/>
      <c r="S114" s="718">
        <f>+IF(MARZO!S114=0,"",MARZO!S114)</f>
        <v>2010100</v>
      </c>
      <c r="T114" s="692" t="str">
        <f>+IF(MARZO!T114=0,"",MARZO!T114)</f>
        <v>Adquisición de bienes</v>
      </c>
      <c r="U114" s="135">
        <f t="shared" ref="U114:AJ114" si="121">SUM(U115:U121)</f>
        <v>29771433</v>
      </c>
      <c r="V114" s="124">
        <f t="shared" si="121"/>
        <v>0</v>
      </c>
      <c r="W114" s="124">
        <f t="shared" si="121"/>
        <v>69356464</v>
      </c>
      <c r="X114" s="132">
        <f t="shared" si="121"/>
        <v>99127897</v>
      </c>
      <c r="Y114" s="131">
        <f t="shared" si="121"/>
        <v>24452254</v>
      </c>
      <c r="Z114" s="124">
        <f t="shared" si="121"/>
        <v>3504153</v>
      </c>
      <c r="AA114" s="132">
        <f t="shared" si="121"/>
        <v>27956407</v>
      </c>
      <c r="AB114" s="131">
        <f t="shared" si="121"/>
        <v>24452254</v>
      </c>
      <c r="AC114" s="124">
        <f t="shared" si="121"/>
        <v>3504153</v>
      </c>
      <c r="AD114" s="132">
        <f t="shared" si="121"/>
        <v>27956407</v>
      </c>
      <c r="AE114" s="131">
        <f t="shared" si="121"/>
        <v>13652316</v>
      </c>
      <c r="AF114" s="124">
        <f t="shared" si="121"/>
        <v>327269</v>
      </c>
      <c r="AG114" s="132">
        <f t="shared" si="121"/>
        <v>13979585</v>
      </c>
      <c r="AH114" s="131">
        <f t="shared" si="121"/>
        <v>71171490</v>
      </c>
      <c r="AI114" s="124">
        <f t="shared" si="121"/>
        <v>71171490</v>
      </c>
      <c r="AJ114" s="133">
        <f t="shared" si="121"/>
        <v>85148312</v>
      </c>
      <c r="AK114" s="9"/>
      <c r="AL114" s="131">
        <f>SUM(AL115:AL121)</f>
        <v>0</v>
      </c>
      <c r="AM114" s="133">
        <f>SUM(AM115:AM121)</f>
        <v>27176600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+IF(MARZO!A115=0,"",MARZO!A115)</f>
        <v>2100</v>
      </c>
      <c r="B115" s="634" t="str">
        <f>+IF(MARZO!B115=0,"",MARZO!B115)</f>
        <v>CREDITO INTERNO</v>
      </c>
      <c r="C115" s="375">
        <f>+ENERO!C115</f>
        <v>0</v>
      </c>
      <c r="D115" s="467">
        <f>MARZO!D115+ABRIL!P115</f>
        <v>0</v>
      </c>
      <c r="E115" s="467">
        <f>MARZO!E115+ABRIL!Q115</f>
        <v>0</v>
      </c>
      <c r="F115" s="471">
        <f t="shared" ref="F115:F124" si="122">SUM(C115:E115)</f>
        <v>0</v>
      </c>
      <c r="G115" s="469">
        <f>MARZO!I115</f>
        <v>0</v>
      </c>
      <c r="H115" s="377">
        <v>0</v>
      </c>
      <c r="I115" s="471">
        <f t="shared" ref="I115:I124" si="123">SUM(G115:H115)</f>
        <v>0</v>
      </c>
      <c r="J115" s="469">
        <f>MARZO!L115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+IF(MARZO!S115=0,"",MARZO!S115)</f>
        <v>2010100-1</v>
      </c>
      <c r="T115" s="693" t="str">
        <f>+IF(MARZO!T115=0,"",MARZO!T115)</f>
        <v>Compra de Equipos</v>
      </c>
      <c r="U115" s="27">
        <f>+ENERO!U115</f>
        <v>0</v>
      </c>
      <c r="V115" s="15">
        <f>MARZO!V115+ABRIL!AL115</f>
        <v>0</v>
      </c>
      <c r="W115" s="15">
        <f>MARZO!W115+ABRIL!AM115</f>
        <v>57176600</v>
      </c>
      <c r="X115" s="18">
        <f t="shared" ref="X115:X121" si="127">SUM(U115:W115)</f>
        <v>57176600</v>
      </c>
      <c r="Y115" s="19">
        <f>MARZO!AA115</f>
        <v>2513720</v>
      </c>
      <c r="Z115" s="377">
        <v>0</v>
      </c>
      <c r="AA115" s="18">
        <f t="shared" ref="AA115:AA121" si="128">SUM(Y115:Z115)</f>
        <v>2513720</v>
      </c>
      <c r="AB115" s="19">
        <f>MARZO!AD115</f>
        <v>2513720</v>
      </c>
      <c r="AC115" s="377">
        <v>0</v>
      </c>
      <c r="AD115" s="18">
        <f t="shared" ref="AD115:AD121" si="129">SUM(AB115:AC115)</f>
        <v>2513720</v>
      </c>
      <c r="AE115" s="19">
        <f>MARZO!AG115</f>
        <v>0</v>
      </c>
      <c r="AF115" s="377">
        <v>0</v>
      </c>
      <c r="AG115" s="18">
        <f t="shared" ref="AG115:AG121" si="130">SUM(AE115:AF115)</f>
        <v>0</v>
      </c>
      <c r="AH115" s="19">
        <f t="shared" ref="AH115:AH121" si="131">X115-AA115</f>
        <v>54662880</v>
      </c>
      <c r="AI115" s="15">
        <f t="shared" ref="AI115:AI121" si="132">X115-AD115</f>
        <v>54662880</v>
      </c>
      <c r="AJ115" s="16">
        <f t="shared" ref="AJ115:AJ121" si="133">X115-AG115</f>
        <v>57176600</v>
      </c>
      <c r="AK115" s="9"/>
      <c r="AL115" s="375">
        <v>0</v>
      </c>
      <c r="AM115" s="378">
        <f>20044800+7131800</f>
        <v>27176600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+IF(MARZO!A116=0,"",MARZO!A116)</f>
        <v>2100-1</v>
      </c>
      <c r="B116" s="635" t="str">
        <f>+IF(MARZO!B116=0,"",MARZO!B116)</f>
        <v>Vigencia Anterior</v>
      </c>
      <c r="C116" s="375">
        <f>+ENERO!C116</f>
        <v>0</v>
      </c>
      <c r="D116" s="467">
        <f>MARZO!D116+ABRIL!P116</f>
        <v>0</v>
      </c>
      <c r="E116" s="467">
        <f>MARZO!E116+ABRIL!Q116</f>
        <v>0</v>
      </c>
      <c r="F116" s="471">
        <f t="shared" si="122"/>
        <v>0</v>
      </c>
      <c r="G116" s="469">
        <f>MARZO!I116</f>
        <v>0</v>
      </c>
      <c r="H116" s="377">
        <v>0</v>
      </c>
      <c r="I116" s="471">
        <f t="shared" si="123"/>
        <v>0</v>
      </c>
      <c r="J116" s="469">
        <f>MARZO!L116</f>
        <v>0</v>
      </c>
      <c r="K116" s="377">
        <v>0</v>
      </c>
      <c r="L116" s="468">
        <f t="shared" si="124"/>
        <v>0</v>
      </c>
      <c r="M116" s="472">
        <f t="shared" si="125"/>
        <v>0</v>
      </c>
      <c r="N116" s="468">
        <f t="shared" si="126"/>
        <v>0</v>
      </c>
      <c r="O116" s="464"/>
      <c r="P116" s="375">
        <v>0</v>
      </c>
      <c r="Q116" s="378">
        <v>0</v>
      </c>
      <c r="R116" s="9"/>
      <c r="S116" s="719" t="str">
        <f>+IF(MARZO!S116=0,"",MARZO!S116)</f>
        <v>2010100-2</v>
      </c>
      <c r="T116" s="693" t="str">
        <f>+IF(MARZO!T116=0,"",MARZO!T116)</f>
        <v>Materiales</v>
      </c>
      <c r="U116" s="27">
        <f>+ENERO!U116</f>
        <v>29771433</v>
      </c>
      <c r="V116" s="15">
        <f>MARZO!V116+ABRIL!AL116</f>
        <v>0</v>
      </c>
      <c r="W116" s="15">
        <f>MARZO!W116+ABRIL!AM116</f>
        <v>0</v>
      </c>
      <c r="X116" s="18">
        <f t="shared" si="127"/>
        <v>29771433</v>
      </c>
      <c r="Y116" s="19">
        <f>MARZO!AA116</f>
        <v>9758670</v>
      </c>
      <c r="Z116" s="377">
        <v>3504153</v>
      </c>
      <c r="AA116" s="18">
        <f t="shared" si="128"/>
        <v>13262823</v>
      </c>
      <c r="AB116" s="19">
        <f>MARZO!AD116</f>
        <v>9758670</v>
      </c>
      <c r="AC116" s="377">
        <v>3504153</v>
      </c>
      <c r="AD116" s="18">
        <f t="shared" si="129"/>
        <v>13262823</v>
      </c>
      <c r="AE116" s="19">
        <f>MARZO!AG116</f>
        <v>1855652</v>
      </c>
      <c r="AF116" s="377">
        <v>257269</v>
      </c>
      <c r="AG116" s="18">
        <f t="shared" si="130"/>
        <v>2112921</v>
      </c>
      <c r="AH116" s="19">
        <f t="shared" si="131"/>
        <v>16508610</v>
      </c>
      <c r="AI116" s="15">
        <f t="shared" si="132"/>
        <v>16508610</v>
      </c>
      <c r="AJ116" s="16">
        <f t="shared" si="133"/>
        <v>27658512</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+IF(MARZO!A117=0,"",MARZO!A117)</f>
        <v>2200</v>
      </c>
      <c r="B117" s="634" t="str">
        <f>+IF(MARZO!B117=0,"",MARZO!B117)</f>
        <v>CREDITO EXTERNO</v>
      </c>
      <c r="C117" s="375">
        <f>+ENERO!C117</f>
        <v>0</v>
      </c>
      <c r="D117" s="467">
        <f>MARZO!D117+ABRIL!P117</f>
        <v>0</v>
      </c>
      <c r="E117" s="467">
        <f>MARZO!E117+ABRIL!Q117</f>
        <v>0</v>
      </c>
      <c r="F117" s="471">
        <f t="shared" si="122"/>
        <v>0</v>
      </c>
      <c r="G117" s="469">
        <f>MARZO!I117</f>
        <v>0</v>
      </c>
      <c r="H117" s="377">
        <v>0</v>
      </c>
      <c r="I117" s="471">
        <f t="shared" si="123"/>
        <v>0</v>
      </c>
      <c r="J117" s="469">
        <f>MARZO!L117</f>
        <v>0</v>
      </c>
      <c r="K117" s="377">
        <v>0</v>
      </c>
      <c r="L117" s="468">
        <f t="shared" si="124"/>
        <v>0</v>
      </c>
      <c r="M117" s="472">
        <f t="shared" si="125"/>
        <v>0</v>
      </c>
      <c r="N117" s="468">
        <f t="shared" si="126"/>
        <v>0</v>
      </c>
      <c r="O117" s="464"/>
      <c r="P117" s="375">
        <v>0</v>
      </c>
      <c r="Q117" s="378">
        <v>0</v>
      </c>
      <c r="R117" s="9"/>
      <c r="S117" s="719" t="str">
        <f>+IF(MARZO!S117=0,"",MARZO!S117)</f>
        <v>2010100-3</v>
      </c>
      <c r="T117" s="693" t="str">
        <f>+IF(MARZO!T117=0,"",MARZO!T117)</f>
        <v>Salud Ocupacional</v>
      </c>
      <c r="U117" s="27">
        <f>+ENERO!U117</f>
        <v>0</v>
      </c>
      <c r="V117" s="15">
        <f>MARZO!V117+ABRIL!AL117</f>
        <v>0</v>
      </c>
      <c r="W117" s="15">
        <f>MARZO!W117+ABRIL!AM117</f>
        <v>0</v>
      </c>
      <c r="X117" s="18">
        <f t="shared" si="127"/>
        <v>0</v>
      </c>
      <c r="Y117" s="19">
        <f>MARZO!AA117</f>
        <v>0</v>
      </c>
      <c r="Z117" s="377">
        <v>0</v>
      </c>
      <c r="AA117" s="18">
        <f t="shared" si="128"/>
        <v>0</v>
      </c>
      <c r="AB117" s="19">
        <f>MARZO!AD117</f>
        <v>0</v>
      </c>
      <c r="AC117" s="377">
        <v>0</v>
      </c>
      <c r="AD117" s="18">
        <f t="shared" si="129"/>
        <v>0</v>
      </c>
      <c r="AE117" s="19">
        <f>MARZO!AG117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+IF(MARZO!A118=0,"",MARZO!A118)</f>
        <v>2200-1</v>
      </c>
      <c r="B118" s="635" t="str">
        <f>+IF(MARZO!B118=0,"",MARZO!B118)</f>
        <v>Vigencia Anterior</v>
      </c>
      <c r="C118" s="375">
        <f>+ENERO!C118</f>
        <v>0</v>
      </c>
      <c r="D118" s="467">
        <f>MARZO!D118+ABRIL!P118</f>
        <v>0</v>
      </c>
      <c r="E118" s="467">
        <f>MARZO!E118+ABRIL!Q118</f>
        <v>0</v>
      </c>
      <c r="F118" s="471">
        <f t="shared" si="122"/>
        <v>0</v>
      </c>
      <c r="G118" s="469">
        <f>MARZO!I118</f>
        <v>0</v>
      </c>
      <c r="H118" s="377">
        <v>0</v>
      </c>
      <c r="I118" s="471">
        <f t="shared" si="123"/>
        <v>0</v>
      </c>
      <c r="J118" s="469">
        <f>MARZO!L118</f>
        <v>0</v>
      </c>
      <c r="K118" s="377">
        <v>0</v>
      </c>
      <c r="L118" s="468">
        <f t="shared" si="124"/>
        <v>0</v>
      </c>
      <c r="M118" s="472">
        <f t="shared" si="125"/>
        <v>0</v>
      </c>
      <c r="N118" s="468">
        <f t="shared" si="126"/>
        <v>0</v>
      </c>
      <c r="O118" s="464"/>
      <c r="P118" s="375">
        <v>0</v>
      </c>
      <c r="Q118" s="378">
        <v>0</v>
      </c>
      <c r="R118" s="9"/>
      <c r="S118" s="719" t="str">
        <f>+IF(MARZO!S118=0,"",MARZO!S118)</f>
        <v>2010100-4</v>
      </c>
      <c r="T118" s="693" t="str">
        <f>+IF(MARZO!T118=0,"",MARZO!T118)</f>
        <v/>
      </c>
      <c r="U118" s="27">
        <f>+ENERO!U118</f>
        <v>0</v>
      </c>
      <c r="V118" s="15">
        <f>MARZO!V118+ABRIL!AL118</f>
        <v>0</v>
      </c>
      <c r="W118" s="15">
        <f>MARZO!W118+ABRIL!AM118</f>
        <v>0</v>
      </c>
      <c r="X118" s="18">
        <f t="shared" si="127"/>
        <v>0</v>
      </c>
      <c r="Y118" s="19">
        <f>MARZO!AA118</f>
        <v>0</v>
      </c>
      <c r="Z118" s="377">
        <v>0</v>
      </c>
      <c r="AA118" s="18">
        <f t="shared" si="128"/>
        <v>0</v>
      </c>
      <c r="AB118" s="19">
        <f>MARZO!AD118</f>
        <v>0</v>
      </c>
      <c r="AC118" s="377">
        <v>0</v>
      </c>
      <c r="AD118" s="18">
        <f t="shared" si="129"/>
        <v>0</v>
      </c>
      <c r="AE118" s="19">
        <f>MARZO!AG118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+IF(MARZO!A119=0,"",MARZO!A119)</f>
        <v>2300</v>
      </c>
      <c r="B119" s="634" t="str">
        <f>+IF(MARZO!B119=0,"",MARZO!B119)</f>
        <v>RENDIMIENTOS FINANCIEROS</v>
      </c>
      <c r="C119" s="375">
        <f>+ENERO!C119</f>
        <v>594347</v>
      </c>
      <c r="D119" s="467">
        <f>MARZO!D119+ABRIL!P119</f>
        <v>0</v>
      </c>
      <c r="E119" s="467">
        <f>MARZO!E119+ABRIL!Q119</f>
        <v>0</v>
      </c>
      <c r="F119" s="471">
        <f t="shared" si="122"/>
        <v>594347</v>
      </c>
      <c r="G119" s="222">
        <f>MARZO!I119</f>
        <v>35784</v>
      </c>
      <c r="H119" s="377">
        <v>23145</v>
      </c>
      <c r="I119" s="476">
        <f t="shared" si="123"/>
        <v>58929</v>
      </c>
      <c r="J119" s="222">
        <f>MARZO!L119</f>
        <v>35784</v>
      </c>
      <c r="K119" s="377">
        <v>23145</v>
      </c>
      <c r="L119" s="146">
        <f t="shared" si="124"/>
        <v>58929</v>
      </c>
      <c r="M119" s="441">
        <f t="shared" si="125"/>
        <v>535418</v>
      </c>
      <c r="N119" s="146">
        <f t="shared" si="126"/>
        <v>535418</v>
      </c>
      <c r="O119" s="464"/>
      <c r="P119" s="375">
        <v>0</v>
      </c>
      <c r="Q119" s="378">
        <v>0</v>
      </c>
      <c r="R119" s="9"/>
      <c r="S119" s="719" t="str">
        <f>+IF(MARZO!S119=0,"",MARZO!S119)</f>
        <v>2010100-5</v>
      </c>
      <c r="T119" s="693" t="str">
        <f>+IF(MARZO!T119=0,"",MARZO!T119)</f>
        <v/>
      </c>
      <c r="U119" s="27">
        <f>+ENERO!U119</f>
        <v>0</v>
      </c>
      <c r="V119" s="15">
        <f>MARZO!V119+ABRIL!AL119</f>
        <v>0</v>
      </c>
      <c r="W119" s="15">
        <f>MARZO!W119+ABRIL!AM119</f>
        <v>0</v>
      </c>
      <c r="X119" s="18">
        <f t="shared" si="127"/>
        <v>0</v>
      </c>
      <c r="Y119" s="19">
        <f>MARZO!AA119</f>
        <v>0</v>
      </c>
      <c r="Z119" s="377">
        <v>0</v>
      </c>
      <c r="AA119" s="18">
        <f t="shared" si="128"/>
        <v>0</v>
      </c>
      <c r="AB119" s="19">
        <f>MARZO!AD119</f>
        <v>0</v>
      </c>
      <c r="AC119" s="377">
        <v>0</v>
      </c>
      <c r="AD119" s="18">
        <f t="shared" si="129"/>
        <v>0</v>
      </c>
      <c r="AE119" s="19">
        <f>MARZO!AG119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+IF(MARZO!A120=0,"",MARZO!A120)</f>
        <v>2400</v>
      </c>
      <c r="B120" s="635" t="str">
        <f>+IF(MARZO!B120=0,"",MARZO!B120)</f>
        <v>VENTA DE ACTIVOS</v>
      </c>
      <c r="C120" s="375">
        <f>+ENERO!C120</f>
        <v>0</v>
      </c>
      <c r="D120" s="467">
        <f>MARZO!D120+ABRIL!P120</f>
        <v>0</v>
      </c>
      <c r="E120" s="467">
        <f>MARZO!E120+ABRIL!Q120</f>
        <v>0</v>
      </c>
      <c r="F120" s="471">
        <f t="shared" si="122"/>
        <v>0</v>
      </c>
      <c r="G120" s="222">
        <f>MARZO!I120</f>
        <v>0</v>
      </c>
      <c r="H120" s="377">
        <v>0</v>
      </c>
      <c r="I120" s="476">
        <f t="shared" si="123"/>
        <v>0</v>
      </c>
      <c r="J120" s="222">
        <f>MARZO!L120</f>
        <v>0</v>
      </c>
      <c r="K120" s="377">
        <v>0</v>
      </c>
      <c r="L120" s="146">
        <f t="shared" si="124"/>
        <v>0</v>
      </c>
      <c r="M120" s="441">
        <f t="shared" si="125"/>
        <v>0</v>
      </c>
      <c r="N120" s="146">
        <f t="shared" si="126"/>
        <v>0</v>
      </c>
      <c r="P120" s="375">
        <v>0</v>
      </c>
      <c r="Q120" s="378">
        <v>0</v>
      </c>
      <c r="R120" s="9"/>
      <c r="S120" s="719" t="str">
        <f>+IF(MARZO!S120=0,"",MARZO!S120)</f>
        <v>2010100-6</v>
      </c>
      <c r="T120" s="693" t="str">
        <f>+IF(MARZO!T120=0,"",MARZO!T120)</f>
        <v/>
      </c>
      <c r="U120" s="27">
        <f>+ENERO!U120</f>
        <v>0</v>
      </c>
      <c r="V120" s="15">
        <f>MARZO!V120+ABRIL!AL120</f>
        <v>0</v>
      </c>
      <c r="W120" s="15">
        <f>MARZO!W120+ABRIL!AM120</f>
        <v>0</v>
      </c>
      <c r="X120" s="18">
        <f t="shared" si="127"/>
        <v>0</v>
      </c>
      <c r="Y120" s="19">
        <f>MARZO!AA120</f>
        <v>0</v>
      </c>
      <c r="Z120" s="377">
        <v>0</v>
      </c>
      <c r="AA120" s="18">
        <f t="shared" si="128"/>
        <v>0</v>
      </c>
      <c r="AB120" s="19">
        <f>MARZO!AD120</f>
        <v>0</v>
      </c>
      <c r="AC120" s="377">
        <v>0</v>
      </c>
      <c r="AD120" s="18">
        <f t="shared" si="129"/>
        <v>0</v>
      </c>
      <c r="AE120" s="19">
        <f>MARZO!AG120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+IF(MARZO!A121=0,"",MARZO!A121)</f>
        <v>2500</v>
      </c>
      <c r="B121" s="635" t="str">
        <f>+IF(MARZO!B121=0,"",MARZO!B121)</f>
        <v>DONACIONES</v>
      </c>
      <c r="C121" s="375">
        <f>+ENERO!C121</f>
        <v>0</v>
      </c>
      <c r="D121" s="467">
        <f>MARZO!D121+ABRIL!P121</f>
        <v>0</v>
      </c>
      <c r="E121" s="467">
        <f>MARZO!E121+ABRIL!Q121</f>
        <v>0</v>
      </c>
      <c r="F121" s="471">
        <f t="shared" si="122"/>
        <v>0</v>
      </c>
      <c r="G121" s="222">
        <f>MARZO!I121</f>
        <v>0</v>
      </c>
      <c r="H121" s="377">
        <v>0</v>
      </c>
      <c r="I121" s="476">
        <f t="shared" si="123"/>
        <v>0</v>
      </c>
      <c r="J121" s="222">
        <f>MARZO!L121</f>
        <v>0</v>
      </c>
      <c r="K121" s="377">
        <v>0</v>
      </c>
      <c r="L121" s="146">
        <f t="shared" si="124"/>
        <v>0</v>
      </c>
      <c r="M121" s="441">
        <f t="shared" si="125"/>
        <v>0</v>
      </c>
      <c r="N121" s="146">
        <f t="shared" si="126"/>
        <v>0</v>
      </c>
      <c r="P121" s="375">
        <v>0</v>
      </c>
      <c r="Q121" s="378">
        <v>0</v>
      </c>
      <c r="R121" s="9"/>
      <c r="S121" s="719">
        <f>+IF(MARZO!S121=0,"",MARZO!S121)</f>
        <v>2010199</v>
      </c>
      <c r="T121" s="693" t="str">
        <f>+IF(MARZO!T121=0,"",MARZO!T121)</f>
        <v>Vigencias Anteriores</v>
      </c>
      <c r="U121" s="27">
        <f>+ENERO!U121</f>
        <v>0</v>
      </c>
      <c r="V121" s="15">
        <f>MARZO!V121+ABRIL!AL121</f>
        <v>0</v>
      </c>
      <c r="W121" s="15">
        <f>MARZO!W121+ABRIL!AM121</f>
        <v>12179864</v>
      </c>
      <c r="X121" s="18">
        <f t="shared" si="127"/>
        <v>12179864</v>
      </c>
      <c r="Y121" s="19">
        <f>MARZO!AA121</f>
        <v>12179864</v>
      </c>
      <c r="Z121" s="377">
        <v>0</v>
      </c>
      <c r="AA121" s="18">
        <f t="shared" si="128"/>
        <v>12179864</v>
      </c>
      <c r="AB121" s="19">
        <f>MARZO!AD121</f>
        <v>12179864</v>
      </c>
      <c r="AC121" s="377">
        <v>0</v>
      </c>
      <c r="AD121" s="18">
        <f t="shared" si="129"/>
        <v>12179864</v>
      </c>
      <c r="AE121" s="19">
        <f>MARZO!AG121</f>
        <v>11796664</v>
      </c>
      <c r="AF121" s="377">
        <v>70000</v>
      </c>
      <c r="AG121" s="18">
        <f t="shared" si="130"/>
        <v>11866664</v>
      </c>
      <c r="AH121" s="19">
        <f t="shared" si="131"/>
        <v>0</v>
      </c>
      <c r="AI121" s="15">
        <f t="shared" si="132"/>
        <v>0</v>
      </c>
      <c r="AJ121" s="16">
        <f t="shared" si="133"/>
        <v>313200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+IF(MARZO!A122=0,"",MARZO!A122)</f>
        <v>2600</v>
      </c>
      <c r="B122" s="635" t="str">
        <f>+IF(MARZO!B122=0,"",MARZO!B122)</f>
        <v>RECUPERACIÓN DE CARTERA (AÑO 2013 Y ANTERIORES)</v>
      </c>
      <c r="C122" s="375">
        <f>+ENERO!C122</f>
        <v>32064799</v>
      </c>
      <c r="D122" s="467">
        <f>MARZO!D122+ABRIL!P122</f>
        <v>0</v>
      </c>
      <c r="E122" s="467">
        <f>MARZO!E122+ABRIL!Q122</f>
        <v>0</v>
      </c>
      <c r="F122" s="471">
        <f t="shared" si="122"/>
        <v>32064799</v>
      </c>
      <c r="G122" s="222">
        <f>MARZO!I122</f>
        <v>319141</v>
      </c>
      <c r="H122" s="377">
        <v>0</v>
      </c>
      <c r="I122" s="476">
        <f t="shared" si="123"/>
        <v>319141</v>
      </c>
      <c r="J122" s="222">
        <f>MARZO!L122</f>
        <v>319141</v>
      </c>
      <c r="K122" s="377">
        <v>0</v>
      </c>
      <c r="L122" s="146">
        <f t="shared" si="124"/>
        <v>319141</v>
      </c>
      <c r="M122" s="441">
        <f t="shared" si="125"/>
        <v>31745658</v>
      </c>
      <c r="N122" s="146">
        <f t="shared" si="126"/>
        <v>31745658</v>
      </c>
      <c r="P122" s="375">
        <v>0</v>
      </c>
      <c r="Q122" s="378">
        <v>0</v>
      </c>
      <c r="R122" s="9"/>
      <c r="S122" s="369" t="str">
        <f>+IF(MARZO!S122=0,"",MARZO!S122)</f>
        <v/>
      </c>
      <c r="T122" s="708" t="str">
        <f>+IF(MARZO!T122=0,"",MARZO!T122)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+IF(MARZO!A123=0,"",MARZO!A123)</f>
        <v>2700</v>
      </c>
      <c r="B123" s="635" t="str">
        <f>+IF(MARZO!B123=0,"",MARZO!B123)</f>
        <v>OTROS INGRESOS DE CAPITAL</v>
      </c>
      <c r="C123" s="375">
        <f>+ENERO!C123</f>
        <v>0</v>
      </c>
      <c r="D123" s="467">
        <f>MARZO!D123+ABRIL!P123</f>
        <v>0</v>
      </c>
      <c r="E123" s="467">
        <f>MARZO!E123+ABRIL!Q123</f>
        <v>27176600</v>
      </c>
      <c r="F123" s="471">
        <f t="shared" si="122"/>
        <v>27176600</v>
      </c>
      <c r="G123" s="222">
        <f>MARZO!I123</f>
        <v>2557</v>
      </c>
      <c r="H123" s="377">
        <v>7131800</v>
      </c>
      <c r="I123" s="476">
        <f t="shared" si="123"/>
        <v>7134357</v>
      </c>
      <c r="J123" s="222">
        <f>MARZO!L123</f>
        <v>2557</v>
      </c>
      <c r="K123" s="377">
        <v>7131800</v>
      </c>
      <c r="L123" s="146">
        <f t="shared" si="124"/>
        <v>7134357</v>
      </c>
      <c r="M123" s="441">
        <f t="shared" si="125"/>
        <v>20042243</v>
      </c>
      <c r="N123" s="146">
        <f t="shared" si="126"/>
        <v>20042243</v>
      </c>
      <c r="P123" s="375">
        <v>0</v>
      </c>
      <c r="Q123" s="378">
        <f>20044800+7131800</f>
        <v>27176600</v>
      </c>
      <c r="R123" s="9"/>
      <c r="S123" s="718">
        <f>+IF(MARZO!S123=0,"",MARZO!S123)</f>
        <v>2010200</v>
      </c>
      <c r="T123" s="692" t="str">
        <f>+IF(MARZO!T123=0,"",MARZO!T123)</f>
        <v>Adquisición de Servicios</v>
      </c>
      <c r="U123" s="135">
        <f t="shared" ref="U123:AJ123" si="134">SUM(U124:U139)</f>
        <v>141098390</v>
      </c>
      <c r="V123" s="124">
        <f t="shared" si="134"/>
        <v>0</v>
      </c>
      <c r="W123" s="124">
        <f t="shared" si="134"/>
        <v>31389245</v>
      </c>
      <c r="X123" s="132">
        <f t="shared" si="134"/>
        <v>172487635</v>
      </c>
      <c r="Y123" s="131">
        <f t="shared" si="134"/>
        <v>66922945</v>
      </c>
      <c r="Z123" s="124">
        <f t="shared" si="134"/>
        <v>8273610</v>
      </c>
      <c r="AA123" s="132">
        <f t="shared" si="134"/>
        <v>75196555</v>
      </c>
      <c r="AB123" s="131">
        <f t="shared" si="134"/>
        <v>65602707</v>
      </c>
      <c r="AC123" s="124">
        <f t="shared" si="134"/>
        <v>6968848</v>
      </c>
      <c r="AD123" s="132">
        <f t="shared" si="134"/>
        <v>72571555</v>
      </c>
      <c r="AE123" s="131">
        <f t="shared" si="134"/>
        <v>25281692</v>
      </c>
      <c r="AF123" s="124">
        <f t="shared" si="134"/>
        <v>12605067</v>
      </c>
      <c r="AG123" s="132">
        <f t="shared" si="134"/>
        <v>37886759</v>
      </c>
      <c r="AH123" s="131">
        <f t="shared" si="134"/>
        <v>97291080</v>
      </c>
      <c r="AI123" s="124">
        <f t="shared" si="134"/>
        <v>99916080</v>
      </c>
      <c r="AJ123" s="133">
        <f t="shared" si="134"/>
        <v>134600876</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+IF(MARZO!A124=0,"",MARZO!A124)</f>
        <v>2800</v>
      </c>
      <c r="B124" s="663" t="str">
        <f>+IF(MARZO!B124=0,"",MARZO!B124)</f>
        <v/>
      </c>
      <c r="C124" s="387">
        <f>+ENERO!C124</f>
        <v>0</v>
      </c>
      <c r="D124" s="465">
        <f>MARZO!D124+ABRIL!P124</f>
        <v>0</v>
      </c>
      <c r="E124" s="465">
        <f>MARZO!E124+ABRIL!Q124</f>
        <v>0</v>
      </c>
      <c r="F124" s="477">
        <f t="shared" si="122"/>
        <v>0</v>
      </c>
      <c r="G124" s="390">
        <f>MARZO!I124</f>
        <v>0</v>
      </c>
      <c r="H124" s="391">
        <v>0</v>
      </c>
      <c r="I124" s="478">
        <f t="shared" si="123"/>
        <v>0</v>
      </c>
      <c r="J124" s="390">
        <f>MARZO!L124</f>
        <v>0</v>
      </c>
      <c r="K124" s="391">
        <v>0</v>
      </c>
      <c r="L124" s="389">
        <f t="shared" si="124"/>
        <v>0</v>
      </c>
      <c r="M124" s="479">
        <f t="shared" si="125"/>
        <v>0</v>
      </c>
      <c r="N124" s="389">
        <f t="shared" si="126"/>
        <v>0</v>
      </c>
      <c r="P124" s="387">
        <v>0</v>
      </c>
      <c r="Q124" s="392">
        <v>0</v>
      </c>
      <c r="R124" s="9"/>
      <c r="S124" s="719" t="str">
        <f>+IF(MARZO!S124=0,"",MARZO!S124)</f>
        <v>2010200-1</v>
      </c>
      <c r="T124" s="693" t="str">
        <f>+IF(MARZO!T124=0,"",MARZO!T124)</f>
        <v>Seguros</v>
      </c>
      <c r="U124" s="27">
        <f>+ENERO!U124</f>
        <v>17953987</v>
      </c>
      <c r="V124" s="15">
        <f>MARZO!V124+ABRIL!AL124</f>
        <v>0</v>
      </c>
      <c r="W124" s="15">
        <f>MARZO!W124+ABRIL!AM124</f>
        <v>5000000</v>
      </c>
      <c r="X124" s="18">
        <f t="shared" ref="X124:X139" si="135">SUM(U124:W124)</f>
        <v>22953987</v>
      </c>
      <c r="Y124" s="19">
        <f>MARZO!AA124</f>
        <v>17953987</v>
      </c>
      <c r="Z124" s="377">
        <v>105157</v>
      </c>
      <c r="AA124" s="18">
        <f t="shared" ref="AA124:AA139" si="136">SUM(Y124:Z124)</f>
        <v>18059144</v>
      </c>
      <c r="AB124" s="19">
        <f>MARZO!AD124</f>
        <v>17953987</v>
      </c>
      <c r="AC124" s="377">
        <v>105157</v>
      </c>
      <c r="AD124" s="18">
        <f t="shared" ref="AD124:AD139" si="137">SUM(AB124:AC124)</f>
        <v>18059144</v>
      </c>
      <c r="AE124" s="19">
        <f>MARZO!AG124</f>
        <v>3347776</v>
      </c>
      <c r="AF124" s="377">
        <v>4488498</v>
      </c>
      <c r="AG124" s="18">
        <f t="shared" ref="AG124:AG139" si="138">SUM(AE124:AF124)</f>
        <v>7836274</v>
      </c>
      <c r="AH124" s="19">
        <f t="shared" ref="AH124:AH139" si="139">X124-AA124</f>
        <v>4894843</v>
      </c>
      <c r="AI124" s="15">
        <f t="shared" ref="AI124:AI139" si="140">X124-AD124</f>
        <v>4894843</v>
      </c>
      <c r="AJ124" s="16">
        <f t="shared" ref="AJ124:AJ139" si="141">X124-AG124</f>
        <v>15117713</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+IF(MARZO!S125=0,"",MARZO!S125)</f>
        <v>2010200-2</v>
      </c>
      <c r="T125" s="693" t="str">
        <f>+IF(MARZO!T125=0,"",MARZO!T125)</f>
        <v>Impresos y Publicaciones</v>
      </c>
      <c r="U125" s="27">
        <f>+ENERO!U125</f>
        <v>3151827</v>
      </c>
      <c r="V125" s="15">
        <f>MARZO!V125+ABRIL!AL125</f>
        <v>0</v>
      </c>
      <c r="W125" s="15">
        <f>MARZO!W125+ABRIL!AM125</f>
        <v>0</v>
      </c>
      <c r="X125" s="18">
        <f t="shared" si="135"/>
        <v>3151827</v>
      </c>
      <c r="Y125" s="19">
        <f>MARZO!AA125</f>
        <v>65000</v>
      </c>
      <c r="Z125" s="377">
        <v>0</v>
      </c>
      <c r="AA125" s="18">
        <f t="shared" si="136"/>
        <v>65000</v>
      </c>
      <c r="AB125" s="19">
        <f>MARZO!AD125</f>
        <v>65000</v>
      </c>
      <c r="AC125" s="377">
        <v>0</v>
      </c>
      <c r="AD125" s="18">
        <f t="shared" si="137"/>
        <v>65000</v>
      </c>
      <c r="AE125" s="19">
        <f>MARZO!AG125</f>
        <v>65000</v>
      </c>
      <c r="AF125" s="377">
        <v>0</v>
      </c>
      <c r="AG125" s="18">
        <f t="shared" si="138"/>
        <v>65000</v>
      </c>
      <c r="AH125" s="19">
        <f t="shared" si="139"/>
        <v>3086827</v>
      </c>
      <c r="AI125" s="15">
        <f t="shared" si="140"/>
        <v>3086827</v>
      </c>
      <c r="AJ125" s="16">
        <f t="shared" si="141"/>
        <v>3086827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134799334</v>
      </c>
      <c r="F126" s="480">
        <f t="shared" si="142"/>
        <v>3238435549</v>
      </c>
      <c r="G126" s="480">
        <f t="shared" si="142"/>
        <v>798377507</v>
      </c>
      <c r="H126" s="480">
        <f t="shared" si="142"/>
        <v>260528387</v>
      </c>
      <c r="I126" s="480">
        <f t="shared" si="142"/>
        <v>1058905894</v>
      </c>
      <c r="J126" s="480">
        <f t="shared" si="142"/>
        <v>362430289</v>
      </c>
      <c r="K126" s="480">
        <f t="shared" si="142"/>
        <v>100267706</v>
      </c>
      <c r="L126" s="480">
        <f t="shared" si="142"/>
        <v>462378854</v>
      </c>
      <c r="M126" s="480">
        <f t="shared" si="142"/>
        <v>2211275313</v>
      </c>
      <c r="N126" s="621">
        <f t="shared" si="142"/>
        <v>2776056695</v>
      </c>
      <c r="P126" s="481">
        <f>P8-P128</f>
        <v>0</v>
      </c>
      <c r="Q126" s="482">
        <f>Q8-Q128</f>
        <v>27176600</v>
      </c>
      <c r="R126" s="9"/>
      <c r="S126" s="719" t="str">
        <f>+IF(MARZO!S126=0,"",MARZO!S126)</f>
        <v>2010200-3</v>
      </c>
      <c r="T126" s="693" t="str">
        <f>+IF(MARZO!T126=0,"",MARZO!T126)</f>
        <v xml:space="preserve">Servicios Públicos </v>
      </c>
      <c r="U126" s="27">
        <f>+ENERO!U126</f>
        <v>55492147</v>
      </c>
      <c r="V126" s="15">
        <f>MARZO!V126+ABRIL!AL126</f>
        <v>0</v>
      </c>
      <c r="W126" s="15">
        <f>MARZO!W126+ABRIL!AM126</f>
        <v>0</v>
      </c>
      <c r="X126" s="18">
        <f t="shared" si="135"/>
        <v>55492147</v>
      </c>
      <c r="Y126" s="19">
        <f>MARZO!AA126</f>
        <v>11968167</v>
      </c>
      <c r="Z126" s="377">
        <v>4761378</v>
      </c>
      <c r="AA126" s="18">
        <f t="shared" si="136"/>
        <v>16729545</v>
      </c>
      <c r="AB126" s="19">
        <f>MARZO!AD126</f>
        <v>11968167</v>
      </c>
      <c r="AC126" s="377">
        <v>4761378</v>
      </c>
      <c r="AD126" s="18">
        <f t="shared" si="137"/>
        <v>16729545</v>
      </c>
      <c r="AE126" s="19">
        <f>MARZO!AG126</f>
        <v>7160587</v>
      </c>
      <c r="AF126" s="377">
        <v>6536442</v>
      </c>
      <c r="AG126" s="18">
        <f t="shared" si="138"/>
        <v>13697029</v>
      </c>
      <c r="AH126" s="19">
        <f t="shared" si="139"/>
        <v>38762602</v>
      </c>
      <c r="AI126" s="15">
        <f t="shared" si="140"/>
        <v>38762602</v>
      </c>
      <c r="AJ126" s="16">
        <f t="shared" si="141"/>
        <v>41795118</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+IF(MARZO!S127=0,"",MARZO!S127)</f>
        <v>2010200-4</v>
      </c>
      <c r="T127" s="693" t="str">
        <f>+IF(MARZO!T127=0,"",MARZO!T127)</f>
        <v>Comunicaciones y Transportes</v>
      </c>
      <c r="U127" s="27">
        <f>+ENERO!U127</f>
        <v>14481572</v>
      </c>
      <c r="V127" s="15">
        <f>MARZO!V127+ABRIL!AL127</f>
        <v>0</v>
      </c>
      <c r="W127" s="15">
        <f>MARZO!W127+ABRIL!AM127</f>
        <v>0</v>
      </c>
      <c r="X127" s="18">
        <f t="shared" si="135"/>
        <v>14481572</v>
      </c>
      <c r="Y127" s="19">
        <f>MARZO!AA127</f>
        <v>5228918</v>
      </c>
      <c r="Z127" s="377">
        <v>112800</v>
      </c>
      <c r="AA127" s="18">
        <f t="shared" si="136"/>
        <v>5341718</v>
      </c>
      <c r="AB127" s="19">
        <f>MARZO!AD127</f>
        <v>2034900</v>
      </c>
      <c r="AC127" s="377">
        <v>681818</v>
      </c>
      <c r="AD127" s="18">
        <f t="shared" si="137"/>
        <v>2716718</v>
      </c>
      <c r="AE127" s="19">
        <f>MARZO!AG127</f>
        <v>619900</v>
      </c>
      <c r="AF127" s="377">
        <v>112800</v>
      </c>
      <c r="AG127" s="18">
        <f t="shared" si="138"/>
        <v>732700</v>
      </c>
      <c r="AH127" s="19">
        <f t="shared" si="139"/>
        <v>9139854</v>
      </c>
      <c r="AI127" s="15">
        <f t="shared" si="140"/>
        <v>11764854</v>
      </c>
      <c r="AJ127" s="16">
        <f t="shared" si="141"/>
        <v>13748872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277353048</v>
      </c>
      <c r="H128" s="486">
        <f>SUMIF($B8:$B$122,$B$24,H8:H122)+H122</f>
        <v>98239789</v>
      </c>
      <c r="I128" s="486">
        <f>SUMIF($B8:$B$122,$B$24,I8:I122)+I122</f>
        <v>375592837</v>
      </c>
      <c r="J128" s="486">
        <f>SUMIF($B8:$B$122,$B$24,J8:J122)+J1212</f>
        <v>277033907</v>
      </c>
      <c r="K128" s="486">
        <f>SUMIF($B8:$B$122,$B$24,K8:K122)+K122</f>
        <v>98239789</v>
      </c>
      <c r="L128" s="486">
        <f>SUMIF($B8:$B$122,$B$24,L8:L122)+L122</f>
        <v>375592837</v>
      </c>
      <c r="M128" s="486">
        <f>SUMIF($B8:$B$122,$B$24,M8:M122)+M12</f>
        <v>170112732</v>
      </c>
      <c r="N128" s="622">
        <f>SUMIF($B8:$B$122,$B$24,N8:N122)+N122</f>
        <v>201858390</v>
      </c>
      <c r="O128" s="464"/>
      <c r="P128" s="486">
        <f>SUMIF($B8:$B$122,$B$24,P8:P122)+P122</f>
        <v>0</v>
      </c>
      <c r="Q128" s="487">
        <f>SUMIF($B8:$B$122,$B$24,Q8:Q122)+Q122</f>
        <v>0</v>
      </c>
      <c r="R128" s="9"/>
      <c r="S128" s="719" t="str">
        <f>+IF(MARZO!S128=0,"",MARZO!S128)</f>
        <v>2010200-5</v>
      </c>
      <c r="T128" s="693" t="str">
        <f>+IF(MARZO!T128=0,"",MARZO!T128)</f>
        <v>Viáticos y Gastos de Viaje</v>
      </c>
      <c r="U128" s="27">
        <f>+ENERO!U128</f>
        <v>12695514</v>
      </c>
      <c r="V128" s="15">
        <f>MARZO!V128+ABRIL!AL128</f>
        <v>0</v>
      </c>
      <c r="W128" s="15">
        <f>MARZO!W128+ABRIL!AM128</f>
        <v>0</v>
      </c>
      <c r="X128" s="18">
        <f t="shared" si="135"/>
        <v>12695514</v>
      </c>
      <c r="Y128" s="19">
        <f>MARZO!AA128</f>
        <v>3788086</v>
      </c>
      <c r="Z128" s="377">
        <v>815472</v>
      </c>
      <c r="AA128" s="18">
        <f t="shared" si="136"/>
        <v>4603558</v>
      </c>
      <c r="AB128" s="19">
        <f>MARZO!AD128</f>
        <v>3788086</v>
      </c>
      <c r="AC128" s="377">
        <v>815472</v>
      </c>
      <c r="AD128" s="18">
        <f t="shared" si="137"/>
        <v>4603558</v>
      </c>
      <c r="AE128" s="19">
        <f>MARZO!AG128</f>
        <v>3741253</v>
      </c>
      <c r="AF128" s="377">
        <v>862304</v>
      </c>
      <c r="AG128" s="18">
        <f t="shared" si="138"/>
        <v>4603557</v>
      </c>
      <c r="AH128" s="19">
        <f t="shared" si="139"/>
        <v>8091956</v>
      </c>
      <c r="AI128" s="15">
        <f t="shared" si="140"/>
        <v>8091956</v>
      </c>
      <c r="AJ128" s="16">
        <f t="shared" si="141"/>
        <v>8091957</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+IF(MARZO!S129=0,"",MARZO!S129)</f>
        <v>2010200-6</v>
      </c>
      <c r="T129" s="693" t="str">
        <f>+IF(MARZO!T129=0,"",MARZO!T129)</f>
        <v>Arrendamientos</v>
      </c>
      <c r="U129" s="27">
        <f>+ENERO!U129</f>
        <v>0</v>
      </c>
      <c r="V129" s="15">
        <f>MARZO!V129+ABRIL!AL129</f>
        <v>0</v>
      </c>
      <c r="W129" s="15">
        <f>MARZO!W129+ABRIL!AM129</f>
        <v>0</v>
      </c>
      <c r="X129" s="18">
        <f t="shared" si="135"/>
        <v>0</v>
      </c>
      <c r="Y129" s="19">
        <f>MARZO!AA129</f>
        <v>0</v>
      </c>
      <c r="Z129" s="377">
        <v>0</v>
      </c>
      <c r="AA129" s="18">
        <f t="shared" si="136"/>
        <v>0</v>
      </c>
      <c r="AB129" s="19">
        <f>MARZO!AD129</f>
        <v>0</v>
      </c>
      <c r="AC129" s="377">
        <v>0</v>
      </c>
      <c r="AD129" s="18">
        <f t="shared" si="137"/>
        <v>0</v>
      </c>
      <c r="AE129" s="19">
        <f>MARZO!AG129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680185762</v>
      </c>
      <c r="F130" s="490">
        <f t="shared" si="143"/>
        <v>3815886776</v>
      </c>
      <c r="G130" s="488">
        <f t="shared" si="143"/>
        <v>1075730555</v>
      </c>
      <c r="H130" s="489">
        <f t="shared" si="143"/>
        <v>358768176</v>
      </c>
      <c r="I130" s="490">
        <f t="shared" si="143"/>
        <v>1434498731</v>
      </c>
      <c r="J130" s="488">
        <f t="shared" si="143"/>
        <v>639464196</v>
      </c>
      <c r="K130" s="489">
        <f t="shared" si="143"/>
        <v>198507495</v>
      </c>
      <c r="L130" s="490">
        <f t="shared" si="143"/>
        <v>837971691</v>
      </c>
      <c r="M130" s="488">
        <f t="shared" si="143"/>
        <v>2381388045</v>
      </c>
      <c r="N130" s="490">
        <f t="shared" si="143"/>
        <v>2977915085</v>
      </c>
      <c r="P130" s="481">
        <f>P128+P126</f>
        <v>0</v>
      </c>
      <c r="Q130" s="482">
        <f>Q128+Q126</f>
        <v>27176600</v>
      </c>
      <c r="R130" s="9"/>
      <c r="S130" s="719" t="str">
        <f>+IF(MARZO!S130=0,"",MARZO!S130)</f>
        <v>2010200-7</v>
      </c>
      <c r="T130" s="693" t="str">
        <f>+IF(MARZO!T130=0,"",MARZO!T130)</f>
        <v>Vigilancia y Aseo</v>
      </c>
      <c r="U130" s="27">
        <f>+ENERO!U130</f>
        <v>0</v>
      </c>
      <c r="V130" s="15">
        <f>MARZO!V130+ABRIL!AL130</f>
        <v>0</v>
      </c>
      <c r="W130" s="15">
        <f>MARZO!W130+ABRIL!AM130</f>
        <v>0</v>
      </c>
      <c r="X130" s="18">
        <f t="shared" si="135"/>
        <v>0</v>
      </c>
      <c r="Y130" s="19">
        <f>MARZO!AA130</f>
        <v>0</v>
      </c>
      <c r="Z130" s="377">
        <v>0</v>
      </c>
      <c r="AA130" s="18">
        <f t="shared" si="136"/>
        <v>0</v>
      </c>
      <c r="AB130" s="19">
        <f>MARZO!AD130</f>
        <v>0</v>
      </c>
      <c r="AC130" s="377">
        <v>0</v>
      </c>
      <c r="AD130" s="18">
        <f t="shared" si="137"/>
        <v>0</v>
      </c>
      <c r="AE130" s="19">
        <f>MARZO!AG130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+IF(MARZO!S131=0,"",MARZO!S131)</f>
        <v>2010200-8</v>
      </c>
      <c r="T131" s="693" t="str">
        <f>+IF(MARZO!T131=0,"",MARZO!T131)</f>
        <v>Bienestar Social</v>
      </c>
      <c r="U131" s="27">
        <f>+ENERO!U131</f>
        <v>28364135</v>
      </c>
      <c r="V131" s="15">
        <f>MARZO!V131+ABRIL!AL131</f>
        <v>0</v>
      </c>
      <c r="W131" s="15">
        <f>MARZO!W131+ABRIL!AM131</f>
        <v>81553</v>
      </c>
      <c r="X131" s="18">
        <f t="shared" si="135"/>
        <v>28445688</v>
      </c>
      <c r="Y131" s="19">
        <f>MARZO!AA131</f>
        <v>2127650</v>
      </c>
      <c r="Z131" s="377">
        <v>0</v>
      </c>
      <c r="AA131" s="18">
        <f t="shared" si="136"/>
        <v>2127650</v>
      </c>
      <c r="AB131" s="19">
        <f>MARZO!AD131</f>
        <v>2127650</v>
      </c>
      <c r="AC131" s="377">
        <v>0</v>
      </c>
      <c r="AD131" s="18">
        <f t="shared" si="137"/>
        <v>2127650</v>
      </c>
      <c r="AE131" s="19">
        <f>MARZO!AG131</f>
        <v>0</v>
      </c>
      <c r="AF131" s="377">
        <v>0</v>
      </c>
      <c r="AG131" s="18">
        <f t="shared" si="138"/>
        <v>0</v>
      </c>
      <c r="AH131" s="19">
        <f t="shared" si="139"/>
        <v>26318038</v>
      </c>
      <c r="AI131" s="15">
        <f t="shared" si="140"/>
        <v>26318038</v>
      </c>
      <c r="AJ131" s="16">
        <f t="shared" si="141"/>
        <v>28445688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+IF(MARZO!S132=0,"",MARZO!S132)</f>
        <v>2010200-9</v>
      </c>
      <c r="T132" s="693" t="str">
        <f>+IF(MARZO!T132=0,"",MARZO!T132)</f>
        <v>Capacitación, estimulos, incentivos, programa de calidad</v>
      </c>
      <c r="U132" s="27">
        <f>+ENERO!U132</f>
        <v>3982443</v>
      </c>
      <c r="V132" s="15">
        <f>MARZO!V132+ABRIL!AL132</f>
        <v>0</v>
      </c>
      <c r="W132" s="15">
        <f>MARZO!W132+ABRIL!AM132</f>
        <v>0</v>
      </c>
      <c r="X132" s="18">
        <f t="shared" si="135"/>
        <v>3982443</v>
      </c>
      <c r="Y132" s="19">
        <f>MARZO!AA132</f>
        <v>0</v>
      </c>
      <c r="Z132" s="377">
        <v>0</v>
      </c>
      <c r="AA132" s="18">
        <f t="shared" si="136"/>
        <v>0</v>
      </c>
      <c r="AB132" s="19">
        <f>MARZO!AD132</f>
        <v>0</v>
      </c>
      <c r="AC132" s="377">
        <v>0</v>
      </c>
      <c r="AD132" s="18">
        <f t="shared" si="137"/>
        <v>0</v>
      </c>
      <c r="AE132" s="19">
        <f>MARZO!AG132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+IF(MARZO!S133=0,"",MARZO!S133)</f>
        <v>2010200-10</v>
      </c>
      <c r="T133" s="693" t="str">
        <f>+IF(MARZO!T133=0,"",MARZO!T133)</f>
        <v>Pagos otras IPS</v>
      </c>
      <c r="U133" s="27">
        <f>+ENERO!U133</f>
        <v>0</v>
      </c>
      <c r="V133" s="15">
        <f>MARZO!V133+ABRIL!AL133</f>
        <v>0</v>
      </c>
      <c r="W133" s="15">
        <f>MARZO!W133+ABRIL!AM133</f>
        <v>0</v>
      </c>
      <c r="X133" s="18">
        <f t="shared" si="135"/>
        <v>0</v>
      </c>
      <c r="Y133" s="19">
        <f>MARZO!AA133</f>
        <v>0</v>
      </c>
      <c r="Z133" s="377">
        <v>0</v>
      </c>
      <c r="AA133" s="18">
        <f t="shared" si="136"/>
        <v>0</v>
      </c>
      <c r="AB133" s="19">
        <f>MARZO!AD133</f>
        <v>0</v>
      </c>
      <c r="AC133" s="377">
        <v>0</v>
      </c>
      <c r="AD133" s="18">
        <f t="shared" si="137"/>
        <v>0</v>
      </c>
      <c r="AE133" s="19">
        <f>MARZO!AG133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+IF(MARZO!S134=0,"",MARZO!S134)</f>
        <v>2010200-11</v>
      </c>
      <c r="T134" s="693" t="str">
        <f>+IF(MARZO!T134=0,"",MARZO!T134)</f>
        <v>Gastos financieros</v>
      </c>
      <c r="U134" s="27">
        <f>+ENERO!U134</f>
        <v>4976765</v>
      </c>
      <c r="V134" s="15">
        <f>MARZO!V134+ABRIL!AL134</f>
        <v>0</v>
      </c>
      <c r="W134" s="15">
        <f>MARZO!W134+ABRIL!AM134</f>
        <v>0</v>
      </c>
      <c r="X134" s="18">
        <f t="shared" si="135"/>
        <v>4976765</v>
      </c>
      <c r="Y134" s="19">
        <f>MARZO!AA134</f>
        <v>1357225</v>
      </c>
      <c r="Z134" s="377">
        <v>605023</v>
      </c>
      <c r="AA134" s="18">
        <f t="shared" si="136"/>
        <v>1962248</v>
      </c>
      <c r="AB134" s="19">
        <f>MARZO!AD134</f>
        <v>1357225</v>
      </c>
      <c r="AC134" s="377">
        <v>605023</v>
      </c>
      <c r="AD134" s="18">
        <f t="shared" si="137"/>
        <v>1962248</v>
      </c>
      <c r="AE134" s="19">
        <f>MARZO!AG134</f>
        <v>1357225</v>
      </c>
      <c r="AF134" s="377">
        <v>605023</v>
      </c>
      <c r="AG134" s="18">
        <f t="shared" si="138"/>
        <v>1962248</v>
      </c>
      <c r="AH134" s="19">
        <f t="shared" si="139"/>
        <v>3014517</v>
      </c>
      <c r="AI134" s="15">
        <f t="shared" si="140"/>
        <v>3014517</v>
      </c>
      <c r="AJ134" s="16">
        <f t="shared" si="141"/>
        <v>3014517</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+IF(MARZO!S135=0,"",MARZO!S135)</f>
        <v>2010200-12</v>
      </c>
      <c r="T135" s="693" t="str">
        <f>+IF(MARZO!T135=0,"",MARZO!T135)</f>
        <v/>
      </c>
      <c r="U135" s="27">
        <f>+ENERO!U135</f>
        <v>0</v>
      </c>
      <c r="V135" s="15">
        <f>MARZO!V135+ABRIL!AL135</f>
        <v>0</v>
      </c>
      <c r="W135" s="15">
        <f>MARZO!W135+ABRIL!AM135</f>
        <v>0</v>
      </c>
      <c r="X135" s="18">
        <f t="shared" si="135"/>
        <v>0</v>
      </c>
      <c r="Y135" s="19">
        <f>MARZO!AA135</f>
        <v>0</v>
      </c>
      <c r="Z135" s="377">
        <v>0</v>
      </c>
      <c r="AA135" s="18">
        <f t="shared" si="136"/>
        <v>0</v>
      </c>
      <c r="AB135" s="19">
        <f>MARZO!AD135</f>
        <v>0</v>
      </c>
      <c r="AC135" s="377">
        <v>0</v>
      </c>
      <c r="AD135" s="18">
        <f t="shared" si="137"/>
        <v>0</v>
      </c>
      <c r="AE135" s="19">
        <f>MARZO!AG135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+IF(MARZO!S136=0,"",MARZO!S136)</f>
        <v>2010200-13</v>
      </c>
      <c r="T136" s="693" t="str">
        <f>+IF(MARZO!T136=0,"",MARZO!T136)</f>
        <v/>
      </c>
      <c r="U136" s="27">
        <f>+ENERO!U136</f>
        <v>0</v>
      </c>
      <c r="V136" s="15">
        <f>MARZO!V136+ABRIL!AL136</f>
        <v>0</v>
      </c>
      <c r="W136" s="15">
        <f>MARZO!W136+ABRIL!AM136</f>
        <v>0</v>
      </c>
      <c r="X136" s="18">
        <f t="shared" si="135"/>
        <v>0</v>
      </c>
      <c r="Y136" s="19">
        <f>MARZO!AA136</f>
        <v>0</v>
      </c>
      <c r="Z136" s="377">
        <v>0</v>
      </c>
      <c r="AA136" s="18">
        <f t="shared" si="136"/>
        <v>0</v>
      </c>
      <c r="AB136" s="19">
        <f>MARZO!AD136</f>
        <v>0</v>
      </c>
      <c r="AC136" s="377">
        <v>0</v>
      </c>
      <c r="AD136" s="18">
        <f t="shared" si="137"/>
        <v>0</v>
      </c>
      <c r="AE136" s="19">
        <f>MARZO!AG136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+IF(MARZO!S137=0,"",MARZO!S137)</f>
        <v>2010020-14</v>
      </c>
      <c r="T137" s="693" t="str">
        <f>+IF(MARZO!T137=0,"",MARZO!T137)</f>
        <v/>
      </c>
      <c r="U137" s="27">
        <f>+ENERO!U137</f>
        <v>0</v>
      </c>
      <c r="V137" s="15">
        <f>MARZO!V137+ABRIL!AL137</f>
        <v>0</v>
      </c>
      <c r="W137" s="15">
        <f>MARZO!W137+ABRIL!AM137</f>
        <v>0</v>
      </c>
      <c r="X137" s="18">
        <f t="shared" si="135"/>
        <v>0</v>
      </c>
      <c r="Y137" s="19">
        <f>MARZO!AA137</f>
        <v>0</v>
      </c>
      <c r="Z137" s="377">
        <v>0</v>
      </c>
      <c r="AA137" s="18">
        <f t="shared" si="136"/>
        <v>0</v>
      </c>
      <c r="AB137" s="19">
        <f>MARZO!AD137</f>
        <v>0</v>
      </c>
      <c r="AC137" s="377">
        <v>0</v>
      </c>
      <c r="AD137" s="18">
        <f t="shared" si="137"/>
        <v>0</v>
      </c>
      <c r="AE137" s="19">
        <f>MARZO!AG137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+IF(MARZO!S138=0,"",MARZO!S138)</f>
        <v>2010200-15</v>
      </c>
      <c r="T138" s="693" t="str">
        <f>+IF(MARZO!T138=0,"",MARZO!T138)</f>
        <v/>
      </c>
      <c r="U138" s="27">
        <f>+ENERO!U138</f>
        <v>0</v>
      </c>
      <c r="V138" s="15">
        <f>MARZO!V138+ABRIL!AL138</f>
        <v>0</v>
      </c>
      <c r="W138" s="15">
        <f>MARZO!W138+ABRIL!AM138</f>
        <v>0</v>
      </c>
      <c r="X138" s="18">
        <f t="shared" si="135"/>
        <v>0</v>
      </c>
      <c r="Y138" s="19">
        <f>MARZO!AA138</f>
        <v>0</v>
      </c>
      <c r="Z138" s="377">
        <v>0</v>
      </c>
      <c r="AA138" s="18">
        <f t="shared" si="136"/>
        <v>0</v>
      </c>
      <c r="AB138" s="19">
        <f>MARZO!AD138</f>
        <v>0</v>
      </c>
      <c r="AC138" s="377">
        <v>0</v>
      </c>
      <c r="AD138" s="18">
        <f t="shared" si="137"/>
        <v>0</v>
      </c>
      <c r="AE138" s="19">
        <f>MARZO!AG138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+IF(MARZO!S139=0,"",MARZO!S139)</f>
        <v>2010299</v>
      </c>
      <c r="T139" s="693" t="str">
        <f>+IF(MARZO!T139=0,"",MARZO!T139)</f>
        <v>Vigencias Anteriores</v>
      </c>
      <c r="U139" s="27">
        <f>+ENERO!U139</f>
        <v>0</v>
      </c>
      <c r="V139" s="15">
        <f>MARZO!V139+ABRIL!AL139</f>
        <v>0</v>
      </c>
      <c r="W139" s="15">
        <f>MARZO!W139+ABRIL!AM139</f>
        <v>26307692</v>
      </c>
      <c r="X139" s="18">
        <f t="shared" si="135"/>
        <v>26307692</v>
      </c>
      <c r="Y139" s="19">
        <f>MARZO!AA139</f>
        <v>24433912</v>
      </c>
      <c r="Z139" s="377">
        <v>1873780</v>
      </c>
      <c r="AA139" s="18">
        <f t="shared" si="136"/>
        <v>26307692</v>
      </c>
      <c r="AB139" s="19">
        <f>MARZO!AD139</f>
        <v>26307692</v>
      </c>
      <c r="AC139" s="377">
        <v>0</v>
      </c>
      <c r="AD139" s="18">
        <f t="shared" si="137"/>
        <v>26307692</v>
      </c>
      <c r="AE139" s="19">
        <f>MARZO!AG139</f>
        <v>8989951</v>
      </c>
      <c r="AF139" s="377">
        <v>0</v>
      </c>
      <c r="AG139" s="18">
        <f t="shared" si="138"/>
        <v>8989951</v>
      </c>
      <c r="AH139" s="19">
        <f t="shared" si="139"/>
        <v>0</v>
      </c>
      <c r="AI139" s="15">
        <f t="shared" si="140"/>
        <v>0</v>
      </c>
      <c r="AJ139" s="16">
        <f t="shared" si="141"/>
        <v>17317741</v>
      </c>
      <c r="AK139" s="9"/>
      <c r="AL139" s="375">
        <v>0</v>
      </c>
      <c r="AM139" s="378">
        <v>0</v>
      </c>
      <c r="AN139" s="9"/>
      <c r="AO139" s="297"/>
      <c r="AP139" s="297"/>
      <c r="AQ139" s="297"/>
    </row>
    <row r="140" spans="1:52" s="385" customFormat="1" ht="24.95" customHeight="1" x14ac:dyDescent="0.2">
      <c r="A140" s="767"/>
      <c r="B140" s="668"/>
      <c r="N140" s="9"/>
      <c r="R140" s="9"/>
      <c r="S140" s="369" t="str">
        <f>+IF(MARZO!S140=0,"",MARZO!S140)</f>
        <v/>
      </c>
      <c r="T140" s="708" t="str">
        <f>+IF(MARZO!T140=0,"",MARZO!T140)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+IF(MARZO!S141=0,"",MARZO!S141)</f>
        <v>2010300</v>
      </c>
      <c r="T141" s="692" t="str">
        <f>+IF(MARZO!T141=0,"",MARZO!T141)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+IF(MARZO!S142=0,"",MARZO!S142)</f>
        <v>2010300-1</v>
      </c>
      <c r="T142" s="693" t="str">
        <f>+IF(MARZO!T142=0,"",MARZO!T142)</f>
        <v>Impuestos (Predial, Vehiculos, Otros)</v>
      </c>
      <c r="U142" s="27">
        <f>+ENERO!U142</f>
        <v>10780963</v>
      </c>
      <c r="V142" s="15">
        <f>MARZO!V142+ABRIL!AL142</f>
        <v>0</v>
      </c>
      <c r="W142" s="15">
        <f>MARZO!W142+ABRIL!AM142</f>
        <v>0</v>
      </c>
      <c r="X142" s="18">
        <f>SUM(U142:W142)</f>
        <v>10780963</v>
      </c>
      <c r="Y142" s="19">
        <f>MARZO!AA142</f>
        <v>1815529</v>
      </c>
      <c r="Z142" s="377">
        <v>0</v>
      </c>
      <c r="AA142" s="18">
        <f>SUM(Y142:Z142)</f>
        <v>1815529</v>
      </c>
      <c r="AB142" s="19">
        <f>MARZO!AD142</f>
        <v>1815529</v>
      </c>
      <c r="AC142" s="377">
        <v>0</v>
      </c>
      <c r="AD142" s="18">
        <f>SUM(AB142:AC142)</f>
        <v>1815529</v>
      </c>
      <c r="AE142" s="19">
        <f>MARZO!AG142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+IF(MARZO!S143=0,"",MARZO!S143)</f>
        <v>2010399</v>
      </c>
      <c r="T143" s="693" t="str">
        <f>+IF(MARZO!T143=0,"",MARZO!T143)</f>
        <v>Vigencias Anteriores</v>
      </c>
      <c r="U143" s="27">
        <f>+ENERO!U143</f>
        <v>0</v>
      </c>
      <c r="V143" s="15">
        <f>MARZO!V143+ABRIL!AL143</f>
        <v>0</v>
      </c>
      <c r="W143" s="15">
        <f>MARZO!W143+ABRIL!AM143</f>
        <v>1487943</v>
      </c>
      <c r="X143" s="18">
        <f>SUM(U143:W143)</f>
        <v>1487943</v>
      </c>
      <c r="Y143" s="19">
        <f>MARZO!AA143</f>
        <v>1487943</v>
      </c>
      <c r="Z143" s="377">
        <v>0</v>
      </c>
      <c r="AA143" s="18">
        <f>SUM(Y143:Z143)</f>
        <v>1487943</v>
      </c>
      <c r="AB143" s="19">
        <f>MARZO!AD143</f>
        <v>1487943</v>
      </c>
      <c r="AC143" s="377">
        <v>0</v>
      </c>
      <c r="AD143" s="18">
        <f>SUM(AB143:AC143)</f>
        <v>1487943</v>
      </c>
      <c r="AE143" s="19">
        <f>MARZO!AG143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+IF(MARZO!S144=0,"",MARZO!S144)</f>
        <v/>
      </c>
      <c r="T144" s="708" t="str">
        <f>+IF(MARZO!T144=0,"",MARZO!T144)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+IF(MARZO!S145=0,"",MARZO!S145)</f>
        <v>2020010</v>
      </c>
      <c r="T145" s="691" t="str">
        <f>+IF(MARZO!T145=0,"",MARZO!T145)</f>
        <v>Gastos de Operación</v>
      </c>
      <c r="U145" s="135">
        <f t="shared" ref="U145:AJ145" si="145">U147+U155</f>
        <v>323975875</v>
      </c>
      <c r="V145" s="124">
        <f t="shared" si="145"/>
        <v>25000000</v>
      </c>
      <c r="W145" s="124">
        <f t="shared" si="145"/>
        <v>111099188</v>
      </c>
      <c r="X145" s="132">
        <f t="shared" si="145"/>
        <v>460075063</v>
      </c>
      <c r="Y145" s="131">
        <f t="shared" si="145"/>
        <v>246768644</v>
      </c>
      <c r="Z145" s="124">
        <f t="shared" si="145"/>
        <v>4758342</v>
      </c>
      <c r="AA145" s="132">
        <f t="shared" si="145"/>
        <v>251526986</v>
      </c>
      <c r="AB145" s="131">
        <f t="shared" si="145"/>
        <v>179983742</v>
      </c>
      <c r="AC145" s="124">
        <f t="shared" si="145"/>
        <v>6568934</v>
      </c>
      <c r="AD145" s="132">
        <f t="shared" si="145"/>
        <v>186552676</v>
      </c>
      <c r="AE145" s="131">
        <f t="shared" si="145"/>
        <v>78002922</v>
      </c>
      <c r="AF145" s="124">
        <f t="shared" si="145"/>
        <v>14938856</v>
      </c>
      <c r="AG145" s="132">
        <f t="shared" si="145"/>
        <v>92941778</v>
      </c>
      <c r="AH145" s="131">
        <f t="shared" si="145"/>
        <v>208548077</v>
      </c>
      <c r="AI145" s="124">
        <f t="shared" si="145"/>
        <v>273522387</v>
      </c>
      <c r="AJ145" s="133">
        <f t="shared" si="145"/>
        <v>367133285</v>
      </c>
      <c r="AK145" s="10"/>
      <c r="AL145" s="131">
        <f>AL147+AL155</f>
        <v>0</v>
      </c>
      <c r="AM145" s="133">
        <f>AM147+AM155</f>
        <v>0</v>
      </c>
      <c r="AN145" s="9"/>
    </row>
    <row r="146" spans="1:40" s="385" customFormat="1" ht="24.95" customHeight="1" x14ac:dyDescent="0.2">
      <c r="A146" s="767"/>
      <c r="B146" s="668"/>
      <c r="N146" s="9"/>
      <c r="R146" s="9"/>
      <c r="S146" s="720" t="str">
        <f>+IF(MARZO!S146=0,"",MARZO!S146)</f>
        <v/>
      </c>
      <c r="T146" s="694" t="str">
        <f>+IF(MARZO!T146=0,"",MARZO!T146)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+IF(MARZO!S147=0,"",MARZO!S147)</f>
        <v>2020100</v>
      </c>
      <c r="T147" s="692" t="str">
        <f>+IF(MARZO!T147=0,"",MARZO!T147)</f>
        <v>Adquisición de bienes</v>
      </c>
      <c r="U147" s="135">
        <f t="shared" ref="U147:AJ147" si="146">SUM(U148:U149)+U153</f>
        <v>113248636</v>
      </c>
      <c r="V147" s="124">
        <f t="shared" si="146"/>
        <v>2000000</v>
      </c>
      <c r="W147" s="124">
        <f t="shared" si="146"/>
        <v>75561517</v>
      </c>
      <c r="X147" s="132">
        <f t="shared" si="146"/>
        <v>190810153</v>
      </c>
      <c r="Y147" s="131">
        <f t="shared" si="146"/>
        <v>67512240</v>
      </c>
      <c r="Z147" s="124">
        <f t="shared" si="146"/>
        <v>3079396</v>
      </c>
      <c r="AA147" s="132">
        <f t="shared" si="146"/>
        <v>70591636</v>
      </c>
      <c r="AB147" s="131">
        <f t="shared" si="146"/>
        <v>67512240</v>
      </c>
      <c r="AC147" s="124">
        <f t="shared" si="146"/>
        <v>3079396</v>
      </c>
      <c r="AD147" s="132">
        <f t="shared" si="146"/>
        <v>70591636</v>
      </c>
      <c r="AE147" s="131">
        <f t="shared" si="146"/>
        <v>26617264</v>
      </c>
      <c r="AF147" s="124">
        <f t="shared" si="146"/>
        <v>1221800</v>
      </c>
      <c r="AG147" s="132">
        <f t="shared" si="146"/>
        <v>27839064</v>
      </c>
      <c r="AH147" s="131">
        <f t="shared" si="146"/>
        <v>120218517</v>
      </c>
      <c r="AI147" s="124">
        <f t="shared" si="146"/>
        <v>120218517</v>
      </c>
      <c r="AJ147" s="133">
        <f t="shared" si="146"/>
        <v>162971089</v>
      </c>
      <c r="AK147" s="9"/>
      <c r="AL147" s="131">
        <f>SUM(AL148:AL149)+AL153</f>
        <v>0</v>
      </c>
      <c r="AM147" s="133">
        <f>SUM(AM148:AM149)+AM153</f>
        <v>0</v>
      </c>
      <c r="AN147" s="9"/>
    </row>
    <row r="148" spans="1:40" s="385" customFormat="1" ht="24.95" customHeight="1" x14ac:dyDescent="0.2">
      <c r="A148" s="767"/>
      <c r="B148" s="668"/>
      <c r="N148" s="9"/>
      <c r="R148" s="9"/>
      <c r="S148" s="719">
        <f>+IF(MARZO!S148=0,"",MARZO!S148)</f>
        <v>2020101</v>
      </c>
      <c r="T148" s="693" t="str">
        <f>+IF(MARZO!T148=0,"",MARZO!T148)</f>
        <v>Mantenimiento Hospitalario</v>
      </c>
      <c r="U148" s="27">
        <f>+ENERO!U148</f>
        <v>74533223</v>
      </c>
      <c r="V148" s="15">
        <f>MARZO!V148+ABRIL!AL148</f>
        <v>0</v>
      </c>
      <c r="W148" s="15">
        <f>MARZO!W148+ABRIL!AM148</f>
        <v>0</v>
      </c>
      <c r="X148" s="18">
        <f>SUM(U148:W148)</f>
        <v>74533223</v>
      </c>
      <c r="Y148" s="19">
        <f>MARZO!AA148</f>
        <v>24556341</v>
      </c>
      <c r="Z148" s="377">
        <v>1196100</v>
      </c>
      <c r="AA148" s="18">
        <f>SUM(Y148:Z148)</f>
        <v>25752441</v>
      </c>
      <c r="AB148" s="19">
        <f>MARZO!AD148</f>
        <v>24556341</v>
      </c>
      <c r="AC148" s="377">
        <v>1196100</v>
      </c>
      <c r="AD148" s="18">
        <f>SUM(AB148:AC148)</f>
        <v>25752441</v>
      </c>
      <c r="AE148" s="19">
        <f>MARZO!AG148</f>
        <v>7478756</v>
      </c>
      <c r="AF148" s="377">
        <v>469800</v>
      </c>
      <c r="AG148" s="18">
        <f>SUM(AE148:AF148)</f>
        <v>7948556</v>
      </c>
      <c r="AH148" s="19">
        <f>X148-AA148</f>
        <v>48780782</v>
      </c>
      <c r="AI148" s="15">
        <f>X148-AD148</f>
        <v>48780782</v>
      </c>
      <c r="AJ148" s="16">
        <f>X148-AG148</f>
        <v>66584667</v>
      </c>
      <c r="AK148" s="9"/>
      <c r="AL148" s="375">
        <v>0</v>
      </c>
      <c r="AM148" s="378">
        <v>0</v>
      </c>
      <c r="AN148" s="9"/>
    </row>
    <row r="149" spans="1:40" s="385" customFormat="1" ht="24.95" customHeight="1" x14ac:dyDescent="0.2">
      <c r="A149" s="767"/>
      <c r="B149" s="668"/>
      <c r="N149" s="9"/>
      <c r="R149" s="9"/>
      <c r="S149" s="719">
        <f>+IF(MARZO!S149=0,"",MARZO!S149)</f>
        <v>2020102</v>
      </c>
      <c r="T149" s="693" t="str">
        <f>+IF(MARZO!T149=0,"",MARZO!T149)</f>
        <v>Otros</v>
      </c>
      <c r="U149" s="27">
        <f t="shared" ref="U149:AJ149" si="147">SUM(U150:U152)</f>
        <v>38715413</v>
      </c>
      <c r="V149" s="15">
        <f t="shared" si="147"/>
        <v>2000000</v>
      </c>
      <c r="W149" s="15">
        <f t="shared" si="147"/>
        <v>41780673</v>
      </c>
      <c r="X149" s="18">
        <f t="shared" si="147"/>
        <v>82496086</v>
      </c>
      <c r="Y149" s="19">
        <f t="shared" si="147"/>
        <v>9175055</v>
      </c>
      <c r="Z149" s="145">
        <f t="shared" si="147"/>
        <v>1883296</v>
      </c>
      <c r="AA149" s="18">
        <f t="shared" si="147"/>
        <v>11058351</v>
      </c>
      <c r="AB149" s="19">
        <f t="shared" si="147"/>
        <v>9175055</v>
      </c>
      <c r="AC149" s="145">
        <f t="shared" si="147"/>
        <v>1883296</v>
      </c>
      <c r="AD149" s="18">
        <f t="shared" si="147"/>
        <v>11058351</v>
      </c>
      <c r="AE149" s="19">
        <f t="shared" si="147"/>
        <v>0</v>
      </c>
      <c r="AF149" s="145">
        <f t="shared" si="147"/>
        <v>0</v>
      </c>
      <c r="AG149" s="18">
        <f t="shared" si="147"/>
        <v>0</v>
      </c>
      <c r="AH149" s="19">
        <f t="shared" si="147"/>
        <v>71437735</v>
      </c>
      <c r="AI149" s="15">
        <f t="shared" si="147"/>
        <v>71437735</v>
      </c>
      <c r="AJ149" s="16">
        <f t="shared" si="147"/>
        <v>82496086</v>
      </c>
      <c r="AK149" s="9"/>
      <c r="AL149" s="29">
        <f>SUM(AL150:AL152)</f>
        <v>0</v>
      </c>
      <c r="AM149" s="26">
        <f>SUM(AM150:AM152)</f>
        <v>0</v>
      </c>
      <c r="AN149" s="9"/>
    </row>
    <row r="150" spans="1:40" s="385" customFormat="1" ht="24.95" customHeight="1" x14ac:dyDescent="0.2">
      <c r="A150" s="767"/>
      <c r="B150" s="668"/>
      <c r="N150" s="9"/>
      <c r="R150" s="9"/>
      <c r="S150" s="720" t="str">
        <f>+IF(MARZO!S150=0,"",MARZO!S150)</f>
        <v>2020102-1</v>
      </c>
      <c r="T150" s="693" t="str">
        <f>+IF(MARZO!T150=0,"",MARZO!T150)</f>
        <v>Compra de Equipo e Instr. Mco. y Laborat.</v>
      </c>
      <c r="U150" s="27">
        <f>+ENERO!U150</f>
        <v>0</v>
      </c>
      <c r="V150" s="15">
        <f>MARZO!V150+ABRIL!AL150</f>
        <v>0</v>
      </c>
      <c r="W150" s="15">
        <f>MARZO!W150+ABRIL!AM150</f>
        <v>40000000</v>
      </c>
      <c r="X150" s="18">
        <f>SUM(U150:W150)</f>
        <v>40000000</v>
      </c>
      <c r="Y150" s="19">
        <f>MARZO!AA150</f>
        <v>0</v>
      </c>
      <c r="Z150" s="377">
        <v>0</v>
      </c>
      <c r="AA150" s="18">
        <f>SUM(Y150:Z150)</f>
        <v>0</v>
      </c>
      <c r="AB150" s="19">
        <f>MARZO!AD150</f>
        <v>0</v>
      </c>
      <c r="AC150" s="377">
        <v>0</v>
      </c>
      <c r="AD150" s="18">
        <f>SUM(AB150:AC150)</f>
        <v>0</v>
      </c>
      <c r="AE150" s="19">
        <f>MARZO!AG150</f>
        <v>0</v>
      </c>
      <c r="AF150" s="377">
        <v>0</v>
      </c>
      <c r="AG150" s="18">
        <f>SUM(AE150:AF150)</f>
        <v>0</v>
      </c>
      <c r="AH150" s="19">
        <f>X150-AA150</f>
        <v>40000000</v>
      </c>
      <c r="AI150" s="15">
        <f>X150-AD150</f>
        <v>40000000</v>
      </c>
      <c r="AJ150" s="16">
        <f>X150-AG150</f>
        <v>40000000</v>
      </c>
      <c r="AK150" s="9"/>
      <c r="AL150" s="375">
        <v>0</v>
      </c>
      <c r="AM150" s="378">
        <v>0</v>
      </c>
      <c r="AN150" s="9"/>
    </row>
    <row r="151" spans="1:40" s="385" customFormat="1" ht="24.95" customHeight="1" x14ac:dyDescent="0.2">
      <c r="A151" s="767"/>
      <c r="B151" s="668"/>
      <c r="N151" s="9"/>
      <c r="R151" s="9"/>
      <c r="S151" s="720" t="str">
        <f>+IF(MARZO!S151=0,"",MARZO!S151)</f>
        <v>2020102-2</v>
      </c>
      <c r="T151" s="693" t="str">
        <f>+IF(MARZO!T151=0,"",MARZO!T151)</f>
        <v>Materiales</v>
      </c>
      <c r="U151" s="27">
        <f>+ENERO!U151</f>
        <v>15288294</v>
      </c>
      <c r="V151" s="15">
        <f>MARZO!V151+ABRIL!AL151</f>
        <v>2000000</v>
      </c>
      <c r="W151" s="15">
        <f>MARZO!W151+ABRIL!AM151</f>
        <v>1780673</v>
      </c>
      <c r="X151" s="18">
        <f>SUM(U151:W151)</f>
        <v>19068967</v>
      </c>
      <c r="Y151" s="19">
        <f>MARZO!AA151</f>
        <v>3826067</v>
      </c>
      <c r="Z151" s="377">
        <v>0</v>
      </c>
      <c r="AA151" s="18">
        <f>SUM(Y151:Z151)</f>
        <v>3826067</v>
      </c>
      <c r="AB151" s="19">
        <f>MARZO!AD151</f>
        <v>3826067</v>
      </c>
      <c r="AC151" s="377">
        <v>0</v>
      </c>
      <c r="AD151" s="18">
        <f>SUM(AB151:AC151)</f>
        <v>3826067</v>
      </c>
      <c r="AE151" s="19">
        <f>MARZO!AG151</f>
        <v>0</v>
      </c>
      <c r="AF151" s="377">
        <v>0</v>
      </c>
      <c r="AG151" s="18">
        <f>SUM(AE151:AF151)</f>
        <v>0</v>
      </c>
      <c r="AH151" s="19">
        <f>X151-AA151</f>
        <v>15242900</v>
      </c>
      <c r="AI151" s="15">
        <f>X151-AD151</f>
        <v>15242900</v>
      </c>
      <c r="AJ151" s="16">
        <f>X151-AG151</f>
        <v>19068967</v>
      </c>
      <c r="AK151" s="9"/>
      <c r="AL151" s="375">
        <v>0</v>
      </c>
      <c r="AM151" s="378">
        <v>0</v>
      </c>
      <c r="AN151" s="9"/>
    </row>
    <row r="152" spans="1:40" s="385" customFormat="1" ht="24.95" customHeight="1" x14ac:dyDescent="0.2">
      <c r="A152" s="767"/>
      <c r="B152" s="668"/>
      <c r="N152" s="9"/>
      <c r="R152" s="9"/>
      <c r="S152" s="720" t="str">
        <f>+IF(MARZO!S152=0,"",MARZO!S152)</f>
        <v>2020102-3</v>
      </c>
      <c r="T152" s="694" t="str">
        <f>+IF(MARZO!T152=0,"",MARZO!T152)</f>
        <v>Combustible</v>
      </c>
      <c r="U152" s="27">
        <f>+ENERO!U152</f>
        <v>23427119</v>
      </c>
      <c r="V152" s="15">
        <f>MARZO!V152+ABRIL!AL152</f>
        <v>0</v>
      </c>
      <c r="W152" s="15">
        <f>MARZO!W152+ABRIL!AM152</f>
        <v>0</v>
      </c>
      <c r="X152" s="18">
        <f>SUM(U152:W152)</f>
        <v>23427119</v>
      </c>
      <c r="Y152" s="19">
        <f>MARZO!AA152</f>
        <v>5348988</v>
      </c>
      <c r="Z152" s="377">
        <v>1883296</v>
      </c>
      <c r="AA152" s="18">
        <f>SUM(Y152:Z152)</f>
        <v>7232284</v>
      </c>
      <c r="AB152" s="19">
        <f>MARZO!AD152</f>
        <v>5348988</v>
      </c>
      <c r="AC152" s="377">
        <v>1883296</v>
      </c>
      <c r="AD152" s="18">
        <f>SUM(AB152:AC152)</f>
        <v>7232284</v>
      </c>
      <c r="AE152" s="19">
        <f>MARZO!AG152</f>
        <v>0</v>
      </c>
      <c r="AF152" s="377">
        <v>0</v>
      </c>
      <c r="AG152" s="18">
        <f>SUM(AE152:AF152)</f>
        <v>0</v>
      </c>
      <c r="AH152" s="19">
        <f>X152-AA152</f>
        <v>16194835</v>
      </c>
      <c r="AI152" s="15">
        <f>X152-AD152</f>
        <v>16194835</v>
      </c>
      <c r="AJ152" s="16">
        <f>X152-AG152</f>
        <v>23427119</v>
      </c>
      <c r="AK152" s="9"/>
      <c r="AL152" s="375">
        <v>0</v>
      </c>
      <c r="AM152" s="378">
        <v>0</v>
      </c>
      <c r="AN152" s="9"/>
    </row>
    <row r="153" spans="1:40" s="385" customFormat="1" ht="24.95" customHeight="1" x14ac:dyDescent="0.2">
      <c r="A153" s="767"/>
      <c r="B153" s="668"/>
      <c r="N153" s="9"/>
      <c r="R153" s="9"/>
      <c r="S153" s="719">
        <f>+IF(MARZO!S153=0,"",MARZO!S153)</f>
        <v>2020199</v>
      </c>
      <c r="T153" s="693" t="str">
        <f>+IF(MARZO!T153=0,"",MARZO!T153)</f>
        <v>Vigencias Anteriores</v>
      </c>
      <c r="U153" s="27">
        <f>+ENERO!U153</f>
        <v>0</v>
      </c>
      <c r="V153" s="15">
        <f>MARZO!V153+ABRIL!AL153</f>
        <v>0</v>
      </c>
      <c r="W153" s="15">
        <f>MARZO!W153+ABRIL!AM153</f>
        <v>33780844</v>
      </c>
      <c r="X153" s="18">
        <f>SUM(U153:W153)</f>
        <v>33780844</v>
      </c>
      <c r="Y153" s="19">
        <f>MARZO!AA153</f>
        <v>33780844</v>
      </c>
      <c r="Z153" s="377">
        <v>0</v>
      </c>
      <c r="AA153" s="18">
        <f>SUM(Y153:Z153)</f>
        <v>33780844</v>
      </c>
      <c r="AB153" s="19">
        <f>MARZO!AD153</f>
        <v>33780844</v>
      </c>
      <c r="AC153" s="377">
        <v>0</v>
      </c>
      <c r="AD153" s="18">
        <f>SUM(AB153:AC153)</f>
        <v>33780844</v>
      </c>
      <c r="AE153" s="19">
        <f>MARZO!AG153</f>
        <v>19138508</v>
      </c>
      <c r="AF153" s="377">
        <v>752000</v>
      </c>
      <c r="AG153" s="18">
        <f>SUM(AE153:AF153)</f>
        <v>19890508</v>
      </c>
      <c r="AH153" s="19">
        <f>X153-AA153</f>
        <v>0</v>
      </c>
      <c r="AI153" s="15">
        <f>X153-AD153</f>
        <v>0</v>
      </c>
      <c r="AJ153" s="16">
        <f>X153-AG153</f>
        <v>13890336</v>
      </c>
      <c r="AK153" s="9"/>
      <c r="AL153" s="375">
        <v>0</v>
      </c>
      <c r="AM153" s="378">
        <v>0</v>
      </c>
      <c r="AN153" s="9"/>
    </row>
    <row r="154" spans="1:40" s="385" customFormat="1" ht="24.95" customHeight="1" x14ac:dyDescent="0.2">
      <c r="A154" s="767"/>
      <c r="B154" s="668"/>
      <c r="N154" s="9"/>
      <c r="R154" s="9"/>
      <c r="S154" s="369" t="str">
        <f>+IF(MARZO!S154=0,"",MARZO!S154)</f>
        <v/>
      </c>
      <c r="T154" s="708" t="str">
        <f>+IF(MARZO!T154=0,"",MARZO!T154)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+IF(MARZO!S155=0,"",MARZO!S155)</f>
        <v>2020200</v>
      </c>
      <c r="T155" s="692" t="str">
        <f>+IF(MARZO!T155=0,"",MARZO!T155)</f>
        <v>Adquisición de Servicios</v>
      </c>
      <c r="U155" s="135">
        <f t="shared" ref="U155:AJ155" si="148">SUM(U156:U157)+U168</f>
        <v>210727239</v>
      </c>
      <c r="V155" s="124">
        <f t="shared" si="148"/>
        <v>23000000</v>
      </c>
      <c r="W155" s="124">
        <f t="shared" si="148"/>
        <v>35537671</v>
      </c>
      <c r="X155" s="132">
        <f t="shared" si="148"/>
        <v>269264910</v>
      </c>
      <c r="Y155" s="131">
        <f t="shared" si="148"/>
        <v>179256404</v>
      </c>
      <c r="Z155" s="124">
        <f t="shared" si="148"/>
        <v>1678946</v>
      </c>
      <c r="AA155" s="132">
        <f t="shared" si="148"/>
        <v>180935350</v>
      </c>
      <c r="AB155" s="131">
        <f t="shared" si="148"/>
        <v>112471502</v>
      </c>
      <c r="AC155" s="124">
        <f t="shared" si="148"/>
        <v>3489538</v>
      </c>
      <c r="AD155" s="132">
        <f t="shared" si="148"/>
        <v>115961040</v>
      </c>
      <c r="AE155" s="131">
        <f t="shared" si="148"/>
        <v>51385658</v>
      </c>
      <c r="AF155" s="124">
        <f t="shared" si="148"/>
        <v>13717056</v>
      </c>
      <c r="AG155" s="132">
        <f t="shared" si="148"/>
        <v>65102714</v>
      </c>
      <c r="AH155" s="131">
        <f t="shared" si="148"/>
        <v>88329560</v>
      </c>
      <c r="AI155" s="124">
        <f t="shared" si="148"/>
        <v>153303870</v>
      </c>
      <c r="AJ155" s="133">
        <f t="shared" si="148"/>
        <v>204162196</v>
      </c>
      <c r="AK155" s="9"/>
      <c r="AL155" s="131">
        <f>SUM(AL156:AL157)+AL168</f>
        <v>0</v>
      </c>
      <c r="AM155" s="133">
        <f>SUM(AM156:AM157)+AM168</f>
        <v>0</v>
      </c>
      <c r="AN155" s="9"/>
    </row>
    <row r="156" spans="1:40" s="385" customFormat="1" ht="24.95" customHeight="1" x14ac:dyDescent="0.2">
      <c r="A156" s="767"/>
      <c r="B156" s="668"/>
      <c r="N156" s="9"/>
      <c r="P156" s="9"/>
      <c r="Q156" s="9"/>
      <c r="R156" s="9"/>
      <c r="S156" s="719">
        <f>+IF(MARZO!S156=0,"",MARZO!S156)</f>
        <v>2020201</v>
      </c>
      <c r="T156" s="693" t="str">
        <f>+IF(MARZO!T156=0,"",MARZO!T156)</f>
        <v>Mantenimiento Hospitalario</v>
      </c>
      <c r="U156" s="27">
        <f>+ENERO!U156</f>
        <v>82251828</v>
      </c>
      <c r="V156" s="15">
        <f>MARZO!V156+ABRIL!AL156</f>
        <v>0</v>
      </c>
      <c r="W156" s="15">
        <f>MARZO!W156+ABRIL!AM156</f>
        <v>0</v>
      </c>
      <c r="X156" s="18">
        <f>SUM(U156:W156)</f>
        <v>82251828</v>
      </c>
      <c r="Y156" s="19">
        <f>MARZO!AA156</f>
        <v>46444870</v>
      </c>
      <c r="Z156" s="377">
        <v>395100</v>
      </c>
      <c r="AA156" s="18">
        <f>SUM(Y156:Z156)</f>
        <v>46839970</v>
      </c>
      <c r="AB156" s="19">
        <f>MARZO!AD156</f>
        <v>36218025</v>
      </c>
      <c r="AC156" s="377">
        <v>1795100</v>
      </c>
      <c r="AD156" s="18">
        <f>SUM(AB156:AC156)</f>
        <v>38013125</v>
      </c>
      <c r="AE156" s="19">
        <f>MARZO!AG156</f>
        <v>31873725</v>
      </c>
      <c r="AF156" s="377">
        <v>1689200</v>
      </c>
      <c r="AG156" s="18">
        <f>SUM(AE156:AF156)</f>
        <v>33562925</v>
      </c>
      <c r="AH156" s="19">
        <f>X156-AA156</f>
        <v>35411858</v>
      </c>
      <c r="AI156" s="15">
        <f>X156-AD156</f>
        <v>44238703</v>
      </c>
      <c r="AJ156" s="16">
        <f>X156-AG156</f>
        <v>48688903</v>
      </c>
      <c r="AK156" s="9"/>
      <c r="AL156" s="375">
        <v>0</v>
      </c>
      <c r="AM156" s="378">
        <v>0</v>
      </c>
      <c r="AN156" s="9"/>
    </row>
    <row r="157" spans="1:40" s="385" customFormat="1" ht="24.95" customHeight="1" x14ac:dyDescent="0.2">
      <c r="A157" s="767"/>
      <c r="B157" s="668"/>
      <c r="N157" s="9"/>
      <c r="P157" s="9"/>
      <c r="Q157" s="9"/>
      <c r="R157" s="9"/>
      <c r="S157" s="719">
        <f>+IF(MARZO!S157=0,"",MARZO!S157)</f>
        <v>2020202</v>
      </c>
      <c r="T157" s="693" t="str">
        <f>+IF(MARZO!T157=0,"",MARZO!T157)</f>
        <v>Otros</v>
      </c>
      <c r="U157" s="27">
        <f t="shared" ref="U157:AJ157" si="149">SUM(U158:U167)</f>
        <v>128475411</v>
      </c>
      <c r="V157" s="15">
        <f t="shared" si="149"/>
        <v>23000000</v>
      </c>
      <c r="W157" s="15">
        <f t="shared" si="149"/>
        <v>7000000</v>
      </c>
      <c r="X157" s="18">
        <f t="shared" si="149"/>
        <v>158475411</v>
      </c>
      <c r="Y157" s="19">
        <f t="shared" si="149"/>
        <v>104273863</v>
      </c>
      <c r="Z157" s="145">
        <f t="shared" si="149"/>
        <v>1283846</v>
      </c>
      <c r="AA157" s="18">
        <f t="shared" si="149"/>
        <v>105557709</v>
      </c>
      <c r="AB157" s="19">
        <f t="shared" si="149"/>
        <v>47715806</v>
      </c>
      <c r="AC157" s="145">
        <f t="shared" si="149"/>
        <v>1694438</v>
      </c>
      <c r="AD157" s="18">
        <f t="shared" si="149"/>
        <v>49410244</v>
      </c>
      <c r="AE157" s="19">
        <f t="shared" si="149"/>
        <v>4475016</v>
      </c>
      <c r="AF157" s="145">
        <f t="shared" si="149"/>
        <v>12027856</v>
      </c>
      <c r="AG157" s="18">
        <f t="shared" si="149"/>
        <v>16502872</v>
      </c>
      <c r="AH157" s="19">
        <f t="shared" si="149"/>
        <v>52917702</v>
      </c>
      <c r="AI157" s="15">
        <f t="shared" si="149"/>
        <v>109065167</v>
      </c>
      <c r="AJ157" s="16">
        <f t="shared" si="149"/>
        <v>141972539</v>
      </c>
      <c r="AK157" s="10"/>
      <c r="AL157" s="16">
        <f>SUM(AL158:AL167)</f>
        <v>0</v>
      </c>
      <c r="AM157" s="16">
        <f>SUM(AM158:AM167)</f>
        <v>0</v>
      </c>
      <c r="AN157" s="9"/>
    </row>
    <row r="158" spans="1:40" s="385" customFormat="1" ht="24.95" customHeight="1" x14ac:dyDescent="0.2">
      <c r="A158" s="767"/>
      <c r="B158" s="668"/>
      <c r="N158" s="9"/>
      <c r="P158" s="9"/>
      <c r="Q158" s="9"/>
      <c r="R158" s="9"/>
      <c r="S158" s="720" t="str">
        <f>+IF(MARZO!S158=0,"",MARZO!S158)</f>
        <v>2020202-1</v>
      </c>
      <c r="T158" s="694" t="str">
        <f>+IF(MARZO!T158=0,"",MARZO!T158)</f>
        <v>Seguros</v>
      </c>
      <c r="U158" s="27">
        <f>+ENERO!U158</f>
        <v>15745455</v>
      </c>
      <c r="V158" s="15">
        <f>MARZO!V158+ABRIL!AL158</f>
        <v>0</v>
      </c>
      <c r="W158" s="15">
        <f>MARZO!W158+ABRIL!AM158</f>
        <v>5000000</v>
      </c>
      <c r="X158" s="18">
        <f t="shared" ref="X158:X168" si="150">SUM(U158:W158)</f>
        <v>20745455</v>
      </c>
      <c r="Y158" s="19">
        <f>MARZO!AA158</f>
        <v>18029036</v>
      </c>
      <c r="Z158" s="377">
        <v>0</v>
      </c>
      <c r="AA158" s="18">
        <f t="shared" ref="AA158:AA168" si="151">SUM(Y158:Z158)</f>
        <v>18029036</v>
      </c>
      <c r="AB158" s="19">
        <f>MARZO!AD158</f>
        <v>18029036</v>
      </c>
      <c r="AC158" s="377">
        <v>0</v>
      </c>
      <c r="AD158" s="18">
        <f t="shared" ref="AD158:AD168" si="152">SUM(AB158:AC158)</f>
        <v>18029036</v>
      </c>
      <c r="AE158" s="19">
        <f>MARZO!AG158</f>
        <v>3461580</v>
      </c>
      <c r="AF158" s="377">
        <v>4132034</v>
      </c>
      <c r="AG158" s="18">
        <f t="shared" ref="AG158:AG168" si="153">SUM(AE158:AF158)</f>
        <v>7593614</v>
      </c>
      <c r="AH158" s="19">
        <f t="shared" ref="AH158:AH168" si="154">X158-AA158</f>
        <v>2716419</v>
      </c>
      <c r="AI158" s="15">
        <f t="shared" ref="AI158:AI168" si="155">X158-AD158</f>
        <v>2716419</v>
      </c>
      <c r="AJ158" s="16">
        <f t="shared" ref="AJ158:AJ168" si="156">X158-AG158</f>
        <v>13151841</v>
      </c>
      <c r="AK158" s="9"/>
      <c r="AL158" s="375">
        <v>0</v>
      </c>
      <c r="AM158" s="378">
        <v>0</v>
      </c>
      <c r="AN158" s="9"/>
    </row>
    <row r="159" spans="1:40" s="385" customFormat="1" ht="24.95" customHeight="1" x14ac:dyDescent="0.2">
      <c r="A159" s="767"/>
      <c r="B159" s="668"/>
      <c r="N159" s="9"/>
      <c r="P159" s="9"/>
      <c r="Q159" s="9"/>
      <c r="R159" s="9"/>
      <c r="S159" s="720" t="str">
        <f>+IF(MARZO!S159=0,"",MARZO!S159)</f>
        <v>2020202-2</v>
      </c>
      <c r="T159" s="694" t="str">
        <f>+IF(MARZO!T159=0,"",MARZO!T159)</f>
        <v>Impresos y Publicaciones</v>
      </c>
      <c r="U159" s="27">
        <f>+ENERO!U159</f>
        <v>0</v>
      </c>
      <c r="V159" s="15">
        <f>MARZO!V159+ABRIL!AL159</f>
        <v>0</v>
      </c>
      <c r="W159" s="15">
        <f>MARZO!W159+ABRIL!AM159</f>
        <v>0</v>
      </c>
      <c r="X159" s="18">
        <f t="shared" si="150"/>
        <v>0</v>
      </c>
      <c r="Y159" s="19">
        <f>MARZO!AA159</f>
        <v>0</v>
      </c>
      <c r="Z159" s="377">
        <v>0</v>
      </c>
      <c r="AA159" s="18">
        <f t="shared" si="151"/>
        <v>0</v>
      </c>
      <c r="AB159" s="19">
        <f>MARZO!AD159</f>
        <v>0</v>
      </c>
      <c r="AC159" s="377">
        <v>0</v>
      </c>
      <c r="AD159" s="18">
        <f t="shared" si="152"/>
        <v>0</v>
      </c>
      <c r="AE159" s="19">
        <f>MARZO!AG159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+IF(MARZO!S160=0,"",MARZO!S160)</f>
        <v>2020202-3</v>
      </c>
      <c r="T160" s="694" t="str">
        <f>+IF(MARZO!T160=0,"",MARZO!T160)</f>
        <v>Pago a otras IPS</v>
      </c>
      <c r="U160" s="27">
        <f>+ENERO!U160</f>
        <v>893693</v>
      </c>
      <c r="V160" s="15">
        <f>MARZO!V160+ABRIL!AL160</f>
        <v>23000000</v>
      </c>
      <c r="W160" s="15">
        <f>MARZO!W160+ABRIL!AM160</f>
        <v>2000000</v>
      </c>
      <c r="X160" s="18">
        <f t="shared" si="150"/>
        <v>25893693</v>
      </c>
      <c r="Y160" s="19">
        <f>MARZO!AA160</f>
        <v>2893693</v>
      </c>
      <c r="Z160" s="377">
        <v>0</v>
      </c>
      <c r="AA160" s="18">
        <f t="shared" si="151"/>
        <v>2893693</v>
      </c>
      <c r="AB160" s="19">
        <f>MARZO!AD160</f>
        <v>2893693</v>
      </c>
      <c r="AC160" s="377">
        <v>0</v>
      </c>
      <c r="AD160" s="18">
        <f t="shared" si="152"/>
        <v>2893693</v>
      </c>
      <c r="AE160" s="19">
        <f>MARZO!AG160</f>
        <v>55000</v>
      </c>
      <c r="AF160" s="377">
        <v>0</v>
      </c>
      <c r="AG160" s="18">
        <f t="shared" si="153"/>
        <v>55000</v>
      </c>
      <c r="AH160" s="19">
        <f t="shared" si="154"/>
        <v>23000000</v>
      </c>
      <c r="AI160" s="15">
        <f t="shared" si="155"/>
        <v>23000000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+IF(MARZO!S161=0,"",MARZO!S161)</f>
        <v>2020202-4</v>
      </c>
      <c r="T161" s="694" t="str">
        <f>+IF(MARZO!T161=0,"",MARZO!T161)</f>
        <v>Comunicaciones y Transportes</v>
      </c>
      <c r="U161" s="27">
        <f>+ENERO!U161</f>
        <v>9528246</v>
      </c>
      <c r="V161" s="15">
        <f>MARZO!V161+ABRIL!AL161</f>
        <v>0</v>
      </c>
      <c r="W161" s="15">
        <f>MARZO!W161+ABRIL!AM161</f>
        <v>0</v>
      </c>
      <c r="X161" s="18">
        <f t="shared" si="150"/>
        <v>9528246</v>
      </c>
      <c r="Y161" s="19">
        <f>MARZO!AA161</f>
        <v>958424</v>
      </c>
      <c r="Z161" s="377">
        <v>641933</v>
      </c>
      <c r="AA161" s="18">
        <f t="shared" si="151"/>
        <v>1600357</v>
      </c>
      <c r="AB161" s="19">
        <f>MARZO!AD161</f>
        <v>958424</v>
      </c>
      <c r="AC161" s="377">
        <v>641933</v>
      </c>
      <c r="AD161" s="18">
        <f t="shared" si="152"/>
        <v>1600357</v>
      </c>
      <c r="AE161" s="19">
        <f>MARZO!AG161</f>
        <v>538412</v>
      </c>
      <c r="AF161" s="377">
        <v>712733</v>
      </c>
      <c r="AG161" s="18">
        <f t="shared" si="153"/>
        <v>1251145</v>
      </c>
      <c r="AH161" s="19">
        <f t="shared" si="154"/>
        <v>7927889</v>
      </c>
      <c r="AI161" s="15">
        <f t="shared" si="155"/>
        <v>7927889</v>
      </c>
      <c r="AJ161" s="16">
        <f t="shared" si="156"/>
        <v>8277101</v>
      </c>
      <c r="AK161" s="9"/>
      <c r="AL161" s="375">
        <v>0</v>
      </c>
      <c r="AM161" s="378">
        <v>0</v>
      </c>
      <c r="AN161" s="9"/>
    </row>
    <row r="162" spans="1:40" s="385" customFormat="1" ht="24.95" customHeight="1" x14ac:dyDescent="0.2">
      <c r="A162" s="767"/>
      <c r="B162" s="668"/>
      <c r="N162" s="9"/>
      <c r="P162" s="9"/>
      <c r="Q162" s="9"/>
      <c r="R162" s="9"/>
      <c r="S162" s="720" t="str">
        <f>+IF(MARZO!S162=0,"",MARZO!S162)</f>
        <v>2020202-5</v>
      </c>
      <c r="T162" s="694" t="str">
        <f>+IF(MARZO!T162=0,"",MARZO!T162)</f>
        <v>Viáticos y Gastos de Viaje</v>
      </c>
      <c r="U162" s="27">
        <f>+ENERO!U162</f>
        <v>3326745</v>
      </c>
      <c r="V162" s="15">
        <f>MARZO!V162+ABRIL!AL162</f>
        <v>0</v>
      </c>
      <c r="W162" s="15">
        <f>MARZO!W162+ABRIL!AM162</f>
        <v>0</v>
      </c>
      <c r="X162" s="18">
        <f t="shared" si="150"/>
        <v>3326745</v>
      </c>
      <c r="Y162" s="19">
        <f>MARZO!AA162</f>
        <v>317740</v>
      </c>
      <c r="Z162" s="377">
        <v>85913</v>
      </c>
      <c r="AA162" s="18">
        <f t="shared" si="151"/>
        <v>403653</v>
      </c>
      <c r="AB162" s="19">
        <f>MARZO!AD162</f>
        <v>317740</v>
      </c>
      <c r="AC162" s="377">
        <v>85913</v>
      </c>
      <c r="AD162" s="18">
        <f t="shared" si="152"/>
        <v>403653</v>
      </c>
      <c r="AE162" s="19">
        <f>MARZO!AG162</f>
        <v>252024</v>
      </c>
      <c r="AF162" s="377">
        <v>116989</v>
      </c>
      <c r="AG162" s="18">
        <f t="shared" si="153"/>
        <v>369013</v>
      </c>
      <c r="AH162" s="19">
        <f t="shared" si="154"/>
        <v>2923092</v>
      </c>
      <c r="AI162" s="15">
        <f t="shared" si="155"/>
        <v>2923092</v>
      </c>
      <c r="AJ162" s="16">
        <f t="shared" si="156"/>
        <v>2957732</v>
      </c>
      <c r="AK162" s="9"/>
      <c r="AL162" s="375">
        <v>0</v>
      </c>
      <c r="AM162" s="378">
        <v>0</v>
      </c>
      <c r="AN162" s="9"/>
    </row>
    <row r="163" spans="1:40" s="385" customFormat="1" ht="24.95" customHeight="1" x14ac:dyDescent="0.2">
      <c r="A163" s="767"/>
      <c r="B163" s="668"/>
      <c r="N163" s="9"/>
      <c r="P163" s="9"/>
      <c r="Q163" s="9"/>
      <c r="R163" s="9"/>
      <c r="S163" s="720" t="str">
        <f>+IF(MARZO!S163=0,"",MARZO!S163)</f>
        <v>2020202-6</v>
      </c>
      <c r="T163" s="694" t="str">
        <f>+IF(MARZO!T163=0,"",MARZO!T163)</f>
        <v>Plan Integral de Manejo de Residuos Sólidos Hospitalarios</v>
      </c>
      <c r="U163" s="27">
        <f>+ENERO!U163</f>
        <v>10511470</v>
      </c>
      <c r="V163" s="15">
        <f>MARZO!V163+ABRIL!AL163</f>
        <v>0</v>
      </c>
      <c r="W163" s="15">
        <f>MARZO!W163+ABRIL!AM163</f>
        <v>0</v>
      </c>
      <c r="X163" s="18">
        <f t="shared" si="150"/>
        <v>10511470</v>
      </c>
      <c r="Y163" s="19">
        <f>MARZO!AA163</f>
        <v>10511470</v>
      </c>
      <c r="Z163" s="377">
        <v>0</v>
      </c>
      <c r="AA163" s="18">
        <f t="shared" si="151"/>
        <v>10511470</v>
      </c>
      <c r="AB163" s="19">
        <f>MARZO!AD163</f>
        <v>1348713</v>
      </c>
      <c r="AC163" s="377">
        <v>410592</v>
      </c>
      <c r="AD163" s="18">
        <f t="shared" si="152"/>
        <v>1759305</v>
      </c>
      <c r="AE163" s="19">
        <f>MARZO!AG163</f>
        <v>0</v>
      </c>
      <c r="AF163" s="377">
        <v>0</v>
      </c>
      <c r="AG163" s="18">
        <f t="shared" si="153"/>
        <v>0</v>
      </c>
      <c r="AH163" s="19">
        <f t="shared" si="154"/>
        <v>0</v>
      </c>
      <c r="AI163" s="15">
        <f t="shared" si="155"/>
        <v>8752165</v>
      </c>
      <c r="AJ163" s="16">
        <f t="shared" si="156"/>
        <v>10511470</v>
      </c>
      <c r="AK163" s="9"/>
      <c r="AL163" s="375">
        <v>0</v>
      </c>
      <c r="AM163" s="378">
        <v>0</v>
      </c>
      <c r="AN163" s="9"/>
    </row>
    <row r="164" spans="1:40" s="385" customFormat="1" ht="24.95" customHeight="1" x14ac:dyDescent="0.2">
      <c r="A164" s="767"/>
      <c r="B164" s="668"/>
      <c r="N164" s="9"/>
      <c r="P164" s="9"/>
      <c r="Q164" s="9"/>
      <c r="R164" s="9"/>
      <c r="S164" s="720" t="str">
        <f>+IF(MARZO!S164=0,"",MARZO!S164)</f>
        <v>2020202-7</v>
      </c>
      <c r="T164" s="694" t="str">
        <f>+IF(MARZO!T164=0,"",MARZO!T164)</f>
        <v>Servicios de Laboratorio contratados con terceros</v>
      </c>
      <c r="U164" s="27">
        <f>+ENERO!U164</f>
        <v>21580478</v>
      </c>
      <c r="V164" s="15">
        <f>MARZO!V164+ABRIL!AL164</f>
        <v>0</v>
      </c>
      <c r="W164" s="15">
        <f>MARZO!W164+ABRIL!AM164</f>
        <v>0</v>
      </c>
      <c r="X164" s="18">
        <f t="shared" si="150"/>
        <v>21580478</v>
      </c>
      <c r="Y164" s="19">
        <f>MARZO!AA164</f>
        <v>7943800</v>
      </c>
      <c r="Z164" s="377">
        <v>556000</v>
      </c>
      <c r="AA164" s="18">
        <f t="shared" si="151"/>
        <v>8499800</v>
      </c>
      <c r="AB164" s="19">
        <f>MARZO!AD164</f>
        <v>7943800</v>
      </c>
      <c r="AC164" s="377">
        <v>556000</v>
      </c>
      <c r="AD164" s="18">
        <f t="shared" si="152"/>
        <v>8499800</v>
      </c>
      <c r="AE164" s="19">
        <f>MARZO!AG164</f>
        <v>168000</v>
      </c>
      <c r="AF164" s="377">
        <v>1446400</v>
      </c>
      <c r="AG164" s="18">
        <f t="shared" si="153"/>
        <v>1614400</v>
      </c>
      <c r="AH164" s="19">
        <f t="shared" si="154"/>
        <v>13080678</v>
      </c>
      <c r="AI164" s="15">
        <f t="shared" si="155"/>
        <v>13080678</v>
      </c>
      <c r="AJ164" s="16">
        <f t="shared" si="156"/>
        <v>19966078</v>
      </c>
      <c r="AK164" s="9"/>
      <c r="AL164" s="375">
        <v>0</v>
      </c>
      <c r="AM164" s="378">
        <v>0</v>
      </c>
      <c r="AN164" s="9"/>
    </row>
    <row r="165" spans="1:40" s="385" customFormat="1" ht="24.95" customHeight="1" x14ac:dyDescent="0.2">
      <c r="A165" s="767"/>
      <c r="B165" s="668"/>
      <c r="N165" s="9"/>
      <c r="P165" s="9"/>
      <c r="Q165" s="9"/>
      <c r="R165" s="9"/>
      <c r="S165" s="720" t="str">
        <f>+IF(MARZO!S165=0,"",MARZO!S165)</f>
        <v>2020202-8</v>
      </c>
      <c r="T165" s="694" t="str">
        <f>+IF(MARZO!T165=0,"",MARZO!T165)</f>
        <v>Servicios de Rayos X e Imaginología contratado con terceros</v>
      </c>
      <c r="U165" s="27">
        <f>+ENERO!U165</f>
        <v>0</v>
      </c>
      <c r="V165" s="15">
        <f>MARZO!V165+ABRIL!AL165</f>
        <v>0</v>
      </c>
      <c r="W165" s="15">
        <f>MARZO!W165+ABRIL!AM165</f>
        <v>0</v>
      </c>
      <c r="X165" s="18">
        <f t="shared" si="150"/>
        <v>0</v>
      </c>
      <c r="Y165" s="19">
        <f>MARZO!AA165</f>
        <v>0</v>
      </c>
      <c r="Z165" s="377">
        <v>0</v>
      </c>
      <c r="AA165" s="18">
        <f t="shared" si="151"/>
        <v>0</v>
      </c>
      <c r="AB165" s="19">
        <f>MARZO!AD165</f>
        <v>0</v>
      </c>
      <c r="AC165" s="377">
        <v>0</v>
      </c>
      <c r="AD165" s="18">
        <f t="shared" si="152"/>
        <v>0</v>
      </c>
      <c r="AE165" s="19">
        <f>MARZO!AG165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+IF(MARZO!S166=0,"",MARZO!S166)</f>
        <v>2020202-9</v>
      </c>
      <c r="T166" s="694" t="str">
        <f>+IF(MARZO!T166=0,"",MARZO!T166)</f>
        <v>Arrendamientos</v>
      </c>
      <c r="U166" s="27">
        <f>+ENERO!U166</f>
        <v>66889324</v>
      </c>
      <c r="V166" s="15">
        <f>MARZO!V166+ABRIL!AL166</f>
        <v>0</v>
      </c>
      <c r="W166" s="15">
        <f>MARZO!W166+ABRIL!AM166</f>
        <v>0</v>
      </c>
      <c r="X166" s="18">
        <f t="shared" si="150"/>
        <v>66889324</v>
      </c>
      <c r="Y166" s="19">
        <f>MARZO!AA166</f>
        <v>63619700</v>
      </c>
      <c r="Z166" s="377">
        <v>0</v>
      </c>
      <c r="AA166" s="18">
        <f t="shared" si="151"/>
        <v>63619700</v>
      </c>
      <c r="AB166" s="19">
        <f>MARZO!AD166</f>
        <v>16224400</v>
      </c>
      <c r="AC166" s="377">
        <v>0</v>
      </c>
      <c r="AD166" s="18">
        <f t="shared" si="152"/>
        <v>16224400</v>
      </c>
      <c r="AE166" s="19">
        <f>MARZO!AG166</f>
        <v>0</v>
      </c>
      <c r="AF166" s="377">
        <v>5619700</v>
      </c>
      <c r="AG166" s="18">
        <f t="shared" si="153"/>
        <v>5619700</v>
      </c>
      <c r="AH166" s="19">
        <f t="shared" si="154"/>
        <v>3269624</v>
      </c>
      <c r="AI166" s="15">
        <f t="shared" si="155"/>
        <v>50664924</v>
      </c>
      <c r="AJ166" s="16">
        <f t="shared" si="156"/>
        <v>61269624</v>
      </c>
      <c r="AK166" s="9"/>
      <c r="AL166" s="375">
        <v>0</v>
      </c>
      <c r="AM166" s="378">
        <v>0</v>
      </c>
      <c r="AN166" s="9"/>
    </row>
    <row r="167" spans="1:40" s="385" customFormat="1" ht="24.95" customHeight="1" x14ac:dyDescent="0.2">
      <c r="A167" s="767"/>
      <c r="B167" s="668"/>
      <c r="N167" s="9"/>
      <c r="P167" s="9"/>
      <c r="Q167" s="9"/>
      <c r="R167" s="9"/>
      <c r="S167" s="720" t="str">
        <f>+IF(MARZO!S167=0,"",MARZO!S167)</f>
        <v>2020202-10</v>
      </c>
      <c r="T167" s="694" t="str">
        <f>+IF(MARZO!T167=0,"",MARZO!T167)</f>
        <v>Servicios Públicos</v>
      </c>
      <c r="U167" s="27">
        <f>+ENERO!U167</f>
        <v>0</v>
      </c>
      <c r="V167" s="15">
        <f>MARZO!V167+ABRIL!AL167</f>
        <v>0</v>
      </c>
      <c r="W167" s="15">
        <f>MARZO!W167+ABRIL!AM167</f>
        <v>0</v>
      </c>
      <c r="X167" s="18">
        <f>SUM(U167:W167)</f>
        <v>0</v>
      </c>
      <c r="Y167" s="19">
        <f>MARZO!AA167</f>
        <v>0</v>
      </c>
      <c r="Z167" s="377">
        <v>0</v>
      </c>
      <c r="AA167" s="18">
        <f>SUM(Y167:Z167)</f>
        <v>0</v>
      </c>
      <c r="AB167" s="19">
        <f>MARZO!AD167</f>
        <v>0</v>
      </c>
      <c r="AC167" s="377">
        <v>0</v>
      </c>
      <c r="AD167" s="18">
        <f>SUM(AB167:AC167)</f>
        <v>0</v>
      </c>
      <c r="AE167" s="19">
        <f>MARZO!AG167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+IF(MARZO!S168=0,"",MARZO!S168)</f>
        <v>2020299</v>
      </c>
      <c r="T168" s="693" t="str">
        <f>+IF(MARZO!T168=0,"",MARZO!T168)</f>
        <v>Vigencias Anteriores</v>
      </c>
      <c r="U168" s="27">
        <f>+ENERO!U168</f>
        <v>0</v>
      </c>
      <c r="V168" s="15">
        <f>MARZO!V168+ABRIL!AL168</f>
        <v>0</v>
      </c>
      <c r="W168" s="15">
        <f>MARZO!W168+ABRIL!AM168</f>
        <v>28537671</v>
      </c>
      <c r="X168" s="18">
        <f t="shared" si="150"/>
        <v>28537671</v>
      </c>
      <c r="Y168" s="19">
        <f>MARZO!AA168</f>
        <v>28537671</v>
      </c>
      <c r="Z168" s="377">
        <v>0</v>
      </c>
      <c r="AA168" s="18">
        <f t="shared" si="151"/>
        <v>28537671</v>
      </c>
      <c r="AB168" s="19">
        <f>MARZO!AD168</f>
        <v>28537671</v>
      </c>
      <c r="AC168" s="377">
        <v>0</v>
      </c>
      <c r="AD168" s="18">
        <f t="shared" si="152"/>
        <v>28537671</v>
      </c>
      <c r="AE168" s="19">
        <f>MARZO!AG168</f>
        <v>15036917</v>
      </c>
      <c r="AF168" s="377">
        <v>0</v>
      </c>
      <c r="AG168" s="18">
        <f t="shared" si="153"/>
        <v>15036917</v>
      </c>
      <c r="AH168" s="19">
        <f t="shared" si="154"/>
        <v>0</v>
      </c>
      <c r="AI168" s="15">
        <f t="shared" si="155"/>
        <v>0</v>
      </c>
      <c r="AJ168" s="16">
        <f t="shared" si="156"/>
        <v>13500754</v>
      </c>
      <c r="AK168" s="9"/>
      <c r="AL168" s="375">
        <v>0</v>
      </c>
      <c r="AM168" s="378">
        <v>0</v>
      </c>
      <c r="AN168" s="9"/>
    </row>
    <row r="169" spans="1:40" s="385" customFormat="1" ht="24.95" customHeight="1" x14ac:dyDescent="0.2">
      <c r="A169" s="767"/>
      <c r="B169" s="668"/>
      <c r="N169" s="9"/>
      <c r="P169" s="9"/>
      <c r="Q169" s="9"/>
      <c r="R169" s="9"/>
      <c r="S169" s="369" t="str">
        <f>+IF(MARZO!S169=0,"",MARZO!S169)</f>
        <v/>
      </c>
      <c r="T169" s="708" t="str">
        <f>+IF(MARZO!T169=0,"",MARZO!T169)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+IF(MARZO!S170=0,"",MARZO!S170)</f>
        <v>3000000</v>
      </c>
      <c r="T170" s="697" t="str">
        <f>+IF(MARZO!T170=0,"",MARZO!T170)</f>
        <v>TRANSFERENCIAS CORRIENTES</v>
      </c>
      <c r="U170" s="473">
        <f t="shared" ref="U170:AJ170" si="157">U172+U176+U185</f>
        <v>60072284</v>
      </c>
      <c r="V170" s="474">
        <f t="shared" si="157"/>
        <v>0</v>
      </c>
      <c r="W170" s="474">
        <f t="shared" si="157"/>
        <v>14421810</v>
      </c>
      <c r="X170" s="475">
        <f t="shared" si="157"/>
        <v>74494094</v>
      </c>
      <c r="Y170" s="382">
        <f t="shared" si="157"/>
        <v>21878423</v>
      </c>
      <c r="Z170" s="474">
        <f t="shared" si="157"/>
        <v>3881183</v>
      </c>
      <c r="AA170" s="475">
        <f t="shared" si="157"/>
        <v>25759606</v>
      </c>
      <c r="AB170" s="382">
        <f t="shared" si="157"/>
        <v>21878423</v>
      </c>
      <c r="AC170" s="474">
        <f t="shared" si="157"/>
        <v>3881183</v>
      </c>
      <c r="AD170" s="475">
        <f t="shared" si="157"/>
        <v>25759606</v>
      </c>
      <c r="AE170" s="382">
        <f t="shared" si="157"/>
        <v>13998861</v>
      </c>
      <c r="AF170" s="474">
        <f t="shared" si="157"/>
        <v>5088060</v>
      </c>
      <c r="AG170" s="475">
        <f t="shared" si="157"/>
        <v>19086921</v>
      </c>
      <c r="AH170" s="382">
        <f t="shared" si="157"/>
        <v>48734488</v>
      </c>
      <c r="AI170" s="474">
        <f t="shared" si="157"/>
        <v>48734488</v>
      </c>
      <c r="AJ170" s="383">
        <f t="shared" si="157"/>
        <v>55407173</v>
      </c>
      <c r="AK170" s="9"/>
      <c r="AL170" s="131">
        <f>AL172+AL176+AL185</f>
        <v>0</v>
      </c>
      <c r="AM170" s="133">
        <f>AM172+AM176+AM185</f>
        <v>0</v>
      </c>
      <c r="AN170" s="9"/>
    </row>
    <row r="171" spans="1:40" s="385" customFormat="1" ht="24.95" customHeight="1" x14ac:dyDescent="0.2">
      <c r="A171" s="767"/>
      <c r="B171" s="668"/>
      <c r="N171" s="9"/>
      <c r="P171" s="9"/>
      <c r="Q171" s="9"/>
      <c r="R171" s="9"/>
      <c r="S171" s="369" t="str">
        <f>+IF(MARZO!S171=0,"",MARZO!S171)</f>
        <v/>
      </c>
      <c r="T171" s="708" t="str">
        <f>+IF(MARZO!T171=0,"",MARZO!T171)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+IF(MARZO!S172=0,"",MARZO!S172)</f>
        <v>3100000</v>
      </c>
      <c r="T172" s="692" t="str">
        <f>+IF(MARZO!T172=0,"",MARZO!T172)</f>
        <v>Transferencias al Sector Público</v>
      </c>
      <c r="U172" s="135">
        <f t="shared" ref="U172:AJ172" si="158">SUM(U173:U174)</f>
        <v>5285000</v>
      </c>
      <c r="V172" s="124">
        <f t="shared" si="158"/>
        <v>0</v>
      </c>
      <c r="W172" s="124">
        <f t="shared" si="158"/>
        <v>243136</v>
      </c>
      <c r="X172" s="132">
        <f t="shared" si="158"/>
        <v>5528136</v>
      </c>
      <c r="Y172" s="131">
        <f t="shared" si="158"/>
        <v>243136</v>
      </c>
      <c r="Z172" s="124">
        <f t="shared" si="158"/>
        <v>1294128</v>
      </c>
      <c r="AA172" s="132">
        <f t="shared" si="158"/>
        <v>1537264</v>
      </c>
      <c r="AB172" s="131">
        <f t="shared" si="158"/>
        <v>243136</v>
      </c>
      <c r="AC172" s="124">
        <f t="shared" si="158"/>
        <v>1294128</v>
      </c>
      <c r="AD172" s="132">
        <f t="shared" si="158"/>
        <v>1537264</v>
      </c>
      <c r="AE172" s="131">
        <f t="shared" si="158"/>
        <v>243136</v>
      </c>
      <c r="AF172" s="124">
        <f t="shared" si="158"/>
        <v>0</v>
      </c>
      <c r="AG172" s="132">
        <f t="shared" si="158"/>
        <v>243136</v>
      </c>
      <c r="AH172" s="131">
        <f t="shared" si="158"/>
        <v>3990872</v>
      </c>
      <c r="AI172" s="124">
        <f t="shared" si="158"/>
        <v>3990872</v>
      </c>
      <c r="AJ172" s="133">
        <f t="shared" si="158"/>
        <v>5285000</v>
      </c>
      <c r="AK172" s="9"/>
      <c r="AL172" s="131">
        <f>SUM(AL173:AL174)</f>
        <v>0</v>
      </c>
      <c r="AM172" s="133">
        <f>SUM(AM173:AM174)</f>
        <v>0</v>
      </c>
      <c r="AN172" s="9"/>
    </row>
    <row r="173" spans="1:40" s="385" customFormat="1" ht="24.95" customHeight="1" x14ac:dyDescent="0.2">
      <c r="A173" s="767"/>
      <c r="B173" s="668"/>
      <c r="N173" s="9"/>
      <c r="P173" s="9"/>
      <c r="Q173" s="9"/>
      <c r="R173" s="9"/>
      <c r="S173" s="719">
        <f>+IF(MARZO!S173=0,"",MARZO!S173)</f>
        <v>3100003</v>
      </c>
      <c r="T173" s="693" t="str">
        <f>+IF(MARZO!T173=0,"",MARZO!T173)</f>
        <v>Entidades Públicas (Contraloria, Supersalud,…)</v>
      </c>
      <c r="U173" s="27">
        <f>+ENERO!U173</f>
        <v>5285000</v>
      </c>
      <c r="V173" s="15">
        <f>MARZO!V173+ABRIL!AL173</f>
        <v>0</v>
      </c>
      <c r="W173" s="15">
        <f>MARZO!W173+ABRIL!AM173</f>
        <v>0</v>
      </c>
      <c r="X173" s="18">
        <f>SUM(U173:W173)</f>
        <v>5285000</v>
      </c>
      <c r="Y173" s="19">
        <f>MARZO!AA173</f>
        <v>0</v>
      </c>
      <c r="Z173" s="377">
        <v>1294128</v>
      </c>
      <c r="AA173" s="18">
        <f>SUM(Y173:Z173)</f>
        <v>1294128</v>
      </c>
      <c r="AB173" s="19">
        <f>MARZO!AD173</f>
        <v>0</v>
      </c>
      <c r="AC173" s="377">
        <v>1294128</v>
      </c>
      <c r="AD173" s="18">
        <f>SUM(AB173:AC173)</f>
        <v>1294128</v>
      </c>
      <c r="AE173" s="19">
        <f>MARZO!AG173</f>
        <v>0</v>
      </c>
      <c r="AF173" s="377">
        <v>0</v>
      </c>
      <c r="AG173" s="18">
        <f>SUM(AE173:AF173)</f>
        <v>0</v>
      </c>
      <c r="AH173" s="19">
        <f>X173-AA173</f>
        <v>3990872</v>
      </c>
      <c r="AI173" s="15">
        <f>X173-AD173</f>
        <v>3990872</v>
      </c>
      <c r="AJ173" s="16">
        <f>X173-AG173</f>
        <v>5285000</v>
      </c>
      <c r="AK173" s="9"/>
      <c r="AL173" s="375">
        <v>0</v>
      </c>
      <c r="AM173" s="378">
        <v>0</v>
      </c>
      <c r="AN173" s="9"/>
    </row>
    <row r="174" spans="1:40" s="385" customFormat="1" ht="24.95" customHeight="1" x14ac:dyDescent="0.2">
      <c r="A174" s="767"/>
      <c r="B174" s="668"/>
      <c r="N174" s="9"/>
      <c r="P174" s="9"/>
      <c r="Q174" s="9"/>
      <c r="R174" s="9"/>
      <c r="S174" s="719">
        <f>+IF(MARZO!S174=0,"",MARZO!S174)</f>
        <v>3199999</v>
      </c>
      <c r="T174" s="693" t="str">
        <f>+IF(MARZO!T174=0,"",MARZO!T174)</f>
        <v>Vigencias Anteriores</v>
      </c>
      <c r="U174" s="27">
        <f>+ENERO!U174</f>
        <v>0</v>
      </c>
      <c r="V174" s="15">
        <f>MARZO!V174+ABRIL!AL174</f>
        <v>0</v>
      </c>
      <c r="W174" s="15">
        <f>MARZO!W174+ABRIL!AM174</f>
        <v>243136</v>
      </c>
      <c r="X174" s="18">
        <f>SUM(U174:W174)</f>
        <v>243136</v>
      </c>
      <c r="Y174" s="19">
        <f>MARZO!AA174</f>
        <v>243136</v>
      </c>
      <c r="Z174" s="377">
        <v>0</v>
      </c>
      <c r="AA174" s="18">
        <f>SUM(Y174:Z174)</f>
        <v>243136</v>
      </c>
      <c r="AB174" s="19">
        <f>MARZO!AD174</f>
        <v>243136</v>
      </c>
      <c r="AC174" s="377">
        <v>0</v>
      </c>
      <c r="AD174" s="18">
        <f>SUM(AB174:AC174)</f>
        <v>243136</v>
      </c>
      <c r="AE174" s="19">
        <f>MARZO!AG174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+IF(MARZO!S175=0,"",MARZO!S175)</f>
        <v/>
      </c>
      <c r="T175" s="708" t="str">
        <f>+IF(MARZO!T175=0,"",MARZO!T175)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+IF(MARZO!S176=0,"",MARZO!S176)</f>
        <v>320000</v>
      </c>
      <c r="T176" s="692" t="str">
        <f>+IF(MARZO!T176=0,"",MARZO!T176)</f>
        <v>Transf. Previsión y Seguridad Social</v>
      </c>
      <c r="U176" s="135">
        <f t="shared" ref="U176:AJ176" si="159">SUM(U177:U183)</f>
        <v>51170820</v>
      </c>
      <c r="V176" s="124">
        <f t="shared" si="159"/>
        <v>0</v>
      </c>
      <c r="W176" s="124">
        <f t="shared" si="159"/>
        <v>8290292</v>
      </c>
      <c r="X176" s="132">
        <f t="shared" si="159"/>
        <v>59461112</v>
      </c>
      <c r="Y176" s="131">
        <f t="shared" si="159"/>
        <v>15923474</v>
      </c>
      <c r="Z176" s="124">
        <f t="shared" si="159"/>
        <v>2544030</v>
      </c>
      <c r="AA176" s="132">
        <f t="shared" si="159"/>
        <v>18467504</v>
      </c>
      <c r="AB176" s="131">
        <f t="shared" si="159"/>
        <v>15923474</v>
      </c>
      <c r="AC176" s="124">
        <f t="shared" si="159"/>
        <v>2544030</v>
      </c>
      <c r="AD176" s="132">
        <f t="shared" si="159"/>
        <v>18467504</v>
      </c>
      <c r="AE176" s="131">
        <f t="shared" si="159"/>
        <v>13367343</v>
      </c>
      <c r="AF176" s="124">
        <f t="shared" si="159"/>
        <v>5088060</v>
      </c>
      <c r="AG176" s="132">
        <f t="shared" si="159"/>
        <v>18455403</v>
      </c>
      <c r="AH176" s="131">
        <f t="shared" si="159"/>
        <v>40993608</v>
      </c>
      <c r="AI176" s="124">
        <f t="shared" si="159"/>
        <v>40993608</v>
      </c>
      <c r="AJ176" s="133">
        <f t="shared" si="159"/>
        <v>41005709</v>
      </c>
      <c r="AK176" s="9"/>
      <c r="AL176" s="131">
        <f>SUM(AL177:AL183)</f>
        <v>0</v>
      </c>
      <c r="AM176" s="133">
        <f>SUM(AM177:AM183)</f>
        <v>0</v>
      </c>
      <c r="AN176" s="9"/>
    </row>
    <row r="177" spans="1:40" s="385" customFormat="1" ht="24.95" customHeight="1" x14ac:dyDescent="0.2">
      <c r="A177" s="767"/>
      <c r="B177" s="668"/>
      <c r="N177" s="9"/>
      <c r="P177" s="9"/>
      <c r="Q177" s="9"/>
      <c r="R177" s="9"/>
      <c r="S177" s="719">
        <f>+IF(MARZO!S177=0,"",MARZO!S177)</f>
        <v>3200100</v>
      </c>
      <c r="T177" s="693" t="str">
        <f>+IF(MARZO!T177=0,"",MARZO!T177)</f>
        <v>Pensiones y Jubilaciones (Pago Directo)</v>
      </c>
      <c r="U177" s="27">
        <f>+ENERO!U177</f>
        <v>39279816</v>
      </c>
      <c r="V177" s="15">
        <f>MARZO!V177+ABRIL!AL177</f>
        <v>0</v>
      </c>
      <c r="W177" s="15">
        <f>MARZO!W177+ABRIL!AM177</f>
        <v>0</v>
      </c>
      <c r="X177" s="18">
        <f t="shared" ref="X177:X183" si="160">SUM(U177:W177)</f>
        <v>39279816</v>
      </c>
      <c r="Y177" s="19">
        <f>MARZO!AA177</f>
        <v>7633182</v>
      </c>
      <c r="Z177" s="377">
        <v>2544030</v>
      </c>
      <c r="AA177" s="18">
        <f t="shared" ref="AA177:AA183" si="161">SUM(Y177:Z177)</f>
        <v>10177212</v>
      </c>
      <c r="AB177" s="19">
        <f>MARZO!AD177</f>
        <v>7633182</v>
      </c>
      <c r="AC177" s="377">
        <v>2544030</v>
      </c>
      <c r="AD177" s="18">
        <f t="shared" ref="AD177:AD183" si="162">SUM(AB177:AC177)</f>
        <v>10177212</v>
      </c>
      <c r="AE177" s="19">
        <f>MARZO!AG177</f>
        <v>5089152</v>
      </c>
      <c r="AF177" s="377">
        <v>5088060</v>
      </c>
      <c r="AG177" s="18">
        <f t="shared" ref="AG177:AG183" si="163">SUM(AE177:AF177)</f>
        <v>10177212</v>
      </c>
      <c r="AH177" s="19">
        <f t="shared" ref="AH177:AH183" si="164">X177-AA177</f>
        <v>29102604</v>
      </c>
      <c r="AI177" s="15">
        <f t="shared" ref="AI177:AI183" si="165">X177-AD177</f>
        <v>29102604</v>
      </c>
      <c r="AJ177" s="16">
        <f t="shared" ref="AJ177:AJ183" si="166">X177-AG177</f>
        <v>29102604</v>
      </c>
      <c r="AK177" s="9"/>
      <c r="AL177" s="375">
        <v>0</v>
      </c>
      <c r="AM177" s="378">
        <v>0</v>
      </c>
      <c r="AN177" s="9"/>
    </row>
    <row r="178" spans="1:40" s="385" customFormat="1" ht="24.95" customHeight="1" x14ac:dyDescent="0.2">
      <c r="A178" s="767"/>
      <c r="B178" s="668"/>
      <c r="N178" s="9"/>
      <c r="P178" s="9"/>
      <c r="Q178" s="9"/>
      <c r="R178" s="9"/>
      <c r="S178" s="719">
        <f>+IF(MARZO!S178=0,"",MARZO!S178)</f>
        <v>3200200</v>
      </c>
      <c r="T178" s="693" t="str">
        <f>+IF(MARZO!T178=0,"",MARZO!T178)</f>
        <v>Cesantías Pago Directo (Pago Directo)</v>
      </c>
      <c r="U178" s="27">
        <f>+ENERO!U178</f>
        <v>11891004</v>
      </c>
      <c r="V178" s="15">
        <f>MARZO!V178+ABRIL!AL178</f>
        <v>0</v>
      </c>
      <c r="W178" s="15">
        <f>MARZO!W178+ABRIL!AM178</f>
        <v>0</v>
      </c>
      <c r="X178" s="18">
        <f t="shared" si="160"/>
        <v>11891004</v>
      </c>
      <c r="Y178" s="19">
        <f>MARZO!AA178</f>
        <v>0</v>
      </c>
      <c r="Z178" s="377">
        <v>0</v>
      </c>
      <c r="AA178" s="18">
        <f t="shared" si="161"/>
        <v>0</v>
      </c>
      <c r="AB178" s="19">
        <f>MARZO!AD178</f>
        <v>0</v>
      </c>
      <c r="AC178" s="377">
        <v>0</v>
      </c>
      <c r="AD178" s="18">
        <f t="shared" si="162"/>
        <v>0</v>
      </c>
      <c r="AE178" s="19">
        <f>MARZO!AG178</f>
        <v>0</v>
      </c>
      <c r="AF178" s="377">
        <v>0</v>
      </c>
      <c r="AG178" s="18">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+IF(MARZO!S179=0,"",MARZO!S179)</f>
        <v>3200300</v>
      </c>
      <c r="T179" s="693" t="str">
        <f>+IF(MARZO!T179=0,"",MARZO!T179)</f>
        <v>Bonos, Cuotas de Bonos y cuotas partes jubilatorias</v>
      </c>
      <c r="U179" s="27">
        <f>+ENERO!U179</f>
        <v>0</v>
      </c>
      <c r="V179" s="15">
        <f>MARZO!V179+ABRIL!AL179</f>
        <v>0</v>
      </c>
      <c r="W179" s="15">
        <f>MARZO!W179+ABRIL!AM179</f>
        <v>0</v>
      </c>
      <c r="X179" s="18">
        <f t="shared" si="160"/>
        <v>0</v>
      </c>
      <c r="Y179" s="19">
        <f>MARZO!AA179</f>
        <v>0</v>
      </c>
      <c r="Z179" s="377">
        <v>0</v>
      </c>
      <c r="AA179" s="18">
        <f t="shared" si="161"/>
        <v>0</v>
      </c>
      <c r="AB179" s="19">
        <f>MARZO!AD179</f>
        <v>0</v>
      </c>
      <c r="AC179" s="377">
        <v>0</v>
      </c>
      <c r="AD179" s="18">
        <f t="shared" si="162"/>
        <v>0</v>
      </c>
      <c r="AE179" s="19">
        <f>MARZO!AG179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+IF(MARZO!S180=0,"",MARZO!S180)</f>
        <v>3200400</v>
      </c>
      <c r="T180" s="693" t="str">
        <f>+IF(MARZO!T180=0,"",MARZO!T180)</f>
        <v>Intereses a las cesantias</v>
      </c>
      <c r="U180" s="27">
        <f>+ENERO!U180</f>
        <v>0</v>
      </c>
      <c r="V180" s="15">
        <f>MARZO!V180+ABRIL!AL180</f>
        <v>0</v>
      </c>
      <c r="W180" s="15">
        <f>MARZO!W180+ABRIL!AM180</f>
        <v>0</v>
      </c>
      <c r="X180" s="18">
        <f t="shared" si="160"/>
        <v>0</v>
      </c>
      <c r="Y180" s="19">
        <f>MARZO!AA180</f>
        <v>0</v>
      </c>
      <c r="Z180" s="377">
        <v>0</v>
      </c>
      <c r="AA180" s="18">
        <f t="shared" si="161"/>
        <v>0</v>
      </c>
      <c r="AB180" s="19">
        <f>MARZO!AD180</f>
        <v>0</v>
      </c>
      <c r="AC180" s="377">
        <v>0</v>
      </c>
      <c r="AD180" s="18">
        <f t="shared" si="162"/>
        <v>0</v>
      </c>
      <c r="AE180" s="19">
        <f>MARZO!AG180</f>
        <v>0</v>
      </c>
      <c r="AF180" s="377">
        <v>0</v>
      </c>
      <c r="AG180" s="18">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+IF(MARZO!S181=0,"",MARZO!S181)</f>
        <v/>
      </c>
      <c r="T181" s="693" t="str">
        <f>+IF(MARZO!T181=0,"",MARZO!T181)</f>
        <v/>
      </c>
      <c r="U181" s="27">
        <f>+ENERO!U181</f>
        <v>0</v>
      </c>
      <c r="V181" s="15">
        <f>MARZO!V181+ABRIL!AL181</f>
        <v>0</v>
      </c>
      <c r="W181" s="15">
        <f>MARZO!W181+ABRIL!AM181</f>
        <v>0</v>
      </c>
      <c r="X181" s="18">
        <f t="shared" si="160"/>
        <v>0</v>
      </c>
      <c r="Y181" s="19">
        <f>MARZO!AA181</f>
        <v>0</v>
      </c>
      <c r="Z181" s="377">
        <v>0</v>
      </c>
      <c r="AA181" s="18">
        <f t="shared" si="161"/>
        <v>0</v>
      </c>
      <c r="AB181" s="19">
        <f>MARZO!AD181</f>
        <v>0</v>
      </c>
      <c r="AC181" s="377">
        <v>0</v>
      </c>
      <c r="AD181" s="18">
        <f t="shared" si="162"/>
        <v>0</v>
      </c>
      <c r="AE181" s="19">
        <f>MARZO!AG181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+IF(MARZO!S182=0,"",MARZO!S182)</f>
        <v/>
      </c>
      <c r="T182" s="693" t="str">
        <f>+IF(MARZO!T182=0,"",MARZO!T182)</f>
        <v/>
      </c>
      <c r="U182" s="27">
        <f>+ENERO!U182</f>
        <v>0</v>
      </c>
      <c r="V182" s="15">
        <f>MARZO!V182+ABRIL!AL182</f>
        <v>0</v>
      </c>
      <c r="W182" s="15">
        <f>MARZO!W182+ABRIL!AM182</f>
        <v>0</v>
      </c>
      <c r="X182" s="18">
        <f t="shared" si="160"/>
        <v>0</v>
      </c>
      <c r="Y182" s="19">
        <f>MARZO!AA182</f>
        <v>0</v>
      </c>
      <c r="Z182" s="377">
        <v>0</v>
      </c>
      <c r="AA182" s="18">
        <f t="shared" si="161"/>
        <v>0</v>
      </c>
      <c r="AB182" s="19">
        <f>MARZO!AD182</f>
        <v>0</v>
      </c>
      <c r="AC182" s="377">
        <v>0</v>
      </c>
      <c r="AD182" s="18">
        <f t="shared" si="162"/>
        <v>0</v>
      </c>
      <c r="AE182" s="19">
        <f>MARZO!AG182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+IF(MARZO!S183=0,"",MARZO!S183)</f>
        <v>3299999</v>
      </c>
      <c r="T183" s="693" t="str">
        <f>+IF(MARZO!T183=0,"",MARZO!T183)</f>
        <v>Vigencias Anteriores</v>
      </c>
      <c r="U183" s="27">
        <f>+ENERO!U183</f>
        <v>0</v>
      </c>
      <c r="V183" s="15">
        <f>MARZO!V183+ABRIL!AL183</f>
        <v>0</v>
      </c>
      <c r="W183" s="15">
        <f>MARZO!W183+ABRIL!AM183</f>
        <v>8290292</v>
      </c>
      <c r="X183" s="18">
        <f t="shared" si="160"/>
        <v>8290292</v>
      </c>
      <c r="Y183" s="19">
        <f>MARZO!AA183</f>
        <v>8290292</v>
      </c>
      <c r="Z183" s="377">
        <v>0</v>
      </c>
      <c r="AA183" s="18">
        <f t="shared" si="161"/>
        <v>8290292</v>
      </c>
      <c r="AB183" s="19">
        <f>MARZO!AD183</f>
        <v>8290292</v>
      </c>
      <c r="AC183" s="377">
        <v>0</v>
      </c>
      <c r="AD183" s="18">
        <f t="shared" si="162"/>
        <v>8290292</v>
      </c>
      <c r="AE183" s="19">
        <f>MARZO!AG183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+IF(MARZO!S184=0,"",MARZO!S184)</f>
        <v/>
      </c>
      <c r="T184" s="708" t="str">
        <f>+IF(MARZO!T184=0,"",MARZO!T184)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+IF(MARZO!S185=0,"",MARZO!S185)</f>
        <v>3300000</v>
      </c>
      <c r="T185" s="692" t="str">
        <f>+IF(MARZO!T185=0,"",MARZO!T185)</f>
        <v>Otras Transferencias</v>
      </c>
      <c r="U185" s="135">
        <f t="shared" ref="U185:AJ185" si="167">U186+U187+U191</f>
        <v>3616464</v>
      </c>
      <c r="V185" s="124">
        <f t="shared" si="167"/>
        <v>0</v>
      </c>
      <c r="W185" s="124">
        <f t="shared" si="167"/>
        <v>5888382</v>
      </c>
      <c r="X185" s="132">
        <f t="shared" si="167"/>
        <v>9504846</v>
      </c>
      <c r="Y185" s="131">
        <f t="shared" si="167"/>
        <v>5711813</v>
      </c>
      <c r="Z185" s="124">
        <f t="shared" si="167"/>
        <v>43025</v>
      </c>
      <c r="AA185" s="132">
        <f t="shared" si="167"/>
        <v>5754838</v>
      </c>
      <c r="AB185" s="131">
        <f t="shared" si="167"/>
        <v>5711813</v>
      </c>
      <c r="AC185" s="124">
        <f t="shared" si="167"/>
        <v>43025</v>
      </c>
      <c r="AD185" s="132">
        <f t="shared" si="167"/>
        <v>5754838</v>
      </c>
      <c r="AE185" s="131">
        <f t="shared" si="167"/>
        <v>388382</v>
      </c>
      <c r="AF185" s="124">
        <f t="shared" si="167"/>
        <v>0</v>
      </c>
      <c r="AG185" s="132">
        <f t="shared" si="167"/>
        <v>388382</v>
      </c>
      <c r="AH185" s="131">
        <f t="shared" si="167"/>
        <v>3750008</v>
      </c>
      <c r="AI185" s="124">
        <f t="shared" si="167"/>
        <v>3750008</v>
      </c>
      <c r="AJ185" s="133">
        <f t="shared" si="167"/>
        <v>9116464</v>
      </c>
      <c r="AK185" s="9"/>
      <c r="AL185" s="131">
        <f>AL186+AL187+AL191</f>
        <v>0</v>
      </c>
      <c r="AM185" s="133">
        <f>AM186+AM187+AM191</f>
        <v>0</v>
      </c>
      <c r="AN185" s="9"/>
    </row>
    <row r="186" spans="1:40" s="385" customFormat="1" ht="24.95" customHeight="1" x14ac:dyDescent="0.2">
      <c r="A186" s="767"/>
      <c r="B186" s="668"/>
      <c r="N186" s="9"/>
      <c r="P186" s="9"/>
      <c r="Q186" s="9"/>
      <c r="R186" s="9"/>
      <c r="S186" s="719">
        <f>+IF(MARZO!S186=0,"",MARZO!S186)</f>
        <v>3300100</v>
      </c>
      <c r="T186" s="693" t="str">
        <f>+IF(MARZO!T186=0,"",MARZO!T186)</f>
        <v>Sentencias y Conciliaciones</v>
      </c>
      <c r="U186" s="27">
        <f>+ENERO!U186</f>
        <v>0</v>
      </c>
      <c r="V186" s="15">
        <f>MARZO!V186+ABRIL!AL186</f>
        <v>0</v>
      </c>
      <c r="W186" s="15">
        <f>MARZO!W186+ABRIL!AM186</f>
        <v>0</v>
      </c>
      <c r="X186" s="18">
        <f>SUM(U186:W186)</f>
        <v>0</v>
      </c>
      <c r="Y186" s="19">
        <f>MARZO!AA186</f>
        <v>0</v>
      </c>
      <c r="Z186" s="377">
        <v>0</v>
      </c>
      <c r="AA186" s="18">
        <f>SUM(Y186:Z186)</f>
        <v>0</v>
      </c>
      <c r="AB186" s="19">
        <f>MARZO!AD186</f>
        <v>0</v>
      </c>
      <c r="AC186" s="377">
        <v>0</v>
      </c>
      <c r="AD186" s="18">
        <f>SUM(AB186:AC186)</f>
        <v>0</v>
      </c>
      <c r="AE186" s="19">
        <f>MARZO!AG186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+IF(MARZO!S187=0,"",MARZO!S187)</f>
        <v>3300200</v>
      </c>
      <c r="T187" s="693" t="str">
        <f>+IF(MARZO!T187=0,"",MARZO!T187)</f>
        <v>Destinatarios de otras transferencias</v>
      </c>
      <c r="U187" s="27">
        <f t="shared" ref="U187:AM187" si="168">SUM(U188:U190)</f>
        <v>3616464</v>
      </c>
      <c r="V187" s="15">
        <f t="shared" si="168"/>
        <v>0</v>
      </c>
      <c r="W187" s="15">
        <f t="shared" si="168"/>
        <v>5500000</v>
      </c>
      <c r="X187" s="18">
        <f t="shared" si="168"/>
        <v>9116464</v>
      </c>
      <c r="Y187" s="19">
        <f t="shared" si="168"/>
        <v>5323431</v>
      </c>
      <c r="Z187" s="145">
        <f t="shared" si="168"/>
        <v>43025</v>
      </c>
      <c r="AA187" s="18">
        <f t="shared" si="168"/>
        <v>5366456</v>
      </c>
      <c r="AB187" s="19">
        <f t="shared" si="168"/>
        <v>5323431</v>
      </c>
      <c r="AC187" s="145">
        <f t="shared" si="168"/>
        <v>43025</v>
      </c>
      <c r="AD187" s="18">
        <f t="shared" si="168"/>
        <v>5366456</v>
      </c>
      <c r="AE187" s="19">
        <f t="shared" si="168"/>
        <v>0</v>
      </c>
      <c r="AF187" s="145">
        <f t="shared" si="168"/>
        <v>0</v>
      </c>
      <c r="AG187" s="18">
        <f t="shared" si="168"/>
        <v>0</v>
      </c>
      <c r="AH187" s="19">
        <f t="shared" si="168"/>
        <v>3750008</v>
      </c>
      <c r="AI187" s="15">
        <f t="shared" si="168"/>
        <v>3750008</v>
      </c>
      <c r="AJ187" s="16">
        <f t="shared" si="168"/>
        <v>9116464</v>
      </c>
      <c r="AK187" s="9"/>
      <c r="AL187" s="16">
        <f t="shared" si="168"/>
        <v>0</v>
      </c>
      <c r="AM187" s="16">
        <f t="shared" si="168"/>
        <v>0</v>
      </c>
      <c r="AN187" s="9"/>
    </row>
    <row r="188" spans="1:40" s="385" customFormat="1" ht="24.95" customHeight="1" x14ac:dyDescent="0.2">
      <c r="A188" s="767"/>
      <c r="B188" s="669"/>
      <c r="N188" s="9"/>
      <c r="P188" s="9"/>
      <c r="Q188" s="9"/>
      <c r="R188" s="9"/>
      <c r="S188" s="720" t="str">
        <f>+IF(MARZO!S188=0,"",MARZO!S188)</f>
        <v>3300200-1</v>
      </c>
      <c r="T188" s="693" t="str">
        <f>+IF(MARZO!T188=0,"",MARZO!T188)</f>
        <v>COHAN</v>
      </c>
      <c r="U188" s="27">
        <f>+ENERO!U188</f>
        <v>793940</v>
      </c>
      <c r="V188" s="15">
        <f>MARZO!V188+ABRIL!AL188</f>
        <v>0</v>
      </c>
      <c r="W188" s="15">
        <f>MARZO!W188+ABRIL!AM188</f>
        <v>5500000</v>
      </c>
      <c r="X188" s="18">
        <f>SUM(U188:W188)</f>
        <v>6293940</v>
      </c>
      <c r="Y188" s="19">
        <f>MARZO!AA188</f>
        <v>2746031</v>
      </c>
      <c r="Z188" s="377">
        <v>43025</v>
      </c>
      <c r="AA188" s="18">
        <f>SUM(Y188:Z188)</f>
        <v>2789056</v>
      </c>
      <c r="AB188" s="19">
        <f>MARZO!AD188</f>
        <v>2746031</v>
      </c>
      <c r="AC188" s="377">
        <v>43025</v>
      </c>
      <c r="AD188" s="18">
        <f>SUM(AB188:AC188)</f>
        <v>2789056</v>
      </c>
      <c r="AE188" s="19">
        <f>MARZO!AG188</f>
        <v>0</v>
      </c>
      <c r="AF188" s="377">
        <v>0</v>
      </c>
      <c r="AG188" s="18">
        <f>SUM(AE188:AF188)</f>
        <v>0</v>
      </c>
      <c r="AH188" s="19">
        <f>X188-AA188</f>
        <v>3504884</v>
      </c>
      <c r="AI188" s="15">
        <f>X188-AD188</f>
        <v>3504884</v>
      </c>
      <c r="AJ188" s="16">
        <f>X188-AG188</f>
        <v>6293940</v>
      </c>
      <c r="AK188" s="9"/>
      <c r="AL188" s="375">
        <v>0</v>
      </c>
      <c r="AM188" s="378">
        <v>0</v>
      </c>
      <c r="AN188" s="9"/>
    </row>
    <row r="189" spans="1:40" s="385" customFormat="1" ht="24.95" customHeight="1" x14ac:dyDescent="0.2">
      <c r="A189" s="767"/>
      <c r="B189" s="669"/>
      <c r="N189" s="9"/>
      <c r="P189" s="9"/>
      <c r="Q189" s="9"/>
      <c r="R189" s="9"/>
      <c r="S189" s="720" t="str">
        <f>+IF(MARZO!S189=0,"",MARZO!S189)</f>
        <v>3300200-2</v>
      </c>
      <c r="T189" s="693" t="str">
        <f>+IF(MARZO!T189=0,"",MARZO!T189)</f>
        <v>AESA</v>
      </c>
      <c r="U189" s="27">
        <f>+ENERO!U189</f>
        <v>2822524</v>
      </c>
      <c r="V189" s="15">
        <f>MARZO!V189+ABRIL!AL189</f>
        <v>0</v>
      </c>
      <c r="W189" s="15">
        <f>MARZO!W189+ABRIL!AM189</f>
        <v>0</v>
      </c>
      <c r="X189" s="18">
        <f>SUM(U189:W189)</f>
        <v>2822524</v>
      </c>
      <c r="Y189" s="19">
        <f>MARZO!AA189</f>
        <v>2577400</v>
      </c>
      <c r="Z189" s="377">
        <v>0</v>
      </c>
      <c r="AA189" s="18">
        <f>SUM(Y189:Z189)</f>
        <v>2577400</v>
      </c>
      <c r="AB189" s="19">
        <f>MARZO!AD189</f>
        <v>2577400</v>
      </c>
      <c r="AC189" s="377">
        <v>0</v>
      </c>
      <c r="AD189" s="18">
        <f>SUM(AB189:AC189)</f>
        <v>2577400</v>
      </c>
      <c r="AE189" s="19">
        <f>MARZO!AG189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+IF(MARZO!S190=0,"",MARZO!S190)</f>
        <v>3300200-3</v>
      </c>
      <c r="T190" s="693" t="str">
        <f>+IF(MARZO!T190=0,"",MARZO!T190)</f>
        <v xml:space="preserve">OTRAS </v>
      </c>
      <c r="U190" s="27">
        <f>+ENERO!U190</f>
        <v>0</v>
      </c>
      <c r="V190" s="15">
        <f>MARZO!V190+ABRIL!AL190</f>
        <v>0</v>
      </c>
      <c r="W190" s="15">
        <f>MARZO!W190+ABRIL!AM190</f>
        <v>0</v>
      </c>
      <c r="X190" s="18">
        <f>SUM(U190:W190)</f>
        <v>0</v>
      </c>
      <c r="Y190" s="19">
        <f>MARZO!AA190</f>
        <v>0</v>
      </c>
      <c r="Z190" s="377">
        <v>0</v>
      </c>
      <c r="AA190" s="18">
        <f>SUM(Y190:Z190)</f>
        <v>0</v>
      </c>
      <c r="AB190" s="19">
        <f>MARZO!AD190</f>
        <v>0</v>
      </c>
      <c r="AC190" s="377">
        <v>0</v>
      </c>
      <c r="AD190" s="18">
        <f>SUM(AB190:AC190)</f>
        <v>0</v>
      </c>
      <c r="AE190" s="19">
        <f>MARZO!AG190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+IF(MARZO!S191=0,"",MARZO!S191)</f>
        <v>3399999</v>
      </c>
      <c r="T191" s="693" t="str">
        <f>+IF(MARZO!T191=0,"",MARZO!T191)</f>
        <v>Vigencias Anteriores</v>
      </c>
      <c r="U191" s="27">
        <f>+ENERO!U191</f>
        <v>0</v>
      </c>
      <c r="V191" s="15">
        <f>MARZO!V191+ABRIL!AL191</f>
        <v>0</v>
      </c>
      <c r="W191" s="15">
        <f>MARZO!W191+ABRIL!AM191</f>
        <v>388382</v>
      </c>
      <c r="X191" s="18">
        <f>SUM(U191:W191)</f>
        <v>388382</v>
      </c>
      <c r="Y191" s="19">
        <f>MARZO!AA191</f>
        <v>388382</v>
      </c>
      <c r="Z191" s="377">
        <v>0</v>
      </c>
      <c r="AA191" s="18">
        <f>SUM(Y191:Z191)</f>
        <v>388382</v>
      </c>
      <c r="AB191" s="19">
        <f>MARZO!AD191</f>
        <v>388382</v>
      </c>
      <c r="AC191" s="377">
        <v>0</v>
      </c>
      <c r="AD191" s="18">
        <f>SUM(AB191:AC191)</f>
        <v>388382</v>
      </c>
      <c r="AE191" s="19">
        <f>MARZO!AG191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+IF(MARZO!S192=0,"",MARZO!S192)</f>
        <v/>
      </c>
      <c r="T192" s="708" t="str">
        <f>+IF(MARZO!T192=0,"",MARZO!T192)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+IF(MARZO!S193=0,"",MARZO!S193)</f>
        <v>4000000</v>
      </c>
      <c r="T193" s="697" t="str">
        <f>+IF(MARZO!T193=0,"",MARZO!T193)</f>
        <v>GASTOS  DE PRESTACION DE SERVICIOS</v>
      </c>
      <c r="U193" s="473">
        <f t="shared" ref="U193:AJ193" si="169">U194</f>
        <v>272529328</v>
      </c>
      <c r="V193" s="474">
        <f t="shared" si="169"/>
        <v>0</v>
      </c>
      <c r="W193" s="474">
        <f t="shared" si="169"/>
        <v>135118812</v>
      </c>
      <c r="X193" s="475">
        <f t="shared" si="169"/>
        <v>407648140</v>
      </c>
      <c r="Y193" s="382">
        <f t="shared" si="169"/>
        <v>197620016</v>
      </c>
      <c r="Z193" s="474">
        <f t="shared" si="169"/>
        <v>23389203</v>
      </c>
      <c r="AA193" s="475">
        <f t="shared" si="169"/>
        <v>221009219</v>
      </c>
      <c r="AB193" s="382">
        <f t="shared" si="169"/>
        <v>173115033</v>
      </c>
      <c r="AC193" s="474">
        <f t="shared" si="169"/>
        <v>24457593</v>
      </c>
      <c r="AD193" s="475">
        <f t="shared" si="169"/>
        <v>197572626</v>
      </c>
      <c r="AE193" s="382">
        <f t="shared" si="169"/>
        <v>43384139</v>
      </c>
      <c r="AF193" s="474">
        <f t="shared" si="169"/>
        <v>27126870</v>
      </c>
      <c r="AG193" s="475">
        <f t="shared" si="169"/>
        <v>70511009</v>
      </c>
      <c r="AH193" s="382">
        <f t="shared" si="169"/>
        <v>186638921</v>
      </c>
      <c r="AI193" s="474">
        <f t="shared" si="169"/>
        <v>210075514</v>
      </c>
      <c r="AJ193" s="383">
        <f t="shared" si="169"/>
        <v>337137131</v>
      </c>
      <c r="AK193" s="9"/>
      <c r="AL193" s="131">
        <f>AL194</f>
        <v>0</v>
      </c>
      <c r="AM193" s="133">
        <f>AM194</f>
        <v>0</v>
      </c>
      <c r="AN193" s="9"/>
    </row>
    <row r="194" spans="1:40" s="385" customFormat="1" ht="24.95" customHeight="1" x14ac:dyDescent="0.2">
      <c r="A194" s="767"/>
      <c r="B194" s="669"/>
      <c r="N194" s="9"/>
      <c r="P194" s="9"/>
      <c r="Q194" s="9"/>
      <c r="R194" s="9"/>
      <c r="S194" s="718">
        <f>+IF(MARZO!S194=0,"",MARZO!S194)</f>
        <v>4100000</v>
      </c>
      <c r="T194" s="692" t="str">
        <f>+IF(MARZO!T194=0,"",MARZO!T194)</f>
        <v>Insumos y Suministros Hospitalarios</v>
      </c>
      <c r="U194" s="135">
        <f t="shared" ref="U194:AJ194" si="170">U195+U203+U205</f>
        <v>272529328</v>
      </c>
      <c r="V194" s="124">
        <f t="shared" si="170"/>
        <v>0</v>
      </c>
      <c r="W194" s="124">
        <f t="shared" si="170"/>
        <v>135118812</v>
      </c>
      <c r="X194" s="132">
        <f t="shared" si="170"/>
        <v>407648140</v>
      </c>
      <c r="Y194" s="131">
        <f t="shared" si="170"/>
        <v>197620016</v>
      </c>
      <c r="Z194" s="124">
        <f t="shared" si="170"/>
        <v>23389203</v>
      </c>
      <c r="AA194" s="132">
        <f t="shared" si="170"/>
        <v>221009219</v>
      </c>
      <c r="AB194" s="131">
        <f t="shared" si="170"/>
        <v>173115033</v>
      </c>
      <c r="AC194" s="124">
        <f t="shared" si="170"/>
        <v>24457593</v>
      </c>
      <c r="AD194" s="132">
        <f t="shared" si="170"/>
        <v>197572626</v>
      </c>
      <c r="AE194" s="131">
        <f t="shared" si="170"/>
        <v>43384139</v>
      </c>
      <c r="AF194" s="124">
        <f t="shared" si="170"/>
        <v>27126870</v>
      </c>
      <c r="AG194" s="132">
        <f t="shared" si="170"/>
        <v>70511009</v>
      </c>
      <c r="AH194" s="131">
        <f t="shared" si="170"/>
        <v>186638921</v>
      </c>
      <c r="AI194" s="124">
        <f t="shared" si="170"/>
        <v>210075514</v>
      </c>
      <c r="AJ194" s="133">
        <f t="shared" si="170"/>
        <v>337137131</v>
      </c>
      <c r="AK194" s="10"/>
      <c r="AL194" s="131">
        <f>AL195+AL203+AL205</f>
        <v>0</v>
      </c>
      <c r="AM194" s="133">
        <f>AM195+AM203+AM205</f>
        <v>0</v>
      </c>
      <c r="AN194" s="9"/>
    </row>
    <row r="195" spans="1:40" s="385" customFormat="1" ht="24.95" customHeight="1" x14ac:dyDescent="0.2">
      <c r="A195" s="767"/>
      <c r="B195" s="669"/>
      <c r="N195" s="9"/>
      <c r="P195" s="9"/>
      <c r="Q195" s="9"/>
      <c r="R195" s="9"/>
      <c r="S195" s="719">
        <f>+IF(MARZO!S195=0,"",MARZO!S195)</f>
        <v>4100100</v>
      </c>
      <c r="T195" s="693" t="str">
        <f>+IF(MARZO!T195=0,"",MARZO!T195)</f>
        <v>Compra de Bienes para la Prestacion de servicios</v>
      </c>
      <c r="U195" s="27">
        <f t="shared" ref="U195:AJ195" si="171">SUM(U196:U202)</f>
        <v>240561284</v>
      </c>
      <c r="V195" s="15">
        <f t="shared" si="171"/>
        <v>0</v>
      </c>
      <c r="W195" s="15">
        <f t="shared" si="171"/>
        <v>43282880</v>
      </c>
      <c r="X195" s="18">
        <f t="shared" si="171"/>
        <v>283844164</v>
      </c>
      <c r="Y195" s="19">
        <f t="shared" si="171"/>
        <v>97725984</v>
      </c>
      <c r="Z195" s="145">
        <f t="shared" si="171"/>
        <v>20035337</v>
      </c>
      <c r="AA195" s="18">
        <f t="shared" si="171"/>
        <v>117761321</v>
      </c>
      <c r="AB195" s="19">
        <f t="shared" si="171"/>
        <v>73221001</v>
      </c>
      <c r="AC195" s="145">
        <f t="shared" si="171"/>
        <v>21103727</v>
      </c>
      <c r="AD195" s="18">
        <f t="shared" si="171"/>
        <v>94324728</v>
      </c>
      <c r="AE195" s="19">
        <f t="shared" si="171"/>
        <v>3101578</v>
      </c>
      <c r="AF195" s="145">
        <f t="shared" si="171"/>
        <v>3364968</v>
      </c>
      <c r="AG195" s="18">
        <f t="shared" si="171"/>
        <v>6466546</v>
      </c>
      <c r="AH195" s="19">
        <f t="shared" si="171"/>
        <v>166082843</v>
      </c>
      <c r="AI195" s="15">
        <f t="shared" si="171"/>
        <v>189519436</v>
      </c>
      <c r="AJ195" s="16">
        <f t="shared" si="171"/>
        <v>277377618</v>
      </c>
      <c r="AK195" s="9"/>
      <c r="AL195" s="29">
        <f>SUM(AL196:AL202)</f>
        <v>0</v>
      </c>
      <c r="AM195" s="26">
        <f>SUM(AM196:AM202)</f>
        <v>0</v>
      </c>
      <c r="AN195" s="9"/>
    </row>
    <row r="196" spans="1:40" s="385" customFormat="1" ht="24.95" customHeight="1" x14ac:dyDescent="0.2">
      <c r="A196" s="767"/>
      <c r="B196" s="669"/>
      <c r="N196" s="9"/>
      <c r="P196" s="9"/>
      <c r="Q196" s="9"/>
      <c r="R196" s="9"/>
      <c r="S196" s="720" t="str">
        <f>+IF(MARZO!S196=0,"",MARZO!S196)</f>
        <v>4100100-1</v>
      </c>
      <c r="T196" s="694" t="str">
        <f>+IF(MARZO!T196=0,"",MARZO!T196)</f>
        <v>Productos Farmaceuticos</v>
      </c>
      <c r="U196" s="27">
        <f>+ENERO!U196</f>
        <v>145961721</v>
      </c>
      <c r="V196" s="15">
        <f>MARZO!V196+ABRIL!AL196</f>
        <v>0</v>
      </c>
      <c r="W196" s="15">
        <f>MARZO!W196+ABRIL!AM196</f>
        <v>41282880</v>
      </c>
      <c r="X196" s="18">
        <f t="shared" ref="X196:X202" si="172">SUM(U196:W196)</f>
        <v>187244601</v>
      </c>
      <c r="Y196" s="19">
        <f>MARZO!AA196</f>
        <v>70506898</v>
      </c>
      <c r="Z196" s="377">
        <v>11994419</v>
      </c>
      <c r="AA196" s="18">
        <f t="shared" ref="AA196:AA202" si="173">SUM(Y196:Z196)</f>
        <v>82501317</v>
      </c>
      <c r="AB196" s="19">
        <f>MARZO!AD196</f>
        <v>46001915</v>
      </c>
      <c r="AC196" s="377">
        <v>13062809</v>
      </c>
      <c r="AD196" s="18">
        <f t="shared" ref="AD196:AD202" si="174">SUM(AB196:AC196)</f>
        <v>59064724</v>
      </c>
      <c r="AE196" s="19">
        <f>MARZO!AG196</f>
        <v>2811814</v>
      </c>
      <c r="AF196" s="377">
        <v>1321946</v>
      </c>
      <c r="AG196" s="18">
        <f t="shared" ref="AG196:AG202" si="175">SUM(AE196:AF196)</f>
        <v>4133760</v>
      </c>
      <c r="AH196" s="19">
        <f t="shared" ref="AH196:AH202" si="176">X196-AA196</f>
        <v>104743284</v>
      </c>
      <c r="AI196" s="15">
        <f t="shared" ref="AI196:AI202" si="177">X196-AD196</f>
        <v>128179877</v>
      </c>
      <c r="AJ196" s="16">
        <f t="shared" ref="AJ196:AJ202" si="178">X196-AG196</f>
        <v>183110841</v>
      </c>
      <c r="AK196" s="9"/>
      <c r="AL196" s="375">
        <v>0</v>
      </c>
      <c r="AM196" s="378">
        <v>0</v>
      </c>
      <c r="AN196" s="9"/>
    </row>
    <row r="197" spans="1:40" s="385" customFormat="1" ht="24.95" customHeight="1" x14ac:dyDescent="0.2">
      <c r="A197" s="767"/>
      <c r="B197" s="669"/>
      <c r="N197" s="9"/>
      <c r="P197" s="9"/>
      <c r="Q197" s="9"/>
      <c r="R197" s="9"/>
      <c r="S197" s="720" t="str">
        <f>+IF(MARZO!S197=0,"",MARZO!S197)</f>
        <v>4100100-2</v>
      </c>
      <c r="T197" s="694" t="str">
        <f>+IF(MARZO!T197=0,"",MARZO!T197)</f>
        <v>Material Médico Quirúrgico</v>
      </c>
      <c r="U197" s="27">
        <f>+ENERO!U197</f>
        <v>49263202</v>
      </c>
      <c r="V197" s="15">
        <f>MARZO!V197+ABRIL!AL197</f>
        <v>0</v>
      </c>
      <c r="W197" s="15">
        <f>MARZO!W197+ABRIL!AM197</f>
        <v>0</v>
      </c>
      <c r="X197" s="18">
        <f t="shared" si="172"/>
        <v>49263202</v>
      </c>
      <c r="Y197" s="19">
        <f>MARZO!AA197</f>
        <v>14811226</v>
      </c>
      <c r="Z197" s="377">
        <v>4457390</v>
      </c>
      <c r="AA197" s="18">
        <f t="shared" si="173"/>
        <v>19268616</v>
      </c>
      <c r="AB197" s="19">
        <f>MARZO!AD197</f>
        <v>14811226</v>
      </c>
      <c r="AC197" s="377">
        <v>4457390</v>
      </c>
      <c r="AD197" s="18">
        <f t="shared" si="174"/>
        <v>19268616</v>
      </c>
      <c r="AE197" s="19">
        <f>MARZO!AG197</f>
        <v>0</v>
      </c>
      <c r="AF197" s="377">
        <v>2043022</v>
      </c>
      <c r="AG197" s="18">
        <f t="shared" si="175"/>
        <v>2043022</v>
      </c>
      <c r="AH197" s="19">
        <f t="shared" si="176"/>
        <v>29994586</v>
      </c>
      <c r="AI197" s="15">
        <f t="shared" si="177"/>
        <v>29994586</v>
      </c>
      <c r="AJ197" s="16">
        <f t="shared" si="178"/>
        <v>47220180</v>
      </c>
      <c r="AK197" s="9"/>
      <c r="AL197" s="375">
        <v>0</v>
      </c>
      <c r="AM197" s="378">
        <v>0</v>
      </c>
      <c r="AN197" s="9"/>
    </row>
    <row r="198" spans="1:40" s="385" customFormat="1" ht="24.95" customHeight="1" x14ac:dyDescent="0.2">
      <c r="A198" s="767"/>
      <c r="B198" s="669"/>
      <c r="N198" s="9"/>
      <c r="P198" s="9"/>
      <c r="Q198" s="9"/>
      <c r="R198" s="9"/>
      <c r="S198" s="720" t="str">
        <f>+IF(MARZO!S198=0,"",MARZO!S198)</f>
        <v>4100100-3</v>
      </c>
      <c r="T198" s="694" t="str">
        <f>+IF(MARZO!T198=0,"",MARZO!T198)</f>
        <v>Material de Laboratorio</v>
      </c>
      <c r="U198" s="27">
        <f>+ENERO!U198</f>
        <v>20729510</v>
      </c>
      <c r="V198" s="15">
        <f>MARZO!V198+ABRIL!AL198</f>
        <v>0</v>
      </c>
      <c r="W198" s="15">
        <f>MARZO!W198+ABRIL!AM198</f>
        <v>0</v>
      </c>
      <c r="X198" s="18">
        <f t="shared" si="172"/>
        <v>20729510</v>
      </c>
      <c r="Y198" s="19">
        <f>MARZO!AA198</f>
        <v>7902011</v>
      </c>
      <c r="Z198" s="377">
        <v>1897087</v>
      </c>
      <c r="AA198" s="18">
        <f t="shared" si="173"/>
        <v>9799098</v>
      </c>
      <c r="AB198" s="19">
        <f>MARZO!AD198</f>
        <v>7902011</v>
      </c>
      <c r="AC198" s="377">
        <v>1897087</v>
      </c>
      <c r="AD198" s="18">
        <f t="shared" si="174"/>
        <v>9799098</v>
      </c>
      <c r="AE198" s="19">
        <f>MARZO!AG198</f>
        <v>0</v>
      </c>
      <c r="AF198" s="377">
        <v>0</v>
      </c>
      <c r="AG198" s="18">
        <f t="shared" si="175"/>
        <v>0</v>
      </c>
      <c r="AH198" s="19">
        <f t="shared" si="176"/>
        <v>10930412</v>
      </c>
      <c r="AI198" s="15">
        <f t="shared" si="177"/>
        <v>10930412</v>
      </c>
      <c r="AJ198" s="16">
        <f t="shared" si="178"/>
        <v>20729510</v>
      </c>
      <c r="AK198" s="9"/>
      <c r="AL198" s="375">
        <v>0</v>
      </c>
      <c r="AM198" s="378">
        <v>0</v>
      </c>
      <c r="AN198" s="9"/>
    </row>
    <row r="199" spans="1:40" s="385" customFormat="1" ht="24.95" customHeight="1" x14ac:dyDescent="0.2">
      <c r="A199" s="767"/>
      <c r="B199" s="669"/>
      <c r="N199" s="9"/>
      <c r="P199" s="9"/>
      <c r="Q199" s="9"/>
      <c r="R199" s="9"/>
      <c r="S199" s="720" t="str">
        <f>+IF(MARZO!S199=0,"",MARZO!S199)</f>
        <v>4100100-4</v>
      </c>
      <c r="T199" s="694" t="str">
        <f>+IF(MARZO!T199=0,"",MARZO!T199)</f>
        <v>Material para Odontologia</v>
      </c>
      <c r="U199" s="27">
        <f>+ENERO!U199</f>
        <v>22568185</v>
      </c>
      <c r="V199" s="15">
        <f>MARZO!V199+ABRIL!AL199</f>
        <v>0</v>
      </c>
      <c r="W199" s="15">
        <f>MARZO!W199+ABRIL!AM199</f>
        <v>0</v>
      </c>
      <c r="X199" s="18">
        <f t="shared" si="172"/>
        <v>22568185</v>
      </c>
      <c r="Y199" s="19">
        <f>MARZO!AA199</f>
        <v>4505849</v>
      </c>
      <c r="Z199" s="377">
        <v>1686441</v>
      </c>
      <c r="AA199" s="18">
        <f t="shared" si="173"/>
        <v>6192290</v>
      </c>
      <c r="AB199" s="19">
        <f>MARZO!AD199</f>
        <v>4505849</v>
      </c>
      <c r="AC199" s="377">
        <v>1686441</v>
      </c>
      <c r="AD199" s="18">
        <f t="shared" si="174"/>
        <v>6192290</v>
      </c>
      <c r="AE199" s="19">
        <f>MARZO!AG199</f>
        <v>289764</v>
      </c>
      <c r="AF199" s="377">
        <v>0</v>
      </c>
      <c r="AG199" s="18">
        <f t="shared" si="175"/>
        <v>289764</v>
      </c>
      <c r="AH199" s="19">
        <f t="shared" si="176"/>
        <v>16375895</v>
      </c>
      <c r="AI199" s="15">
        <f t="shared" si="177"/>
        <v>16375895</v>
      </c>
      <c r="AJ199" s="16">
        <f t="shared" si="178"/>
        <v>22278421</v>
      </c>
      <c r="AK199" s="9"/>
      <c r="AL199" s="375">
        <v>0</v>
      </c>
      <c r="AM199" s="378">
        <v>0</v>
      </c>
      <c r="AN199" s="9"/>
    </row>
    <row r="200" spans="1:40" s="385" customFormat="1" ht="24.95" customHeight="1" x14ac:dyDescent="0.2">
      <c r="A200" s="767"/>
      <c r="B200" s="669"/>
      <c r="N200" s="9"/>
      <c r="P200" s="9"/>
      <c r="Q200" s="9"/>
      <c r="R200" s="9"/>
      <c r="S200" s="720" t="str">
        <f>+IF(MARZO!S200=0,"",MARZO!S200)</f>
        <v>4100100-5</v>
      </c>
      <c r="T200" s="694" t="str">
        <f>+IF(MARZO!T200=0,"",MARZO!T200)</f>
        <v>Material para Rayos X</v>
      </c>
      <c r="U200" s="27">
        <f>+ENERO!U200</f>
        <v>2038666</v>
      </c>
      <c r="V200" s="15">
        <f>MARZO!V200+ABRIL!AL200</f>
        <v>0</v>
      </c>
      <c r="W200" s="15">
        <f>MARZO!W200+ABRIL!AM200</f>
        <v>2000000</v>
      </c>
      <c r="X200" s="18">
        <f t="shared" si="172"/>
        <v>4038666</v>
      </c>
      <c r="Y200" s="19">
        <f>MARZO!AA200</f>
        <v>0</v>
      </c>
      <c r="Z200" s="377">
        <v>0</v>
      </c>
      <c r="AA200" s="18">
        <f t="shared" si="173"/>
        <v>0</v>
      </c>
      <c r="AB200" s="19">
        <f>MARZO!AD200</f>
        <v>0</v>
      </c>
      <c r="AC200" s="377">
        <v>0</v>
      </c>
      <c r="AD200" s="18">
        <f t="shared" si="174"/>
        <v>0</v>
      </c>
      <c r="AE200" s="19">
        <f>MARZO!AG200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+IF(MARZO!S201=0,"",MARZO!S201)</f>
        <v/>
      </c>
      <c r="T201" s="694" t="str">
        <f>+IF(MARZO!T201=0,"",MARZO!T201)</f>
        <v/>
      </c>
      <c r="U201" s="27">
        <f>+ENERO!U201</f>
        <v>0</v>
      </c>
      <c r="V201" s="15">
        <f>MARZO!V201+ABRIL!AL201</f>
        <v>0</v>
      </c>
      <c r="W201" s="15">
        <f>MARZO!W201+ABRIL!AM201</f>
        <v>0</v>
      </c>
      <c r="X201" s="18">
        <f t="shared" si="172"/>
        <v>0</v>
      </c>
      <c r="Y201" s="19">
        <f>MARZO!AA201</f>
        <v>0</v>
      </c>
      <c r="Z201" s="377">
        <v>0</v>
      </c>
      <c r="AA201" s="18">
        <f t="shared" si="173"/>
        <v>0</v>
      </c>
      <c r="AB201" s="19">
        <f>MARZO!AD201</f>
        <v>0</v>
      </c>
      <c r="AC201" s="377">
        <v>0</v>
      </c>
      <c r="AD201" s="18">
        <f t="shared" si="174"/>
        <v>0</v>
      </c>
      <c r="AE201" s="19">
        <f>MARZO!AG201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+IF(MARZO!S202=0,"",MARZO!S202)</f>
        <v/>
      </c>
      <c r="T202" s="694" t="str">
        <f>+IF(MARZO!T202=0,"",MARZO!T202)</f>
        <v/>
      </c>
      <c r="U202" s="27">
        <f>+ENERO!U202</f>
        <v>0</v>
      </c>
      <c r="V202" s="15">
        <f>MARZO!V202+ABRIL!AL202</f>
        <v>0</v>
      </c>
      <c r="W202" s="15">
        <f>MARZO!W202+ABRIL!AM202</f>
        <v>0</v>
      </c>
      <c r="X202" s="18">
        <f t="shared" si="172"/>
        <v>0</v>
      </c>
      <c r="Y202" s="19">
        <f>MARZO!AA202</f>
        <v>0</v>
      </c>
      <c r="Z202" s="377">
        <v>0</v>
      </c>
      <c r="AA202" s="18">
        <f t="shared" si="173"/>
        <v>0</v>
      </c>
      <c r="AB202" s="19">
        <f>MARZO!AD202</f>
        <v>0</v>
      </c>
      <c r="AC202" s="377">
        <v>0</v>
      </c>
      <c r="AD202" s="18">
        <f t="shared" si="174"/>
        <v>0</v>
      </c>
      <c r="AE202" s="19">
        <f>MARZO!AG202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+IF(MARZO!S203=0,"",MARZO!S203)</f>
        <v>4100200</v>
      </c>
      <c r="T203" s="693" t="str">
        <f>+IF(MARZO!T203=0,"",MARZO!T203)</f>
        <v>Gastos Complementarios e Intermedios</v>
      </c>
      <c r="U203" s="27">
        <f t="shared" ref="U203:AJ203" si="179">U204</f>
        <v>31968044</v>
      </c>
      <c r="V203" s="15">
        <f t="shared" si="179"/>
        <v>0</v>
      </c>
      <c r="W203" s="15">
        <f t="shared" si="179"/>
        <v>0</v>
      </c>
      <c r="X203" s="18">
        <f t="shared" si="179"/>
        <v>31968044</v>
      </c>
      <c r="Y203" s="19">
        <f t="shared" si="179"/>
        <v>8058100</v>
      </c>
      <c r="Z203" s="145">
        <f t="shared" si="179"/>
        <v>3353866</v>
      </c>
      <c r="AA203" s="18">
        <f t="shared" si="179"/>
        <v>11411966</v>
      </c>
      <c r="AB203" s="19">
        <f t="shared" si="179"/>
        <v>8058100</v>
      </c>
      <c r="AC203" s="145">
        <f t="shared" si="179"/>
        <v>3353866</v>
      </c>
      <c r="AD203" s="18">
        <f t="shared" si="179"/>
        <v>11411966</v>
      </c>
      <c r="AE203" s="19">
        <f t="shared" si="179"/>
        <v>4939900</v>
      </c>
      <c r="AF203" s="145">
        <f t="shared" si="179"/>
        <v>2837416</v>
      </c>
      <c r="AG203" s="18">
        <f t="shared" si="179"/>
        <v>7777316</v>
      </c>
      <c r="AH203" s="19">
        <f t="shared" si="179"/>
        <v>20556078</v>
      </c>
      <c r="AI203" s="15">
        <f t="shared" si="179"/>
        <v>20556078</v>
      </c>
      <c r="AJ203" s="16">
        <f t="shared" si="179"/>
        <v>24190728</v>
      </c>
      <c r="AK203" s="9"/>
      <c r="AL203" s="29">
        <f>AL204</f>
        <v>0</v>
      </c>
      <c r="AM203" s="26">
        <f>AM204</f>
        <v>0</v>
      </c>
      <c r="AN203" s="9"/>
    </row>
    <row r="204" spans="1:40" s="385" customFormat="1" ht="24.95" customHeight="1" x14ac:dyDescent="0.2">
      <c r="A204" s="767"/>
      <c r="B204" s="669"/>
      <c r="N204" s="9"/>
      <c r="P204" s="9"/>
      <c r="Q204" s="9"/>
      <c r="R204" s="9"/>
      <c r="S204" s="720" t="str">
        <f>+IF(MARZO!S204=0,"",MARZO!S204)</f>
        <v>4100200-1</v>
      </c>
      <c r="T204" s="694" t="str">
        <f>+IF(MARZO!T204=0,"",MARZO!T204)</f>
        <v>Alimentación</v>
      </c>
      <c r="U204" s="27">
        <f>+ENERO!U204</f>
        <v>31968044</v>
      </c>
      <c r="V204" s="15">
        <f>MARZO!V204+ABRIL!AL204</f>
        <v>0</v>
      </c>
      <c r="W204" s="15">
        <f>MARZO!W204+ABRIL!AM204</f>
        <v>0</v>
      </c>
      <c r="X204" s="18">
        <f>SUM(U204:W204)</f>
        <v>31968044</v>
      </c>
      <c r="Y204" s="19">
        <f>MARZO!AA204</f>
        <v>8058100</v>
      </c>
      <c r="Z204" s="377">
        <v>3353866</v>
      </c>
      <c r="AA204" s="18">
        <f>SUM(Y204:Z204)</f>
        <v>11411966</v>
      </c>
      <c r="AB204" s="19">
        <f>MARZO!AD204</f>
        <v>8058100</v>
      </c>
      <c r="AC204" s="377">
        <v>3353866</v>
      </c>
      <c r="AD204" s="18">
        <f>SUM(AB204:AC204)</f>
        <v>11411966</v>
      </c>
      <c r="AE204" s="19">
        <f>MARZO!AG204</f>
        <v>4939900</v>
      </c>
      <c r="AF204" s="377">
        <v>2837416</v>
      </c>
      <c r="AG204" s="18">
        <f>SUM(AE204:AF204)</f>
        <v>7777316</v>
      </c>
      <c r="AH204" s="19">
        <f>X204-AA204</f>
        <v>20556078</v>
      </c>
      <c r="AI204" s="15">
        <f>X204-AD204</f>
        <v>20556078</v>
      </c>
      <c r="AJ204" s="16">
        <f>X204-AG204</f>
        <v>24190728</v>
      </c>
      <c r="AK204" s="9"/>
      <c r="AL204" s="375">
        <v>0</v>
      </c>
      <c r="AM204" s="378">
        <v>0</v>
      </c>
      <c r="AN204" s="9"/>
    </row>
    <row r="205" spans="1:40" s="385" customFormat="1" ht="24.95" customHeight="1" thickBot="1" x14ac:dyDescent="0.25">
      <c r="A205" s="767"/>
      <c r="B205" s="669"/>
      <c r="N205" s="9"/>
      <c r="P205" s="9"/>
      <c r="Q205" s="9"/>
      <c r="R205" s="9"/>
      <c r="S205" s="724">
        <f>+IF(MARZO!S205=0,"",MARZO!S205)</f>
        <v>4199999</v>
      </c>
      <c r="T205" s="699" t="str">
        <f>+IF(MARZO!T205=0,"",MARZO!T205)</f>
        <v>Vigencias Anteriores</v>
      </c>
      <c r="U205" s="136">
        <f>+ENERO!U205</f>
        <v>0</v>
      </c>
      <c r="V205" s="123">
        <f>MARZO!V205+ABRIL!AL205</f>
        <v>0</v>
      </c>
      <c r="W205" s="123">
        <f>MARZO!W205+ABRIL!AM205</f>
        <v>91835932</v>
      </c>
      <c r="X205" s="129">
        <f>SUM(U205:W205)</f>
        <v>91835932</v>
      </c>
      <c r="Y205" s="127">
        <f>MARZO!AA205</f>
        <v>91835932</v>
      </c>
      <c r="Z205" s="391">
        <v>0</v>
      </c>
      <c r="AA205" s="129">
        <f>SUM(Y205:Z205)</f>
        <v>91835932</v>
      </c>
      <c r="AB205" s="127">
        <f>MARZO!AD205</f>
        <v>91835932</v>
      </c>
      <c r="AC205" s="391">
        <v>0</v>
      </c>
      <c r="AD205" s="129">
        <f>SUM(AB205:AC205)</f>
        <v>91835932</v>
      </c>
      <c r="AE205" s="127">
        <f>MARZO!AG205</f>
        <v>35342661</v>
      </c>
      <c r="AF205" s="391">
        <v>20924486</v>
      </c>
      <c r="AG205" s="129">
        <f>SUM(AE205:AF205)</f>
        <v>56267147</v>
      </c>
      <c r="AH205" s="127">
        <f>X205-AA205</f>
        <v>0</v>
      </c>
      <c r="AI205" s="123">
        <f>X205-AD205</f>
        <v>0</v>
      </c>
      <c r="AJ205" s="128">
        <f>X205-AG205</f>
        <v>35568785</v>
      </c>
      <c r="AK205" s="9"/>
      <c r="AL205" s="387">
        <v>0</v>
      </c>
      <c r="AM205" s="392">
        <v>0</v>
      </c>
      <c r="AN205" s="9"/>
    </row>
    <row r="206" spans="1:40" s="385" customFormat="1" ht="24.95" customHeight="1" x14ac:dyDescent="0.2">
      <c r="A206" s="767"/>
      <c r="B206" s="669"/>
      <c r="N206" s="9"/>
      <c r="P206" s="9"/>
      <c r="Q206" s="9"/>
      <c r="R206" s="9"/>
      <c r="S206" s="492" t="str">
        <f>+IF(MARZO!S206=0,"",MARZO!S206)</f>
        <v/>
      </c>
      <c r="T206" s="700" t="str">
        <f>+IF(MARZO!T206=0,"",MARZO!T206)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+IF(MARZO!S207=0,"",MARZO!S207)</f>
        <v>B</v>
      </c>
      <c r="T207" s="709" t="str">
        <f>+IF(MARZO!T207=0,"",MARZO!T207)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+IF(MARZO!S209=0,"",MARZO!S209)</f>
        <v>5000000</v>
      </c>
      <c r="T209" s="741" t="str">
        <f>+IF(MARZO!T209=0,"",MARZO!T209)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+IF(MARZO!S210=0,"",MARZO!S210)</f>
        <v>5100000</v>
      </c>
      <c r="T210" s="692" t="str">
        <f>+IF(MARZO!T210=0,"",MARZO!T210)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+IF(MARZO!S211=0,"",MARZO!S211)</f>
        <v>5100100</v>
      </c>
      <c r="T211" s="693" t="str">
        <f>+IF(MARZO!T211=0,"",MARZO!T211)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+IF(MARZO!S212=0,"",MARZO!S212)</f>
        <v>5100100-1</v>
      </c>
      <c r="T212" s="694" t="str">
        <f>+IF(MARZO!T212=0,"",MARZO!T212)</f>
        <v>Productos Farmaceuticos</v>
      </c>
      <c r="U212" s="27">
        <f>+ENERO!U212</f>
        <v>0</v>
      </c>
      <c r="V212" s="15">
        <f>MARZO!V212+ABRIL!AL212</f>
        <v>0</v>
      </c>
      <c r="W212" s="15">
        <f>MARZO!W212+ABRIL!AM212</f>
        <v>0</v>
      </c>
      <c r="X212" s="18">
        <f t="shared" ref="X212:X218" si="184">SUM(U212:W212)</f>
        <v>0</v>
      </c>
      <c r="Y212" s="19">
        <f>MARZO!AA212</f>
        <v>0</v>
      </c>
      <c r="Z212" s="377">
        <v>0</v>
      </c>
      <c r="AA212" s="18">
        <f t="shared" ref="AA212:AA218" si="185">SUM(Y212:Z212)</f>
        <v>0</v>
      </c>
      <c r="AB212" s="19">
        <f>MARZO!AD212</f>
        <v>0</v>
      </c>
      <c r="AC212" s="377">
        <v>0</v>
      </c>
      <c r="AD212" s="18">
        <f t="shared" ref="AD212:AD218" si="186">SUM(AB212:AC212)</f>
        <v>0</v>
      </c>
      <c r="AE212" s="19">
        <f>MARZO!AG212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+IF(MARZO!S213=0,"",MARZO!S213)</f>
        <v>5100100-2</v>
      </c>
      <c r="T213" s="694" t="str">
        <f>+IF(MARZO!T213=0,"",MARZO!T213)</f>
        <v>Material Médico Quirúrgico</v>
      </c>
      <c r="U213" s="27">
        <f>+ENERO!U213</f>
        <v>0</v>
      </c>
      <c r="V213" s="15">
        <f>MARZO!V213+ABRIL!AL213</f>
        <v>0</v>
      </c>
      <c r="W213" s="15">
        <f>MARZO!W213+ABRIL!AM213</f>
        <v>0</v>
      </c>
      <c r="X213" s="18">
        <f t="shared" si="184"/>
        <v>0</v>
      </c>
      <c r="Y213" s="19">
        <f>MARZO!AA213</f>
        <v>0</v>
      </c>
      <c r="Z213" s="377">
        <v>0</v>
      </c>
      <c r="AA213" s="18">
        <f t="shared" si="185"/>
        <v>0</v>
      </c>
      <c r="AB213" s="19">
        <f>MARZO!AD213</f>
        <v>0</v>
      </c>
      <c r="AC213" s="377">
        <v>0</v>
      </c>
      <c r="AD213" s="18">
        <f t="shared" si="186"/>
        <v>0</v>
      </c>
      <c r="AE213" s="19">
        <f>MARZO!AG213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+IF(MARZO!S214=0,"",MARZO!S214)</f>
        <v>5100100-3</v>
      </c>
      <c r="T214" s="694" t="str">
        <f>+IF(MARZO!T214=0,"",MARZO!T214)</f>
        <v>Material de Laboratorio</v>
      </c>
      <c r="U214" s="27">
        <f>+ENERO!U214</f>
        <v>0</v>
      </c>
      <c r="V214" s="15">
        <f>MARZO!V214+ABRIL!AL214</f>
        <v>0</v>
      </c>
      <c r="W214" s="15">
        <f>MARZO!W214+ABRIL!AM214</f>
        <v>0</v>
      </c>
      <c r="X214" s="18">
        <f t="shared" si="184"/>
        <v>0</v>
      </c>
      <c r="Y214" s="19">
        <f>MARZO!AA214</f>
        <v>0</v>
      </c>
      <c r="Z214" s="377">
        <v>0</v>
      </c>
      <c r="AA214" s="18">
        <f t="shared" si="185"/>
        <v>0</v>
      </c>
      <c r="AB214" s="19">
        <f>MARZO!AD214</f>
        <v>0</v>
      </c>
      <c r="AC214" s="377">
        <v>0</v>
      </c>
      <c r="AD214" s="18">
        <f t="shared" si="186"/>
        <v>0</v>
      </c>
      <c r="AE214" s="19">
        <f>MARZO!AG214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+IF(MARZO!S215=0,"",MARZO!S215)</f>
        <v>5100100-4</v>
      </c>
      <c r="T215" s="694" t="str">
        <f>+IF(MARZO!T215=0,"",MARZO!T215)</f>
        <v>Material para Odontologia</v>
      </c>
      <c r="U215" s="27">
        <f>+ENERO!U215</f>
        <v>0</v>
      </c>
      <c r="V215" s="15">
        <f>MARZO!V215+ABRIL!AL215</f>
        <v>0</v>
      </c>
      <c r="W215" s="15">
        <f>MARZO!W215+ABRIL!AM215</f>
        <v>0</v>
      </c>
      <c r="X215" s="18">
        <f t="shared" si="184"/>
        <v>0</v>
      </c>
      <c r="Y215" s="19">
        <f>MARZO!AA215</f>
        <v>0</v>
      </c>
      <c r="Z215" s="377">
        <v>0</v>
      </c>
      <c r="AA215" s="18">
        <f t="shared" si="185"/>
        <v>0</v>
      </c>
      <c r="AB215" s="19">
        <f>MARZO!AD215</f>
        <v>0</v>
      </c>
      <c r="AC215" s="377">
        <v>0</v>
      </c>
      <c r="AD215" s="18">
        <f t="shared" si="186"/>
        <v>0</v>
      </c>
      <c r="AE215" s="19">
        <f>MARZO!AG215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+IF(MARZO!S216=0,"",MARZO!S216)</f>
        <v>5100100-5</v>
      </c>
      <c r="T216" s="694" t="str">
        <f>+IF(MARZO!T216=0,"",MARZO!T216)</f>
        <v>Material para Rayos X</v>
      </c>
      <c r="U216" s="27">
        <f>+ENERO!U216</f>
        <v>0</v>
      </c>
      <c r="V216" s="15">
        <f>MARZO!V216+ABRIL!AL216</f>
        <v>0</v>
      </c>
      <c r="W216" s="15">
        <f>MARZO!W216+ABRIL!AM216</f>
        <v>0</v>
      </c>
      <c r="X216" s="18">
        <f t="shared" si="184"/>
        <v>0</v>
      </c>
      <c r="Y216" s="19">
        <f>MARZO!AA216</f>
        <v>0</v>
      </c>
      <c r="Z216" s="377">
        <v>0</v>
      </c>
      <c r="AA216" s="18">
        <f t="shared" si="185"/>
        <v>0</v>
      </c>
      <c r="AB216" s="19">
        <f>MARZO!AD216</f>
        <v>0</v>
      </c>
      <c r="AC216" s="377">
        <v>0</v>
      </c>
      <c r="AD216" s="18">
        <f t="shared" si="186"/>
        <v>0</v>
      </c>
      <c r="AE216" s="19">
        <f>MARZO!AG216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+IF(MARZO!S217=0,"",MARZO!S217)</f>
        <v>5100100-6</v>
      </c>
      <c r="T217" s="694" t="str">
        <f>+IF(MARZO!T217=0,"",MARZO!T217)</f>
        <v>Material aseo personal, etc.</v>
      </c>
      <c r="U217" s="27">
        <f>+ENERO!U217</f>
        <v>0</v>
      </c>
      <c r="V217" s="15">
        <f>MARZO!V217+ABRIL!AL217</f>
        <v>0</v>
      </c>
      <c r="W217" s="15">
        <f>MARZO!W217+ABRIL!AM217</f>
        <v>0</v>
      </c>
      <c r="X217" s="18">
        <f t="shared" si="184"/>
        <v>0</v>
      </c>
      <c r="Y217" s="19">
        <f>MARZO!AA217</f>
        <v>0</v>
      </c>
      <c r="Z217" s="377">
        <v>0</v>
      </c>
      <c r="AA217" s="18">
        <f t="shared" si="185"/>
        <v>0</v>
      </c>
      <c r="AB217" s="19">
        <f>MARZO!AD217</f>
        <v>0</v>
      </c>
      <c r="AC217" s="377">
        <v>0</v>
      </c>
      <c r="AD217" s="18">
        <f t="shared" si="186"/>
        <v>0</v>
      </c>
      <c r="AE217" s="19">
        <f>MARZO!AG217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+IF(MARZO!S218=0,"",MARZO!S218)</f>
        <v>5199999</v>
      </c>
      <c r="T218" s="710" t="str">
        <f>+IF(MARZO!T218=0,"",MARZO!T218)</f>
        <v>Vigencias Anteriores</v>
      </c>
      <c r="U218" s="136">
        <f>+ENERO!U218</f>
        <v>0</v>
      </c>
      <c r="V218" s="123">
        <f>MARZO!V218+ABRIL!AL218</f>
        <v>0</v>
      </c>
      <c r="W218" s="123">
        <f>MARZO!W218+ABRIL!AM218</f>
        <v>0</v>
      </c>
      <c r="X218" s="129">
        <f t="shared" si="184"/>
        <v>0</v>
      </c>
      <c r="Y218" s="127">
        <f>MARZO!AA218</f>
        <v>0</v>
      </c>
      <c r="Z218" s="391">
        <v>0</v>
      </c>
      <c r="AA218" s="129">
        <f t="shared" si="185"/>
        <v>0</v>
      </c>
      <c r="AB218" s="127">
        <f>MARZO!AD218</f>
        <v>0</v>
      </c>
      <c r="AC218" s="391">
        <v>0</v>
      </c>
      <c r="AD218" s="129">
        <f t="shared" si="186"/>
        <v>0</v>
      </c>
      <c r="AE218" s="127">
        <f>MARZO!AG218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+IF(MARZO!S219=0,"",MARZO!S219)</f>
        <v/>
      </c>
      <c r="T219" s="707" t="str">
        <f>+IF(MARZO!T219=0,"",MARZO!T219)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+IF(MARZO!S220=0,"",MARZO!S220)</f>
        <v>C</v>
      </c>
      <c r="T220" s="688" t="str">
        <f>+IF(MARZO!T220=0,"",MARZO!T220)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+IF(MARZO!S221=0,"",MARZO!S221)</f>
        <v/>
      </c>
      <c r="T221" s="708" t="str">
        <f>+IF(MARZO!T221=0,"",MARZO!T221)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+IF(MARZO!S222=0,"",MARZO!S222)</f>
        <v>7001000</v>
      </c>
      <c r="T222" s="692" t="str">
        <f>+IF(MARZO!T222=0,"",MARZO!T222)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+IF(MARZO!S223=0,"",MARZO!S223)</f>
        <v>7001100</v>
      </c>
      <c r="T223" s="693" t="str">
        <f>+IF(MARZO!T223=0,"",MARZO!T223)</f>
        <v>Amortización deuda Pública Interna</v>
      </c>
      <c r="U223" s="27">
        <f>+ENERO!U223</f>
        <v>0</v>
      </c>
      <c r="V223" s="15">
        <f>MARZO!V223+ABRIL!AL223</f>
        <v>0</v>
      </c>
      <c r="W223" s="15">
        <f>MARZO!W223+ABRIL!AM223</f>
        <v>0</v>
      </c>
      <c r="X223" s="18">
        <f>SUM(U223:W223)</f>
        <v>0</v>
      </c>
      <c r="Y223" s="19">
        <f>MARZO!AA223</f>
        <v>0</v>
      </c>
      <c r="Z223" s="377">
        <v>0</v>
      </c>
      <c r="AA223" s="18">
        <f>SUM(Y223:Z223)</f>
        <v>0</v>
      </c>
      <c r="AB223" s="19">
        <f>MARZO!AD223</f>
        <v>0</v>
      </c>
      <c r="AC223" s="377">
        <v>0</v>
      </c>
      <c r="AD223" s="18">
        <f>SUM(AB223:AC223)</f>
        <v>0</v>
      </c>
      <c r="AE223" s="19">
        <f>MARZO!AG223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+IF(MARZO!S224=0,"",MARZO!S224)</f>
        <v>7001200</v>
      </c>
      <c r="T224" s="693" t="str">
        <f>+IF(MARZO!T224=0,"",MARZO!T224)</f>
        <v>Intereses Comisiones y gastos de la Deuda Pública</v>
      </c>
      <c r="U224" s="27">
        <f>+ENERO!U224</f>
        <v>0</v>
      </c>
      <c r="V224" s="15">
        <f>MARZO!V224+ABRIL!AL224</f>
        <v>0</v>
      </c>
      <c r="W224" s="15">
        <f>MARZO!W224+ABRIL!AM224</f>
        <v>0</v>
      </c>
      <c r="X224" s="18">
        <f>SUM(U224:W224)</f>
        <v>0</v>
      </c>
      <c r="Y224" s="19">
        <f>MARZO!AA224</f>
        <v>0</v>
      </c>
      <c r="Z224" s="377">
        <v>0</v>
      </c>
      <c r="AA224" s="18">
        <f>SUM(Y224:Z224)</f>
        <v>0</v>
      </c>
      <c r="AB224" s="19">
        <f>MARZO!AD224</f>
        <v>0</v>
      </c>
      <c r="AC224" s="377">
        <v>0</v>
      </c>
      <c r="AD224" s="18">
        <f>SUM(AB224:AC224)</f>
        <v>0</v>
      </c>
      <c r="AE224" s="19">
        <f>MARZO!AG224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+IF(MARZO!S225=0,"",MARZO!S225)</f>
        <v>7001999</v>
      </c>
      <c r="T225" s="693" t="str">
        <f>+IF(MARZO!T225=0,"",MARZO!T225)</f>
        <v>Vigencias Anteriores</v>
      </c>
      <c r="U225" s="27">
        <f>+ENERO!U225</f>
        <v>0</v>
      </c>
      <c r="V225" s="15">
        <f>MARZO!V225+ABRIL!AL225</f>
        <v>0</v>
      </c>
      <c r="W225" s="15">
        <f>MARZO!W225+ABRIL!AM225</f>
        <v>0</v>
      </c>
      <c r="X225" s="18">
        <f>SUM(U225:W225)</f>
        <v>0</v>
      </c>
      <c r="Y225" s="19">
        <f>MARZO!AA225</f>
        <v>0</v>
      </c>
      <c r="Z225" s="377">
        <v>0</v>
      </c>
      <c r="AA225" s="18">
        <f>SUM(Y225:Z225)</f>
        <v>0</v>
      </c>
      <c r="AB225" s="19">
        <f>MARZO!AD225</f>
        <v>0</v>
      </c>
      <c r="AC225" s="377">
        <v>0</v>
      </c>
      <c r="AD225" s="18">
        <f>SUM(AB225:AC225)</f>
        <v>0</v>
      </c>
      <c r="AE225" s="19">
        <f>MARZO!AG225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+IF(MARZO!S226=0,"",MARZO!S226)</f>
        <v/>
      </c>
      <c r="T226" s="708" t="str">
        <f>+IF(MARZO!T226=0,"",MARZO!T226)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+IF(MARZO!S227=0,"",MARZO!S227)</f>
        <v>7002001</v>
      </c>
      <c r="T227" s="692" t="str">
        <f>+IF(MARZO!T227=0,"",MARZO!T227)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+IF(MARZO!S228=0,"",MARZO!S228)</f>
        <v>7002100</v>
      </c>
      <c r="T228" s="693" t="str">
        <f>+IF(MARZO!T228=0,"",MARZO!T228)</f>
        <v>Amortización deuda Pública Externa</v>
      </c>
      <c r="U228" s="27">
        <f>+ENERO!U228</f>
        <v>0</v>
      </c>
      <c r="V228" s="15">
        <f>MARZO!V228+ABRIL!AL228</f>
        <v>0</v>
      </c>
      <c r="W228" s="15">
        <f>MARZO!W228+ABRIL!AM228</f>
        <v>0</v>
      </c>
      <c r="X228" s="18">
        <f>SUM(U228:W228)</f>
        <v>0</v>
      </c>
      <c r="Y228" s="19">
        <f>MARZO!AA228</f>
        <v>0</v>
      </c>
      <c r="Z228" s="377">
        <v>0</v>
      </c>
      <c r="AA228" s="18">
        <f>SUM(Y228:Z228)</f>
        <v>0</v>
      </c>
      <c r="AB228" s="19">
        <f>MARZO!AD228</f>
        <v>0</v>
      </c>
      <c r="AC228" s="377">
        <v>0</v>
      </c>
      <c r="AD228" s="18">
        <f>SUM(AB228:AC228)</f>
        <v>0</v>
      </c>
      <c r="AE228" s="19">
        <f>MARZO!AG228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+IF(MARZO!S229=0,"",MARZO!S229)</f>
        <v>7002200</v>
      </c>
      <c r="T229" s="693" t="str">
        <f>+IF(MARZO!T229=0,"",MARZO!T229)</f>
        <v>Intereses Comisiones y gastos de la Deuda Pública</v>
      </c>
      <c r="U229" s="27">
        <f>+ENERO!U229</f>
        <v>0</v>
      </c>
      <c r="V229" s="15">
        <f>MARZO!V229+ABRIL!AL229</f>
        <v>0</v>
      </c>
      <c r="W229" s="15">
        <f>MARZO!W229+ABRIL!AM229</f>
        <v>0</v>
      </c>
      <c r="X229" s="18">
        <f>SUM(U229:W229)</f>
        <v>0</v>
      </c>
      <c r="Y229" s="19">
        <f>MARZO!AA229</f>
        <v>0</v>
      </c>
      <c r="Z229" s="377">
        <v>0</v>
      </c>
      <c r="AA229" s="18">
        <f>SUM(Y229:Z229)</f>
        <v>0</v>
      </c>
      <c r="AB229" s="19">
        <f>MARZO!AD229</f>
        <v>0</v>
      </c>
      <c r="AC229" s="377">
        <v>0</v>
      </c>
      <c r="AD229" s="18">
        <f>SUM(AB229:AC229)</f>
        <v>0</v>
      </c>
      <c r="AE229" s="19">
        <f>MARZO!AG229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+IF(MARZO!S230=0,"",MARZO!S230)</f>
        <v>7002999</v>
      </c>
      <c r="T230" s="699" t="str">
        <f>+IF(MARZO!T230=0,"",MARZO!T230)</f>
        <v>Vigencias Anteriores</v>
      </c>
      <c r="U230" s="136">
        <f>+ENERO!U230</f>
        <v>0</v>
      </c>
      <c r="V230" s="123">
        <f>MARZO!V230+ABRIL!AL230</f>
        <v>0</v>
      </c>
      <c r="W230" s="123">
        <f>MARZO!W230+ABRIL!AM230</f>
        <v>0</v>
      </c>
      <c r="X230" s="129">
        <f>SUM(U230:W230)</f>
        <v>0</v>
      </c>
      <c r="Y230" s="127">
        <f>MARZO!AA230</f>
        <v>0</v>
      </c>
      <c r="Z230" s="391">
        <v>0</v>
      </c>
      <c r="AA230" s="129">
        <f>SUM(Y230:Z230)</f>
        <v>0</v>
      </c>
      <c r="AB230" s="127">
        <f>MARZO!AD230</f>
        <v>0</v>
      </c>
      <c r="AC230" s="391">
        <v>0</v>
      </c>
      <c r="AD230" s="129">
        <f>SUM(AB230:AC230)</f>
        <v>0</v>
      </c>
      <c r="AE230" s="127">
        <f>MARZO!AG230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+IF(MARZO!S231=0,"",MARZO!S231)</f>
        <v/>
      </c>
      <c r="T231" s="700" t="str">
        <f>+IF(MARZO!T231=0,"",MARZO!T231)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+IF(MARZO!S232=0,"",MARZO!S232)</f>
        <v>D</v>
      </c>
      <c r="T232" s="709" t="str">
        <f>+IF(MARZO!T232=0,"",MARZO!T232)</f>
        <v>INVERSION</v>
      </c>
      <c r="U232" s="473">
        <f t="shared" ref="U232:AJ232" si="194">U234</f>
        <v>303000000</v>
      </c>
      <c r="V232" s="474">
        <f t="shared" si="194"/>
        <v>-45000000</v>
      </c>
      <c r="W232" s="474">
        <f t="shared" si="194"/>
        <v>178000000</v>
      </c>
      <c r="X232" s="475">
        <f t="shared" si="194"/>
        <v>436000000</v>
      </c>
      <c r="Y232" s="382">
        <f t="shared" si="194"/>
        <v>52650000</v>
      </c>
      <c r="Z232" s="474">
        <f t="shared" si="194"/>
        <v>9400000</v>
      </c>
      <c r="AA232" s="475">
        <f t="shared" si="194"/>
        <v>62050000</v>
      </c>
      <c r="AB232" s="382">
        <f t="shared" si="194"/>
        <v>0</v>
      </c>
      <c r="AC232" s="474">
        <f t="shared" si="194"/>
        <v>5850000</v>
      </c>
      <c r="AD232" s="475">
        <f t="shared" si="194"/>
        <v>5850000</v>
      </c>
      <c r="AE232" s="382">
        <f t="shared" si="194"/>
        <v>0</v>
      </c>
      <c r="AF232" s="474">
        <f t="shared" si="194"/>
        <v>0</v>
      </c>
      <c r="AG232" s="475">
        <f t="shared" si="194"/>
        <v>0</v>
      </c>
      <c r="AH232" s="382">
        <f t="shared" si="194"/>
        <v>373950000</v>
      </c>
      <c r="AI232" s="474">
        <f t="shared" si="194"/>
        <v>430150000</v>
      </c>
      <c r="AJ232" s="383">
        <f t="shared" si="194"/>
        <v>436000000</v>
      </c>
      <c r="AK232" s="506"/>
      <c r="AL232" s="382">
        <f>AL234</f>
        <v>0</v>
      </c>
      <c r="AM232" s="383">
        <f>AM234</f>
        <v>0</v>
      </c>
      <c r="AN232" s="9"/>
    </row>
    <row r="233" spans="1:64" s="385" customFormat="1" ht="24.95" customHeight="1" x14ac:dyDescent="0.2">
      <c r="A233" s="767"/>
      <c r="B233" s="669"/>
      <c r="N233" s="9"/>
      <c r="P233" s="9"/>
      <c r="Q233" s="9"/>
      <c r="R233" s="9"/>
      <c r="S233" s="369" t="str">
        <f>+IF(MARZO!S233=0,"",MARZO!S233)</f>
        <v/>
      </c>
      <c r="T233" s="708" t="str">
        <f>+IF(MARZO!T233=0,"",MARZO!T233)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+IF(MARZO!S234=0,"",MARZO!S234)</f>
        <v>8000000</v>
      </c>
      <c r="T234" s="692" t="str">
        <f>+IF(MARZO!T234=0,"",MARZO!T234)</f>
        <v>Programas de Inversión</v>
      </c>
      <c r="U234" s="135">
        <f t="shared" ref="U234:AJ234" si="195">U235+U243</f>
        <v>303000000</v>
      </c>
      <c r="V234" s="124">
        <f t="shared" si="195"/>
        <v>-45000000</v>
      </c>
      <c r="W234" s="124">
        <f t="shared" si="195"/>
        <v>178000000</v>
      </c>
      <c r="X234" s="132">
        <f t="shared" si="195"/>
        <v>436000000</v>
      </c>
      <c r="Y234" s="131">
        <f t="shared" si="195"/>
        <v>52650000</v>
      </c>
      <c r="Z234" s="124">
        <f t="shared" si="195"/>
        <v>9400000</v>
      </c>
      <c r="AA234" s="132">
        <f t="shared" si="195"/>
        <v>62050000</v>
      </c>
      <c r="AB234" s="131">
        <f t="shared" si="195"/>
        <v>0</v>
      </c>
      <c r="AC234" s="124">
        <f t="shared" si="195"/>
        <v>5850000</v>
      </c>
      <c r="AD234" s="132">
        <f t="shared" si="195"/>
        <v>5850000</v>
      </c>
      <c r="AE234" s="131">
        <f t="shared" si="195"/>
        <v>0</v>
      </c>
      <c r="AF234" s="124">
        <f t="shared" si="195"/>
        <v>0</v>
      </c>
      <c r="AG234" s="132">
        <f t="shared" si="195"/>
        <v>0</v>
      </c>
      <c r="AH234" s="131">
        <f t="shared" si="195"/>
        <v>373950000</v>
      </c>
      <c r="AI234" s="124">
        <f t="shared" si="195"/>
        <v>430150000</v>
      </c>
      <c r="AJ234" s="133">
        <f t="shared" si="195"/>
        <v>436000000</v>
      </c>
      <c r="AK234" s="9"/>
      <c r="AL234" s="131">
        <f>AL235+AL243</f>
        <v>0</v>
      </c>
      <c r="AM234" s="133">
        <f>AM235+AM243</f>
        <v>0</v>
      </c>
      <c r="AN234" s="9"/>
    </row>
    <row r="235" spans="1:64" s="385" customFormat="1" ht="24.95" customHeight="1" x14ac:dyDescent="0.2">
      <c r="A235" s="767"/>
      <c r="B235" s="669"/>
      <c r="N235" s="9"/>
      <c r="P235" s="9"/>
      <c r="Q235" s="9"/>
      <c r="R235" s="9"/>
      <c r="S235" s="719">
        <f>+IF(MARZO!S235=0,"",MARZO!S235)</f>
        <v>8001000</v>
      </c>
      <c r="T235" s="693" t="str">
        <f>+IF(MARZO!T235=0,"",MARZO!T235)</f>
        <v>Formación Bruta del Capital</v>
      </c>
      <c r="U235" s="27">
        <f t="shared" ref="U235:AJ235" si="196">SUM(U236:U241)</f>
        <v>185000000</v>
      </c>
      <c r="V235" s="15">
        <f t="shared" si="196"/>
        <v>23000000</v>
      </c>
      <c r="W235" s="15">
        <f t="shared" si="196"/>
        <v>0</v>
      </c>
      <c r="X235" s="18">
        <f t="shared" si="196"/>
        <v>208000000</v>
      </c>
      <c r="Y235" s="19">
        <f t="shared" si="196"/>
        <v>0</v>
      </c>
      <c r="Z235" s="145">
        <f t="shared" si="196"/>
        <v>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208000000</v>
      </c>
      <c r="AI235" s="15">
        <f t="shared" si="196"/>
        <v>208000000</v>
      </c>
      <c r="AJ235" s="16">
        <f t="shared" si="196"/>
        <v>208000000</v>
      </c>
      <c r="AK235" s="9"/>
      <c r="AL235" s="29">
        <f>SUM(AL236:AL241)</f>
        <v>0</v>
      </c>
      <c r="AM235" s="26">
        <f>SUM(AM236:AM241)</f>
        <v>0</v>
      </c>
      <c r="AN235" s="9"/>
    </row>
    <row r="236" spans="1:64" s="385" customFormat="1" ht="24.95" customHeight="1" x14ac:dyDescent="0.2">
      <c r="A236" s="767"/>
      <c r="B236" s="669"/>
      <c r="N236" s="9"/>
      <c r="P236" s="9"/>
      <c r="Q236" s="9"/>
      <c r="R236" s="9"/>
      <c r="S236" s="720" t="str">
        <f>+IF(MARZO!S236=0,"",MARZO!S236)</f>
        <v>8001000-1</v>
      </c>
      <c r="T236" s="694" t="str">
        <f>+IF(MARZO!T236=0,"",MARZO!T236)</f>
        <v>Subprogr.Diseño Proyecto plan maestro, remodelacion y adec.primer piso</v>
      </c>
      <c r="U236" s="27">
        <f>+ENERO!U236</f>
        <v>60000000</v>
      </c>
      <c r="V236" s="15">
        <f>MARZO!V236+ABRIL!AL236</f>
        <v>0</v>
      </c>
      <c r="W236" s="15">
        <f>MARZO!W236+ABRIL!AM236</f>
        <v>0</v>
      </c>
      <c r="X236" s="18">
        <f t="shared" ref="X236:X241" si="197">SUM(U236:W236)</f>
        <v>60000000</v>
      </c>
      <c r="Y236" s="19">
        <f>MARZO!AA236</f>
        <v>0</v>
      </c>
      <c r="Z236" s="377">
        <v>0</v>
      </c>
      <c r="AA236" s="18">
        <f t="shared" ref="AA236:AA241" si="198">SUM(Y236:Z236)</f>
        <v>0</v>
      </c>
      <c r="AB236" s="19">
        <f>MARZO!AD236</f>
        <v>0</v>
      </c>
      <c r="AC236" s="377">
        <v>0</v>
      </c>
      <c r="AD236" s="18">
        <f t="shared" ref="AD236:AD241" si="199">SUM(AB236:AC236)</f>
        <v>0</v>
      </c>
      <c r="AE236" s="19">
        <f>MARZO!AG236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+IF(MARZO!S237=0,"",MARZO!S237)</f>
        <v>8001000-2</v>
      </c>
      <c r="T237" s="694" t="str">
        <f>+IF(MARZO!T237=0,"",MARZO!T237)</f>
        <v>Subprogr.Adquisicion de ambulancia</v>
      </c>
      <c r="U237" s="27">
        <f>+ENERO!U237</f>
        <v>50000000</v>
      </c>
      <c r="V237" s="15">
        <f>MARZO!V237+ABRIL!AL237</f>
        <v>0</v>
      </c>
      <c r="W237" s="15">
        <f>MARZO!W237+ABRIL!AM237</f>
        <v>0</v>
      </c>
      <c r="X237" s="18">
        <f t="shared" si="197"/>
        <v>50000000</v>
      </c>
      <c r="Y237" s="19">
        <f>MARZO!AA237</f>
        <v>0</v>
      </c>
      <c r="Z237" s="377">
        <v>0</v>
      </c>
      <c r="AA237" s="18">
        <f t="shared" si="198"/>
        <v>0</v>
      </c>
      <c r="AB237" s="19">
        <f>MARZO!AD237</f>
        <v>0</v>
      </c>
      <c r="AC237" s="377">
        <v>0</v>
      </c>
      <c r="AD237" s="18">
        <f t="shared" si="199"/>
        <v>0</v>
      </c>
      <c r="AE237" s="19">
        <f>MARZO!AG237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+IF(MARZO!S238=0,"",MARZO!S238)</f>
        <v>8001000-3</v>
      </c>
      <c r="T238" s="694" t="str">
        <f>+IF(MARZO!T238=0,"",MARZO!T238)</f>
        <v>Subprogr.Actualizacion software hacia NICSP y Adquisicion de Historias clinicas</v>
      </c>
      <c r="U238" s="27">
        <f>+ENERO!U238</f>
        <v>75000000</v>
      </c>
      <c r="V238" s="15">
        <f>MARZO!V238+ABRIL!AL238</f>
        <v>0</v>
      </c>
      <c r="W238" s="15">
        <f>MARZO!W238+ABRIL!AM238</f>
        <v>0</v>
      </c>
      <c r="X238" s="18">
        <f t="shared" si="197"/>
        <v>75000000</v>
      </c>
      <c r="Y238" s="19">
        <f>MARZO!AA238</f>
        <v>0</v>
      </c>
      <c r="Z238" s="377">
        <v>0</v>
      </c>
      <c r="AA238" s="18">
        <f t="shared" si="198"/>
        <v>0</v>
      </c>
      <c r="AB238" s="19">
        <f>MARZO!AD238</f>
        <v>0</v>
      </c>
      <c r="AC238" s="377">
        <v>0</v>
      </c>
      <c r="AD238" s="18">
        <f t="shared" si="199"/>
        <v>0</v>
      </c>
      <c r="AE238" s="19">
        <f>MARZO!AG238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+IF(MARZO!S239=0,"",MARZO!S239)</f>
        <v>8001000-4</v>
      </c>
      <c r="T239" s="694" t="str">
        <f>+IF(MARZO!T239=0,"",MARZO!T239)</f>
        <v>Subprogr.Construc. Remodelac. Adecuación y Apliac.4</v>
      </c>
      <c r="U239" s="27">
        <f>+ENERO!U239</f>
        <v>0</v>
      </c>
      <c r="V239" s="15">
        <f>MARZO!V239+ABRIL!AL239</f>
        <v>23000000</v>
      </c>
      <c r="W239" s="15">
        <f>MARZO!W239+ABRIL!AM239</f>
        <v>0</v>
      </c>
      <c r="X239" s="18">
        <f t="shared" si="197"/>
        <v>23000000</v>
      </c>
      <c r="Y239" s="19">
        <f>MARZO!AA239</f>
        <v>0</v>
      </c>
      <c r="Z239" s="377">
        <v>0</v>
      </c>
      <c r="AA239" s="18">
        <f t="shared" si="198"/>
        <v>0</v>
      </c>
      <c r="AB239" s="19">
        <f>MARZO!AD239</f>
        <v>0</v>
      </c>
      <c r="AC239" s="377">
        <v>0</v>
      </c>
      <c r="AD239" s="18">
        <f t="shared" si="199"/>
        <v>0</v>
      </c>
      <c r="AE239" s="19">
        <f>MARZO!AG239</f>
        <v>0</v>
      </c>
      <c r="AF239" s="377">
        <v>0</v>
      </c>
      <c r="AG239" s="18">
        <f t="shared" si="200"/>
        <v>0</v>
      </c>
      <c r="AH239" s="19">
        <f t="shared" si="201"/>
        <v>23000000</v>
      </c>
      <c r="AI239" s="15">
        <f t="shared" si="202"/>
        <v>23000000</v>
      </c>
      <c r="AJ239" s="16">
        <f t="shared" si="203"/>
        <v>23000000</v>
      </c>
      <c r="AK239" s="9"/>
      <c r="AL239" s="375">
        <v>0</v>
      </c>
      <c r="AM239" s="378">
        <v>0</v>
      </c>
      <c r="AN239" s="9"/>
    </row>
    <row r="240" spans="1:64" s="385" customFormat="1" ht="24.95" customHeight="1" x14ac:dyDescent="0.2">
      <c r="A240" s="767"/>
      <c r="B240" s="669"/>
      <c r="N240" s="9"/>
      <c r="P240" s="9"/>
      <c r="Q240" s="9"/>
      <c r="S240" s="720" t="str">
        <f>+IF(MARZO!S240=0,"",MARZO!S240)</f>
        <v>8001000-7</v>
      </c>
      <c r="T240" s="694" t="str">
        <f>+IF(MARZO!T240=0,"",MARZO!T240)</f>
        <v>Subprogr.Construc. Remodelac. Adecuación y Apliac.5</v>
      </c>
      <c r="U240" s="27">
        <f>+ENERO!U240</f>
        <v>0</v>
      </c>
      <c r="V240" s="15">
        <f>MARZO!V240+ABRIL!AL240</f>
        <v>0</v>
      </c>
      <c r="W240" s="15">
        <f>MARZO!W240+ABRIL!AM240</f>
        <v>0</v>
      </c>
      <c r="X240" s="18">
        <f t="shared" si="197"/>
        <v>0</v>
      </c>
      <c r="Y240" s="19">
        <f>MARZO!AA240</f>
        <v>0</v>
      </c>
      <c r="Z240" s="377">
        <v>0</v>
      </c>
      <c r="AA240" s="18">
        <f t="shared" si="198"/>
        <v>0</v>
      </c>
      <c r="AB240" s="19">
        <f>MARZO!AD240</f>
        <v>0</v>
      </c>
      <c r="AC240" s="377">
        <v>0</v>
      </c>
      <c r="AD240" s="18">
        <f t="shared" si="199"/>
        <v>0</v>
      </c>
      <c r="AE240" s="19">
        <f>MARZO!AG240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+IF(MARZO!S241=0,"",MARZO!S241)</f>
        <v>8001999</v>
      </c>
      <c r="T241" s="694" t="str">
        <f>+IF(MARZO!T241=0,"",MARZO!T241)</f>
        <v>Vigencias Anteriores</v>
      </c>
      <c r="U241" s="27">
        <f>+ENERO!U241</f>
        <v>0</v>
      </c>
      <c r="V241" s="15">
        <f>MARZO!V241+ABRIL!AL241</f>
        <v>0</v>
      </c>
      <c r="W241" s="15">
        <f>MARZO!W241+ABRIL!AM241</f>
        <v>0</v>
      </c>
      <c r="X241" s="18">
        <f t="shared" si="197"/>
        <v>0</v>
      </c>
      <c r="Y241" s="19">
        <f>MARZO!AA241</f>
        <v>0</v>
      </c>
      <c r="Z241" s="377">
        <v>0</v>
      </c>
      <c r="AA241" s="18">
        <f t="shared" si="198"/>
        <v>0</v>
      </c>
      <c r="AB241" s="19">
        <f>MARZO!AD241</f>
        <v>0</v>
      </c>
      <c r="AC241" s="377">
        <v>0</v>
      </c>
      <c r="AD241" s="18">
        <f t="shared" si="199"/>
        <v>0</v>
      </c>
      <c r="AE241" s="19">
        <f>MARZO!AG241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+IF(MARZO!S242=0,"",MARZO!S242)</f>
        <v/>
      </c>
      <c r="T242" s="708" t="str">
        <f>+IF(MARZO!T242=0,"",MARZO!T242)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+IF(MARZO!S243=0,"",MARZO!S243)</f>
        <v>8002001</v>
      </c>
      <c r="T243" s="693" t="str">
        <f>+IF(MARZO!T243=0,"",MARZO!T243)</f>
        <v>Gastos Operativos de Inversion   (Programas Especiales)</v>
      </c>
      <c r="U243" s="27">
        <f t="shared" ref="U243:AJ243" si="204">SUM(U244:U256)</f>
        <v>118000000</v>
      </c>
      <c r="V243" s="15">
        <f t="shared" si="204"/>
        <v>-68000000</v>
      </c>
      <c r="W243" s="15">
        <f t="shared" si="204"/>
        <v>178000000</v>
      </c>
      <c r="X243" s="18">
        <f t="shared" si="204"/>
        <v>228000000</v>
      </c>
      <c r="Y243" s="19">
        <f t="shared" si="204"/>
        <v>52650000</v>
      </c>
      <c r="Z243" s="145">
        <f t="shared" si="204"/>
        <v>9400000</v>
      </c>
      <c r="AA243" s="18">
        <f t="shared" si="204"/>
        <v>62050000</v>
      </c>
      <c r="AB243" s="19">
        <f t="shared" si="204"/>
        <v>0</v>
      </c>
      <c r="AC243" s="145">
        <f t="shared" si="204"/>
        <v>5850000</v>
      </c>
      <c r="AD243" s="18">
        <f t="shared" si="204"/>
        <v>5850000</v>
      </c>
      <c r="AE243" s="19">
        <f t="shared" si="204"/>
        <v>0</v>
      </c>
      <c r="AF243" s="145">
        <f t="shared" si="204"/>
        <v>0</v>
      </c>
      <c r="AG243" s="18">
        <f t="shared" si="204"/>
        <v>0</v>
      </c>
      <c r="AH243" s="19">
        <f t="shared" si="204"/>
        <v>165950000</v>
      </c>
      <c r="AI243" s="15">
        <f t="shared" si="204"/>
        <v>222150000</v>
      </c>
      <c r="AJ243" s="16">
        <f t="shared" si="204"/>
        <v>228000000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+IF(MARZO!S244=0,"",MARZO!S244)</f>
        <v>8002100-1</v>
      </c>
      <c r="T244" s="694" t="str">
        <f>+IF(MARZO!T244=0,"",MARZO!T244)</f>
        <v>Fondo de la Vivienda</v>
      </c>
      <c r="U244" s="27">
        <f>+ENERO!U244</f>
        <v>0</v>
      </c>
      <c r="V244" s="15">
        <f>MARZO!V244+ABRIL!AL244</f>
        <v>0</v>
      </c>
      <c r="W244" s="15">
        <f>MARZO!W244+ABRIL!AM244</f>
        <v>0</v>
      </c>
      <c r="X244" s="18">
        <f t="shared" ref="X244:X256" si="205">SUM(U244:W244)</f>
        <v>0</v>
      </c>
      <c r="Y244" s="19">
        <f>MARZO!AA244</f>
        <v>0</v>
      </c>
      <c r="Z244" s="377">
        <v>0</v>
      </c>
      <c r="AA244" s="18">
        <f t="shared" ref="AA244:AA256" si="206">SUM(Y244:Z244)</f>
        <v>0</v>
      </c>
      <c r="AB244" s="19">
        <f>MARZO!AD244</f>
        <v>0</v>
      </c>
      <c r="AC244" s="377">
        <v>0</v>
      </c>
      <c r="AD244" s="18">
        <f t="shared" ref="AD244:AD256" si="207">SUM(AB244:AC244)</f>
        <v>0</v>
      </c>
      <c r="AE244" s="19">
        <f>MARZO!AG244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+IF(MARZO!S245=0,"",MARZO!S245)</f>
        <v>8002100-2</v>
      </c>
      <c r="T245" s="694" t="str">
        <f>+IF(MARZO!T245=0,"",MARZO!T245)</f>
        <v>Programas Especial 01 Convenio APS Municipio</v>
      </c>
      <c r="U245" s="27">
        <f>+ENERO!U245</f>
        <v>94000000</v>
      </c>
      <c r="V245" s="15">
        <f>MARZO!V245+ABRIL!AL245</f>
        <v>-68000000</v>
      </c>
      <c r="W245" s="15">
        <f>MARZO!W245+ABRIL!AM245</f>
        <v>94000000</v>
      </c>
      <c r="X245" s="18">
        <f t="shared" si="205"/>
        <v>120000000</v>
      </c>
      <c r="Y245" s="19">
        <f>MARZO!AA245</f>
        <v>52650000</v>
      </c>
      <c r="Z245" s="377">
        <v>9400000</v>
      </c>
      <c r="AA245" s="18">
        <f t="shared" si="206"/>
        <v>62050000</v>
      </c>
      <c r="AB245" s="19">
        <f>MARZO!AD245</f>
        <v>0</v>
      </c>
      <c r="AC245" s="377">
        <v>5850000</v>
      </c>
      <c r="AD245" s="18">
        <f t="shared" si="207"/>
        <v>5850000</v>
      </c>
      <c r="AE245" s="19">
        <f>MARZO!AG245</f>
        <v>0</v>
      </c>
      <c r="AF245" s="377">
        <v>0</v>
      </c>
      <c r="AG245" s="18">
        <f t="shared" si="208"/>
        <v>0</v>
      </c>
      <c r="AH245" s="19">
        <f t="shared" si="209"/>
        <v>57950000</v>
      </c>
      <c r="AI245" s="15">
        <f t="shared" si="210"/>
        <v>114150000</v>
      </c>
      <c r="AJ245" s="16">
        <f t="shared" si="211"/>
        <v>120000000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+IF(MARZO!S246=0,"",MARZO!S246)</f>
        <v>8002100-3</v>
      </c>
      <c r="T246" s="694" t="str">
        <f>+IF(MARZO!T246=0,"",MARZO!T246)</f>
        <v>Programas Especial 02 Convenios APS  Departamento</v>
      </c>
      <c r="U246" s="27">
        <f>+ENERO!U246</f>
        <v>0</v>
      </c>
      <c r="V246" s="15">
        <f>MARZO!V246+ABRIL!AL246</f>
        <v>0</v>
      </c>
      <c r="W246" s="15">
        <f>MARZO!W246+ABRIL!AM246</f>
        <v>50000000</v>
      </c>
      <c r="X246" s="18">
        <f t="shared" si="205"/>
        <v>50000000</v>
      </c>
      <c r="Y246" s="19">
        <f>MARZO!AA246</f>
        <v>0</v>
      </c>
      <c r="Z246" s="377">
        <v>0</v>
      </c>
      <c r="AA246" s="18">
        <f t="shared" si="206"/>
        <v>0</v>
      </c>
      <c r="AB246" s="19">
        <f>MARZO!AD246</f>
        <v>0</v>
      </c>
      <c r="AC246" s="377">
        <v>0</v>
      </c>
      <c r="AD246" s="18">
        <f t="shared" si="207"/>
        <v>0</v>
      </c>
      <c r="AE246" s="19">
        <f>MARZO!AG246</f>
        <v>0</v>
      </c>
      <c r="AF246" s="377">
        <v>0</v>
      </c>
      <c r="AG246" s="18">
        <f t="shared" si="208"/>
        <v>0</v>
      </c>
      <c r="AH246" s="19">
        <f t="shared" si="209"/>
        <v>50000000</v>
      </c>
      <c r="AI246" s="15">
        <f t="shared" si="210"/>
        <v>50000000</v>
      </c>
      <c r="AJ246" s="16">
        <f t="shared" si="211"/>
        <v>50000000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+IF(MARZO!S247=0,"",MARZO!S247)</f>
        <v>8002100-4</v>
      </c>
      <c r="T247" s="694" t="str">
        <f>+IF(MARZO!T247=0,"",MARZO!T247)</f>
        <v>Subprogr. Implementacion Normas Internacionales de Contabilidad Publica</v>
      </c>
      <c r="U247" s="27">
        <f>+ENERO!U247</f>
        <v>0</v>
      </c>
      <c r="V247" s="15">
        <f>MARZO!V247+ABRIL!AL247</f>
        <v>0</v>
      </c>
      <c r="W247" s="15">
        <f>MARZO!W247+ABRIL!AM247</f>
        <v>0</v>
      </c>
      <c r="X247" s="18">
        <f t="shared" si="205"/>
        <v>0</v>
      </c>
      <c r="Y247" s="19">
        <f>MARZO!AA247</f>
        <v>0</v>
      </c>
      <c r="Z247" s="377">
        <v>0</v>
      </c>
      <c r="AA247" s="18">
        <f t="shared" si="206"/>
        <v>0</v>
      </c>
      <c r="AB247" s="19">
        <f>MARZO!AD247</f>
        <v>0</v>
      </c>
      <c r="AC247" s="377">
        <v>0</v>
      </c>
      <c r="AD247" s="18">
        <f t="shared" si="207"/>
        <v>0</v>
      </c>
      <c r="AE247" s="19">
        <f>MARZO!AG247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+IF(MARZO!S248=0,"",MARZO!S248)</f>
        <v>8002100-5</v>
      </c>
      <c r="T248" s="694" t="str">
        <f>+IF(MARZO!T248=0,"",MARZO!T248)</f>
        <v>Programas Especial 04 Convenio Puestos de Salud</v>
      </c>
      <c r="U248" s="27">
        <f>+ENERO!U248</f>
        <v>24000000</v>
      </c>
      <c r="V248" s="15">
        <f>MARZO!V248+ABRIL!AL248</f>
        <v>0</v>
      </c>
      <c r="W248" s="15">
        <f>MARZO!W248+ABRIL!AM248</f>
        <v>34000000</v>
      </c>
      <c r="X248" s="18">
        <f t="shared" si="205"/>
        <v>58000000</v>
      </c>
      <c r="Y248" s="19">
        <f>MARZO!AA248</f>
        <v>0</v>
      </c>
      <c r="Z248" s="377">
        <v>0</v>
      </c>
      <c r="AA248" s="18">
        <f t="shared" si="206"/>
        <v>0</v>
      </c>
      <c r="AB248" s="19">
        <f>MARZO!AD248</f>
        <v>0</v>
      </c>
      <c r="AC248" s="377">
        <v>0</v>
      </c>
      <c r="AD248" s="18">
        <f t="shared" si="207"/>
        <v>0</v>
      </c>
      <c r="AE248" s="19">
        <f>MARZO!AG248</f>
        <v>0</v>
      </c>
      <c r="AF248" s="377">
        <v>0</v>
      </c>
      <c r="AG248" s="18">
        <f t="shared" si="208"/>
        <v>0</v>
      </c>
      <c r="AH248" s="19">
        <f t="shared" si="209"/>
        <v>58000000</v>
      </c>
      <c r="AI248" s="15">
        <f t="shared" si="210"/>
        <v>58000000</v>
      </c>
      <c r="AJ248" s="16">
        <f t="shared" si="211"/>
        <v>58000000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+IF(MARZO!S249=0,"",MARZO!S249)</f>
        <v>8002100-6</v>
      </c>
      <c r="T249" s="694" t="str">
        <f>+IF(MARZO!T249=0,"",MARZO!T249)</f>
        <v>Programas Especial 05</v>
      </c>
      <c r="U249" s="27">
        <f>+ENERO!U249</f>
        <v>0</v>
      </c>
      <c r="V249" s="15">
        <f>MARZO!V249+ABRIL!AL249</f>
        <v>0</v>
      </c>
      <c r="W249" s="15">
        <f>MARZO!W249+ABRIL!AM249</f>
        <v>0</v>
      </c>
      <c r="X249" s="18">
        <f t="shared" si="205"/>
        <v>0</v>
      </c>
      <c r="Y249" s="19">
        <f>MARZO!AA249</f>
        <v>0</v>
      </c>
      <c r="Z249" s="377">
        <v>0</v>
      </c>
      <c r="AA249" s="18">
        <f t="shared" si="206"/>
        <v>0</v>
      </c>
      <c r="AB249" s="19">
        <f>MARZO!AD249</f>
        <v>0</v>
      </c>
      <c r="AC249" s="377">
        <v>0</v>
      </c>
      <c r="AD249" s="18">
        <f t="shared" si="207"/>
        <v>0</v>
      </c>
      <c r="AE249" s="19">
        <f>MARZO!AG249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+IF(MARZO!S250=0,"",MARZO!S250)</f>
        <v>8002100-7</v>
      </c>
      <c r="T250" s="694" t="str">
        <f>+IF(MARZO!T250=0,"",MARZO!T250)</f>
        <v>Programas Especial 06</v>
      </c>
      <c r="U250" s="27">
        <f>+ENERO!U250</f>
        <v>0</v>
      </c>
      <c r="V250" s="15">
        <f>MARZO!V250+ABRIL!AL250</f>
        <v>0</v>
      </c>
      <c r="W250" s="15">
        <f>MARZO!W250+ABRIL!AM250</f>
        <v>0</v>
      </c>
      <c r="X250" s="18">
        <f>SUM(U250:W250)</f>
        <v>0</v>
      </c>
      <c r="Y250" s="19">
        <f>MARZO!AA250</f>
        <v>0</v>
      </c>
      <c r="Z250" s="377">
        <v>0</v>
      </c>
      <c r="AA250" s="18">
        <f>SUM(Y250:Z250)</f>
        <v>0</v>
      </c>
      <c r="AB250" s="19">
        <f>MARZO!AD250</f>
        <v>0</v>
      </c>
      <c r="AC250" s="377">
        <v>0</v>
      </c>
      <c r="AD250" s="18">
        <f>SUM(AB250:AC250)</f>
        <v>0</v>
      </c>
      <c r="AE250" s="19">
        <f>MARZO!AG250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+IF(MARZO!S251=0,"",MARZO!S251)</f>
        <v>8002100-8</v>
      </c>
      <c r="T251" s="694" t="str">
        <f>+IF(MARZO!T251=0,"",MARZO!T251)</f>
        <v>Programas Especial 07</v>
      </c>
      <c r="U251" s="27">
        <f>+ENERO!U251</f>
        <v>0</v>
      </c>
      <c r="V251" s="15">
        <f>MARZO!V251+ABRIL!AL251</f>
        <v>0</v>
      </c>
      <c r="W251" s="15">
        <f>MARZO!W251+ABRIL!AM251</f>
        <v>0</v>
      </c>
      <c r="X251" s="18">
        <f>SUM(U251:W251)</f>
        <v>0</v>
      </c>
      <c r="Y251" s="19">
        <f>MARZO!AA251</f>
        <v>0</v>
      </c>
      <c r="Z251" s="377">
        <v>0</v>
      </c>
      <c r="AA251" s="18">
        <f>SUM(Y251:Z251)</f>
        <v>0</v>
      </c>
      <c r="AB251" s="19">
        <f>MARZO!AD251</f>
        <v>0</v>
      </c>
      <c r="AC251" s="377">
        <v>0</v>
      </c>
      <c r="AD251" s="18">
        <f>SUM(AB251:AC251)</f>
        <v>0</v>
      </c>
      <c r="AE251" s="19">
        <f>MARZO!AG251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+IF(MARZO!S252=0,"",MARZO!S252)</f>
        <v>8002100-9</v>
      </c>
      <c r="T252" s="694" t="str">
        <f>+IF(MARZO!T252=0,"",MARZO!T252)</f>
        <v>Programas Especial 08</v>
      </c>
      <c r="U252" s="27">
        <f>+ENERO!U252</f>
        <v>0</v>
      </c>
      <c r="V252" s="15">
        <f>MARZO!V252+ABRIL!AL252</f>
        <v>0</v>
      </c>
      <c r="W252" s="15">
        <f>MARZO!W252+ABRIL!AM252</f>
        <v>0</v>
      </c>
      <c r="X252" s="18">
        <f>SUM(U252:W252)</f>
        <v>0</v>
      </c>
      <c r="Y252" s="19">
        <f>MARZO!AA252</f>
        <v>0</v>
      </c>
      <c r="Z252" s="377">
        <v>0</v>
      </c>
      <c r="AA252" s="18">
        <f>SUM(Y252:Z252)</f>
        <v>0</v>
      </c>
      <c r="AB252" s="19">
        <f>MARZO!AD252</f>
        <v>0</v>
      </c>
      <c r="AC252" s="377">
        <v>0</v>
      </c>
      <c r="AD252" s="18">
        <f>SUM(AB252:AC252)</f>
        <v>0</v>
      </c>
      <c r="AE252" s="19">
        <f>MARZO!AG252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+IF(MARZO!S253=0,"",MARZO!S253)</f>
        <v>8002100-10</v>
      </c>
      <c r="T253" s="694" t="str">
        <f>+IF(MARZO!T253=0,"",MARZO!T253)</f>
        <v>Programas Especial 09</v>
      </c>
      <c r="U253" s="27">
        <f>+ENERO!U253</f>
        <v>0</v>
      </c>
      <c r="V253" s="15">
        <f>MARZO!V253+ABRIL!AL253</f>
        <v>0</v>
      </c>
      <c r="W253" s="15">
        <f>MARZO!W253+ABRIL!AM253</f>
        <v>0</v>
      </c>
      <c r="X253" s="18">
        <f>SUM(U253:W253)</f>
        <v>0</v>
      </c>
      <c r="Y253" s="19">
        <f>MARZO!AA253</f>
        <v>0</v>
      </c>
      <c r="Z253" s="377">
        <v>0</v>
      </c>
      <c r="AA253" s="18">
        <f>SUM(Y253:Z253)</f>
        <v>0</v>
      </c>
      <c r="AB253" s="19">
        <f>MARZO!AD253</f>
        <v>0</v>
      </c>
      <c r="AC253" s="377">
        <v>0</v>
      </c>
      <c r="AD253" s="18">
        <f>SUM(AB253:AC253)</f>
        <v>0</v>
      </c>
      <c r="AE253" s="19">
        <f>MARZO!AG253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+IF(MARZO!S254=0,"",MARZO!S254)</f>
        <v>8002100-11</v>
      </c>
      <c r="T254" s="694" t="str">
        <f>+IF(MARZO!T254=0,"",MARZO!T254)</f>
        <v>Programas Especial 10</v>
      </c>
      <c r="U254" s="27">
        <f>+ENERO!U254</f>
        <v>0</v>
      </c>
      <c r="V254" s="15">
        <f>MARZO!V254+ABRIL!AL254</f>
        <v>0</v>
      </c>
      <c r="W254" s="15">
        <f>MARZO!W254+ABRIL!AM254</f>
        <v>0</v>
      </c>
      <c r="X254" s="18">
        <f>SUM(U254:W254)</f>
        <v>0</v>
      </c>
      <c r="Y254" s="19">
        <f>MARZO!AA254</f>
        <v>0</v>
      </c>
      <c r="Z254" s="377">
        <v>0</v>
      </c>
      <c r="AA254" s="18">
        <f>SUM(Y254:Z254)</f>
        <v>0</v>
      </c>
      <c r="AB254" s="19">
        <f>MARZO!AD254</f>
        <v>0</v>
      </c>
      <c r="AC254" s="377">
        <v>0</v>
      </c>
      <c r="AD254" s="18">
        <f>SUM(AB254:AC254)</f>
        <v>0</v>
      </c>
      <c r="AE254" s="19">
        <f>MARZO!AG254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+IF(MARZO!S255=0,"",MARZO!S255)</f>
        <v>8002100-12</v>
      </c>
      <c r="T255" s="694" t="str">
        <f>+IF(MARZO!T255=0,"",MARZO!T255)</f>
        <v>Programas Especial 11</v>
      </c>
      <c r="U255" s="27">
        <f>+ENERO!U255</f>
        <v>0</v>
      </c>
      <c r="V255" s="15">
        <f>MARZO!V255+ABRIL!AL255</f>
        <v>0</v>
      </c>
      <c r="W255" s="15">
        <f>MARZO!W255+ABRIL!AM255</f>
        <v>0</v>
      </c>
      <c r="X255" s="18">
        <f t="shared" si="205"/>
        <v>0</v>
      </c>
      <c r="Y255" s="19">
        <f>MARZO!AA255</f>
        <v>0</v>
      </c>
      <c r="Z255" s="377">
        <v>0</v>
      </c>
      <c r="AA255" s="18">
        <f t="shared" si="206"/>
        <v>0</v>
      </c>
      <c r="AB255" s="19">
        <f>MARZO!AD255</f>
        <v>0</v>
      </c>
      <c r="AC255" s="377">
        <v>0</v>
      </c>
      <c r="AD255" s="18">
        <f t="shared" si="207"/>
        <v>0</v>
      </c>
      <c r="AE255" s="19">
        <f>MARZO!AG255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+IF(MARZO!S256=0,"",MARZO!S256)</f>
        <v>8002999</v>
      </c>
      <c r="T256" s="710" t="str">
        <f>+IF(MARZO!T256=0,"",MARZO!T256)</f>
        <v>Vigencias Anteriores</v>
      </c>
      <c r="U256" s="136">
        <f>+ENERO!U256</f>
        <v>0</v>
      </c>
      <c r="V256" s="123">
        <f>MARZO!V256+ABRIL!AL256</f>
        <v>0</v>
      </c>
      <c r="W256" s="123">
        <f>MARZO!W256+ABRIL!AM256</f>
        <v>0</v>
      </c>
      <c r="X256" s="129">
        <f t="shared" si="205"/>
        <v>0</v>
      </c>
      <c r="Y256" s="127">
        <f>MARZO!AA256</f>
        <v>0</v>
      </c>
      <c r="Z256" s="391">
        <v>0</v>
      </c>
      <c r="AA256" s="129">
        <f t="shared" si="206"/>
        <v>0</v>
      </c>
      <c r="AB256" s="127">
        <f>MARZO!AD256</f>
        <v>0</v>
      </c>
      <c r="AC256" s="391">
        <v>0</v>
      </c>
      <c r="AD256" s="129">
        <f t="shared" si="207"/>
        <v>0</v>
      </c>
      <c r="AE256" s="127">
        <f>MARZO!AG256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+IF(MARZO!S257=0,"",MARZO!S257)</f>
        <v/>
      </c>
      <c r="T257" s="707" t="str">
        <f>+IF(MARZO!T257=0,"",MARZO!T257)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+IF(MARZO!S258=0,"",MARZO!S258)</f>
        <v>E</v>
      </c>
      <c r="T258" s="711" t="str">
        <f>+IF(MARZO!T258=0,"",MARZO!T258)</f>
        <v>DISPONIBILIDAD FINAL</v>
      </c>
      <c r="U258" s="341">
        <f t="shared" ref="U258:AJ258" si="212">+(C10+C17+C113)-(U10+U207+U220+U232)</f>
        <v>0</v>
      </c>
      <c r="V258" s="341">
        <f t="shared" si="212"/>
        <v>0</v>
      </c>
      <c r="W258" s="341">
        <f t="shared" si="212"/>
        <v>0</v>
      </c>
      <c r="X258" s="341">
        <f t="shared" si="212"/>
        <v>0</v>
      </c>
      <c r="Y258" s="341">
        <f t="shared" si="212"/>
        <v>-255178208</v>
      </c>
      <c r="Z258" s="341">
        <f t="shared" si="212"/>
        <v>171482603</v>
      </c>
      <c r="AA258" s="341">
        <f t="shared" si="212"/>
        <v>-83695605</v>
      </c>
      <c r="AB258" s="341">
        <f t="shared" si="212"/>
        <v>-387008077</v>
      </c>
      <c r="AC258" s="341">
        <f t="shared" si="212"/>
        <v>-5797168</v>
      </c>
      <c r="AD258" s="341">
        <f t="shared" si="212"/>
        <v>-392805245</v>
      </c>
      <c r="AE258" s="341">
        <f t="shared" si="212"/>
        <v>1741923849</v>
      </c>
      <c r="AF258" s="341">
        <f t="shared" si="212"/>
        <v>2759712998</v>
      </c>
      <c r="AG258" s="341">
        <f t="shared" si="212"/>
        <v>-857666283</v>
      </c>
      <c r="AH258" s="341">
        <f t="shared" si="212"/>
        <v>-2297692440</v>
      </c>
      <c r="AI258" s="341">
        <f t="shared" si="212"/>
        <v>-2557933240</v>
      </c>
      <c r="AJ258" s="341">
        <f t="shared" si="212"/>
        <v>-2958220493</v>
      </c>
      <c r="AK258" s="9"/>
      <c r="AL258" s="341">
        <v>0</v>
      </c>
      <c r="AM258" s="342">
        <v>0</v>
      </c>
    </row>
    <row r="259" spans="1:39" ht="24.95" customHeight="1" thickBot="1" x14ac:dyDescent="0.25">
      <c r="S259" s="912" t="str">
        <f>+IF(MARZO!S259=0,"",MARZO!S259)</f>
        <v>TOTAL VIGENCIAS ANTERIORES</v>
      </c>
      <c r="T259" s="913"/>
      <c r="U259" s="125">
        <f t="shared" ref="U259:AJ259" si="213">+SUMIF($T$8:$T$256,$T$33,U8:U256)</f>
        <v>0</v>
      </c>
      <c r="V259" s="115">
        <f t="shared" si="213"/>
        <v>0</v>
      </c>
      <c r="W259" s="115">
        <f t="shared" si="213"/>
        <v>342364056</v>
      </c>
      <c r="X259" s="126">
        <f t="shared" si="213"/>
        <v>342364056</v>
      </c>
      <c r="Y259" s="125">
        <f t="shared" si="213"/>
        <v>340490276</v>
      </c>
      <c r="Z259" s="115">
        <f t="shared" si="213"/>
        <v>1873780</v>
      </c>
      <c r="AA259" s="126">
        <f t="shared" si="213"/>
        <v>342364056</v>
      </c>
      <c r="AB259" s="125">
        <f t="shared" si="213"/>
        <v>342364056</v>
      </c>
      <c r="AC259" s="115">
        <f t="shared" si="213"/>
        <v>0</v>
      </c>
      <c r="AD259" s="126">
        <f t="shared" si="213"/>
        <v>342364056</v>
      </c>
      <c r="AE259" s="125">
        <f t="shared" si="213"/>
        <v>218055907</v>
      </c>
      <c r="AF259" s="115">
        <f t="shared" si="213"/>
        <v>24176986</v>
      </c>
      <c r="AG259" s="126">
        <f t="shared" si="213"/>
        <v>242232893</v>
      </c>
      <c r="AH259" s="125">
        <f t="shared" si="213"/>
        <v>0</v>
      </c>
      <c r="AI259" s="115">
        <f t="shared" si="213"/>
        <v>0</v>
      </c>
      <c r="AJ259" s="116">
        <f t="shared" si="213"/>
        <v>100131163</v>
      </c>
      <c r="AK259" s="10"/>
      <c r="AL259" s="125">
        <f>+SUMIF(AK8:AK256,AK33,AL8:AL256)</f>
        <v>0</v>
      </c>
      <c r="AM259" s="116">
        <f>+SUMIF(AL8:AL256,AL33,AM8:AM256)</f>
        <v>163059600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6F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8" priority="1" stopIfTrue="1">
      <formula>$B$5="OJO - RECUERDE RECAUDAR LA DISPONIBLIDAD INICIAL EN ESTE TRIMESTRE, haga clik en H9 para ampliar la información"</formula>
    </cfRule>
  </conditionalFormatting>
  <dataValidations count="4">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BS260"/>
  <sheetViews>
    <sheetView showGridLines="0" topLeftCell="A109" zoomScale="80" zoomScaleNormal="80" workbookViewId="0">
      <selection activeCell="H123" sqref="H123"/>
    </sheetView>
  </sheetViews>
  <sheetFormatPr baseColWidth="10" defaultColWidth="0" defaultRowHeight="24.95" customHeight="1" x14ac:dyDescent="0.2"/>
  <cols>
    <col min="1" max="1" width="16.85546875" style="768" customWidth="1"/>
    <col min="2" max="2" width="49.85546875" style="670" customWidth="1"/>
    <col min="3" max="3" width="14.42578125" style="275" customWidth="1"/>
    <col min="4" max="4" width="16.140625" style="275" customWidth="1"/>
    <col min="5" max="6" width="14.42578125" style="275" customWidth="1"/>
    <col min="7" max="7" width="17.140625" style="275" customWidth="1"/>
    <col min="8" max="9" width="14.42578125" style="275" customWidth="1"/>
    <col min="10" max="10" width="15.28515625"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28515625" style="712" customWidth="1"/>
    <col min="20" max="20" width="60.140625" style="686" customWidth="1"/>
    <col min="21" max="21" width="16.140625" style="275" customWidth="1"/>
    <col min="22" max="23" width="14.7109375" style="275" customWidth="1"/>
    <col min="24" max="24" width="15.5703125" style="275" customWidth="1"/>
    <col min="25" max="25" width="15.42578125" style="275" customWidth="1"/>
    <col min="26" max="26" width="14.7109375" style="275" customWidth="1"/>
    <col min="27" max="27" width="16.28515625" style="275" customWidth="1"/>
    <col min="28" max="29" width="14.7109375" style="275" customWidth="1"/>
    <col min="30" max="30" width="16.140625" style="275" customWidth="1"/>
    <col min="31" max="32" width="14.7109375" style="275" customWidth="1"/>
    <col min="33" max="33" width="15.570312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3.425781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0.5"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5</v>
      </c>
      <c r="AP2" s="283" t="s">
        <v>8</v>
      </c>
      <c r="AQ2" s="284"/>
      <c r="AR2" s="3"/>
      <c r="AS2" s="3"/>
      <c r="AT2" s="3"/>
      <c r="AU2" s="3"/>
      <c r="AV2" s="3"/>
      <c r="AW2" s="3"/>
      <c r="AX2" s="3"/>
      <c r="AY2" s="3"/>
      <c r="AZ2" s="4"/>
      <c r="BB2" s="899" t="s">
        <v>404</v>
      </c>
      <c r="BC2" s="901"/>
      <c r="BD2" s="51" t="s">
        <v>392</v>
      </c>
      <c r="BE2" s="281" t="str">
        <f>+L3</f>
        <v>MAYO</v>
      </c>
      <c r="BF2" s="276"/>
      <c r="BG2" s="899" t="s">
        <v>405</v>
      </c>
      <c r="BH2" s="901"/>
      <c r="BI2" s="901"/>
      <c r="BJ2" s="51" t="s">
        <v>392</v>
      </c>
      <c r="BK2" s="281" t="str">
        <f>+BE2</f>
        <v>MAYO</v>
      </c>
      <c r="BM2" s="899" t="s">
        <v>405</v>
      </c>
      <c r="BN2" s="901"/>
      <c r="BO2" s="901"/>
      <c r="BP2" s="51" t="s">
        <v>392</v>
      </c>
      <c r="BQ2" s="281" t="str">
        <f>+BK2</f>
        <v>MAYO</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373</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MAYO</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298"/>
    </row>
    <row r="5" spans="1:69" ht="42" customHeight="1" thickBot="1" x14ac:dyDescent="0.3">
      <c r="A5" s="935" t="s">
        <v>19</v>
      </c>
      <c r="B5" s="937" t="s">
        <v>20</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5" t="str">
        <f>+CONCATENATE("ACUMULADO ",N3)</f>
        <v>ACUMULADO 2015</v>
      </c>
      <c r="BI5" s="876"/>
      <c r="BJ5" s="876"/>
      <c r="BK5" s="877"/>
      <c r="BM5" s="910" t="s">
        <v>34</v>
      </c>
      <c r="BN5" s="311" t="str">
        <f>+CONCATENATE("ACUMULADO ",BQ3)</f>
        <v>ACUMULADO 2015</v>
      </c>
      <c r="BO5" s="312"/>
      <c r="BP5" s="313"/>
      <c r="BQ5" s="314"/>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MAYO</v>
      </c>
      <c r="AS6" s="319" t="str">
        <f>AR6</f>
        <v>MAYO</v>
      </c>
      <c r="AT6" s="319" t="str">
        <f>AR6</f>
        <v>MAYO</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928032519</v>
      </c>
      <c r="AS7" s="330">
        <f>L22</f>
        <v>431192516</v>
      </c>
      <c r="AT7" s="13"/>
      <c r="AU7" s="331">
        <f t="shared" ref="AU7:AU17" si="0">IF(AQ7=0," ",AR7/AQ7)</f>
        <v>0.52766438171944352</v>
      </c>
      <c r="AV7" s="331">
        <f t="shared" ref="AV7:AV17" si="1">IF(AQ7=0," ",AS7/AQ7)</f>
        <v>0.24516913760991954</v>
      </c>
      <c r="AW7" s="330">
        <f>I23/AO$2*12+I24</f>
        <v>1679263731.1999998</v>
      </c>
      <c r="AX7" s="330">
        <f>L23/AO$2*12+L24</f>
        <v>486847724</v>
      </c>
      <c r="AY7" s="330">
        <f t="shared" ref="AY7:AY16" si="2">AW7-AQ7</f>
        <v>-79491551.800000191</v>
      </c>
      <c r="AZ7" s="332">
        <f t="shared" ref="AZ7:AZ16" si="3">AX7-AQ7</f>
        <v>-1271907559</v>
      </c>
      <c r="BB7" s="333" t="s">
        <v>55</v>
      </c>
      <c r="BC7" s="54">
        <f>F10</f>
        <v>90342061</v>
      </c>
      <c r="BD7" s="55">
        <f>I10</f>
        <v>90342061</v>
      </c>
      <c r="BE7" s="56">
        <f>K10</f>
        <v>0</v>
      </c>
      <c r="BF7" s="57"/>
      <c r="BG7" s="91" t="s">
        <v>56</v>
      </c>
      <c r="BH7" s="117">
        <f>+SUM(BH8:BH11)</f>
        <v>2735119353</v>
      </c>
      <c r="BI7" s="117">
        <f>+SUM(BI8:BI11)</f>
        <v>1188118703</v>
      </c>
      <c r="BJ7" s="117">
        <f>+SUM(BJ8:BJ11)</f>
        <v>1014348463</v>
      </c>
      <c r="BK7" s="117">
        <f>+SUM(BK8:BK11)</f>
        <v>231807717</v>
      </c>
      <c r="BM7" s="61" t="s">
        <v>56</v>
      </c>
      <c r="BN7" s="62">
        <f>BN8+BN15+BN22</f>
        <v>2735119353</v>
      </c>
      <c r="BO7" s="63">
        <f>BO8+BO15+BO22</f>
        <v>1188118703</v>
      </c>
      <c r="BP7" s="63">
        <f>BP8+BP15+BP22</f>
        <v>1014348463</v>
      </c>
      <c r="BQ7" s="64">
        <f>BQ8+BQ15+BQ22</f>
        <v>231807717</v>
      </c>
    </row>
    <row r="8" spans="1:69" s="9" customFormat="1" ht="24.95" customHeight="1" thickBot="1" x14ac:dyDescent="0.3">
      <c r="A8" s="744">
        <f>+IF(ABRIL!A8=0,"",ABRIL!A8)</f>
        <v>1</v>
      </c>
      <c r="B8" s="643" t="str">
        <f>+IF(ABRIL!B8=0,"",ABRIL!B8)</f>
        <v>INGRESOS</v>
      </c>
      <c r="C8" s="334">
        <f>C10+C17+C113</f>
        <v>3135701014</v>
      </c>
      <c r="D8" s="334">
        <f t="shared" ref="D8:N8" si="4">D10+D17+D113</f>
        <v>0</v>
      </c>
      <c r="E8" s="334">
        <f t="shared" si="4"/>
        <v>754899733</v>
      </c>
      <c r="F8" s="334">
        <f t="shared" si="4"/>
        <v>3890600747</v>
      </c>
      <c r="G8" s="334">
        <f t="shared" si="4"/>
        <v>1434498731</v>
      </c>
      <c r="H8" s="334">
        <f t="shared" si="4"/>
        <v>436270603</v>
      </c>
      <c r="I8" s="334">
        <f t="shared" si="4"/>
        <v>1870769334</v>
      </c>
      <c r="J8" s="334">
        <f t="shared" si="4"/>
        <v>837971691</v>
      </c>
      <c r="K8" s="334">
        <f t="shared" si="4"/>
        <v>340753250</v>
      </c>
      <c r="L8" s="334">
        <f t="shared" si="4"/>
        <v>1178724941</v>
      </c>
      <c r="M8" s="334">
        <f t="shared" si="4"/>
        <v>2019831413</v>
      </c>
      <c r="N8" s="334">
        <f t="shared" si="4"/>
        <v>2711875806</v>
      </c>
      <c r="O8" s="336"/>
      <c r="P8" s="337">
        <f t="shared" ref="P8:Q8" si="5">P10+P17+P113</f>
        <v>0</v>
      </c>
      <c r="Q8" s="335">
        <f t="shared" si="5"/>
        <v>74713971</v>
      </c>
      <c r="S8" s="715" t="str">
        <f>+IF(ABRIL!S8=0,"",ABRIL!S8)</f>
        <v/>
      </c>
      <c r="T8" s="687" t="str">
        <f>+IF(ABRIL!T8=0,"",ABRIL!T8)</f>
        <v>GASTOS</v>
      </c>
      <c r="U8" s="338">
        <f t="shared" ref="U8:AM8" si="6">U10+U207+U220+U232</f>
        <v>3135701014</v>
      </c>
      <c r="V8" s="339">
        <f t="shared" si="6"/>
        <v>0</v>
      </c>
      <c r="W8" s="339">
        <f t="shared" si="6"/>
        <v>754899733</v>
      </c>
      <c r="X8" s="340">
        <f t="shared" si="6"/>
        <v>3890600747</v>
      </c>
      <c r="Y8" s="341">
        <f t="shared" si="6"/>
        <v>1518194336</v>
      </c>
      <c r="Z8" s="339">
        <f t="shared" si="6"/>
        <v>248415912</v>
      </c>
      <c r="AA8" s="340">
        <f t="shared" si="6"/>
        <v>1766610248</v>
      </c>
      <c r="AB8" s="341">
        <f t="shared" si="6"/>
        <v>1230776936</v>
      </c>
      <c r="AC8" s="339">
        <f t="shared" si="6"/>
        <v>273914755</v>
      </c>
      <c r="AD8" s="340">
        <f t="shared" si="6"/>
        <v>1504691691</v>
      </c>
      <c r="AE8" s="341">
        <f t="shared" si="6"/>
        <v>857666283</v>
      </c>
      <c r="AF8" s="339">
        <f t="shared" si="6"/>
        <v>313380205</v>
      </c>
      <c r="AG8" s="340">
        <f t="shared" si="6"/>
        <v>1171046488</v>
      </c>
      <c r="AH8" s="341">
        <f t="shared" si="6"/>
        <v>2123990499</v>
      </c>
      <c r="AI8" s="339">
        <f t="shared" si="6"/>
        <v>2385909056</v>
      </c>
      <c r="AJ8" s="342">
        <f t="shared" si="6"/>
        <v>2719554259</v>
      </c>
      <c r="AL8" s="343">
        <f t="shared" si="6"/>
        <v>0</v>
      </c>
      <c r="AM8" s="344">
        <f t="shared" si="6"/>
        <v>74713971</v>
      </c>
      <c r="AO8" s="21"/>
      <c r="AP8" s="11" t="s">
        <v>58</v>
      </c>
      <c r="AQ8" s="12">
        <f>F25</f>
        <v>945539330</v>
      </c>
      <c r="AR8" s="12">
        <f>I25</f>
        <v>392636646</v>
      </c>
      <c r="AS8" s="12">
        <f>L25</f>
        <v>266313380</v>
      </c>
      <c r="AT8" s="13"/>
      <c r="AU8" s="345">
        <f t="shared" si="0"/>
        <v>0.41525152211278193</v>
      </c>
      <c r="AV8" s="345">
        <f t="shared" si="1"/>
        <v>0.28165235601569316</v>
      </c>
      <c r="AW8" s="12">
        <f>I26/AO$2*12+I27</f>
        <v>885668670.80000007</v>
      </c>
      <c r="AX8" s="12">
        <f>L26/AO$2*12+L27</f>
        <v>582492832.4000001</v>
      </c>
      <c r="AY8" s="12">
        <f t="shared" si="2"/>
        <v>-59870659.199999928</v>
      </c>
      <c r="AZ8" s="346">
        <f t="shared" si="3"/>
        <v>-363046497.5999999</v>
      </c>
      <c r="BB8" s="143" t="s">
        <v>59</v>
      </c>
      <c r="BC8" s="65">
        <f>BC9+BC19</f>
        <v>3195036512</v>
      </c>
      <c r="BD8" s="66">
        <f>BD9+BD19</f>
        <v>1292886356</v>
      </c>
      <c r="BE8" s="67">
        <f>BE9+BE19</f>
        <v>235998456</v>
      </c>
      <c r="BF8" s="57"/>
      <c r="BG8" s="68" t="s">
        <v>60</v>
      </c>
      <c r="BH8" s="69">
        <f>BN9+BN13</f>
        <v>1661552065</v>
      </c>
      <c r="BI8" s="69">
        <f>BO9+BO13</f>
        <v>630877431</v>
      </c>
      <c r="BJ8" s="69">
        <f>BP9+BP13</f>
        <v>630877431</v>
      </c>
      <c r="BK8" s="69">
        <f>BQ9+BQ13</f>
        <v>116284963</v>
      </c>
      <c r="BM8" s="71" t="s">
        <v>61</v>
      </c>
      <c r="BN8" s="72">
        <f>BN9+BN14+BN13</f>
        <v>2027881582</v>
      </c>
      <c r="BO8" s="69">
        <f>BO9+BO14+BO13</f>
        <v>867152598</v>
      </c>
      <c r="BP8" s="69">
        <f>BP9+BP14+BP13</f>
        <v>747709101</v>
      </c>
      <c r="BQ8" s="70">
        <f>BQ9+BQ14+BQ13</f>
        <v>153408263</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141284993</v>
      </c>
      <c r="AS9" s="12">
        <f>L28+L75</f>
        <v>124078235</v>
      </c>
      <c r="AT9" s="13"/>
      <c r="AU9" s="353">
        <f t="shared" si="0"/>
        <v>0.40283486098189214</v>
      </c>
      <c r="AV9" s="353">
        <f t="shared" si="1"/>
        <v>0.35377457637771581</v>
      </c>
      <c r="AW9" s="354">
        <f>(I30+I33+I36+I76)/AO$2*12+I31+I34+I37+I38+I39+I40+I77</f>
        <v>148859977.19999999</v>
      </c>
      <c r="AX9" s="354">
        <f>(L30+L33+L36+L76)/AO$2*12+L31+L34+L37+L38+L39+L40+L77</f>
        <v>124078235</v>
      </c>
      <c r="AY9" s="354">
        <f t="shared" si="2"/>
        <v>-201866850.80000001</v>
      </c>
      <c r="AZ9" s="355">
        <f t="shared" si="3"/>
        <v>-226648593</v>
      </c>
      <c r="BB9" s="356" t="s">
        <v>437</v>
      </c>
      <c r="BC9" s="73">
        <f>BC10+BC18</f>
        <v>3087854833</v>
      </c>
      <c r="BD9" s="74">
        <f>BD10+BD18</f>
        <v>1248831770</v>
      </c>
      <c r="BE9" s="75">
        <f>BE10+BE18</f>
        <v>228143506</v>
      </c>
      <c r="BF9" s="76"/>
      <c r="BG9" s="77" t="s">
        <v>64</v>
      </c>
      <c r="BH9" s="78">
        <f t="shared" ref="BH9:BK10" si="7">BN14</f>
        <v>366329517</v>
      </c>
      <c r="BI9" s="78">
        <f t="shared" si="7"/>
        <v>236275167</v>
      </c>
      <c r="BJ9" s="78">
        <f t="shared" si="7"/>
        <v>116831670</v>
      </c>
      <c r="BK9" s="78">
        <f t="shared" si="7"/>
        <v>37123300</v>
      </c>
      <c r="BM9" s="140" t="s">
        <v>65</v>
      </c>
      <c r="BN9" s="80">
        <f>SUM(BN10:BN12)</f>
        <v>1208004402</v>
      </c>
      <c r="BO9" s="78">
        <f>SUM(BO10:BO12)</f>
        <v>457483426</v>
      </c>
      <c r="BP9" s="78">
        <f>SUM(BP10:BP12)</f>
        <v>457483426</v>
      </c>
      <c r="BQ9" s="79">
        <f>SUM(BQ10:BQ12)</f>
        <v>92247154</v>
      </c>
    </row>
    <row r="10" spans="1:69" s="9" customFormat="1" ht="24.95" customHeight="1" x14ac:dyDescent="0.2">
      <c r="A10" s="745">
        <f>+IF(ABRIL!A10=0,"",ABRIL!A10)</f>
        <v>10</v>
      </c>
      <c r="B10" s="645" t="str">
        <f>+IF(ABRIL!B10=0,"",ABRIL!B10)</f>
        <v>DISPONIBILIDAD INICIAL</v>
      </c>
      <c r="C10" s="177">
        <f t="shared" ref="C10:N10" si="8">SUM(C12:C15)</f>
        <v>0</v>
      </c>
      <c r="D10" s="357">
        <f t="shared" si="8"/>
        <v>0</v>
      </c>
      <c r="E10" s="357">
        <f t="shared" si="8"/>
        <v>90342061</v>
      </c>
      <c r="F10" s="178">
        <f t="shared" si="8"/>
        <v>90342061</v>
      </c>
      <c r="G10" s="358">
        <f t="shared" si="8"/>
        <v>90342061</v>
      </c>
      <c r="H10" s="357">
        <f t="shared" si="8"/>
        <v>0</v>
      </c>
      <c r="I10" s="359">
        <f t="shared" si="8"/>
        <v>90342061</v>
      </c>
      <c r="J10" s="177">
        <f t="shared" si="8"/>
        <v>90342061</v>
      </c>
      <c r="K10" s="357">
        <f t="shared" si="8"/>
        <v>0</v>
      </c>
      <c r="L10" s="178">
        <f t="shared" si="8"/>
        <v>90342061</v>
      </c>
      <c r="M10" s="177">
        <f t="shared" si="8"/>
        <v>0</v>
      </c>
      <c r="N10" s="178">
        <f t="shared" si="8"/>
        <v>0</v>
      </c>
      <c r="O10" s="13"/>
      <c r="P10" s="177">
        <f>SUM(P12:P15)</f>
        <v>0</v>
      </c>
      <c r="Q10" s="178">
        <f>SUM(Q12:Q15)</f>
        <v>0</v>
      </c>
      <c r="S10" s="360" t="str">
        <f>+IF(ABRIL!S10=0,"",ABRIL!S10)</f>
        <v>A</v>
      </c>
      <c r="T10" s="688" t="str">
        <f>+IF(ABRIL!T10=0,"",ABRIL!T10)</f>
        <v>GASTOS DE FUNCIONAMIENTO</v>
      </c>
      <c r="U10" s="361">
        <f t="shared" ref="U10:AJ10" si="9">U12+U110+U170+U193</f>
        <v>2832701014</v>
      </c>
      <c r="V10" s="362">
        <f t="shared" si="9"/>
        <v>45000000</v>
      </c>
      <c r="W10" s="362">
        <f t="shared" si="9"/>
        <v>576899733</v>
      </c>
      <c r="X10" s="365">
        <f t="shared" si="9"/>
        <v>3454600747</v>
      </c>
      <c r="Y10" s="364">
        <f t="shared" si="9"/>
        <v>1456144336</v>
      </c>
      <c r="Z10" s="362">
        <f t="shared" si="9"/>
        <v>229785912</v>
      </c>
      <c r="AA10" s="365">
        <f t="shared" si="9"/>
        <v>1685930248</v>
      </c>
      <c r="AB10" s="364">
        <f t="shared" si="9"/>
        <v>1224926936</v>
      </c>
      <c r="AC10" s="362">
        <f t="shared" si="9"/>
        <v>265484755</v>
      </c>
      <c r="AD10" s="365">
        <f t="shared" si="9"/>
        <v>1490411691</v>
      </c>
      <c r="AE10" s="364">
        <f t="shared" si="9"/>
        <v>857666283</v>
      </c>
      <c r="AF10" s="362">
        <f t="shared" si="9"/>
        <v>300480205</v>
      </c>
      <c r="AG10" s="365">
        <f t="shared" si="9"/>
        <v>1158146488</v>
      </c>
      <c r="AH10" s="364">
        <f t="shared" si="9"/>
        <v>1768670499</v>
      </c>
      <c r="AI10" s="362">
        <f t="shared" si="9"/>
        <v>1964189056</v>
      </c>
      <c r="AJ10" s="363">
        <f t="shared" si="9"/>
        <v>2296454259</v>
      </c>
      <c r="AL10" s="366">
        <f>AL12+AL110+AL170+AL193</f>
        <v>0</v>
      </c>
      <c r="AM10" s="367">
        <f>AM12+AM110+AM170+AM193</f>
        <v>74713971</v>
      </c>
      <c r="AO10" s="352"/>
      <c r="AP10" s="11" t="s">
        <v>67</v>
      </c>
      <c r="AQ10" s="12">
        <f>F42</f>
        <v>111280673</v>
      </c>
      <c r="AR10" s="12">
        <f>I42</f>
        <v>27431733</v>
      </c>
      <c r="AS10" s="12">
        <f>L42</f>
        <v>27431733</v>
      </c>
      <c r="AT10" s="13"/>
      <c r="AU10" s="353">
        <f t="shared" si="0"/>
        <v>0.24650940958992942</v>
      </c>
      <c r="AV10" s="353">
        <f t="shared" si="1"/>
        <v>0.24650940958992942</v>
      </c>
      <c r="AW10" s="354">
        <f>I43/AO$2*12+I44</f>
        <v>65836159.199999996</v>
      </c>
      <c r="AX10" s="354">
        <f>L43/AO$2*12+L44</f>
        <v>65836159.199999996</v>
      </c>
      <c r="AY10" s="354">
        <f t="shared" si="2"/>
        <v>-45444513.800000004</v>
      </c>
      <c r="AZ10" s="355">
        <f t="shared" si="3"/>
        <v>-45444513.800000004</v>
      </c>
      <c r="BB10" s="368" t="s">
        <v>438</v>
      </c>
      <c r="BC10" s="73">
        <f>BC11+BC12+BC13+BC14+BC16+BC17+BC15</f>
        <v>3013140862</v>
      </c>
      <c r="BD10" s="74">
        <f>BD11+BD12+BD13+BD14+BD16+BD17+BD15</f>
        <v>1187526640</v>
      </c>
      <c r="BE10" s="75">
        <f>BE11+BE12+BE13+BE14+BE16+BE17+BE15</f>
        <v>166838376</v>
      </c>
      <c r="BF10" s="76"/>
      <c r="BG10" s="68" t="s">
        <v>68</v>
      </c>
      <c r="BH10" s="81">
        <f t="shared" si="7"/>
        <v>641665487</v>
      </c>
      <c r="BI10" s="81">
        <f t="shared" si="7"/>
        <v>301258281</v>
      </c>
      <c r="BJ10" s="81">
        <f t="shared" si="7"/>
        <v>246931538</v>
      </c>
      <c r="BK10" s="81">
        <f t="shared" si="7"/>
        <v>74237764</v>
      </c>
      <c r="BM10" s="137" t="s">
        <v>450</v>
      </c>
      <c r="BN10" s="83">
        <f>X17+X66</f>
        <v>945471180</v>
      </c>
      <c r="BO10" s="81">
        <f>AA17+AA66</f>
        <v>387508147</v>
      </c>
      <c r="BP10" s="81">
        <f>AD17+AD66</f>
        <v>387508147</v>
      </c>
      <c r="BQ10" s="82">
        <f>AF17+AF66</f>
        <v>77590474</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11" t="s">
        <v>559</v>
      </c>
      <c r="AQ11" s="12">
        <f>F88</f>
        <v>0</v>
      </c>
      <c r="AR11" s="12">
        <f>I88</f>
        <v>0</v>
      </c>
      <c r="AS11" s="12">
        <f>L88</f>
        <v>0</v>
      </c>
      <c r="AT11" s="374">
        <f>AO2/12</f>
        <v>0.41666666666666669</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352165732</v>
      </c>
      <c r="BE11" s="75">
        <f>K26</f>
        <v>51064332</v>
      </c>
      <c r="BF11" s="76"/>
      <c r="BG11" s="68" t="s">
        <v>69</v>
      </c>
      <c r="BH11" s="84">
        <f>BN22</f>
        <v>65572284</v>
      </c>
      <c r="BI11" s="84">
        <f>BO22</f>
        <v>19707824</v>
      </c>
      <c r="BJ11" s="84">
        <f>BP22</f>
        <v>19707824</v>
      </c>
      <c r="BK11" s="84">
        <f>BQ22</f>
        <v>4161690</v>
      </c>
      <c r="BM11" s="138" t="s">
        <v>451</v>
      </c>
      <c r="BN11" s="86">
        <f>X18+X67</f>
        <v>90039980</v>
      </c>
      <c r="BO11" s="84">
        <f>AA18+AA67</f>
        <v>64931764</v>
      </c>
      <c r="BP11" s="84">
        <f>AD18+AD67</f>
        <v>64931764</v>
      </c>
      <c r="BQ11" s="85">
        <f>AF18+AF67</f>
        <v>13831851</v>
      </c>
    </row>
    <row r="12" spans="1:69" s="9" customFormat="1" ht="24.95" customHeight="1" x14ac:dyDescent="0.2">
      <c r="A12" s="618">
        <f>+IF(ABRIL!A12=0,"",ABRIL!A12)</f>
        <v>1001</v>
      </c>
      <c r="B12" s="646" t="str">
        <f>+IF(ABRIL!B12=0,"",ABRIL!B12)</f>
        <v>Bienestar Social (Caja, Bancos, Inversiones Tempor.) a Dic-31-2014</v>
      </c>
      <c r="C12" s="375">
        <f>+ENERO!C12</f>
        <v>0</v>
      </c>
      <c r="D12" s="376">
        <f>ABRIL!D12+MAYO!P12</f>
        <v>0</v>
      </c>
      <c r="E12" s="376">
        <f>ABRIL!E12+MAYO!Q12</f>
        <v>81553</v>
      </c>
      <c r="F12" s="146">
        <f>SUM(C12:E12)</f>
        <v>81553</v>
      </c>
      <c r="G12" s="222">
        <f>ABRIL!I12</f>
        <v>81553</v>
      </c>
      <c r="H12" s="377">
        <v>0</v>
      </c>
      <c r="I12" s="146">
        <f>SUM(G12:H12)</f>
        <v>81553</v>
      </c>
      <c r="J12" s="222">
        <f>ABRIL!L12</f>
        <v>81553</v>
      </c>
      <c r="K12" s="134">
        <f>+H12</f>
        <v>0</v>
      </c>
      <c r="L12" s="146">
        <f>SUM(J12:K12)</f>
        <v>81553</v>
      </c>
      <c r="M12" s="222">
        <f>F12-I12</f>
        <v>0</v>
      </c>
      <c r="N12" s="146">
        <f>F12-L12</f>
        <v>0</v>
      </c>
      <c r="O12" s="297"/>
      <c r="P12" s="375">
        <v>0</v>
      </c>
      <c r="Q12" s="378">
        <v>0</v>
      </c>
      <c r="S12" s="716">
        <f>+IF(ABRIL!S12=0,"",ABRIL!S12)</f>
        <v>1000000</v>
      </c>
      <c r="T12" s="690" t="str">
        <f>+IF(ABRIL!T12=0,"",ABRIL!T12)</f>
        <v>GASTOS DE PERSONAL</v>
      </c>
      <c r="U12" s="379">
        <f t="shared" ref="U12:AJ12" si="10">U14+U63</f>
        <v>1994472741</v>
      </c>
      <c r="V12" s="380">
        <f t="shared" si="10"/>
        <v>20000000</v>
      </c>
      <c r="W12" s="380">
        <f t="shared" si="10"/>
        <v>152721141</v>
      </c>
      <c r="X12" s="381">
        <f t="shared" si="10"/>
        <v>2167193882</v>
      </c>
      <c r="Y12" s="366">
        <f t="shared" si="10"/>
        <v>851392091</v>
      </c>
      <c r="Z12" s="380">
        <f t="shared" si="10"/>
        <v>155072807</v>
      </c>
      <c r="AA12" s="381">
        <f t="shared" si="10"/>
        <v>1006464898</v>
      </c>
      <c r="AB12" s="366">
        <f t="shared" si="10"/>
        <v>711210594</v>
      </c>
      <c r="AC12" s="380">
        <f t="shared" si="10"/>
        <v>175810807</v>
      </c>
      <c r="AD12" s="381">
        <f t="shared" si="10"/>
        <v>887021401</v>
      </c>
      <c r="AE12" s="366">
        <f t="shared" si="10"/>
        <v>623260231</v>
      </c>
      <c r="AF12" s="380">
        <f t="shared" si="10"/>
        <v>153408263</v>
      </c>
      <c r="AG12" s="381">
        <f t="shared" si="10"/>
        <v>776668494</v>
      </c>
      <c r="AH12" s="366">
        <f t="shared" si="10"/>
        <v>1160728984</v>
      </c>
      <c r="AI12" s="380">
        <f t="shared" si="10"/>
        <v>1280172481</v>
      </c>
      <c r="AJ12" s="367">
        <f t="shared" si="10"/>
        <v>1390525388</v>
      </c>
      <c r="AK12" s="10"/>
      <c r="AL12" s="382">
        <f>AL14+AL63</f>
        <v>0</v>
      </c>
      <c r="AM12" s="383">
        <f>AM14+AM63</f>
        <v>13408841</v>
      </c>
      <c r="AO12" s="373"/>
      <c r="AP12" s="14" t="s">
        <v>560</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536593723</v>
      </c>
      <c r="BE12" s="75">
        <f>K23</f>
        <v>37100323</v>
      </c>
      <c r="BF12" s="76"/>
      <c r="BG12" s="384" t="s">
        <v>395</v>
      </c>
      <c r="BH12" s="84">
        <f>BN25</f>
        <v>377117338</v>
      </c>
      <c r="BI12" s="15">
        <f>BO25</f>
        <v>155447489</v>
      </c>
      <c r="BJ12" s="84">
        <f>BP25</f>
        <v>133699172</v>
      </c>
      <c r="BK12" s="84">
        <f>BQ25</f>
        <v>15160960</v>
      </c>
      <c r="BM12" s="139" t="s">
        <v>452</v>
      </c>
      <c r="BN12" s="86">
        <f>X16+X65-X81-X33-BN10-BN11</f>
        <v>172493242</v>
      </c>
      <c r="BO12" s="84">
        <f>AA16+AA65-AA81-AA33-BO10-BO11</f>
        <v>5043515</v>
      </c>
      <c r="BP12" s="84">
        <f>AD16+AD65-AD81-AD33-BP10-BP11</f>
        <v>5043515</v>
      </c>
      <c r="BQ12" s="85">
        <f>AF16+AF65-AF81-AF33-BQ10-BQ11</f>
        <v>824829</v>
      </c>
    </row>
    <row r="13" spans="1:69" s="9" customFormat="1" ht="24.95" customHeight="1" x14ac:dyDescent="0.25">
      <c r="A13" s="618">
        <f>+IF(ABRIL!A13=0,"",ABRIL!A13)</f>
        <v>1002</v>
      </c>
      <c r="B13" s="646" t="str">
        <f>+IF(ABRIL!B13=0,"",ABRIL!B13)</f>
        <v>Fondo Vivienda (Caja, Bancos, Inversiones Tempor.) a Dic-31-2014</v>
      </c>
      <c r="C13" s="375">
        <f>+ENERO!C13</f>
        <v>0</v>
      </c>
      <c r="D13" s="376">
        <f>ABRIL!D13+MAYO!P13</f>
        <v>0</v>
      </c>
      <c r="E13" s="376">
        <f>ABRIL!E13+MAYO!Q13</f>
        <v>0</v>
      </c>
      <c r="F13" s="146">
        <f>SUM(C13:E13)</f>
        <v>0</v>
      </c>
      <c r="G13" s="222">
        <f>ABRIL!I13</f>
        <v>0</v>
      </c>
      <c r="H13" s="377">
        <v>0</v>
      </c>
      <c r="I13" s="146">
        <f>SUM(G13:H13)</f>
        <v>0</v>
      </c>
      <c r="J13" s="222">
        <f>ABRIL!L13</f>
        <v>0</v>
      </c>
      <c r="K13" s="134">
        <f>+H13</f>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14" t="s">
        <v>561</v>
      </c>
      <c r="AQ13" s="12">
        <f>F90</f>
        <v>24000000</v>
      </c>
      <c r="AR13" s="12">
        <f>I90</f>
        <v>8240000</v>
      </c>
      <c r="AS13" s="12">
        <f>L90</f>
        <v>2400000</v>
      </c>
      <c r="AT13" s="13"/>
      <c r="AU13" s="353">
        <f t="shared" si="0"/>
        <v>0.34333333333333332</v>
      </c>
      <c r="AV13" s="353">
        <f t="shared" si="1"/>
        <v>0.1</v>
      </c>
      <c r="AW13" s="354">
        <f>I90</f>
        <v>8240000</v>
      </c>
      <c r="AX13" s="354">
        <f>L90</f>
        <v>2400000</v>
      </c>
      <c r="AY13" s="354">
        <f t="shared" si="2"/>
        <v>-15760000</v>
      </c>
      <c r="AZ13" s="355">
        <f t="shared" si="3"/>
        <v>-21600000</v>
      </c>
      <c r="BA13" s="385"/>
      <c r="BB13" s="386" t="s">
        <v>441</v>
      </c>
      <c r="BC13" s="87">
        <f>+F30+F33+F36+F38+F39+F40</f>
        <v>350726828</v>
      </c>
      <c r="BD13" s="88">
        <f>+I30+I33+I36+I38+I39+I40</f>
        <v>141284993</v>
      </c>
      <c r="BE13" s="89">
        <f>+K30+K33+K36+K38+K39+K40</f>
        <v>24815647</v>
      </c>
      <c r="BF13" s="90"/>
      <c r="BG13" s="91" t="s">
        <v>72</v>
      </c>
      <c r="BH13" s="84">
        <f t="shared" ref="BH13:BK15" si="11">BN29</f>
        <v>436000000</v>
      </c>
      <c r="BI13" s="84">
        <f t="shared" si="11"/>
        <v>80680000</v>
      </c>
      <c r="BJ13" s="84">
        <f t="shared" si="11"/>
        <v>14280000</v>
      </c>
      <c r="BK13" s="84">
        <f t="shared" si="11"/>
        <v>12900000</v>
      </c>
      <c r="BM13" s="142" t="s">
        <v>453</v>
      </c>
      <c r="BN13" s="83">
        <f>X43-X55+X57-X61+X90-X102+X104-X108</f>
        <v>453547663</v>
      </c>
      <c r="BO13" s="81">
        <f>AA43-AA55+AA57-AA61+AA90-AA102+AA104-AA108</f>
        <v>173394005</v>
      </c>
      <c r="BP13" s="81">
        <f>AD43-AD55+AD57-AD61+AD90-AD102+AD104-AD108</f>
        <v>173394005</v>
      </c>
      <c r="BQ13" s="82">
        <f>AF43-AF55+AF57-AF61+AF90-AF102+AF104-AF108</f>
        <v>24037809</v>
      </c>
    </row>
    <row r="14" spans="1:69" s="9" customFormat="1" ht="24.95" customHeight="1" x14ac:dyDescent="0.25">
      <c r="A14" s="618">
        <f>+IF(ABRIL!A14=0,"",ABRIL!A14)</f>
        <v>1003</v>
      </c>
      <c r="B14" s="646" t="str">
        <f>+IF(ABRIL!B14=0,"",ABRIL!B14)</f>
        <v>Fondos Comunes y Especiales (Caja, Bancos, Invers. Tempor.) a Dic-31-2014</v>
      </c>
      <c r="C14" s="375">
        <f>+ENERO!C14</f>
        <v>0</v>
      </c>
      <c r="D14" s="376">
        <f>ABRIL!D14+MAYO!P14</f>
        <v>0</v>
      </c>
      <c r="E14" s="376">
        <f>ABRIL!E14+MAYO!Q14</f>
        <v>11310362</v>
      </c>
      <c r="F14" s="146">
        <f>SUM(C14:E14)</f>
        <v>11310362</v>
      </c>
      <c r="G14" s="222">
        <f>ABRIL!I14</f>
        <v>11310362</v>
      </c>
      <c r="H14" s="377">
        <v>0</v>
      </c>
      <c r="I14" s="146">
        <f>SUM(G14:H14)</f>
        <v>11310362</v>
      </c>
      <c r="J14" s="222">
        <f>ABRIL!L14</f>
        <v>11310362</v>
      </c>
      <c r="K14" s="134">
        <f>+H14</f>
        <v>0</v>
      </c>
      <c r="L14" s="146">
        <f>SUM(J14:K14)</f>
        <v>11310362</v>
      </c>
      <c r="M14" s="222">
        <f>F14-I14</f>
        <v>0</v>
      </c>
      <c r="N14" s="146">
        <f>F14-L14</f>
        <v>0</v>
      </c>
      <c r="O14" s="385"/>
      <c r="P14" s="375">
        <v>0</v>
      </c>
      <c r="Q14" s="378">
        <v>0</v>
      </c>
      <c r="S14" s="717">
        <f>+IF(ABRIL!S14=0,"",ABRIL!S14)</f>
        <v>1010000</v>
      </c>
      <c r="T14" s="691" t="str">
        <f>+IF(ABRIL!T14=0,"",ABRIL!T14)</f>
        <v>Gastos de Administración</v>
      </c>
      <c r="U14" s="135">
        <f t="shared" ref="U14:AJ14" si="12">U16+U35+U43+U57</f>
        <v>717551072</v>
      </c>
      <c r="V14" s="124">
        <f t="shared" si="12"/>
        <v>0</v>
      </c>
      <c r="W14" s="124">
        <f t="shared" si="12"/>
        <v>74426723</v>
      </c>
      <c r="X14" s="132">
        <f t="shared" si="12"/>
        <v>791977795</v>
      </c>
      <c r="Y14" s="131">
        <f t="shared" si="12"/>
        <v>352995233</v>
      </c>
      <c r="Z14" s="124">
        <f t="shared" si="12"/>
        <v>50565559</v>
      </c>
      <c r="AA14" s="132">
        <f t="shared" si="12"/>
        <v>403560792</v>
      </c>
      <c r="AB14" s="131">
        <f t="shared" si="12"/>
        <v>249718403</v>
      </c>
      <c r="AC14" s="124">
        <f t="shared" si="12"/>
        <v>59265559</v>
      </c>
      <c r="AD14" s="132">
        <f t="shared" si="12"/>
        <v>308983962</v>
      </c>
      <c r="AE14" s="131">
        <f t="shared" si="12"/>
        <v>212051213</v>
      </c>
      <c r="AF14" s="124">
        <f t="shared" si="12"/>
        <v>52732264</v>
      </c>
      <c r="AG14" s="132">
        <f t="shared" si="12"/>
        <v>264783477</v>
      </c>
      <c r="AH14" s="131">
        <f t="shared" si="12"/>
        <v>388417003</v>
      </c>
      <c r="AI14" s="124">
        <f t="shared" si="12"/>
        <v>482993833</v>
      </c>
      <c r="AJ14" s="133">
        <f t="shared" si="12"/>
        <v>527194318</v>
      </c>
      <c r="AK14" s="10"/>
      <c r="AL14" s="131">
        <f>AL16+AL35+AL43+AL57</f>
        <v>0</v>
      </c>
      <c r="AM14" s="133">
        <f>AM16+AM35+AM43+AM57</f>
        <v>13408841</v>
      </c>
      <c r="AO14" s="21"/>
      <c r="AP14" s="11" t="s">
        <v>75</v>
      </c>
      <c r="AQ14" s="12">
        <f>F19-AQ7-AQ8-AQ9-AQ10-AQ11-AQ12-AQ13</f>
        <v>318225176</v>
      </c>
      <c r="AR14" s="12">
        <f>I19-AR7-AR8-AR9-AR10-AR11-AR12-AR13</f>
        <v>140525881</v>
      </c>
      <c r="AS14" s="12">
        <f>L19-AS7-AS8-AS9-AS10-AS11-AS12-AS13</f>
        <v>102020858</v>
      </c>
      <c r="AT14" s="385"/>
      <c r="AU14" s="353">
        <f t="shared" si="0"/>
        <v>0.44159259416985913</v>
      </c>
      <c r="AV14" s="353">
        <f t="shared" si="1"/>
        <v>0.32059329586166996</v>
      </c>
      <c r="AW14" s="354">
        <f>(I41+I46+I49+I52+I55+I58+I61+I64+I67+I70+I73+I78+I81+I82+I83+I85+I94+I104)/AO$2*12+I47+I50+I53+I56+I59+I62+I65+I68+I71+I74</f>
        <v>598550528</v>
      </c>
      <c r="AX14" s="354">
        <f>(L41+L46+L49+L52+L55+L58+L61+L64+L67+L70+L73+L78+L81+L82+L83+L85+L94+L104)/AO$2*12+L47+L50+L53+L56+L59+L62+L65+L68+L71+L74</f>
        <v>474532049.59999996</v>
      </c>
      <c r="AY14" s="354">
        <f t="shared" si="2"/>
        <v>280325352</v>
      </c>
      <c r="AZ14" s="355">
        <f t="shared" si="3"/>
        <v>156306873.59999996</v>
      </c>
      <c r="BB14" s="386" t="s">
        <v>442</v>
      </c>
      <c r="BC14" s="92">
        <f>+F64</f>
        <v>22951026</v>
      </c>
      <c r="BD14" s="93">
        <f>+I64</f>
        <v>10054210</v>
      </c>
      <c r="BE14" s="94">
        <f>K64</f>
        <v>651266</v>
      </c>
      <c r="BF14" s="95"/>
      <c r="BG14" s="91" t="s">
        <v>76</v>
      </c>
      <c r="BH14" s="81">
        <f t="shared" si="11"/>
        <v>0</v>
      </c>
      <c r="BI14" s="81">
        <f t="shared" si="11"/>
        <v>0</v>
      </c>
      <c r="BJ14" s="81">
        <f t="shared" si="11"/>
        <v>0</v>
      </c>
      <c r="BK14" s="81">
        <f t="shared" si="11"/>
        <v>0</v>
      </c>
      <c r="BM14" s="141" t="s">
        <v>449</v>
      </c>
      <c r="BN14" s="86">
        <f>X35-X41+X83-X88</f>
        <v>366329517</v>
      </c>
      <c r="BO14" s="84">
        <f>AA35-AA41+AA83-AA88</f>
        <v>236275167</v>
      </c>
      <c r="BP14" s="84">
        <f>AD35-AD41+AD83-AD88</f>
        <v>116831670</v>
      </c>
      <c r="BQ14" s="85">
        <f>AF35-AF41+AF83-AF88</f>
        <v>37123300</v>
      </c>
    </row>
    <row r="15" spans="1:69" s="9" customFormat="1" ht="24.95" customHeight="1" thickBot="1" x14ac:dyDescent="0.3">
      <c r="A15" s="619">
        <f>+IF(ABRIL!A15=0,"",ABRIL!A15)</f>
        <v>1004</v>
      </c>
      <c r="B15" s="646" t="str">
        <f>+IF(ABRIL!B15=0,"",ABRIL!B15)</f>
        <v>Cesantias Ley 50/1990 a Dic-31-2014</v>
      </c>
      <c r="C15" s="387">
        <f>+ENERO!C15</f>
        <v>0</v>
      </c>
      <c r="D15" s="388">
        <f>ABRIL!D15+MAYO!P15</f>
        <v>0</v>
      </c>
      <c r="E15" s="388">
        <f>ABRIL!E15+MAYO!Q15</f>
        <v>78950146</v>
      </c>
      <c r="F15" s="389">
        <f>SUM(C15:E15)</f>
        <v>78950146</v>
      </c>
      <c r="G15" s="390">
        <f>ABRIL!I15</f>
        <v>78950146</v>
      </c>
      <c r="H15" s="391">
        <v>0</v>
      </c>
      <c r="I15" s="389">
        <f>SUM(G15:H15)</f>
        <v>78950146</v>
      </c>
      <c r="J15" s="390">
        <f>ABRIL!L15</f>
        <v>78950146</v>
      </c>
      <c r="K15" s="168">
        <f>+H15</f>
        <v>0</v>
      </c>
      <c r="L15" s="389">
        <f>SUM(J15:K15)</f>
        <v>78950146</v>
      </c>
      <c r="M15" s="390">
        <f>F15-I15</f>
        <v>0</v>
      </c>
      <c r="N15" s="389">
        <f>F15-L15</f>
        <v>0</v>
      </c>
      <c r="O15" s="385"/>
      <c r="P15" s="387">
        <v>0</v>
      </c>
      <c r="Q15" s="392">
        <v>0</v>
      </c>
      <c r="S15" s="369" t="str">
        <f>+IF(ABRIL!S15=0,"",ABRIL!S15)</f>
        <v/>
      </c>
      <c r="T15" s="708" t="str">
        <f>+IF(ABRIL!T15=0,"",ABRIL!T15)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22177099</v>
      </c>
      <c r="AS15" s="12">
        <f>L113</f>
        <v>22177099</v>
      </c>
      <c r="AT15" s="13"/>
      <c r="AU15" s="353">
        <f t="shared" si="0"/>
        <v>0.37063294907361899</v>
      </c>
      <c r="AV15" s="353">
        <f t="shared" si="1"/>
        <v>0.37063294907361899</v>
      </c>
      <c r="AW15" s="12">
        <f>+AR15</f>
        <v>22177099</v>
      </c>
      <c r="AX15" s="12">
        <f>+AS15</f>
        <v>22177099</v>
      </c>
      <c r="AY15" s="12">
        <f t="shared" si="2"/>
        <v>-37658647</v>
      </c>
      <c r="AZ15" s="346">
        <f t="shared" si="3"/>
        <v>-37658647</v>
      </c>
      <c r="BA15" s="385"/>
      <c r="BB15" s="386" t="s">
        <v>79</v>
      </c>
      <c r="BC15" s="92">
        <f>F46+F49</f>
        <v>0</v>
      </c>
      <c r="BD15" s="93">
        <f>I46+I49</f>
        <v>0</v>
      </c>
      <c r="BE15" s="94">
        <f>K46+K49</f>
        <v>0</v>
      </c>
      <c r="BF15" s="95"/>
      <c r="BG15" s="91" t="s">
        <v>80</v>
      </c>
      <c r="BH15" s="81">
        <f t="shared" si="11"/>
        <v>342364056</v>
      </c>
      <c r="BI15" s="81">
        <f t="shared" si="11"/>
        <v>342364056</v>
      </c>
      <c r="BJ15" s="81">
        <f t="shared" si="11"/>
        <v>342364056</v>
      </c>
      <c r="BK15" s="81">
        <f t="shared" si="11"/>
        <v>53511528</v>
      </c>
      <c r="BM15" s="71" t="s">
        <v>68</v>
      </c>
      <c r="BN15" s="83">
        <f>SUM(BN16:BN21)</f>
        <v>641665487</v>
      </c>
      <c r="BO15" s="81">
        <f>SUM(BO16:BO21)</f>
        <v>301258281</v>
      </c>
      <c r="BP15" s="81">
        <f>SUM(BP16:BP21)</f>
        <v>246931538</v>
      </c>
      <c r="BQ15" s="82">
        <f>SUM(BQ16:BQ21)</f>
        <v>74237764</v>
      </c>
    </row>
    <row r="16" spans="1:69" s="9" customFormat="1" ht="24.95" customHeight="1" thickBot="1" x14ac:dyDescent="0.3">
      <c r="A16" s="746" t="str">
        <f>+IF(ABRIL!A16=0,"",ABRIL!A16)</f>
        <v/>
      </c>
      <c r="B16" s="647" t="str">
        <f>+IF(ABRIL!B16=0,"",ABRIL!B16)</f>
        <v/>
      </c>
      <c r="C16" s="393"/>
      <c r="D16" s="393"/>
      <c r="E16" s="393"/>
      <c r="F16" s="393"/>
      <c r="G16" s="393"/>
      <c r="H16" s="393"/>
      <c r="I16" s="393"/>
      <c r="J16" s="393"/>
      <c r="K16" s="393"/>
      <c r="L16" s="393"/>
      <c r="M16" s="393"/>
      <c r="N16" s="394"/>
      <c r="O16" s="385"/>
      <c r="P16" s="395"/>
      <c r="Q16" s="396"/>
      <c r="S16" s="718">
        <f>+IF(ABRIL!S16=0,"",ABRIL!S16)</f>
        <v>1010100</v>
      </c>
      <c r="T16" s="692" t="str">
        <f>+IF(ABRIL!T16=0,"",ABRIL!T16)</f>
        <v>Servicios Personales Asociados a Nómina</v>
      </c>
      <c r="U16" s="135">
        <f t="shared" ref="U16:AJ16" si="13">SUM(U17:U20)+U33</f>
        <v>372660589</v>
      </c>
      <c r="V16" s="124">
        <f t="shared" si="13"/>
        <v>0</v>
      </c>
      <c r="W16" s="124">
        <f t="shared" si="13"/>
        <v>2702630</v>
      </c>
      <c r="X16" s="132">
        <f t="shared" si="13"/>
        <v>375363219</v>
      </c>
      <c r="Y16" s="131">
        <f t="shared" si="13"/>
        <v>111150309</v>
      </c>
      <c r="Z16" s="124">
        <f t="shared" si="13"/>
        <v>26035484</v>
      </c>
      <c r="AA16" s="132">
        <f t="shared" si="13"/>
        <v>137185793</v>
      </c>
      <c r="AB16" s="131">
        <f t="shared" si="13"/>
        <v>111150309</v>
      </c>
      <c r="AC16" s="124">
        <f t="shared" si="13"/>
        <v>26035484</v>
      </c>
      <c r="AD16" s="132">
        <f t="shared" si="13"/>
        <v>137185793</v>
      </c>
      <c r="AE16" s="131">
        <f t="shared" si="13"/>
        <v>110407957</v>
      </c>
      <c r="AF16" s="124">
        <f t="shared" si="13"/>
        <v>26035484</v>
      </c>
      <c r="AG16" s="132">
        <f t="shared" si="13"/>
        <v>136443441</v>
      </c>
      <c r="AH16" s="131">
        <f t="shared" si="13"/>
        <v>238177426</v>
      </c>
      <c r="AI16" s="124">
        <f t="shared" si="13"/>
        <v>238177426</v>
      </c>
      <c r="AJ16" s="133">
        <f t="shared" si="13"/>
        <v>238919778</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27431733</v>
      </c>
      <c r="BE16" s="75">
        <f>K43</f>
        <v>27431733</v>
      </c>
      <c r="BF16" s="76"/>
      <c r="BG16" s="91" t="s">
        <v>84</v>
      </c>
      <c r="BH16" s="96">
        <f>BH7+BH12+BH13+BH14+BH15</f>
        <v>3890600747</v>
      </c>
      <c r="BI16" s="96">
        <f>BI7+BI12+BI13+BI14+BI15</f>
        <v>1766610248</v>
      </c>
      <c r="BJ16" s="96">
        <f>BJ7+BJ12+BJ13+BJ14+BJ15</f>
        <v>1504691691</v>
      </c>
      <c r="BK16" s="96">
        <f>BK7+BK12+BK13+BK14+BK15</f>
        <v>313380205</v>
      </c>
      <c r="BM16" s="140" t="s">
        <v>85</v>
      </c>
      <c r="BN16" s="83">
        <f>X114-X121+X147-X148-X153</f>
        <v>169444119</v>
      </c>
      <c r="BO16" s="81">
        <f>AA114-AA121+AA147-AA148-AA153</f>
        <v>56594945</v>
      </c>
      <c r="BP16" s="81">
        <f>AD114-AD121+AD147-AD148-AD153</f>
        <v>56594945</v>
      </c>
      <c r="BQ16" s="82">
        <f>AF114-AF121+AF147-AF148-AF153</f>
        <v>29947325</v>
      </c>
    </row>
    <row r="17" spans="1:70" s="385" customFormat="1" ht="24.95" customHeight="1" thickBot="1" x14ac:dyDescent="0.3">
      <c r="A17" s="745">
        <f>+IF(ABRIL!A17=0,"",ABRIL!A17)</f>
        <v>11</v>
      </c>
      <c r="B17" s="648" t="str">
        <f>+IF(ABRIL!B17=0,"",ABRIL!B17)</f>
        <v>INGRESOS  CORRIENTES</v>
      </c>
      <c r="C17" s="337">
        <f>C19+C94+C104</f>
        <v>3103041868</v>
      </c>
      <c r="D17" s="334">
        <f t="shared" ref="D17:Q17" si="14">D19+D94+D104</f>
        <v>0</v>
      </c>
      <c r="E17" s="334">
        <f t="shared" si="14"/>
        <v>637381072</v>
      </c>
      <c r="F17" s="334">
        <f t="shared" si="14"/>
        <v>3740422940</v>
      </c>
      <c r="G17" s="334">
        <f t="shared" si="14"/>
        <v>1336644243</v>
      </c>
      <c r="H17" s="334">
        <f t="shared" si="14"/>
        <v>421605931</v>
      </c>
      <c r="I17" s="334">
        <f t="shared" si="14"/>
        <v>1758250174</v>
      </c>
      <c r="J17" s="334">
        <f t="shared" si="14"/>
        <v>740117203</v>
      </c>
      <c r="K17" s="334">
        <f t="shared" si="14"/>
        <v>326088578</v>
      </c>
      <c r="L17" s="334">
        <f t="shared" si="14"/>
        <v>1066205781</v>
      </c>
      <c r="M17" s="334">
        <f t="shared" si="14"/>
        <v>1982172766</v>
      </c>
      <c r="N17" s="335">
        <f t="shared" si="14"/>
        <v>2674217159</v>
      </c>
      <c r="P17" s="177">
        <f t="shared" si="14"/>
        <v>0</v>
      </c>
      <c r="Q17" s="178">
        <f t="shared" si="14"/>
        <v>74713971</v>
      </c>
      <c r="R17" s="9"/>
      <c r="S17" s="719">
        <f>+IF(ABRIL!S17=0,"",ABRIL!S17)</f>
        <v>1010101</v>
      </c>
      <c r="T17" s="693" t="str">
        <f>+IF(ABRIL!T17=0,"",ABRIL!T17)</f>
        <v>Sueldos del Personal de nómina</v>
      </c>
      <c r="U17" s="27">
        <f>+ENERO!U17</f>
        <v>304405836</v>
      </c>
      <c r="V17" s="15">
        <f>ABRIL!V17+MAYO!AL17</f>
        <v>0</v>
      </c>
      <c r="W17" s="15">
        <f>ABRIL!W17+MAYO!AM17</f>
        <v>0</v>
      </c>
      <c r="X17" s="18">
        <f>SUM(U17:W17)</f>
        <v>304405836</v>
      </c>
      <c r="Y17" s="19">
        <f>ABRIL!AA17</f>
        <v>100737853</v>
      </c>
      <c r="Z17" s="377">
        <v>24878220</v>
      </c>
      <c r="AA17" s="18">
        <f>SUM(Y17:Z17)</f>
        <v>125616073</v>
      </c>
      <c r="AB17" s="19">
        <f>ABRIL!AD17</f>
        <v>100737853</v>
      </c>
      <c r="AC17" s="377">
        <v>24878220</v>
      </c>
      <c r="AD17" s="18">
        <f>SUM(AB17:AC17)</f>
        <v>125616073</v>
      </c>
      <c r="AE17" s="19">
        <f>ABRIL!AG17</f>
        <v>100737852</v>
      </c>
      <c r="AF17" s="377">
        <v>24878220</v>
      </c>
      <c r="AG17" s="18">
        <f>SUM(AE17:AF17)</f>
        <v>125616072</v>
      </c>
      <c r="AH17" s="19">
        <f>X17-AA17</f>
        <v>178789763</v>
      </c>
      <c r="AI17" s="15">
        <f>X17-AD17</f>
        <v>178789763</v>
      </c>
      <c r="AJ17" s="16">
        <f>X17-AG17</f>
        <v>178789764</v>
      </c>
      <c r="AK17" s="9"/>
      <c r="AL17" s="375">
        <v>0</v>
      </c>
      <c r="AM17" s="378">
        <v>0</v>
      </c>
      <c r="AN17" s="9"/>
      <c r="AO17" s="352"/>
      <c r="AP17" s="402" t="s">
        <v>87</v>
      </c>
      <c r="AQ17" s="403">
        <f>SUM(AQ7:AQ16)</f>
        <v>3708705097</v>
      </c>
      <c r="AR17" s="404">
        <f>SUM(AR7:AR16)</f>
        <v>1765329618</v>
      </c>
      <c r="AS17" s="405">
        <f>SUM(AS7:AS16)</f>
        <v>1073285225</v>
      </c>
      <c r="AT17" s="406"/>
      <c r="AU17" s="404">
        <f t="shared" si="0"/>
        <v>0.47599622289407389</v>
      </c>
      <c r="AV17" s="404">
        <f t="shared" si="1"/>
        <v>0.28939621698910184</v>
      </c>
      <c r="AW17" s="407">
        <f>SUM(AX7:AX16)</f>
        <v>1856035503.2</v>
      </c>
      <c r="AX17" s="407">
        <f>SUM(AX7:AX16)</f>
        <v>1856035503.2</v>
      </c>
      <c r="AY17" s="407">
        <f>SUM(AY7:AY16)</f>
        <v>-195108184.60000014</v>
      </c>
      <c r="AZ17" s="408">
        <f>SUM(AZ7:AZ16)</f>
        <v>-1852669593.8</v>
      </c>
      <c r="BA17" s="9"/>
      <c r="BB17" s="368" t="s">
        <v>444</v>
      </c>
      <c r="BC17" s="73">
        <f>F41+F52+F55+F58+F61+F67+F70+F73+F76+F79+F82+F86+F87+F88+F89+F90+F91</f>
        <v>331051770</v>
      </c>
      <c r="BD17" s="74">
        <f>I41+I52+I55+I58+I61+I67+I70+I73+I76+I79+I82+I86+I87+I88+I89+I90+I91</f>
        <v>119996249</v>
      </c>
      <c r="BE17" s="75">
        <f>K41+K52+K55+K58+K61+K67+K70+K73+K76+K79+K82+K86+K87+K88+K89+K90+K91</f>
        <v>25775075</v>
      </c>
      <c r="BF17" s="76"/>
      <c r="BG17" s="98" t="s">
        <v>88</v>
      </c>
      <c r="BH17" s="99">
        <f>BC23-BH16</f>
        <v>-3890600747</v>
      </c>
      <c r="BI17" s="99"/>
      <c r="BJ17" s="99"/>
      <c r="BK17" s="99"/>
      <c r="BM17" s="140" t="s">
        <v>459</v>
      </c>
      <c r="BN17" s="83">
        <f>X123-X126-X139+X155-X156-X167-X168</f>
        <v>249163207</v>
      </c>
      <c r="BO17" s="81">
        <f>AA123-AA126-AA139+AA155-AA156-AA167-AA168</f>
        <v>145943047</v>
      </c>
      <c r="BP17" s="81">
        <f>AD123-AD126-AD139+AD155-AD156-AD167-AD168</f>
        <v>98343150</v>
      </c>
      <c r="BQ17" s="82">
        <f>AF123-AF126-AF139+AF155-AF156-AF167-AF168</f>
        <v>28621091</v>
      </c>
      <c r="BR17" s="9"/>
    </row>
    <row r="18" spans="1:70" s="9" customFormat="1" ht="24.95" customHeight="1" thickBot="1" x14ac:dyDescent="0.25">
      <c r="A18" s="618" t="str">
        <f>+IF(ABRIL!A18=0,"",ABRIL!A18)</f>
        <v/>
      </c>
      <c r="B18" s="649" t="str">
        <f>+IF(ABRIL!B18=0,"",ABRIL!B18)</f>
        <v/>
      </c>
      <c r="C18" s="297"/>
      <c r="D18" s="297"/>
      <c r="E18" s="297"/>
      <c r="F18" s="297"/>
      <c r="G18" s="297"/>
      <c r="H18" s="297"/>
      <c r="I18" s="297"/>
      <c r="J18" s="297"/>
      <c r="K18" s="297"/>
      <c r="L18" s="297"/>
      <c r="M18" s="297"/>
      <c r="N18" s="466"/>
      <c r="P18" s="410"/>
      <c r="Q18" s="409"/>
      <c r="S18" s="719">
        <f>+IF(ABRIL!S18=0,"",ABRIL!S18)</f>
        <v>1010102</v>
      </c>
      <c r="T18" s="693" t="str">
        <f>+IF(ABRIL!T18=0,"",ABRIL!T18)</f>
        <v>Horas Extras,Dominic.,Festivos y Rec. Nocturnos</v>
      </c>
      <c r="U18" s="27">
        <f>+ENERO!U18</f>
        <v>12090252</v>
      </c>
      <c r="V18" s="15">
        <f>ABRIL!V18+MAYO!AL18</f>
        <v>0</v>
      </c>
      <c r="W18" s="15">
        <f>ABRIL!W18+MAYO!AM18</f>
        <v>0</v>
      </c>
      <c r="X18" s="18">
        <f>SUM(U18:W18)</f>
        <v>12090252</v>
      </c>
      <c r="Y18" s="19">
        <f>ABRIL!AA18</f>
        <v>6126364</v>
      </c>
      <c r="Z18" s="377">
        <v>1083264</v>
      </c>
      <c r="AA18" s="18">
        <f>SUM(Y18:Z18)</f>
        <v>7209628</v>
      </c>
      <c r="AB18" s="19">
        <f>ABRIL!AD18</f>
        <v>6126364</v>
      </c>
      <c r="AC18" s="377">
        <v>1083264</v>
      </c>
      <c r="AD18" s="18">
        <f>SUM(AB18:AC18)</f>
        <v>7209628</v>
      </c>
      <c r="AE18" s="19">
        <f>ABRIL!AG18</f>
        <v>6126365</v>
      </c>
      <c r="AF18" s="377">
        <v>1083264</v>
      </c>
      <c r="AG18" s="18">
        <f>SUM(AE18:AF18)</f>
        <v>7209629</v>
      </c>
      <c r="AH18" s="19">
        <f>X18-AA18</f>
        <v>4880624</v>
      </c>
      <c r="AI18" s="15">
        <f>X18-AD18</f>
        <v>4880624</v>
      </c>
      <c r="AJ18" s="16">
        <f>X18-AG18</f>
        <v>4880623</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61305130</v>
      </c>
      <c r="BE18" s="75">
        <f>+K95+K96+K97+K99+K100+K101</f>
        <v>61305130</v>
      </c>
      <c r="BF18" s="95"/>
      <c r="BM18" s="140" t="s">
        <v>89</v>
      </c>
      <c r="BN18" s="83">
        <f>X148+X156</f>
        <v>156785051</v>
      </c>
      <c r="BO18" s="81">
        <f>AA148+AA156</f>
        <v>75317485</v>
      </c>
      <c r="BP18" s="81">
        <f>AD148+AD156</f>
        <v>68590639</v>
      </c>
      <c r="BQ18" s="82">
        <f>AF148+AF156</f>
        <v>10896035</v>
      </c>
      <c r="BR18" s="385"/>
    </row>
    <row r="19" spans="1:70" s="9" customFormat="1" ht="24.95" customHeight="1" thickBot="1" x14ac:dyDescent="0.3">
      <c r="A19" s="747">
        <f>+IF(ABRIL!A19=0,"",ABRIL!A19)</f>
        <v>113</v>
      </c>
      <c r="B19" s="650" t="str">
        <f>+IF(ABRIL!B19=0,"",ABRIL!B19)</f>
        <v>VENTA DE SERVICIOS</v>
      </c>
      <c r="C19" s="337">
        <f t="shared" ref="C19:N19" si="15">C21+C85</f>
        <v>2995860189</v>
      </c>
      <c r="D19" s="334">
        <f t="shared" si="15"/>
        <v>0</v>
      </c>
      <c r="E19" s="334">
        <f t="shared" si="15"/>
        <v>562667101</v>
      </c>
      <c r="F19" s="335">
        <f t="shared" si="15"/>
        <v>3558527290</v>
      </c>
      <c r="G19" s="337">
        <f t="shared" si="15"/>
        <v>1300364607</v>
      </c>
      <c r="H19" s="334">
        <f t="shared" si="15"/>
        <v>352445851</v>
      </c>
      <c r="I19" s="335">
        <f t="shared" si="15"/>
        <v>1652810458</v>
      </c>
      <c r="J19" s="337">
        <f t="shared" si="15"/>
        <v>703837567</v>
      </c>
      <c r="K19" s="334">
        <f t="shared" si="15"/>
        <v>256928498</v>
      </c>
      <c r="L19" s="335">
        <f t="shared" si="15"/>
        <v>960766065</v>
      </c>
      <c r="M19" s="337">
        <f t="shared" si="15"/>
        <v>1905716832</v>
      </c>
      <c r="N19" s="335">
        <f t="shared" si="15"/>
        <v>2597761225</v>
      </c>
      <c r="O19" s="385"/>
      <c r="P19" s="43">
        <f>P21+P85</f>
        <v>0</v>
      </c>
      <c r="Q19" s="45">
        <f>Q21+Q85</f>
        <v>0</v>
      </c>
      <c r="S19" s="719">
        <f>+IF(ABRIL!S19=0,"",ABRIL!S19)</f>
        <v>1010103</v>
      </c>
      <c r="T19" s="693" t="str">
        <f>+IF(ABRIL!T19=0,"",ABRIL!T19)</f>
        <v>Prima Técnica</v>
      </c>
      <c r="U19" s="27">
        <f>+ENERO!U19</f>
        <v>0</v>
      </c>
      <c r="V19" s="15">
        <f>ABRIL!V19+MAYO!AL19</f>
        <v>0</v>
      </c>
      <c r="W19" s="15">
        <f>ABRIL!W19+MAYO!AM19</f>
        <v>0</v>
      </c>
      <c r="X19" s="18">
        <f>SUM(U19:W19)</f>
        <v>0</v>
      </c>
      <c r="Y19" s="19">
        <f>ABRIL!AA19</f>
        <v>0</v>
      </c>
      <c r="Z19" s="377">
        <v>0</v>
      </c>
      <c r="AA19" s="18">
        <f>SUM(Y19:Z19)</f>
        <v>0</v>
      </c>
      <c r="AB19" s="19">
        <f>ABRIL!AD19</f>
        <v>0</v>
      </c>
      <c r="AC19" s="377">
        <v>0</v>
      </c>
      <c r="AD19" s="18">
        <f>SUM(AB19:AC19)</f>
        <v>0</v>
      </c>
      <c r="AE19" s="19">
        <f>ABRIL!AG19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44054586</v>
      </c>
      <c r="BE19" s="94">
        <f>+K105+K106+K107+K108+K109+K110+K98</f>
        <v>7854950</v>
      </c>
      <c r="BF19" s="57"/>
      <c r="BG19" s="385"/>
      <c r="BH19" s="385">
        <f>BN33</f>
        <v>0</v>
      </c>
      <c r="BI19" s="385"/>
      <c r="BJ19" s="385"/>
      <c r="BK19" s="385"/>
      <c r="BM19" s="140" t="s">
        <v>96</v>
      </c>
      <c r="BN19" s="83">
        <f>X126+X167</f>
        <v>55492147</v>
      </c>
      <c r="BO19" s="81">
        <f>AA126+AA167</f>
        <v>21587275</v>
      </c>
      <c r="BP19" s="81">
        <f>AD126+AD167</f>
        <v>21587275</v>
      </c>
      <c r="BQ19" s="82">
        <f>AF126+AF167</f>
        <v>4773313</v>
      </c>
    </row>
    <row r="20" spans="1:70" s="425" customFormat="1" ht="24.95" customHeight="1" thickBot="1" x14ac:dyDescent="0.3">
      <c r="A20" s="618" t="str">
        <f>+IF(ABRIL!A20=0,"",ABRIL!A20)</f>
        <v/>
      </c>
      <c r="B20" s="651" t="str">
        <f>+IF(ABRIL!B20=0,"",ABRIL!B20)</f>
        <v/>
      </c>
      <c r="C20" s="297"/>
      <c r="D20" s="297"/>
      <c r="E20" s="297"/>
      <c r="F20" s="297"/>
      <c r="G20" s="297"/>
      <c r="H20" s="297"/>
      <c r="I20" s="297"/>
      <c r="J20" s="297"/>
      <c r="K20" s="297"/>
      <c r="L20" s="297"/>
      <c r="M20" s="297"/>
      <c r="N20" s="466"/>
      <c r="O20" s="9"/>
      <c r="P20" s="410"/>
      <c r="Q20" s="409"/>
      <c r="R20" s="9"/>
      <c r="S20" s="719">
        <f>+IF(ABRIL!S20=0,"",ABRIL!S20)</f>
        <v>1010104</v>
      </c>
      <c r="T20" s="693" t="str">
        <f>+IF(ABRIL!T20=0,"",ABRIL!T20)</f>
        <v>Otros</v>
      </c>
      <c r="U20" s="27">
        <f t="shared" ref="U20:AJ20" si="16">SUM(U21:U32)</f>
        <v>56164501</v>
      </c>
      <c r="V20" s="15">
        <f t="shared" si="16"/>
        <v>0</v>
      </c>
      <c r="W20" s="15">
        <f t="shared" si="16"/>
        <v>0</v>
      </c>
      <c r="X20" s="18">
        <f t="shared" si="16"/>
        <v>56164501</v>
      </c>
      <c r="Y20" s="19">
        <f t="shared" si="16"/>
        <v>1583462</v>
      </c>
      <c r="Z20" s="145">
        <f t="shared" si="16"/>
        <v>74000</v>
      </c>
      <c r="AA20" s="18">
        <f t="shared" si="16"/>
        <v>1657462</v>
      </c>
      <c r="AB20" s="19">
        <f t="shared" si="16"/>
        <v>1583462</v>
      </c>
      <c r="AC20" s="145">
        <f t="shared" si="16"/>
        <v>74000</v>
      </c>
      <c r="AD20" s="18">
        <f t="shared" si="16"/>
        <v>1657462</v>
      </c>
      <c r="AE20" s="19">
        <f t="shared" si="16"/>
        <v>1583461</v>
      </c>
      <c r="AF20" s="145">
        <f t="shared" si="16"/>
        <v>74000</v>
      </c>
      <c r="AG20" s="18">
        <f t="shared" si="16"/>
        <v>1657461</v>
      </c>
      <c r="AH20" s="19">
        <f t="shared" si="16"/>
        <v>54507039</v>
      </c>
      <c r="AI20" s="15">
        <f t="shared" si="16"/>
        <v>54507039</v>
      </c>
      <c r="AJ20" s="16">
        <f t="shared" si="16"/>
        <v>54507040</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20629119</v>
      </c>
      <c r="BE20" s="67">
        <f>+K115+K117+K119+K120+K121+K123+K124</f>
        <v>13435833</v>
      </c>
      <c r="BF20" s="57"/>
      <c r="BG20" s="385"/>
      <c r="BH20" s="385">
        <f>BH19-BH16</f>
        <v>-3890600747</v>
      </c>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+IF(ABRIL!A21=0,"",ABRIL!A21)</f>
        <v>11301</v>
      </c>
      <c r="B21" s="652" t="str">
        <f>+IF(ABRIL!B21=0,"",ABRIL!B21)</f>
        <v>Venta de Servicios de Salud</v>
      </c>
      <c r="C21" s="177">
        <f t="shared" ref="C21:N21" si="17">C22+C25+C28+C41+C42+C45+C48+C51+C54+C57+C60+C63+C66+C69+C72+C75+C78+C81</f>
        <v>2921860189</v>
      </c>
      <c r="D21" s="357">
        <f t="shared" si="17"/>
        <v>0</v>
      </c>
      <c r="E21" s="357">
        <f t="shared" si="17"/>
        <v>562667101</v>
      </c>
      <c r="F21" s="357">
        <f t="shared" si="17"/>
        <v>3484527290</v>
      </c>
      <c r="G21" s="357">
        <f t="shared" si="17"/>
        <v>1281225921</v>
      </c>
      <c r="H21" s="357">
        <f t="shared" si="17"/>
        <v>348685851</v>
      </c>
      <c r="I21" s="357">
        <f t="shared" si="17"/>
        <v>1629911772</v>
      </c>
      <c r="J21" s="357">
        <f t="shared" si="17"/>
        <v>703837567</v>
      </c>
      <c r="K21" s="357">
        <f t="shared" si="17"/>
        <v>247199155</v>
      </c>
      <c r="L21" s="357">
        <f t="shared" si="17"/>
        <v>951036722</v>
      </c>
      <c r="M21" s="357">
        <f t="shared" si="17"/>
        <v>1854615518</v>
      </c>
      <c r="N21" s="178">
        <f t="shared" si="17"/>
        <v>2533490568</v>
      </c>
      <c r="O21" s="385"/>
      <c r="P21" s="43">
        <f>P22+P25+P28+P41+P42+P45+P48+P51+P54+P57+P60+P63+P66+P69+P72+P75+P78+P81</f>
        <v>0</v>
      </c>
      <c r="Q21" s="45">
        <f>Q22+Q25+Q28+Q41+Q42+Q45+Q48+Q51+Q54+Q57+Q60+Q63+Q66+Q69+Q72+Q75+Q78+Q81</f>
        <v>0</v>
      </c>
      <c r="R21" s="9"/>
      <c r="S21" s="720" t="str">
        <f>+IF(ABRIL!S21=0,"",ABRIL!S21)</f>
        <v>1010104-1</v>
      </c>
      <c r="T21" s="694" t="str">
        <f>+IF(ABRIL!T21=0,"",ABRIL!T21)</f>
        <v xml:space="preserve">Prima de Navidad </v>
      </c>
      <c r="U21" s="27">
        <f>+ENERO!U21</f>
        <v>27481083</v>
      </c>
      <c r="V21" s="15">
        <f>ABRIL!V21+MAYO!AL21</f>
        <v>0</v>
      </c>
      <c r="W21" s="15">
        <f>ABRIL!W21+MAYO!AM21</f>
        <v>0</v>
      </c>
      <c r="X21" s="18">
        <f t="shared" ref="X21:X33" si="18">SUM(U21:W21)</f>
        <v>27481083</v>
      </c>
      <c r="Y21" s="19">
        <f>ABRIL!AA21</f>
        <v>0</v>
      </c>
      <c r="Z21" s="377">
        <v>0</v>
      </c>
      <c r="AA21" s="18">
        <f t="shared" ref="AA21:AA33" si="19">SUM(Y21:Z21)</f>
        <v>0</v>
      </c>
      <c r="AB21" s="19">
        <f>ABRIL!AD21</f>
        <v>0</v>
      </c>
      <c r="AC21" s="377">
        <v>0</v>
      </c>
      <c r="AD21" s="18">
        <f t="shared" ref="AD21:AD33" si="20">SUM(AB21:AC21)</f>
        <v>0</v>
      </c>
      <c r="AE21" s="19">
        <f>ABRIL!AG21</f>
        <v>0</v>
      </c>
      <c r="AF21" s="377">
        <v>0</v>
      </c>
      <c r="AG21" s="18">
        <f t="shared" ref="AG21:AG33" si="21">SUM(AE21:AF21)</f>
        <v>0</v>
      </c>
      <c r="AH21" s="19">
        <f t="shared" ref="AH21:AH33" si="22">X21-AA21</f>
        <v>27481083</v>
      </c>
      <c r="AI21" s="15">
        <f t="shared" ref="AI21:AI33" si="23">X21-AD21</f>
        <v>27481083</v>
      </c>
      <c r="AJ21" s="16">
        <f t="shared" ref="AJ21:AJ33" si="24">X21-AG21</f>
        <v>27481083</v>
      </c>
      <c r="AK21" s="9"/>
      <c r="AL21" s="375">
        <v>0</v>
      </c>
      <c r="AM21" s="378">
        <v>0</v>
      </c>
      <c r="AN21" s="9"/>
      <c r="AO21" s="352"/>
      <c r="AP21" s="426"/>
      <c r="AQ21" s="427"/>
      <c r="AR21" s="428" t="str">
        <f>AR6</f>
        <v>MAYO</v>
      </c>
      <c r="AS21" s="429" t="str">
        <f>AR6</f>
        <v>MAYO</v>
      </c>
      <c r="AT21" s="428" t="str">
        <f>AR6</f>
        <v>MAYO</v>
      </c>
      <c r="AU21" s="428" t="s">
        <v>46</v>
      </c>
      <c r="AV21" s="428" t="s">
        <v>24</v>
      </c>
      <c r="AW21" s="430"/>
      <c r="AX21" s="430"/>
      <c r="AY21" s="428" t="s">
        <v>46</v>
      </c>
      <c r="AZ21" s="431" t="s">
        <v>24</v>
      </c>
      <c r="BA21" s="9"/>
      <c r="BB21" s="101" t="s">
        <v>447</v>
      </c>
      <c r="BC21" s="65">
        <f>SUMIF($B8:B122,$B24,F8:F122)+F122</f>
        <v>577451227</v>
      </c>
      <c r="BD21" s="66">
        <f>SUMIF($B8:B122,$B24,I8:I122)+I122</f>
        <v>466911798</v>
      </c>
      <c r="BE21" s="67">
        <f>SUMIF($B8:B122,$B24,K8:K122)+K122</f>
        <v>91318961</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+IF(ABRIL!A22=0,"",ABRIL!A22)</f>
        <v>1130101</v>
      </c>
      <c r="B22" s="653" t="str">
        <f>+IF(ABRIL!B22=0,"",ABRIL!B22)</f>
        <v>EPS - REGIMEN CONTRIBUTIVO</v>
      </c>
      <c r="C22" s="43">
        <f t="shared" ref="C22:N22" si="25">SUM(C23:C24)</f>
        <v>1323143662</v>
      </c>
      <c r="D22" s="44">
        <f t="shared" si="25"/>
        <v>0</v>
      </c>
      <c r="E22" s="44">
        <f t="shared" si="25"/>
        <v>435611621</v>
      </c>
      <c r="F22" s="44">
        <f t="shared" si="25"/>
        <v>1758755283</v>
      </c>
      <c r="G22" s="44">
        <f t="shared" si="25"/>
        <v>733667755</v>
      </c>
      <c r="H22" s="44">
        <f t="shared" si="25"/>
        <v>194364764</v>
      </c>
      <c r="I22" s="44">
        <f t="shared" si="25"/>
        <v>928032519</v>
      </c>
      <c r="J22" s="44">
        <f t="shared" si="25"/>
        <v>307762523</v>
      </c>
      <c r="K22" s="44">
        <f t="shared" si="25"/>
        <v>123429993</v>
      </c>
      <c r="L22" s="44">
        <f t="shared" si="25"/>
        <v>431192516</v>
      </c>
      <c r="M22" s="44">
        <f t="shared" si="25"/>
        <v>830722764</v>
      </c>
      <c r="N22" s="45">
        <f t="shared" si="25"/>
        <v>1327562767</v>
      </c>
      <c r="P22" s="43">
        <f>SUM(P23:P24)</f>
        <v>0</v>
      </c>
      <c r="Q22" s="45">
        <f>SUM(Q23:Q24)</f>
        <v>0</v>
      </c>
      <c r="S22" s="720" t="str">
        <f>+IF(ABRIL!S22=0,"",ABRIL!S22)</f>
        <v>1010104-2</v>
      </c>
      <c r="T22" s="694" t="str">
        <f>+IF(ABRIL!T22=0,"",ABRIL!T22)</f>
        <v>Prima Vida Cara</v>
      </c>
      <c r="U22" s="27">
        <f>+ENERO!U22</f>
        <v>0</v>
      </c>
      <c r="V22" s="15">
        <f>ABRIL!V22+MAYO!AL22</f>
        <v>0</v>
      </c>
      <c r="W22" s="15">
        <f>ABRIL!W22+MAYO!AM22</f>
        <v>0</v>
      </c>
      <c r="X22" s="18">
        <f t="shared" si="18"/>
        <v>0</v>
      </c>
      <c r="Y22" s="19">
        <f>ABRIL!AA22</f>
        <v>0</v>
      </c>
      <c r="Z22" s="377">
        <v>0</v>
      </c>
      <c r="AA22" s="18">
        <f t="shared" si="19"/>
        <v>0</v>
      </c>
      <c r="AB22" s="19">
        <f>ABRIL!AD22</f>
        <v>0</v>
      </c>
      <c r="AC22" s="377">
        <v>0</v>
      </c>
      <c r="AD22" s="18">
        <f t="shared" si="20"/>
        <v>0</v>
      </c>
      <c r="AE22" s="19">
        <f>ABRIL!AG22</f>
        <v>0</v>
      </c>
      <c r="AF22" s="377">
        <v>0</v>
      </c>
      <c r="AG22" s="18">
        <f t="shared" si="21"/>
        <v>0</v>
      </c>
      <c r="AH22" s="19">
        <f t="shared" si="22"/>
        <v>0</v>
      </c>
      <c r="AI22" s="15">
        <f t="shared" si="23"/>
        <v>0</v>
      </c>
      <c r="AJ22" s="16">
        <f t="shared" si="24"/>
        <v>0</v>
      </c>
      <c r="AL22" s="375">
        <v>0</v>
      </c>
      <c r="AM22" s="378">
        <v>0</v>
      </c>
      <c r="AO22" s="21"/>
      <c r="AP22" s="432" t="s">
        <v>106</v>
      </c>
      <c r="AQ22" s="433">
        <f>X17+X66</f>
        <v>945471180</v>
      </c>
      <c r="AR22" s="433">
        <f>AD17+AD66</f>
        <v>387508147</v>
      </c>
      <c r="AS22" s="433">
        <f>AG17+AG66</f>
        <v>369892384</v>
      </c>
      <c r="AT22" s="434"/>
      <c r="AU22" s="435">
        <f t="shared" ref="AU22:AU32" si="26">IF(AQ22=0," ",AR22/AQ22)</f>
        <v>0.40985717512827835</v>
      </c>
      <c r="AV22" s="435">
        <f t="shared" ref="AV22:AV32" si="27">IF(AQ22=0," ",AS22/AQ22)</f>
        <v>0.39122544591999092</v>
      </c>
      <c r="AW22" s="436">
        <f>AR22/$AO$2*12</f>
        <v>930019552.80000007</v>
      </c>
      <c r="AX22" s="436">
        <f>AS22/$AO$2*12</f>
        <v>887741721.5999999</v>
      </c>
      <c r="AY22" s="436">
        <f t="shared" ref="AY22:AY31" si="28">AQ22-AW22</f>
        <v>15451627.199999928</v>
      </c>
      <c r="AZ22" s="437">
        <f t="shared" ref="AZ22:AZ31" si="29">AQ22-AX22</f>
        <v>57729458.400000095</v>
      </c>
      <c r="BA22" s="385"/>
      <c r="BB22" s="102" t="s">
        <v>111</v>
      </c>
      <c r="BC22" s="103">
        <f>BC7+BC8+BC20+BC21</f>
        <v>3890600747</v>
      </c>
      <c r="BD22" s="104">
        <f>BD7+BD8+BD20+BD21</f>
        <v>1870769334</v>
      </c>
      <c r="BE22" s="105">
        <f>BE7+BE8+BE20+BE21</f>
        <v>340753250</v>
      </c>
      <c r="BF22" s="57"/>
      <c r="BG22" s="385"/>
      <c r="BH22" s="385"/>
      <c r="BI22" s="385"/>
      <c r="BJ22" s="385"/>
      <c r="BK22" s="385"/>
      <c r="BM22" s="71" t="s">
        <v>69</v>
      </c>
      <c r="BN22" s="83">
        <f>BN23+BN24</f>
        <v>65572284</v>
      </c>
      <c r="BO22" s="81">
        <f>BO23+BO24</f>
        <v>19707824</v>
      </c>
      <c r="BP22" s="81">
        <f>BP23+BP24</f>
        <v>19707824</v>
      </c>
      <c r="BQ22" s="82">
        <f>BQ23+BQ24</f>
        <v>4161690</v>
      </c>
      <c r="BR22" s="385"/>
    </row>
    <row r="23" spans="1:70" s="425" customFormat="1" ht="24.95" customHeight="1" x14ac:dyDescent="0.2">
      <c r="A23" s="618" t="str">
        <f>+IF(ABRIL!A23=0,"",ABRIL!A23)</f>
        <v>1130101-1</v>
      </c>
      <c r="B23" s="654" t="str">
        <f>+CONCATENATE("Vigencia ",INSTRUCCIONES!$F$3)</f>
        <v>Vigencia 2015</v>
      </c>
      <c r="C23" s="375">
        <f>+ENERO!C23</f>
        <v>1323143662</v>
      </c>
      <c r="D23" s="376">
        <f>ABRIL!D23+MAYO!P23</f>
        <v>0</v>
      </c>
      <c r="E23" s="376">
        <f>ABRIL!E23+MAYO!Q23</f>
        <v>0</v>
      </c>
      <c r="F23" s="376">
        <f>SUM(C23:E23)</f>
        <v>1323143662</v>
      </c>
      <c r="G23" s="376">
        <f>ABRIL!I23</f>
        <v>428558629</v>
      </c>
      <c r="H23" s="377">
        <v>108035094</v>
      </c>
      <c r="I23" s="376">
        <f>SUM(G23:H23)</f>
        <v>536593723</v>
      </c>
      <c r="J23" s="376">
        <f>ABRIL!L23</f>
        <v>2653397</v>
      </c>
      <c r="K23" s="377">
        <v>37100323</v>
      </c>
      <c r="L23" s="376">
        <f>SUM(J23:K23)</f>
        <v>39753720</v>
      </c>
      <c r="M23" s="376">
        <f>F23-I23</f>
        <v>786549939</v>
      </c>
      <c r="N23" s="146">
        <f>F23-L23</f>
        <v>1283389942</v>
      </c>
      <c r="O23" s="9"/>
      <c r="P23" s="375">
        <v>0</v>
      </c>
      <c r="Q23" s="378">
        <v>0</v>
      </c>
      <c r="R23" s="9"/>
      <c r="S23" s="720" t="str">
        <f>+IF(ABRIL!S23=0,"",ABRIL!S23)</f>
        <v>1010104-3</v>
      </c>
      <c r="T23" s="694" t="str">
        <f>+IF(ABRIL!T23=0,"",ABRIL!T23)</f>
        <v>Prima de Vacaciones</v>
      </c>
      <c r="U23" s="27">
        <f>+ENERO!U23</f>
        <v>12683577</v>
      </c>
      <c r="V23" s="15">
        <f>ABRIL!V23+MAYO!AL23</f>
        <v>0</v>
      </c>
      <c r="W23" s="15">
        <f>ABRIL!W23+MAYO!AM23</f>
        <v>0</v>
      </c>
      <c r="X23" s="18">
        <f t="shared" si="18"/>
        <v>12683577</v>
      </c>
      <c r="Y23" s="19">
        <f>ABRIL!AA23</f>
        <v>1139525</v>
      </c>
      <c r="Z23" s="377">
        <v>0</v>
      </c>
      <c r="AA23" s="18">
        <f t="shared" si="19"/>
        <v>1139525</v>
      </c>
      <c r="AB23" s="19">
        <f>ABRIL!AD23</f>
        <v>1139525</v>
      </c>
      <c r="AC23" s="377">
        <v>0</v>
      </c>
      <c r="AD23" s="18">
        <f t="shared" si="20"/>
        <v>1139525</v>
      </c>
      <c r="AE23" s="19">
        <f>ABRIL!AG23</f>
        <v>1139525</v>
      </c>
      <c r="AF23" s="377">
        <v>0</v>
      </c>
      <c r="AG23" s="18">
        <f t="shared" si="21"/>
        <v>1139525</v>
      </c>
      <c r="AH23" s="19">
        <f t="shared" si="22"/>
        <v>11544052</v>
      </c>
      <c r="AI23" s="15">
        <f t="shared" si="23"/>
        <v>11544052</v>
      </c>
      <c r="AJ23" s="16">
        <f t="shared" si="24"/>
        <v>11544052</v>
      </c>
      <c r="AK23" s="9"/>
      <c r="AL23" s="375">
        <v>0</v>
      </c>
      <c r="AM23" s="378">
        <v>0</v>
      </c>
      <c r="AN23" s="9"/>
      <c r="AO23" s="373"/>
      <c r="AP23" s="438" t="s">
        <v>110</v>
      </c>
      <c r="AQ23" s="439">
        <f>X16+X65-AQ22</f>
        <v>278891529</v>
      </c>
      <c r="AR23" s="439">
        <f>AD16+AD65-AR22</f>
        <v>86333586</v>
      </c>
      <c r="AS23" s="439">
        <f>AG16+AG65-AS22</f>
        <v>74843448</v>
      </c>
      <c r="AT23" s="330"/>
      <c r="AU23" s="345">
        <f t="shared" si="26"/>
        <v>0.30955972850649044</v>
      </c>
      <c r="AV23" s="345">
        <f t="shared" si="27"/>
        <v>0.26836042051316661</v>
      </c>
      <c r="AW23" s="439">
        <f>(AR23-AD21-AD22-AD23-AD25-AD30-AD33-AD70-AD71-AD72-AD74-AD78-AD81)/$AO$2*12+AX22/12*2.5+AD30+AD33+AD78+AD81</f>
        <v>359671868.60000002</v>
      </c>
      <c r="AX23" s="439">
        <f>(AS23-AG21-AG22-AG23-AG25-AG30-AG33-AG70-AG71-AG72-AG74-AG78-AG81)/$AO$2*12+AX22/12*2.5+AG30+AG33+AG78+AG81</f>
        <v>343020693.80000001</v>
      </c>
      <c r="AY23" s="439">
        <f t="shared" si="28"/>
        <v>-80780339.600000024</v>
      </c>
      <c r="AZ23" s="46">
        <f t="shared" si="29"/>
        <v>-64129164.800000012</v>
      </c>
      <c r="BA23" s="385"/>
      <c r="BF23" s="385"/>
      <c r="BG23" s="385"/>
      <c r="BH23" s="385"/>
      <c r="BI23" s="385"/>
      <c r="BJ23" s="385"/>
      <c r="BK23" s="385"/>
      <c r="BL23" s="385"/>
      <c r="BM23" s="140" t="s">
        <v>107</v>
      </c>
      <c r="BN23" s="83">
        <f>X177</f>
        <v>39279816</v>
      </c>
      <c r="BO23" s="81">
        <f>AA177</f>
        <v>12721242</v>
      </c>
      <c r="BP23" s="81">
        <f>AD177</f>
        <v>12721242</v>
      </c>
      <c r="BQ23" s="82">
        <f>AF177</f>
        <v>2544030</v>
      </c>
      <c r="BR23" s="9"/>
    </row>
    <row r="24" spans="1:70" s="425" customFormat="1" ht="24.95" customHeight="1" x14ac:dyDescent="0.2">
      <c r="A24" s="618" t="str">
        <f>+IF(ABRIL!A24=0,"",ABRIL!A24)</f>
        <v>1130101-2</v>
      </c>
      <c r="B24" s="654" t="str">
        <f>+IF(ABRIL!B24=0,"",ABRIL!B24)</f>
        <v>Vigencia Anterior</v>
      </c>
      <c r="C24" s="375">
        <f>+ENERO!C24</f>
        <v>0</v>
      </c>
      <c r="D24" s="376">
        <f>ABRIL!D24+MAYO!P24</f>
        <v>0</v>
      </c>
      <c r="E24" s="376">
        <f>ABRIL!E24+MAYO!Q24</f>
        <v>435611621</v>
      </c>
      <c r="F24" s="376">
        <f>SUM(C24:E24)</f>
        <v>435611621</v>
      </c>
      <c r="G24" s="376">
        <f>ABRIL!I24</f>
        <v>305109126</v>
      </c>
      <c r="H24" s="377">
        <v>86329670</v>
      </c>
      <c r="I24" s="376">
        <f>SUM(G24:H24)</f>
        <v>391438796</v>
      </c>
      <c r="J24" s="376">
        <f>ABRIL!L24</f>
        <v>305109126</v>
      </c>
      <c r="K24" s="377">
        <v>86329670</v>
      </c>
      <c r="L24" s="376">
        <f>SUM(J24:K24)</f>
        <v>391438796</v>
      </c>
      <c r="M24" s="376">
        <f>F24-I24</f>
        <v>44172825</v>
      </c>
      <c r="N24" s="146">
        <f>F24-L24</f>
        <v>44172825</v>
      </c>
      <c r="O24" s="385"/>
      <c r="P24" s="375">
        <v>0</v>
      </c>
      <c r="Q24" s="378">
        <v>0</v>
      </c>
      <c r="R24" s="9"/>
      <c r="S24" s="720" t="str">
        <f>+IF(ABRIL!S24=0,"",ABRIL!S24)</f>
        <v>1010104-4</v>
      </c>
      <c r="T24" s="694" t="str">
        <f>+IF(ABRIL!T24=0,"",ABRIL!T24)</f>
        <v>Prima Clima</v>
      </c>
      <c r="U24" s="27">
        <f>+ENERO!U24</f>
        <v>0</v>
      </c>
      <c r="V24" s="15">
        <f>ABRIL!V24+MAYO!AL24</f>
        <v>0</v>
      </c>
      <c r="W24" s="15">
        <f>ABRIL!W24+MAYO!AM24</f>
        <v>0</v>
      </c>
      <c r="X24" s="18">
        <f t="shared" si="18"/>
        <v>0</v>
      </c>
      <c r="Y24" s="19">
        <f>ABRIL!AA24</f>
        <v>0</v>
      </c>
      <c r="Z24" s="377">
        <v>0</v>
      </c>
      <c r="AA24" s="18">
        <f t="shared" si="19"/>
        <v>0</v>
      </c>
      <c r="AB24" s="19">
        <f>ABRIL!AD24</f>
        <v>0</v>
      </c>
      <c r="AC24" s="377">
        <v>0</v>
      </c>
      <c r="AD24" s="18">
        <f t="shared" si="20"/>
        <v>0</v>
      </c>
      <c r="AE24" s="19">
        <f>ABRIL!AG24</f>
        <v>0</v>
      </c>
      <c r="AF24" s="377">
        <v>0</v>
      </c>
      <c r="AG24" s="18">
        <f t="shared" si="21"/>
        <v>0</v>
      </c>
      <c r="AH24" s="19">
        <f t="shared" si="22"/>
        <v>0</v>
      </c>
      <c r="AI24" s="15">
        <f t="shared" si="23"/>
        <v>0</v>
      </c>
      <c r="AJ24" s="16">
        <f t="shared" si="24"/>
        <v>0</v>
      </c>
      <c r="AK24" s="9"/>
      <c r="AL24" s="375">
        <v>0</v>
      </c>
      <c r="AM24" s="378">
        <v>0</v>
      </c>
      <c r="AN24" s="9"/>
      <c r="AO24" s="373"/>
      <c r="AP24" s="418" t="s">
        <v>115</v>
      </c>
      <c r="AQ24" s="434">
        <f>X35+X83</f>
        <v>400283995</v>
      </c>
      <c r="AR24" s="434">
        <f>AD35+AD83</f>
        <v>150786148</v>
      </c>
      <c r="AS24" s="434">
        <f>AG35+AG83</f>
        <v>118079924</v>
      </c>
      <c r="AT24" s="434"/>
      <c r="AU24" s="376">
        <f t="shared" si="26"/>
        <v>0.37669791918610185</v>
      </c>
      <c r="AV24" s="376">
        <f t="shared" si="27"/>
        <v>0.29499037052430738</v>
      </c>
      <c r="AW24" s="376">
        <f>(AR24-AD41-AD88)/$AO$2*12+AD41+AD88</f>
        <v>314350486</v>
      </c>
      <c r="AX24" s="376">
        <f>(AS24-AG41-AG88)/$AO$2*12+AG41+AG88</f>
        <v>248175344</v>
      </c>
      <c r="AY24" s="376">
        <f t="shared" si="28"/>
        <v>85933509</v>
      </c>
      <c r="AZ24" s="146">
        <f t="shared" si="29"/>
        <v>152108651</v>
      </c>
      <c r="BA24" s="9"/>
      <c r="BB24" s="440"/>
      <c r="BC24" s="385"/>
      <c r="BD24" s="385"/>
      <c r="BE24" s="385"/>
      <c r="BF24" s="385"/>
      <c r="BG24" s="385"/>
      <c r="BH24" s="385"/>
      <c r="BI24" s="385"/>
      <c r="BJ24" s="385"/>
      <c r="BK24" s="385"/>
      <c r="BL24" s="385"/>
      <c r="BM24" s="140" t="s">
        <v>112</v>
      </c>
      <c r="BN24" s="83">
        <f>X170-X177-X174-X183-X191</f>
        <v>26292468</v>
      </c>
      <c r="BO24" s="81">
        <f>AA170-AA177-AA174-AA183-AA191</f>
        <v>6986582</v>
      </c>
      <c r="BP24" s="81">
        <f>AD170-AD177-AD174-AD183-AD191</f>
        <v>6986582</v>
      </c>
      <c r="BQ24" s="82">
        <f>AF170-AF177-AF174-AF183-AF191</f>
        <v>1617660</v>
      </c>
      <c r="BR24" s="385"/>
    </row>
    <row r="25" spans="1:70" s="385" customFormat="1" ht="24.95" customHeight="1" x14ac:dyDescent="0.25">
      <c r="A25" s="747">
        <f>+IF(ABRIL!A25=0,"",ABRIL!A25)</f>
        <v>1130102</v>
      </c>
      <c r="B25" s="653" t="str">
        <f>+IF(ABRIL!B25=0,"",ABRIL!B25)</f>
        <v>ARS - REGIMEN SUBSIDIADO</v>
      </c>
      <c r="C25" s="43">
        <f t="shared" ref="C25:N25" si="30">SUM(C26:C27)</f>
        <v>873986903</v>
      </c>
      <c r="D25" s="44">
        <f t="shared" si="30"/>
        <v>0</v>
      </c>
      <c r="E25" s="44">
        <f t="shared" si="30"/>
        <v>71552427</v>
      </c>
      <c r="F25" s="44">
        <f t="shared" si="30"/>
        <v>945539330</v>
      </c>
      <c r="G25" s="44">
        <f t="shared" si="30"/>
        <v>321944217</v>
      </c>
      <c r="H25" s="44">
        <f t="shared" si="30"/>
        <v>70692429</v>
      </c>
      <c r="I25" s="44">
        <f t="shared" si="30"/>
        <v>392636646</v>
      </c>
      <c r="J25" s="44">
        <f t="shared" si="30"/>
        <v>214724101</v>
      </c>
      <c r="K25" s="44">
        <f t="shared" si="30"/>
        <v>51589279</v>
      </c>
      <c r="L25" s="44">
        <f t="shared" si="30"/>
        <v>266313380</v>
      </c>
      <c r="M25" s="44">
        <f t="shared" si="30"/>
        <v>552902684</v>
      </c>
      <c r="N25" s="45">
        <f t="shared" si="30"/>
        <v>679225950</v>
      </c>
      <c r="P25" s="43">
        <f>SUM(P26:P27)</f>
        <v>0</v>
      </c>
      <c r="Q25" s="45">
        <f>SUM(Q26:Q27)</f>
        <v>0</v>
      </c>
      <c r="R25" s="9"/>
      <c r="S25" s="720" t="str">
        <f>+IF(ABRIL!S25=0,"",ABRIL!S25)</f>
        <v>1010104-5</v>
      </c>
      <c r="T25" s="694" t="str">
        <f>+IF(ABRIL!T25=0,"",ABRIL!T25)</f>
        <v>Prima de Servicios</v>
      </c>
      <c r="U25" s="27">
        <f>+ENERO!U25</f>
        <v>12683577</v>
      </c>
      <c r="V25" s="15">
        <f>ABRIL!V25+MAYO!AL25</f>
        <v>0</v>
      </c>
      <c r="W25" s="15">
        <f>ABRIL!W25+MAYO!AM25</f>
        <v>0</v>
      </c>
      <c r="X25" s="18">
        <f t="shared" si="18"/>
        <v>12683577</v>
      </c>
      <c r="Y25" s="19">
        <f>ABRIL!AA25</f>
        <v>0</v>
      </c>
      <c r="Z25" s="377">
        <v>0</v>
      </c>
      <c r="AA25" s="18">
        <f t="shared" si="19"/>
        <v>0</v>
      </c>
      <c r="AB25" s="19">
        <f>ABRIL!AD25</f>
        <v>0</v>
      </c>
      <c r="AC25" s="377">
        <v>0</v>
      </c>
      <c r="AD25" s="18">
        <f t="shared" si="20"/>
        <v>0</v>
      </c>
      <c r="AE25" s="19">
        <f>ABRIL!AG25</f>
        <v>0</v>
      </c>
      <c r="AF25" s="377">
        <v>0</v>
      </c>
      <c r="AG25" s="18">
        <f t="shared" si="21"/>
        <v>0</v>
      </c>
      <c r="AH25" s="19">
        <f t="shared" si="22"/>
        <v>12683577</v>
      </c>
      <c r="AI25" s="15">
        <f t="shared" si="23"/>
        <v>12683577</v>
      </c>
      <c r="AJ25" s="16">
        <f t="shared" si="24"/>
        <v>12683577</v>
      </c>
      <c r="AK25" s="9"/>
      <c r="AL25" s="375">
        <v>0</v>
      </c>
      <c r="AM25" s="378">
        <v>0</v>
      </c>
      <c r="AN25" s="9"/>
      <c r="AO25" s="21"/>
      <c r="AP25" s="441" t="s">
        <v>118</v>
      </c>
      <c r="AQ25" s="376">
        <f>X43+X57+X90+X104</f>
        <v>542547178</v>
      </c>
      <c r="AR25" s="376">
        <f>AD43+AD57+AD90+AD104</f>
        <v>262393520</v>
      </c>
      <c r="AS25" s="376">
        <f>AG43+AG57+AG90+AG104</f>
        <v>213852738</v>
      </c>
      <c r="AT25" s="434"/>
      <c r="AU25" s="376">
        <f t="shared" si="26"/>
        <v>0.4836326325892345</v>
      </c>
      <c r="AV25" s="376">
        <f t="shared" si="27"/>
        <v>0.39416431726422141</v>
      </c>
      <c r="AW25" s="376">
        <f>(AR25-AD55-AD61-AD102-AD108)/$AO$2*12+AD55+AD61+AD102+AD108</f>
        <v>505145127</v>
      </c>
      <c r="AX25" s="376">
        <f>(AS25-AG55-AG61-AG102-AG108)/$AO$2*12+AG55+AG61+AG102+AG108</f>
        <v>391409336.79999995</v>
      </c>
      <c r="AY25" s="376">
        <f t="shared" si="28"/>
        <v>37402051</v>
      </c>
      <c r="AZ25" s="146">
        <f t="shared" si="29"/>
        <v>151137841.20000005</v>
      </c>
      <c r="BM25" s="143" t="s">
        <v>455</v>
      </c>
      <c r="BN25" s="106">
        <f>+SUM(BN26:BN28)</f>
        <v>377117338</v>
      </c>
      <c r="BO25" s="107">
        <f>+SUM(BO26:BO28)</f>
        <v>155447489</v>
      </c>
      <c r="BP25" s="107">
        <f>+SUM(BP26:BP28)</f>
        <v>133699172</v>
      </c>
      <c r="BQ25" s="108">
        <f>+SUM(BQ26:BQ28)</f>
        <v>15160960</v>
      </c>
    </row>
    <row r="26" spans="1:70" s="9" customFormat="1" ht="24.95" customHeight="1" x14ac:dyDescent="0.2">
      <c r="A26" s="618" t="str">
        <f>+IF(ABRIL!A26=0,"",ABRIL!A26)</f>
        <v>1130102-1</v>
      </c>
      <c r="B26" s="654" t="str">
        <f>+CONCATENATE("Vigencia ",INSTRUCCIONES!$F$3)</f>
        <v>Vigencia 2015</v>
      </c>
      <c r="C26" s="375">
        <f>+ENERO!C26</f>
        <v>873986903</v>
      </c>
      <c r="D26" s="376">
        <f>ABRIL!D26+MAYO!P26</f>
        <v>0</v>
      </c>
      <c r="E26" s="376">
        <f>ABRIL!E26+MAYO!Q26</f>
        <v>0</v>
      </c>
      <c r="F26" s="376">
        <f>SUM(C26:E26)</f>
        <v>873986903</v>
      </c>
      <c r="G26" s="376">
        <f>ABRIL!I26</f>
        <v>281998250</v>
      </c>
      <c r="H26" s="377">
        <v>70167482</v>
      </c>
      <c r="I26" s="376">
        <f>SUM(G26:H26)</f>
        <v>352165732</v>
      </c>
      <c r="J26" s="376">
        <f>ABRIL!L26</f>
        <v>174778134</v>
      </c>
      <c r="K26" s="377">
        <v>51064332</v>
      </c>
      <c r="L26" s="376">
        <f>SUM(J26:K26)</f>
        <v>225842466</v>
      </c>
      <c r="M26" s="376">
        <f>F26-I26</f>
        <v>521821171</v>
      </c>
      <c r="N26" s="146">
        <f>F26-L26</f>
        <v>648144437</v>
      </c>
      <c r="P26" s="375">
        <v>0</v>
      </c>
      <c r="Q26" s="378">
        <v>0</v>
      </c>
      <c r="S26" s="720" t="str">
        <f>+IF(ABRIL!S26=0,"",ABRIL!S26)</f>
        <v>1010104-8</v>
      </c>
      <c r="T26" s="694" t="str">
        <f>+IF(ABRIL!T26=0,"",ABRIL!T26)</f>
        <v>Bonific. por Servicios Prestados (Convencional)</v>
      </c>
      <c r="U26" s="27">
        <f>+ENERO!U26</f>
        <v>0</v>
      </c>
      <c r="V26" s="15">
        <f>ABRIL!V26+MAYO!AL26</f>
        <v>0</v>
      </c>
      <c r="W26" s="15">
        <f>ABRIL!W26+MAYO!AM26</f>
        <v>0</v>
      </c>
      <c r="X26" s="18">
        <f t="shared" si="18"/>
        <v>0</v>
      </c>
      <c r="Y26" s="19">
        <f>ABRIL!AA26</f>
        <v>0</v>
      </c>
      <c r="Z26" s="377">
        <v>0</v>
      </c>
      <c r="AA26" s="18">
        <f t="shared" si="19"/>
        <v>0</v>
      </c>
      <c r="AB26" s="19">
        <f>ABRIL!AD26</f>
        <v>0</v>
      </c>
      <c r="AC26" s="377">
        <v>0</v>
      </c>
      <c r="AD26" s="18">
        <f t="shared" si="20"/>
        <v>0</v>
      </c>
      <c r="AE26" s="19">
        <f>ABRIL!AG26</f>
        <v>0</v>
      </c>
      <c r="AF26" s="377">
        <v>0</v>
      </c>
      <c r="AG26" s="18">
        <f t="shared" si="21"/>
        <v>0</v>
      </c>
      <c r="AH26" s="19">
        <f t="shared" si="22"/>
        <v>0</v>
      </c>
      <c r="AI26" s="15">
        <f t="shared" si="23"/>
        <v>0</v>
      </c>
      <c r="AJ26" s="16">
        <f t="shared" si="24"/>
        <v>0</v>
      </c>
      <c r="AL26" s="375">
        <v>0</v>
      </c>
      <c r="AM26" s="378">
        <v>0</v>
      </c>
      <c r="AO26" s="21"/>
      <c r="AP26" s="442" t="s">
        <v>122</v>
      </c>
      <c r="AQ26" s="330">
        <f>X110</f>
        <v>743959501</v>
      </c>
      <c r="AR26" s="330">
        <f>AD110</f>
        <v>349225552</v>
      </c>
      <c r="AS26" s="330">
        <f>AG110</f>
        <v>237995861</v>
      </c>
      <c r="AT26" s="374">
        <f>AO2/12</f>
        <v>0.41666666666666669</v>
      </c>
      <c r="AU26" s="345">
        <f t="shared" si="26"/>
        <v>0.46941473498300013</v>
      </c>
      <c r="AV26" s="345">
        <f t="shared" si="27"/>
        <v>0.31990432366290861</v>
      </c>
      <c r="AW26" s="439">
        <f>(AR26-AD121-AD139-AD143-AD153-AD168)/$AO$2*12+AD121+AD139+AD143+AD153+AD168</f>
        <v>694929705.20000005</v>
      </c>
      <c r="AX26" s="439">
        <f>(AS26-AG121-AG139-AG143-AG153-AG168)/$AO$2*12+AG121+AG139+AG143+AG153+AG168</f>
        <v>466562445.39999998</v>
      </c>
      <c r="AY26" s="439">
        <f t="shared" si="28"/>
        <v>49029795.799999952</v>
      </c>
      <c r="AZ26" s="46">
        <f t="shared" si="29"/>
        <v>277397055.60000002</v>
      </c>
      <c r="BA26" s="385"/>
      <c r="BB26" s="385"/>
      <c r="BC26" s="385"/>
      <c r="BD26" s="385"/>
      <c r="BE26" s="385"/>
      <c r="BF26" s="385"/>
      <c r="BG26" s="385"/>
      <c r="BH26" s="385"/>
      <c r="BI26" s="385"/>
      <c r="BJ26" s="385"/>
      <c r="BK26" s="385"/>
      <c r="BM26" s="109" t="s">
        <v>456</v>
      </c>
      <c r="BN26" s="86">
        <f>+X196+X212</f>
        <v>248549731</v>
      </c>
      <c r="BO26" s="84">
        <f>+AA196+AA212</f>
        <v>95439113</v>
      </c>
      <c r="BP26" s="84">
        <f>+AD196+AD212</f>
        <v>73690796</v>
      </c>
      <c r="BQ26" s="85">
        <f>+AF196+AF212</f>
        <v>3546098</v>
      </c>
      <c r="BR26" s="385"/>
    </row>
    <row r="27" spans="1:70" s="425" customFormat="1" ht="24.95" customHeight="1" x14ac:dyDescent="0.2">
      <c r="A27" s="618" t="str">
        <f>+IF(ABRIL!A27=0,"",ABRIL!A27)</f>
        <v>1130102-2</v>
      </c>
      <c r="B27" s="654" t="str">
        <f>+IF(ABRIL!B27=0,"",ABRIL!B27)</f>
        <v>Vigencia Anterior</v>
      </c>
      <c r="C27" s="375">
        <f>+ENERO!C27</f>
        <v>0</v>
      </c>
      <c r="D27" s="376">
        <f>ABRIL!D27+MAYO!P27</f>
        <v>0</v>
      </c>
      <c r="E27" s="376">
        <f>ABRIL!E27+MAYO!Q27</f>
        <v>71552427</v>
      </c>
      <c r="F27" s="376">
        <f>SUM(C27:E27)</f>
        <v>71552427</v>
      </c>
      <c r="G27" s="376">
        <f>ABRIL!I27</f>
        <v>39945967</v>
      </c>
      <c r="H27" s="377">
        <v>524947</v>
      </c>
      <c r="I27" s="376">
        <f>SUM(G27:H27)</f>
        <v>40470914</v>
      </c>
      <c r="J27" s="376">
        <f>ABRIL!L27</f>
        <v>39945967</v>
      </c>
      <c r="K27" s="377">
        <v>524947</v>
      </c>
      <c r="L27" s="376">
        <f>SUM(J27:K27)</f>
        <v>40470914</v>
      </c>
      <c r="M27" s="376">
        <f>F27-I27</f>
        <v>31081513</v>
      </c>
      <c r="N27" s="146">
        <f>F27-L27</f>
        <v>31081513</v>
      </c>
      <c r="O27" s="385"/>
      <c r="P27" s="375">
        <v>0</v>
      </c>
      <c r="Q27" s="378">
        <v>0</v>
      </c>
      <c r="R27" s="9"/>
      <c r="S27" s="720" t="str">
        <f>+IF(ABRIL!S27=0,"",ABRIL!S27)</f>
        <v>1010104-9</v>
      </c>
      <c r="T27" s="694" t="str">
        <f>+IF(ABRIL!T27=0,"",ABRIL!T27)</f>
        <v>Auxilio de Transporte</v>
      </c>
      <c r="U27" s="27">
        <f>+ENERO!U27</f>
        <v>1625120</v>
      </c>
      <c r="V27" s="15">
        <f>ABRIL!V27+MAYO!AL27</f>
        <v>0</v>
      </c>
      <c r="W27" s="15">
        <f>ABRIL!W27+MAYO!AM27</f>
        <v>0</v>
      </c>
      <c r="X27" s="18">
        <f t="shared" si="18"/>
        <v>1625120</v>
      </c>
      <c r="Y27" s="19">
        <f>ABRIL!AA27</f>
        <v>292000</v>
      </c>
      <c r="Z27" s="377">
        <v>74000</v>
      </c>
      <c r="AA27" s="18">
        <f t="shared" si="19"/>
        <v>366000</v>
      </c>
      <c r="AB27" s="19">
        <f>ABRIL!AD27</f>
        <v>292000</v>
      </c>
      <c r="AC27" s="377">
        <v>74000</v>
      </c>
      <c r="AD27" s="18">
        <f t="shared" si="20"/>
        <v>366000</v>
      </c>
      <c r="AE27" s="19">
        <f>ABRIL!AG27</f>
        <v>291999</v>
      </c>
      <c r="AF27" s="377">
        <v>74000</v>
      </c>
      <c r="AG27" s="18">
        <f t="shared" si="21"/>
        <v>365999</v>
      </c>
      <c r="AH27" s="19">
        <f t="shared" si="22"/>
        <v>1259120</v>
      </c>
      <c r="AI27" s="15">
        <f t="shared" si="23"/>
        <v>1259120</v>
      </c>
      <c r="AJ27" s="16">
        <f t="shared" si="24"/>
        <v>1259121</v>
      </c>
      <c r="AK27" s="9"/>
      <c r="AL27" s="375">
        <v>0</v>
      </c>
      <c r="AM27" s="378">
        <v>0</v>
      </c>
      <c r="AN27" s="9"/>
      <c r="AO27" s="352"/>
      <c r="AP27" s="441" t="s">
        <v>126</v>
      </c>
      <c r="AQ27" s="376">
        <f>X170</f>
        <v>74494094</v>
      </c>
      <c r="AR27" s="376">
        <f>AD170</f>
        <v>28629634</v>
      </c>
      <c r="AS27" s="376">
        <f>AG170</f>
        <v>23248611</v>
      </c>
      <c r="AT27" s="434"/>
      <c r="AU27" s="376">
        <f t="shared" si="26"/>
        <v>0.38432085636211644</v>
      </c>
      <c r="AV27" s="376">
        <f t="shared" si="27"/>
        <v>0.31208663333767106</v>
      </c>
      <c r="AW27" s="376">
        <f>(AR27-AD174-AD183-AD191)/$AO$2*12+AD174+AD183+AD191</f>
        <v>56220587.599999994</v>
      </c>
      <c r="AX27" s="376">
        <f>(AS27-AG174-AG183-AG191)/$AO$2*12+AG174+AG183+AG191</f>
        <v>43323073.799999997</v>
      </c>
      <c r="AY27" s="376">
        <f t="shared" si="28"/>
        <v>18273506.400000006</v>
      </c>
      <c r="AZ27" s="146">
        <f t="shared" si="29"/>
        <v>31171020.200000003</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+IF(ABRIL!A28=0,"",ABRIL!A28)</f>
        <v>1130103</v>
      </c>
      <c r="B28" s="630" t="str">
        <f>+IF(ABRIL!B28=0,"",ABRIL!B28)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1">G29+G32+G35+G38+G39+G40</f>
        <v>108609742</v>
      </c>
      <c r="H28" s="44">
        <f t="shared" si="31"/>
        <v>32675251</v>
      </c>
      <c r="I28" s="44">
        <f t="shared" si="31"/>
        <v>141284993</v>
      </c>
      <c r="J28" s="44">
        <f t="shared" si="31"/>
        <v>99262588</v>
      </c>
      <c r="K28" s="44">
        <f t="shared" si="31"/>
        <v>24815647</v>
      </c>
      <c r="L28" s="44">
        <f t="shared" si="31"/>
        <v>124078235</v>
      </c>
      <c r="M28" s="44">
        <f t="shared" si="31"/>
        <v>209441835</v>
      </c>
      <c r="N28" s="45">
        <f t="shared" si="31"/>
        <v>226648593</v>
      </c>
      <c r="O28" s="385"/>
      <c r="P28" s="43">
        <f>P29+P32+P35+P38+P39+P940</f>
        <v>0</v>
      </c>
      <c r="Q28" s="45">
        <f>Q29+Q32+Q35+Q38+Q39+Q40</f>
        <v>0</v>
      </c>
      <c r="R28" s="9"/>
      <c r="S28" s="720" t="str">
        <f>+IF(ABRIL!S28=0,"",ABRIL!S28)</f>
        <v>1010104-10</v>
      </c>
      <c r="T28" s="694" t="str">
        <f>+IF(ABRIL!T28=0,"",ABRIL!T28)</f>
        <v>Subsidio de Alimentación</v>
      </c>
      <c r="U28" s="27">
        <f>+ENERO!U28</f>
        <v>0</v>
      </c>
      <c r="V28" s="15">
        <f>ABRIL!V28+MAYO!AL28</f>
        <v>0</v>
      </c>
      <c r="W28" s="15">
        <f>ABRIL!W28+MAYO!AM28</f>
        <v>0</v>
      </c>
      <c r="X28" s="18">
        <f t="shared" si="18"/>
        <v>0</v>
      </c>
      <c r="Y28" s="19">
        <f>ABRIL!AA28</f>
        <v>0</v>
      </c>
      <c r="Z28" s="377">
        <v>0</v>
      </c>
      <c r="AA28" s="18">
        <f t="shared" si="19"/>
        <v>0</v>
      </c>
      <c r="AB28" s="19">
        <f>ABRIL!AD28</f>
        <v>0</v>
      </c>
      <c r="AC28" s="377">
        <v>0</v>
      </c>
      <c r="AD28" s="18">
        <f t="shared" si="20"/>
        <v>0</v>
      </c>
      <c r="AE28" s="19">
        <f>ABRIL!AG28</f>
        <v>0</v>
      </c>
      <c r="AF28" s="377">
        <v>0</v>
      </c>
      <c r="AG28" s="18">
        <f t="shared" si="21"/>
        <v>0</v>
      </c>
      <c r="AH28" s="19">
        <f t="shared" si="22"/>
        <v>0</v>
      </c>
      <c r="AI28" s="15">
        <f t="shared" si="23"/>
        <v>0</v>
      </c>
      <c r="AJ28" s="16">
        <f t="shared" si="24"/>
        <v>0</v>
      </c>
      <c r="AK28" s="9"/>
      <c r="AL28" s="375">
        <v>0</v>
      </c>
      <c r="AM28" s="378">
        <v>0</v>
      </c>
      <c r="AN28" s="9"/>
      <c r="AO28" s="352"/>
      <c r="AP28" s="441" t="s">
        <v>129</v>
      </c>
      <c r="AQ28" s="434">
        <f>X193</f>
        <v>468953270</v>
      </c>
      <c r="AR28" s="434">
        <f>AD193</f>
        <v>225535104</v>
      </c>
      <c r="AS28" s="434">
        <f>AG193</f>
        <v>120233522</v>
      </c>
      <c r="AT28" s="434"/>
      <c r="AU28" s="376">
        <f t="shared" si="26"/>
        <v>0.48093300213046813</v>
      </c>
      <c r="AV28" s="376">
        <f t="shared" si="27"/>
        <v>0.25638699992432079</v>
      </c>
      <c r="AW28" s="376">
        <f>(AR28-AD205)/$AO$2*12+AD205</f>
        <v>412713944.79999995</v>
      </c>
      <c r="AX28" s="376">
        <f>(AS28-AG205)/$AO$2*12+AG205</f>
        <v>161400272.80000001</v>
      </c>
      <c r="AY28" s="376">
        <f t="shared" si="28"/>
        <v>56239325.200000048</v>
      </c>
      <c r="AZ28" s="146">
        <f t="shared" si="29"/>
        <v>307552997.19999999</v>
      </c>
      <c r="BA28" s="385"/>
      <c r="BB28" s="385"/>
      <c r="BC28" s="385"/>
      <c r="BD28" s="385"/>
      <c r="BE28" s="385"/>
      <c r="BF28" s="385"/>
      <c r="BG28" s="385"/>
      <c r="BH28" s="385"/>
      <c r="BI28" s="385"/>
      <c r="BJ28" s="385"/>
      <c r="BK28" s="385"/>
      <c r="BL28" s="385"/>
      <c r="BM28" s="71" t="s">
        <v>458</v>
      </c>
      <c r="BN28" s="83">
        <f>+X194-X196-X205</f>
        <v>128567607</v>
      </c>
      <c r="BO28" s="81">
        <f>+AA194-AA196-AA205</f>
        <v>60008376</v>
      </c>
      <c r="BP28" s="81">
        <f>+AD194-AD196-AD205</f>
        <v>60008376</v>
      </c>
      <c r="BQ28" s="82">
        <f>+AF194-AF196-AF205</f>
        <v>11614862</v>
      </c>
      <c r="BR28" s="9"/>
    </row>
    <row r="29" spans="1:70" s="9" customFormat="1" ht="24.95" customHeight="1" x14ac:dyDescent="0.25">
      <c r="A29" s="618" t="str">
        <f>+IF(ABRIL!A29=0,"",ABRIL!A29)</f>
        <v>1130103-1</v>
      </c>
      <c r="B29" s="655" t="str">
        <f>+IF(ABRIL!B29=0,"",ABRIL!B29)</f>
        <v>Prestación de Servicios de salud  1er Nivel</v>
      </c>
      <c r="C29" s="19">
        <f t="shared" ref="C29:N29" si="32">SUM(C30:C31)</f>
        <v>24095828</v>
      </c>
      <c r="D29" s="15">
        <f t="shared" si="32"/>
        <v>0</v>
      </c>
      <c r="E29" s="15">
        <f t="shared" si="32"/>
        <v>0</v>
      </c>
      <c r="F29" s="15">
        <f t="shared" si="32"/>
        <v>24095828</v>
      </c>
      <c r="G29" s="15">
        <f t="shared" si="32"/>
        <v>5410703</v>
      </c>
      <c r="H29" s="15">
        <f t="shared" si="32"/>
        <v>0</v>
      </c>
      <c r="I29" s="15">
        <f t="shared" si="32"/>
        <v>5410703</v>
      </c>
      <c r="J29" s="15">
        <f t="shared" si="32"/>
        <v>0</v>
      </c>
      <c r="K29" s="15">
        <f t="shared" si="32"/>
        <v>0</v>
      </c>
      <c r="L29" s="15">
        <f t="shared" si="32"/>
        <v>0</v>
      </c>
      <c r="M29" s="15">
        <f t="shared" si="32"/>
        <v>18685125</v>
      </c>
      <c r="N29" s="16">
        <f t="shared" si="32"/>
        <v>24095828</v>
      </c>
      <c r="O29" s="385"/>
      <c r="P29" s="147">
        <f>SUM(P30:P31)</f>
        <v>0</v>
      </c>
      <c r="Q29" s="148">
        <f>SUM(Q30:Q31)</f>
        <v>0</v>
      </c>
      <c r="S29" s="720" t="str">
        <f>+IF(ABRIL!S29=0,"",ABRIL!S29)</f>
        <v>1010104-11</v>
      </c>
      <c r="T29" s="694" t="str">
        <f>+IF(ABRIL!T29=0,"",ABRIL!T29)</f>
        <v>Gastos de Representación</v>
      </c>
      <c r="U29" s="27">
        <f>+ENERO!U29</f>
        <v>0</v>
      </c>
      <c r="V29" s="15">
        <f>ABRIL!V29+MAYO!AL29</f>
        <v>0</v>
      </c>
      <c r="W29" s="15">
        <f>ABRIL!W29+MAYO!AM29</f>
        <v>0</v>
      </c>
      <c r="X29" s="18">
        <f t="shared" si="18"/>
        <v>0</v>
      </c>
      <c r="Y29" s="19">
        <f>ABRIL!AA29</f>
        <v>0</v>
      </c>
      <c r="Z29" s="377">
        <v>0</v>
      </c>
      <c r="AA29" s="18">
        <f t="shared" si="19"/>
        <v>0</v>
      </c>
      <c r="AB29" s="19">
        <f>ABRIL!AD29</f>
        <v>0</v>
      </c>
      <c r="AC29" s="377">
        <v>0</v>
      </c>
      <c r="AD29" s="18">
        <f t="shared" si="20"/>
        <v>0</v>
      </c>
      <c r="AE29" s="19">
        <f>ABRIL!AG29</f>
        <v>0</v>
      </c>
      <c r="AF29" s="377">
        <v>0</v>
      </c>
      <c r="AG29" s="18">
        <f t="shared" si="21"/>
        <v>0</v>
      </c>
      <c r="AH29" s="19">
        <f t="shared" si="22"/>
        <v>0</v>
      </c>
      <c r="AI29" s="15">
        <f t="shared" si="23"/>
        <v>0</v>
      </c>
      <c r="AJ29" s="16">
        <f t="shared" si="24"/>
        <v>0</v>
      </c>
      <c r="AL29" s="375">
        <v>0</v>
      </c>
      <c r="AM29" s="378">
        <v>0</v>
      </c>
      <c r="AO29" s="21"/>
      <c r="AP29" s="442" t="s">
        <v>133</v>
      </c>
      <c r="AQ29" s="12">
        <f>X207</f>
        <v>0</v>
      </c>
      <c r="AR29" s="12">
        <f>AD207</f>
        <v>0</v>
      </c>
      <c r="AS29" s="12">
        <f>AG207</f>
        <v>0</v>
      </c>
      <c r="AT29" s="330"/>
      <c r="AU29" s="345" t="str">
        <f t="shared" si="26"/>
        <v xml:space="preserve"> </v>
      </c>
      <c r="AV29" s="345" t="str">
        <f t="shared" si="27"/>
        <v xml:space="preserve"> </v>
      </c>
      <c r="AW29" s="439">
        <f>(AR29-AD218)/$AO$2*12+AD218</f>
        <v>0</v>
      </c>
      <c r="AX29" s="439">
        <f>(AS29-AG218)/$AO$2*12+AG218</f>
        <v>0</v>
      </c>
      <c r="AY29" s="439">
        <f t="shared" si="28"/>
        <v>0</v>
      </c>
      <c r="AZ29" s="46">
        <f t="shared" si="29"/>
        <v>0</v>
      </c>
      <c r="BA29" s="385"/>
      <c r="BB29" s="425"/>
      <c r="BC29" s="425"/>
      <c r="BD29" s="425"/>
      <c r="BE29" s="425"/>
      <c r="BF29" s="425"/>
      <c r="BG29" s="385"/>
      <c r="BH29" s="385"/>
      <c r="BI29" s="385"/>
      <c r="BJ29" s="385"/>
      <c r="BK29" s="385"/>
      <c r="BM29" s="110" t="s">
        <v>72</v>
      </c>
      <c r="BN29" s="106">
        <f>X232-X256-X241</f>
        <v>436000000</v>
      </c>
      <c r="BO29" s="107">
        <f>AA232-AA256-AA241</f>
        <v>80680000</v>
      </c>
      <c r="BP29" s="107">
        <f>AD232-AD256-AD241</f>
        <v>14280000</v>
      </c>
      <c r="BQ29" s="108">
        <f>AF232-AF256-AF241</f>
        <v>12900000</v>
      </c>
      <c r="BR29" s="385"/>
    </row>
    <row r="30" spans="1:70" s="425" customFormat="1" ht="24.95" customHeight="1" x14ac:dyDescent="0.25">
      <c r="A30" s="618" t="str">
        <f>+IF(ABRIL!A30=0,"",ABRIL!A30)</f>
        <v>1130103-1-1</v>
      </c>
      <c r="B30" s="654" t="str">
        <f>+CONCATENATE("Vigencia ",INSTRUCCIONES!$F$3)</f>
        <v>Vigencia 2015</v>
      </c>
      <c r="C30" s="375">
        <f>+ENERO!C30</f>
        <v>24095828</v>
      </c>
      <c r="D30" s="376">
        <f>ABRIL!D30+MAYO!P30</f>
        <v>0</v>
      </c>
      <c r="E30" s="376">
        <f>ABRIL!E30+MAYO!Q30</f>
        <v>0</v>
      </c>
      <c r="F30" s="376">
        <f>SUM(C30:E30)</f>
        <v>24095828</v>
      </c>
      <c r="G30" s="376">
        <f>ABRIL!I30</f>
        <v>5410703</v>
      </c>
      <c r="H30" s="377">
        <v>0</v>
      </c>
      <c r="I30" s="376">
        <f>SUM(G30:H30)</f>
        <v>5410703</v>
      </c>
      <c r="J30" s="376">
        <f>ABRIL!L30</f>
        <v>0</v>
      </c>
      <c r="K30" s="377">
        <v>0</v>
      </c>
      <c r="L30" s="376">
        <f>SUM(J30:K30)</f>
        <v>0</v>
      </c>
      <c r="M30" s="376">
        <f>F30-I30</f>
        <v>18685125</v>
      </c>
      <c r="N30" s="146">
        <f>F30-L30</f>
        <v>24095828</v>
      </c>
      <c r="O30" s="9"/>
      <c r="P30" s="375">
        <v>0</v>
      </c>
      <c r="Q30" s="378">
        <v>0</v>
      </c>
      <c r="R30" s="9"/>
      <c r="S30" s="720" t="str">
        <f>+IF(ABRIL!S30=0,"",ABRIL!S30)</f>
        <v>1010104-12</v>
      </c>
      <c r="T30" s="694" t="str">
        <f>+IF(ABRIL!T30=0,"",ABRIL!T30)</f>
        <v xml:space="preserve"> Indemnizaciones por Vacaciones o Supresión de Cargos por Reestructuración</v>
      </c>
      <c r="U30" s="27">
        <f>+ENERO!U30</f>
        <v>0</v>
      </c>
      <c r="V30" s="15">
        <f>ABRIL!V30+MAYO!AL30</f>
        <v>0</v>
      </c>
      <c r="W30" s="15">
        <f>ABRIL!W30+MAYO!AM30</f>
        <v>0</v>
      </c>
      <c r="X30" s="18">
        <f t="shared" si="18"/>
        <v>0</v>
      </c>
      <c r="Y30" s="19">
        <f>ABRIL!AA30</f>
        <v>0</v>
      </c>
      <c r="Z30" s="377">
        <v>0</v>
      </c>
      <c r="AA30" s="18">
        <f t="shared" si="19"/>
        <v>0</v>
      </c>
      <c r="AB30" s="19">
        <f>ABRIL!AD30</f>
        <v>0</v>
      </c>
      <c r="AC30" s="377">
        <v>0</v>
      </c>
      <c r="AD30" s="18">
        <f t="shared" si="20"/>
        <v>0</v>
      </c>
      <c r="AE30" s="19">
        <f>ABRIL!AG30</f>
        <v>0</v>
      </c>
      <c r="AF30" s="377">
        <v>0</v>
      </c>
      <c r="AG30" s="18">
        <f t="shared" si="21"/>
        <v>0</v>
      </c>
      <c r="AH30" s="19">
        <f t="shared" si="22"/>
        <v>0</v>
      </c>
      <c r="AI30" s="15">
        <f t="shared" si="23"/>
        <v>0</v>
      </c>
      <c r="AJ30" s="16">
        <f t="shared" si="24"/>
        <v>0</v>
      </c>
      <c r="AK30" s="9"/>
      <c r="AL30" s="375">
        <v>0</v>
      </c>
      <c r="AM30" s="378">
        <v>0</v>
      </c>
      <c r="AN30" s="9"/>
      <c r="AO30" s="373" t="s">
        <v>53</v>
      </c>
      <c r="AP30" s="441" t="s">
        <v>136</v>
      </c>
      <c r="AQ30" s="376">
        <f>X220+X232</f>
        <v>436000000</v>
      </c>
      <c r="AR30" s="376">
        <f>AD220+AD232</f>
        <v>14280000</v>
      </c>
      <c r="AS30" s="376">
        <f>AG220+AG232</f>
        <v>12900000</v>
      </c>
      <c r="AT30" s="434"/>
      <c r="AU30" s="376">
        <f t="shared" si="26"/>
        <v>3.275229357798165E-2</v>
      </c>
      <c r="AV30" s="376">
        <f t="shared" si="27"/>
        <v>2.9587155963302754E-2</v>
      </c>
      <c r="AW30" s="376">
        <f>(AR30-AD225-AD230-AD241-AD256)/$AO$2*12+AD225+AD230+AD241+AD256</f>
        <v>34272000</v>
      </c>
      <c r="AX30" s="376">
        <f>(AS30-AG225-AG230-AG241-AG256)/$AO$2*12+AG225+AG230+AG241+AG256</f>
        <v>30960000</v>
      </c>
      <c r="AY30" s="376">
        <f t="shared" si="28"/>
        <v>401728000</v>
      </c>
      <c r="AZ30" s="146">
        <f t="shared" si="29"/>
        <v>405040000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+IF(ABRIL!A31=0,"",ABRIL!A31)</f>
        <v>1130103-1-2</v>
      </c>
      <c r="B31" s="654" t="str">
        <f>+IF(ABRIL!B31=0,"",ABRIL!B31)</f>
        <v>Vigencia Anterior</v>
      </c>
      <c r="C31" s="375">
        <f>+ENERO!C31</f>
        <v>0</v>
      </c>
      <c r="D31" s="376">
        <f>ABRIL!D31+MAYO!P31</f>
        <v>0</v>
      </c>
      <c r="E31" s="376">
        <f>ABRIL!E31+MAYO!Q31</f>
        <v>0</v>
      </c>
      <c r="F31" s="376">
        <f>SUM(C31:E31)</f>
        <v>0</v>
      </c>
      <c r="G31" s="376">
        <f>ABRIL!I31</f>
        <v>0</v>
      </c>
      <c r="H31" s="377">
        <v>0</v>
      </c>
      <c r="I31" s="376">
        <f>SUM(G31:H31)</f>
        <v>0</v>
      </c>
      <c r="J31" s="376">
        <f>ABRIL!L31</f>
        <v>0</v>
      </c>
      <c r="K31" s="377">
        <v>0</v>
      </c>
      <c r="L31" s="376">
        <f>SUM(J31:K31)</f>
        <v>0</v>
      </c>
      <c r="M31" s="376">
        <f>F31-I31</f>
        <v>0</v>
      </c>
      <c r="N31" s="146">
        <f>F31-L31</f>
        <v>0</v>
      </c>
      <c r="O31" s="385"/>
      <c r="P31" s="375">
        <v>0</v>
      </c>
      <c r="Q31" s="378">
        <v>0</v>
      </c>
      <c r="R31" s="9"/>
      <c r="S31" s="720" t="str">
        <f>+IF(ABRIL!S31=0,"",ABRIL!S31)</f>
        <v>1010104-13</v>
      </c>
      <c r="T31" s="694" t="str">
        <f>+IF(ABRIL!T31=0,"",ABRIL!T31)</f>
        <v>Bonificación Especial por Recreación</v>
      </c>
      <c r="U31" s="27">
        <f>+ENERO!U31</f>
        <v>1691144</v>
      </c>
      <c r="V31" s="15">
        <f>ABRIL!V31+MAYO!AL31</f>
        <v>0</v>
      </c>
      <c r="W31" s="15">
        <f>ABRIL!W31+MAYO!AM31</f>
        <v>0</v>
      </c>
      <c r="X31" s="18">
        <f t="shared" si="18"/>
        <v>1691144</v>
      </c>
      <c r="Y31" s="19">
        <f>ABRIL!AA31</f>
        <v>151937</v>
      </c>
      <c r="Z31" s="377">
        <v>0</v>
      </c>
      <c r="AA31" s="18">
        <f t="shared" si="19"/>
        <v>151937</v>
      </c>
      <c r="AB31" s="19">
        <f>ABRIL!AD31</f>
        <v>151937</v>
      </c>
      <c r="AC31" s="377">
        <v>0</v>
      </c>
      <c r="AD31" s="18">
        <f t="shared" si="20"/>
        <v>151937</v>
      </c>
      <c r="AE31" s="19">
        <f>ABRIL!AG31</f>
        <v>151937</v>
      </c>
      <c r="AF31" s="377">
        <v>0</v>
      </c>
      <c r="AG31" s="18">
        <f t="shared" si="21"/>
        <v>151937</v>
      </c>
      <c r="AH31" s="19">
        <f t="shared" si="22"/>
        <v>1539207</v>
      </c>
      <c r="AI31" s="15">
        <f t="shared" si="23"/>
        <v>1539207</v>
      </c>
      <c r="AJ31" s="16">
        <f t="shared" si="24"/>
        <v>1539207</v>
      </c>
      <c r="AK31" s="9"/>
      <c r="AL31" s="375">
        <v>0</v>
      </c>
      <c r="AM31" s="378">
        <v>0</v>
      </c>
      <c r="AN31" s="9"/>
      <c r="AO31" s="352"/>
      <c r="AP31" s="418" t="s">
        <v>139</v>
      </c>
      <c r="AQ31" s="434">
        <f>X258</f>
        <v>0</v>
      </c>
      <c r="AR31" s="434">
        <f>AD258</f>
        <v>-325966750</v>
      </c>
      <c r="AS31" s="434">
        <f>AG258</f>
        <v>-1171046488</v>
      </c>
      <c r="AT31" s="434"/>
      <c r="AU31" s="376" t="str">
        <f t="shared" si="26"/>
        <v xml:space="preserve"> </v>
      </c>
      <c r="AV31" s="376" t="str">
        <f t="shared" si="27"/>
        <v xml:space="preserve"> </v>
      </c>
      <c r="AW31" s="376">
        <f>AQ31</f>
        <v>0</v>
      </c>
      <c r="AX31" s="376">
        <f>AQ31</f>
        <v>0</v>
      </c>
      <c r="AY31" s="376">
        <f t="shared" si="28"/>
        <v>0</v>
      </c>
      <c r="AZ31" s="146">
        <f t="shared" si="29"/>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53511528</v>
      </c>
      <c r="BR31" s="9"/>
    </row>
    <row r="32" spans="1:70" s="9" customFormat="1" ht="24.95" customHeight="1" thickBot="1" x14ac:dyDescent="0.3">
      <c r="A32" s="618" t="str">
        <f>+IF(ABRIL!A32=0,"",ABRIL!A32)</f>
        <v>1130103-2</v>
      </c>
      <c r="B32" s="655" t="str">
        <f>+IF(ABRIL!B32=0,"",ABRIL!B32)</f>
        <v>Prestación de Servicios de salud  2o. Nivel</v>
      </c>
      <c r="C32" s="19">
        <f t="shared" ref="C32:N32" si="33">SUM(C33:C34)</f>
        <v>0</v>
      </c>
      <c r="D32" s="15">
        <f t="shared" si="33"/>
        <v>0</v>
      </c>
      <c r="E32" s="15">
        <f t="shared" si="33"/>
        <v>0</v>
      </c>
      <c r="F32" s="15">
        <f t="shared" si="33"/>
        <v>0</v>
      </c>
      <c r="G32" s="15">
        <f t="shared" si="33"/>
        <v>0</v>
      </c>
      <c r="H32" s="15">
        <f t="shared" si="33"/>
        <v>0</v>
      </c>
      <c r="I32" s="15">
        <f t="shared" si="33"/>
        <v>0</v>
      </c>
      <c r="J32" s="15">
        <f t="shared" si="33"/>
        <v>0</v>
      </c>
      <c r="K32" s="15">
        <f t="shared" si="33"/>
        <v>0</v>
      </c>
      <c r="L32" s="15">
        <f t="shared" si="33"/>
        <v>0</v>
      </c>
      <c r="M32" s="15">
        <f t="shared" si="33"/>
        <v>0</v>
      </c>
      <c r="N32" s="16">
        <f t="shared" si="33"/>
        <v>0</v>
      </c>
      <c r="O32" s="385"/>
      <c r="P32" s="147">
        <f>SUM(P33:P34)</f>
        <v>0</v>
      </c>
      <c r="Q32" s="148">
        <f>SUM(Q33:Q34)</f>
        <v>0</v>
      </c>
      <c r="S32" s="720" t="str">
        <f>+IF(ABRIL!S32=0,"",ABRIL!S32)</f>
        <v>1010104-14</v>
      </c>
      <c r="T32" s="694" t="str">
        <f>+IF(ABRIL!T32=0,"",ABRIL!T32)</f>
        <v/>
      </c>
      <c r="U32" s="27">
        <f>+ENERO!U32</f>
        <v>0</v>
      </c>
      <c r="V32" s="15">
        <f>ABRIL!V32+MAYO!AL32</f>
        <v>0</v>
      </c>
      <c r="W32" s="15">
        <f>ABRIL!W32+MAYO!AM32</f>
        <v>0</v>
      </c>
      <c r="X32" s="18">
        <f t="shared" si="18"/>
        <v>0</v>
      </c>
      <c r="Y32" s="19">
        <f>ABRIL!AA32</f>
        <v>0</v>
      </c>
      <c r="Z32" s="377">
        <v>0</v>
      </c>
      <c r="AA32" s="18">
        <f t="shared" si="19"/>
        <v>0</v>
      </c>
      <c r="AB32" s="19">
        <f>ABRIL!AD32</f>
        <v>0</v>
      </c>
      <c r="AC32" s="377">
        <v>0</v>
      </c>
      <c r="AD32" s="18">
        <f t="shared" si="20"/>
        <v>0</v>
      </c>
      <c r="AE32" s="19">
        <f>ABRIL!AG32</f>
        <v>0</v>
      </c>
      <c r="AF32" s="377">
        <v>0</v>
      </c>
      <c r="AG32" s="18">
        <f t="shared" si="21"/>
        <v>0</v>
      </c>
      <c r="AH32" s="19">
        <f t="shared" si="22"/>
        <v>0</v>
      </c>
      <c r="AI32" s="15">
        <f t="shared" si="23"/>
        <v>0</v>
      </c>
      <c r="AJ32" s="16">
        <f t="shared" si="24"/>
        <v>0</v>
      </c>
      <c r="AL32" s="375">
        <v>0</v>
      </c>
      <c r="AM32" s="378">
        <v>0</v>
      </c>
      <c r="AO32" s="21"/>
      <c r="AP32" s="443" t="s">
        <v>144</v>
      </c>
      <c r="AQ32" s="398">
        <f>SUM(AQ22:AQ31)</f>
        <v>3890600747</v>
      </c>
      <c r="AR32" s="398">
        <f>SUM(AR22:AR31)</f>
        <v>1178724941</v>
      </c>
      <c r="AS32" s="398">
        <f>SUM(AS22:AS31)</f>
        <v>0</v>
      </c>
      <c r="AT32" s="444"/>
      <c r="AU32" s="445">
        <f t="shared" si="26"/>
        <v>0.30296733529106062</v>
      </c>
      <c r="AV32" s="445">
        <f t="shared" si="27"/>
        <v>0</v>
      </c>
      <c r="AW32" s="354">
        <f>SUM(AW22:AW31)</f>
        <v>3307323272</v>
      </c>
      <c r="AX32" s="354">
        <f>SUM(AX22:AX31)</f>
        <v>2572592888.2000003</v>
      </c>
      <c r="AY32" s="354">
        <f>SUM(AY22:AY31)</f>
        <v>583277474.99999988</v>
      </c>
      <c r="AZ32" s="355">
        <f>SUM(AZ22:AZ31)</f>
        <v>1318007858.8000002</v>
      </c>
      <c r="BA32" s="385"/>
      <c r="BB32" s="425"/>
      <c r="BC32" s="425"/>
      <c r="BD32" s="425"/>
      <c r="BE32" s="425"/>
      <c r="BF32" s="425"/>
      <c r="BG32" s="385"/>
      <c r="BH32" s="385"/>
      <c r="BI32" s="385"/>
      <c r="BJ32" s="385"/>
      <c r="BK32" s="385"/>
      <c r="BM32" s="110" t="s">
        <v>140</v>
      </c>
      <c r="BN32" s="106">
        <f>+BN7+BN25+BN29+BN30+BN31</f>
        <v>3890600747</v>
      </c>
      <c r="BO32" s="107">
        <f>+BO7+BO25+BO29+BO30+BO31</f>
        <v>1766610248</v>
      </c>
      <c r="BP32" s="107">
        <f>+BP7+BP25+BP29+BP30+BP31</f>
        <v>1504691691</v>
      </c>
      <c r="BQ32" s="108">
        <f>+BQ7+BQ25+BQ29+BQ30+BQ31</f>
        <v>313380205</v>
      </c>
      <c r="BR32" s="385"/>
    </row>
    <row r="33" spans="1:70" s="425" customFormat="1" ht="24.95" customHeight="1" thickBot="1" x14ac:dyDescent="0.3">
      <c r="A33" s="618" t="str">
        <f>+IF(ABRIL!A33=0,"",ABRIL!A33)</f>
        <v>1130103-2-1</v>
      </c>
      <c r="B33" s="654" t="str">
        <f>+CONCATENATE("Vigencia ",INSTRUCCIONES!$F$3)</f>
        <v>Vigencia 2015</v>
      </c>
      <c r="C33" s="375">
        <f>+ENERO!C33</f>
        <v>0</v>
      </c>
      <c r="D33" s="376">
        <f>ABRIL!D33+MAYO!P33</f>
        <v>0</v>
      </c>
      <c r="E33" s="376">
        <f>ABRIL!E33+MAYO!Q33</f>
        <v>0</v>
      </c>
      <c r="F33" s="376">
        <f>SUM(C33:E33)</f>
        <v>0</v>
      </c>
      <c r="G33" s="376">
        <f>ABRIL!I33</f>
        <v>0</v>
      </c>
      <c r="H33" s="377">
        <v>0</v>
      </c>
      <c r="I33" s="376">
        <f>SUM(G33:H33)</f>
        <v>0</v>
      </c>
      <c r="J33" s="376">
        <f>ABRIL!L33</f>
        <v>0</v>
      </c>
      <c r="K33" s="377">
        <v>0</v>
      </c>
      <c r="L33" s="376">
        <f>SUM(J33:K33)</f>
        <v>0</v>
      </c>
      <c r="M33" s="376">
        <f>F33-I33</f>
        <v>0</v>
      </c>
      <c r="N33" s="146">
        <f>F33-L33</f>
        <v>0</v>
      </c>
      <c r="O33" s="9"/>
      <c r="P33" s="375">
        <v>0</v>
      </c>
      <c r="Q33" s="378">
        <v>0</v>
      </c>
      <c r="R33" s="9"/>
      <c r="S33" s="719">
        <f>+IF(ABRIL!S33=0,"",ABRIL!S33)</f>
        <v>1010199</v>
      </c>
      <c r="T33" s="693" t="str">
        <f>+IF(ABRIL!T33=0,"",ABRIL!T33)</f>
        <v>Vigencias Anteriores</v>
      </c>
      <c r="U33" s="27">
        <f>+ENERO!U33</f>
        <v>0</v>
      </c>
      <c r="V33" s="15">
        <f>ABRIL!V33+MAYO!AL33</f>
        <v>0</v>
      </c>
      <c r="W33" s="15">
        <f>ABRIL!W33+MAYO!AM33</f>
        <v>2702630</v>
      </c>
      <c r="X33" s="18">
        <f t="shared" si="18"/>
        <v>2702630</v>
      </c>
      <c r="Y33" s="19">
        <f>ABRIL!AA33</f>
        <v>2702630</v>
      </c>
      <c r="Z33" s="377">
        <v>0</v>
      </c>
      <c r="AA33" s="18">
        <f t="shared" si="19"/>
        <v>2702630</v>
      </c>
      <c r="AB33" s="19">
        <f>ABRIL!AD33</f>
        <v>2702630</v>
      </c>
      <c r="AC33" s="377">
        <v>0</v>
      </c>
      <c r="AD33" s="18">
        <f t="shared" si="20"/>
        <v>2702630</v>
      </c>
      <c r="AE33" s="19">
        <f>ABRIL!AG33</f>
        <v>1960279</v>
      </c>
      <c r="AF33" s="377">
        <v>0</v>
      </c>
      <c r="AG33" s="18">
        <f t="shared" si="21"/>
        <v>1960279</v>
      </c>
      <c r="AH33" s="19">
        <f t="shared" si="22"/>
        <v>0</v>
      </c>
      <c r="AI33" s="15">
        <f t="shared" si="23"/>
        <v>0</v>
      </c>
      <c r="AJ33" s="16">
        <f t="shared" si="24"/>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104159086</v>
      </c>
      <c r="BP33" s="113">
        <f>AD258</f>
        <v>-325966750</v>
      </c>
      <c r="BQ33" s="114">
        <f>AF258</f>
        <v>2398495601</v>
      </c>
      <c r="BR33" s="385"/>
    </row>
    <row r="34" spans="1:70" s="425" customFormat="1" ht="24.95" customHeight="1" thickBot="1" x14ac:dyDescent="0.25">
      <c r="A34" s="618" t="str">
        <f>+IF(ABRIL!A34=0,"",ABRIL!A34)</f>
        <v>1130103-2-2</v>
      </c>
      <c r="B34" s="654" t="str">
        <f>+IF(ABRIL!B34=0,"",ABRIL!B34)</f>
        <v>Vigencia Anterior</v>
      </c>
      <c r="C34" s="375">
        <f>+ENERO!C34</f>
        <v>0</v>
      </c>
      <c r="D34" s="376">
        <f>ABRIL!D34+MAYO!P34</f>
        <v>0</v>
      </c>
      <c r="E34" s="376">
        <f>ABRIL!E34+MAYO!Q34</f>
        <v>0</v>
      </c>
      <c r="F34" s="376">
        <f>SUM(C34:E34)</f>
        <v>0</v>
      </c>
      <c r="G34" s="376">
        <f>ABRIL!I34</f>
        <v>0</v>
      </c>
      <c r="H34" s="377">
        <v>0</v>
      </c>
      <c r="I34" s="376">
        <f>SUM(G34:H34)</f>
        <v>0</v>
      </c>
      <c r="J34" s="376">
        <f>ABRIL!L34</f>
        <v>0</v>
      </c>
      <c r="K34" s="377">
        <v>0</v>
      </c>
      <c r="L34" s="376">
        <f>SUM(J34:K34)</f>
        <v>0</v>
      </c>
      <c r="M34" s="376">
        <f>F34-I34</f>
        <v>0</v>
      </c>
      <c r="N34" s="146">
        <f>F34-L34</f>
        <v>0</v>
      </c>
      <c r="O34" s="385"/>
      <c r="P34" s="375">
        <v>0</v>
      </c>
      <c r="Q34" s="378">
        <v>0</v>
      </c>
      <c r="R34" s="9"/>
      <c r="S34" s="369" t="str">
        <f>+IF(ABRIL!S34=0,"",ABRIL!S34)</f>
        <v/>
      </c>
      <c r="T34" s="708" t="str">
        <f>+IF(ABRIL!T34=0,"",ABRIL!T34)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+IF(ABRIL!A35=0,"",ABRIL!A35)</f>
        <v>1130103-3</v>
      </c>
      <c r="B35" s="655" t="str">
        <f>+IF(ABRIL!B35=0,"",ABRIL!B35)</f>
        <v>Prestación de Servicios de salud  3o. Nivel</v>
      </c>
      <c r="C35" s="19">
        <f t="shared" ref="C35:N35" si="34">SUM(C36:C37)</f>
        <v>0</v>
      </c>
      <c r="D35" s="15">
        <f t="shared" si="34"/>
        <v>0</v>
      </c>
      <c r="E35" s="15">
        <f t="shared" si="34"/>
        <v>0</v>
      </c>
      <c r="F35" s="15">
        <f t="shared" si="34"/>
        <v>0</v>
      </c>
      <c r="G35" s="15">
        <f t="shared" si="34"/>
        <v>0</v>
      </c>
      <c r="H35" s="15">
        <f t="shared" si="34"/>
        <v>0</v>
      </c>
      <c r="I35" s="15">
        <f t="shared" si="34"/>
        <v>0</v>
      </c>
      <c r="J35" s="15">
        <f t="shared" si="34"/>
        <v>0</v>
      </c>
      <c r="K35" s="15">
        <f t="shared" si="34"/>
        <v>0</v>
      </c>
      <c r="L35" s="15">
        <f t="shared" si="34"/>
        <v>0</v>
      </c>
      <c r="M35" s="15">
        <f t="shared" si="34"/>
        <v>0</v>
      </c>
      <c r="N35" s="16">
        <f t="shared" si="34"/>
        <v>0</v>
      </c>
      <c r="P35" s="147">
        <f>SUM(P36:P37)</f>
        <v>0</v>
      </c>
      <c r="Q35" s="148">
        <f>SUM(Q36:Q37)</f>
        <v>0</v>
      </c>
      <c r="R35" s="9"/>
      <c r="S35" s="718">
        <f>+IF(ABRIL!S35=0,"",ABRIL!S35)</f>
        <v>1010200</v>
      </c>
      <c r="T35" s="692" t="str">
        <f>+IF(ABRIL!T35=0,"",ABRIL!T35)</f>
        <v>Servicios Personales Indirectos</v>
      </c>
      <c r="U35" s="135">
        <f t="shared" ref="U35:AJ35" si="35">SUM(U36:U41)</f>
        <v>215072393</v>
      </c>
      <c r="V35" s="124">
        <f t="shared" si="35"/>
        <v>0</v>
      </c>
      <c r="W35" s="124">
        <f t="shared" si="35"/>
        <v>27070478</v>
      </c>
      <c r="X35" s="132">
        <f t="shared" si="35"/>
        <v>242142871</v>
      </c>
      <c r="Y35" s="131">
        <f t="shared" si="35"/>
        <v>178750978</v>
      </c>
      <c r="Z35" s="124">
        <f t="shared" si="35"/>
        <v>3420000</v>
      </c>
      <c r="AA35" s="132">
        <f t="shared" si="35"/>
        <v>182170978</v>
      </c>
      <c r="AB35" s="131">
        <f t="shared" si="35"/>
        <v>75474148</v>
      </c>
      <c r="AC35" s="124">
        <f t="shared" si="35"/>
        <v>12120000</v>
      </c>
      <c r="AD35" s="132">
        <f t="shared" si="35"/>
        <v>87594148</v>
      </c>
      <c r="AE35" s="131">
        <f t="shared" si="35"/>
        <v>41110624</v>
      </c>
      <c r="AF35" s="124">
        <f t="shared" si="35"/>
        <v>20161300</v>
      </c>
      <c r="AG35" s="132">
        <f t="shared" si="35"/>
        <v>61271924</v>
      </c>
      <c r="AH35" s="131">
        <f t="shared" si="35"/>
        <v>59971893</v>
      </c>
      <c r="AI35" s="124">
        <f t="shared" si="35"/>
        <v>154548723</v>
      </c>
      <c r="AJ35" s="133">
        <f t="shared" si="35"/>
        <v>180870947</v>
      </c>
      <c r="AK35" s="9"/>
      <c r="AL35" s="131">
        <f>SUM(AL36:AL41)</f>
        <v>0</v>
      </c>
      <c r="AM35" s="133">
        <f>SUM(AM36:AM41)</f>
        <v>0</v>
      </c>
      <c r="AN35" s="9"/>
      <c r="AO35" s="352"/>
      <c r="AP35" s="453"/>
      <c r="AQ35" s="295"/>
      <c r="AR35" s="454"/>
      <c r="AS35" s="454"/>
      <c r="AT35" s="454"/>
      <c r="AU35" s="455">
        <f>AR17-AR32</f>
        <v>586604677</v>
      </c>
      <c r="AV35" s="456">
        <f>AS17-AR32</f>
        <v>-105439716</v>
      </c>
      <c r="AW35" s="456" t="s">
        <v>158</v>
      </c>
      <c r="AX35" s="457"/>
      <c r="AY35" s="456">
        <f>AY17+AY32</f>
        <v>388169290.39999974</v>
      </c>
      <c r="AZ35" s="458">
        <f>AZ17+AY32</f>
        <v>-1269392118.8000002</v>
      </c>
      <c r="BB35" s="425"/>
      <c r="BC35" s="425"/>
      <c r="BD35" s="425"/>
      <c r="BE35" s="425"/>
      <c r="BF35" s="425"/>
    </row>
    <row r="36" spans="1:70" s="385" customFormat="1" ht="24.95" customHeight="1" thickBot="1" x14ac:dyDescent="0.25">
      <c r="A36" s="618" t="str">
        <f>+IF(ABRIL!A36=0,"",ABRIL!A36)</f>
        <v>1130103-3-1</v>
      </c>
      <c r="B36" s="654" t="str">
        <f>+CONCATENATE("Vigencia ",INSTRUCCIONES!$F$3)</f>
        <v>Vigencia 2015</v>
      </c>
      <c r="C36" s="375">
        <f>+ENERO!C36</f>
        <v>0</v>
      </c>
      <c r="D36" s="376">
        <f>ABRIL!D36+MAYO!P36</f>
        <v>0</v>
      </c>
      <c r="E36" s="376">
        <f>ABRIL!E36+MAYO!Q36</f>
        <v>0</v>
      </c>
      <c r="F36" s="376">
        <f t="shared" ref="F36:F41" si="36">SUM(C36:E36)</f>
        <v>0</v>
      </c>
      <c r="G36" s="376">
        <f>ABRIL!I36</f>
        <v>0</v>
      </c>
      <c r="H36" s="377">
        <v>0</v>
      </c>
      <c r="I36" s="376">
        <f t="shared" ref="I36:I41" si="37">SUM(G36:H36)</f>
        <v>0</v>
      </c>
      <c r="J36" s="376">
        <f>ABRIL!L36</f>
        <v>0</v>
      </c>
      <c r="K36" s="377">
        <v>0</v>
      </c>
      <c r="L36" s="376">
        <f t="shared" ref="L36:L41" si="38">SUM(J36:K36)</f>
        <v>0</v>
      </c>
      <c r="M36" s="376">
        <f t="shared" ref="M36:M41" si="39">F36-I36</f>
        <v>0</v>
      </c>
      <c r="N36" s="146">
        <f t="shared" ref="N36:N41" si="40">F36-L36</f>
        <v>0</v>
      </c>
      <c r="O36" s="9"/>
      <c r="P36" s="375">
        <v>0</v>
      </c>
      <c r="Q36" s="378">
        <v>0</v>
      </c>
      <c r="R36" s="9"/>
      <c r="S36" s="719" t="str">
        <f>+IF(ABRIL!S36=0,"",ABRIL!S36)</f>
        <v>1010200-1</v>
      </c>
      <c r="T36" s="693" t="str">
        <f>+IF(ABRIL!T36=0,"",ABRIL!T36)</f>
        <v>Remuneración y Honorarios por Servicios Técnicos y Profesionales</v>
      </c>
      <c r="U36" s="27">
        <f>+ENERO!U36</f>
        <v>213224393</v>
      </c>
      <c r="V36" s="15">
        <f>ABRIL!V36+MAYO!AL36</f>
        <v>0</v>
      </c>
      <c r="W36" s="15">
        <f>ABRIL!W36+MAYO!AM36</f>
        <v>0</v>
      </c>
      <c r="X36" s="18">
        <f t="shared" ref="X36:X41" si="41">SUM(U36:W36)</f>
        <v>213224393</v>
      </c>
      <c r="Y36" s="19">
        <f>ABRIL!AA36</f>
        <v>151680500</v>
      </c>
      <c r="Z36" s="377">
        <v>3420000</v>
      </c>
      <c r="AA36" s="18">
        <f t="shared" ref="AA36:AA41" si="42">SUM(Y36:Z36)</f>
        <v>155100500</v>
      </c>
      <c r="AB36" s="19">
        <f>ABRIL!AD36</f>
        <v>48403670</v>
      </c>
      <c r="AC36" s="377">
        <v>12120000</v>
      </c>
      <c r="AD36" s="18">
        <f t="shared" ref="AD36:AD41" si="43">SUM(AB36:AC36)</f>
        <v>60523670</v>
      </c>
      <c r="AE36" s="19">
        <f>ABRIL!AG36</f>
        <v>22840000</v>
      </c>
      <c r="AF36" s="377">
        <v>20161300</v>
      </c>
      <c r="AG36" s="18">
        <f t="shared" ref="AG36:AG41" si="44">SUM(AE36:AF36)</f>
        <v>43001300</v>
      </c>
      <c r="AH36" s="19">
        <f t="shared" ref="AH36:AH41" si="45">X36-AA36</f>
        <v>58123893</v>
      </c>
      <c r="AI36" s="15">
        <f t="shared" ref="AI36:AI41" si="46">X36-AD36</f>
        <v>152700723</v>
      </c>
      <c r="AJ36" s="16">
        <f t="shared" ref="AJ36:AJ41" si="47">X36-AG36</f>
        <v>170223093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+IF(ABRIL!A37=0,"",ABRIL!A37)</f>
        <v>1130103-3-2</v>
      </c>
      <c r="B37" s="654" t="str">
        <f>+IF(ABRIL!B37=0,"",ABRIL!B37)</f>
        <v>Vigencia Anterior</v>
      </c>
      <c r="C37" s="375">
        <f>+ENERO!C37</f>
        <v>0</v>
      </c>
      <c r="D37" s="376">
        <f>ABRIL!D37+MAYO!P37</f>
        <v>0</v>
      </c>
      <c r="E37" s="376">
        <f>ABRIL!E37+MAYO!Q37</f>
        <v>0</v>
      </c>
      <c r="F37" s="376">
        <f t="shared" si="36"/>
        <v>0</v>
      </c>
      <c r="G37" s="376">
        <f>ABRIL!I37</f>
        <v>0</v>
      </c>
      <c r="H37" s="377">
        <v>0</v>
      </c>
      <c r="I37" s="376">
        <f t="shared" si="37"/>
        <v>0</v>
      </c>
      <c r="J37" s="376">
        <f>ABRIL!L37</f>
        <v>0</v>
      </c>
      <c r="K37" s="377">
        <v>0</v>
      </c>
      <c r="L37" s="376">
        <f t="shared" si="38"/>
        <v>0</v>
      </c>
      <c r="M37" s="376">
        <f t="shared" si="39"/>
        <v>0</v>
      </c>
      <c r="N37" s="146">
        <f t="shared" si="40"/>
        <v>0</v>
      </c>
      <c r="P37" s="375">
        <v>0</v>
      </c>
      <c r="Q37" s="378">
        <v>0</v>
      </c>
      <c r="R37" s="9"/>
      <c r="S37" s="719" t="str">
        <f>+IF(ABRIL!S37=0,"",ABRIL!S37)</f>
        <v>1010200-2</v>
      </c>
      <c r="T37" s="693" t="str">
        <f>+IF(ABRIL!T37=0,"",ABRIL!T37)</f>
        <v>Personal Supernumerario</v>
      </c>
      <c r="U37" s="27">
        <f>+ENERO!U37</f>
        <v>0</v>
      </c>
      <c r="V37" s="15">
        <f>ABRIL!V37+MAYO!AL37</f>
        <v>0</v>
      </c>
      <c r="W37" s="15">
        <f>ABRIL!W37+MAYO!AM37</f>
        <v>0</v>
      </c>
      <c r="X37" s="18">
        <f t="shared" si="41"/>
        <v>0</v>
      </c>
      <c r="Y37" s="19">
        <f>ABRIL!AA37</f>
        <v>0</v>
      </c>
      <c r="Z37" s="377">
        <v>0</v>
      </c>
      <c r="AA37" s="18">
        <f t="shared" si="42"/>
        <v>0</v>
      </c>
      <c r="AB37" s="19">
        <f>ABRIL!AD37</f>
        <v>0</v>
      </c>
      <c r="AC37" s="377">
        <v>0</v>
      </c>
      <c r="AD37" s="18">
        <f t="shared" si="43"/>
        <v>0</v>
      </c>
      <c r="AE37" s="19">
        <f>ABRIL!AG37</f>
        <v>0</v>
      </c>
      <c r="AF37" s="377">
        <v>0</v>
      </c>
      <c r="AG37" s="18">
        <f t="shared" si="44"/>
        <v>0</v>
      </c>
      <c r="AH37" s="19">
        <f t="shared" si="45"/>
        <v>0</v>
      </c>
      <c r="AI37" s="15">
        <f t="shared" si="46"/>
        <v>0</v>
      </c>
      <c r="AJ37" s="16">
        <f t="shared" si="47"/>
        <v>0</v>
      </c>
      <c r="AK37" s="9"/>
      <c r="AL37" s="375">
        <v>0</v>
      </c>
      <c r="AM37" s="378">
        <v>0</v>
      </c>
      <c r="AN37" s="9"/>
      <c r="AO37" s="24" t="s">
        <v>161</v>
      </c>
    </row>
    <row r="38" spans="1:70" s="385" customFormat="1" ht="24.95" customHeight="1" x14ac:dyDescent="0.2">
      <c r="A38" s="749" t="str">
        <f>+IF(ABRIL!A38=0,"",ABRIL!A38)</f>
        <v>1130103-4</v>
      </c>
      <c r="B38" s="656" t="str">
        <f>+IF(ABRIL!B38=0,"",ABRIL!B38)</f>
        <v xml:space="preserve"> Aportes Patronales  1o. Nivel</v>
      </c>
      <c r="C38" s="375">
        <f>+ENERO!C38</f>
        <v>326631000</v>
      </c>
      <c r="D38" s="376">
        <f>ABRIL!D38+MAYO!P38</f>
        <v>0</v>
      </c>
      <c r="E38" s="376">
        <f>ABRIL!E38+MAYO!Q38</f>
        <v>0</v>
      </c>
      <c r="F38" s="376">
        <f t="shared" si="36"/>
        <v>326631000</v>
      </c>
      <c r="G38" s="376">
        <f>ABRIL!I38</f>
        <v>103199039</v>
      </c>
      <c r="H38" s="377">
        <v>32675251</v>
      </c>
      <c r="I38" s="376">
        <f t="shared" si="37"/>
        <v>135874290</v>
      </c>
      <c r="J38" s="376">
        <f>ABRIL!L38</f>
        <v>99262588</v>
      </c>
      <c r="K38" s="377">
        <v>24815647</v>
      </c>
      <c r="L38" s="376">
        <f t="shared" si="38"/>
        <v>124078235</v>
      </c>
      <c r="M38" s="376">
        <f t="shared" si="39"/>
        <v>190756710</v>
      </c>
      <c r="N38" s="146">
        <f t="shared" si="40"/>
        <v>202552765</v>
      </c>
      <c r="O38" s="533"/>
      <c r="P38" s="375">
        <v>0</v>
      </c>
      <c r="Q38" s="378">
        <v>0</v>
      </c>
      <c r="R38" s="9"/>
      <c r="S38" s="719" t="str">
        <f>+IF(ABRIL!S38=0,"",ABRIL!S38)</f>
        <v>1010200-3</v>
      </c>
      <c r="T38" s="693" t="str">
        <f>+IF(ABRIL!T38=0,"",ABRIL!T38)</f>
        <v>Honorarios de la Junta Directiva</v>
      </c>
      <c r="U38" s="27">
        <f>+ENERO!U38</f>
        <v>1848000</v>
      </c>
      <c r="V38" s="15">
        <f>ABRIL!V38+MAYO!AL38</f>
        <v>0</v>
      </c>
      <c r="W38" s="15">
        <f>ABRIL!W38+MAYO!AM38</f>
        <v>0</v>
      </c>
      <c r="X38" s="18">
        <f t="shared" si="41"/>
        <v>1848000</v>
      </c>
      <c r="Y38" s="19">
        <f>ABRIL!AA38</f>
        <v>0</v>
      </c>
      <c r="Z38" s="377">
        <v>0</v>
      </c>
      <c r="AA38" s="18">
        <f t="shared" si="42"/>
        <v>0</v>
      </c>
      <c r="AB38" s="19">
        <f>ABRIL!AD38</f>
        <v>0</v>
      </c>
      <c r="AC38" s="377">
        <v>0</v>
      </c>
      <c r="AD38" s="18">
        <f t="shared" si="43"/>
        <v>0</v>
      </c>
      <c r="AE38" s="19">
        <f>ABRIL!AG38</f>
        <v>0</v>
      </c>
      <c r="AF38" s="377">
        <v>0</v>
      </c>
      <c r="AG38" s="18">
        <f t="shared" si="44"/>
        <v>0</v>
      </c>
      <c r="AH38" s="19">
        <f t="shared" si="45"/>
        <v>1848000</v>
      </c>
      <c r="AI38" s="15">
        <f t="shared" si="46"/>
        <v>1848000</v>
      </c>
      <c r="AJ38" s="16">
        <f t="shared" si="47"/>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+IF(ABRIL!A39=0,"",ABRIL!A39)</f>
        <v>1130103-5</v>
      </c>
      <c r="B39" s="656" t="str">
        <f>+IF(ABRIL!B39=0,"",ABRIL!B39)</f>
        <v xml:space="preserve"> Aportes Patronales  2o. Nivel</v>
      </c>
      <c r="C39" s="375">
        <f>+ENERO!C39</f>
        <v>0</v>
      </c>
      <c r="D39" s="376">
        <f>ABRIL!D39+MAYO!P39</f>
        <v>0</v>
      </c>
      <c r="E39" s="376">
        <f>ABRIL!E39+MAYO!Q39</f>
        <v>0</v>
      </c>
      <c r="F39" s="376">
        <f t="shared" si="36"/>
        <v>0</v>
      </c>
      <c r="G39" s="376">
        <f>ABRIL!I39</f>
        <v>0</v>
      </c>
      <c r="H39" s="377">
        <v>0</v>
      </c>
      <c r="I39" s="376">
        <f t="shared" si="37"/>
        <v>0</v>
      </c>
      <c r="J39" s="376">
        <f>ABRIL!L39</f>
        <v>0</v>
      </c>
      <c r="K39" s="377">
        <v>0</v>
      </c>
      <c r="L39" s="376">
        <f t="shared" si="38"/>
        <v>0</v>
      </c>
      <c r="M39" s="376">
        <f t="shared" si="39"/>
        <v>0</v>
      </c>
      <c r="N39" s="146">
        <f t="shared" si="40"/>
        <v>0</v>
      </c>
      <c r="O39" s="533"/>
      <c r="P39" s="375">
        <v>0</v>
      </c>
      <c r="Q39" s="378">
        <v>0</v>
      </c>
      <c r="R39" s="9"/>
      <c r="S39" s="719" t="str">
        <f>+IF(ABRIL!S39=0,"",ABRIL!S39)</f>
        <v>1010200-4</v>
      </c>
      <c r="T39" s="693" t="str">
        <f>+IF(ABRIL!T39=0,"",ABRIL!T39)</f>
        <v>Otros Honorarios (Servicios de Cooperativa)</v>
      </c>
      <c r="U39" s="27">
        <f>+ENERO!U39</f>
        <v>0</v>
      </c>
      <c r="V39" s="15">
        <f>ABRIL!V39+MAYO!AL39</f>
        <v>0</v>
      </c>
      <c r="W39" s="15">
        <f>ABRIL!W39+MAYO!AM39</f>
        <v>0</v>
      </c>
      <c r="X39" s="18">
        <f t="shared" si="41"/>
        <v>0</v>
      </c>
      <c r="Y39" s="19">
        <f>ABRIL!AA39</f>
        <v>0</v>
      </c>
      <c r="Z39" s="377">
        <v>0</v>
      </c>
      <c r="AA39" s="18">
        <f t="shared" si="42"/>
        <v>0</v>
      </c>
      <c r="AB39" s="19">
        <f>ABRIL!AD39</f>
        <v>0</v>
      </c>
      <c r="AC39" s="377">
        <v>0</v>
      </c>
      <c r="AD39" s="18">
        <f t="shared" si="43"/>
        <v>0</v>
      </c>
      <c r="AE39" s="19">
        <f>ABRIL!AG39</f>
        <v>0</v>
      </c>
      <c r="AF39" s="377">
        <v>0</v>
      </c>
      <c r="AG39" s="18">
        <f t="shared" si="44"/>
        <v>0</v>
      </c>
      <c r="AH39" s="19">
        <f t="shared" si="45"/>
        <v>0</v>
      </c>
      <c r="AI39" s="15">
        <f t="shared" si="46"/>
        <v>0</v>
      </c>
      <c r="AJ39" s="16">
        <f t="shared" si="47"/>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+IF(ABRIL!A40=0,"",ABRIL!A40)</f>
        <v>1130103-6</v>
      </c>
      <c r="B40" s="656" t="str">
        <f>+IF(ABRIL!B40=0,"",ABRIL!B40)</f>
        <v xml:space="preserve"> Aportes Patronales  3er. Nivel</v>
      </c>
      <c r="C40" s="375">
        <f>+ENERO!C40</f>
        <v>0</v>
      </c>
      <c r="D40" s="376">
        <f>ABRIL!D40+MAYO!P40</f>
        <v>0</v>
      </c>
      <c r="E40" s="376">
        <f>ABRIL!E40+MAYO!Q40</f>
        <v>0</v>
      </c>
      <c r="F40" s="376">
        <f t="shared" si="36"/>
        <v>0</v>
      </c>
      <c r="G40" s="376">
        <f>ABRIL!I40</f>
        <v>0</v>
      </c>
      <c r="H40" s="377">
        <v>0</v>
      </c>
      <c r="I40" s="376">
        <f t="shared" si="37"/>
        <v>0</v>
      </c>
      <c r="J40" s="376">
        <f>ABRIL!L40</f>
        <v>0</v>
      </c>
      <c r="K40" s="377">
        <v>0</v>
      </c>
      <c r="L40" s="376">
        <f t="shared" si="38"/>
        <v>0</v>
      </c>
      <c r="M40" s="376">
        <f t="shared" si="39"/>
        <v>0</v>
      </c>
      <c r="N40" s="146">
        <f t="shared" si="40"/>
        <v>0</v>
      </c>
      <c r="O40" s="533"/>
      <c r="P40" s="375">
        <v>0</v>
      </c>
      <c r="Q40" s="378">
        <v>0</v>
      </c>
      <c r="R40" s="9"/>
      <c r="S40" s="719" t="str">
        <f>+IF(ABRIL!S40=0,"",ABRIL!S40)</f>
        <v>1010200-6</v>
      </c>
      <c r="T40" s="693" t="str">
        <f>+IF(ABRIL!T40=0,"",ABRIL!T40)</f>
        <v>Certificación, Habilitación y Acreditación</v>
      </c>
      <c r="U40" s="27">
        <f>+ENERO!U40</f>
        <v>0</v>
      </c>
      <c r="V40" s="15">
        <f>ABRIL!V40+MAYO!AL40</f>
        <v>0</v>
      </c>
      <c r="W40" s="15">
        <f>ABRIL!W40+MAYO!AM40</f>
        <v>0</v>
      </c>
      <c r="X40" s="18">
        <f t="shared" si="41"/>
        <v>0</v>
      </c>
      <c r="Y40" s="19">
        <f>ABRIL!AA40</f>
        <v>0</v>
      </c>
      <c r="Z40" s="377">
        <v>0</v>
      </c>
      <c r="AA40" s="18">
        <f t="shared" si="42"/>
        <v>0</v>
      </c>
      <c r="AB40" s="19">
        <f>ABRIL!AD40</f>
        <v>0</v>
      </c>
      <c r="AC40" s="377">
        <v>0</v>
      </c>
      <c r="AD40" s="18">
        <f t="shared" si="43"/>
        <v>0</v>
      </c>
      <c r="AE40" s="19">
        <f>ABRIL!AG40</f>
        <v>0</v>
      </c>
      <c r="AF40" s="377">
        <v>0</v>
      </c>
      <c r="AG40" s="18">
        <f t="shared" si="44"/>
        <v>0</v>
      </c>
      <c r="AH40" s="19">
        <f t="shared" si="45"/>
        <v>0</v>
      </c>
      <c r="AI40" s="15">
        <f t="shared" si="46"/>
        <v>0</v>
      </c>
      <c r="AJ40" s="16">
        <f t="shared" si="47"/>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+IF(ABRIL!A41=0,"",ABRIL!A41)</f>
        <v>1130104</v>
      </c>
      <c r="B41" s="653" t="str">
        <f>+IF(MARZO!B41=0,"",MARZO!B41)</f>
        <v>SUBSIDIO A LA OFERTA- ACTIVIDADES NO POS-S</v>
      </c>
      <c r="C41" s="375">
        <f>+ENERO!C41</f>
        <v>0</v>
      </c>
      <c r="D41" s="124">
        <f>ABRIL!D41+MAYO!P41</f>
        <v>0</v>
      </c>
      <c r="E41" s="124">
        <f>ABRIL!E41+MAYO!Q41</f>
        <v>0</v>
      </c>
      <c r="F41" s="124">
        <f t="shared" si="36"/>
        <v>0</v>
      </c>
      <c r="G41" s="124">
        <f>ABRIL!I41</f>
        <v>0</v>
      </c>
      <c r="H41" s="377">
        <v>0</v>
      </c>
      <c r="I41" s="124">
        <f t="shared" si="37"/>
        <v>0</v>
      </c>
      <c r="J41" s="124">
        <f>ABRIL!L41</f>
        <v>0</v>
      </c>
      <c r="K41" s="377">
        <v>0</v>
      </c>
      <c r="L41" s="124">
        <f t="shared" si="38"/>
        <v>0</v>
      </c>
      <c r="M41" s="124">
        <f t="shared" si="39"/>
        <v>0</v>
      </c>
      <c r="N41" s="133">
        <f t="shared" si="40"/>
        <v>0</v>
      </c>
      <c r="O41" s="385"/>
      <c r="P41" s="377">
        <v>0</v>
      </c>
      <c r="Q41" s="378">
        <v>0</v>
      </c>
      <c r="R41" s="9"/>
      <c r="S41" s="719">
        <f>+IF(ABRIL!S41=0,"",ABRIL!S41)</f>
        <v>1010299</v>
      </c>
      <c r="T41" s="693" t="str">
        <f>+IF(ABRIL!T41=0,"",ABRIL!T41)</f>
        <v>Vigencias Anteriores</v>
      </c>
      <c r="U41" s="27">
        <f>+ENERO!U41</f>
        <v>0</v>
      </c>
      <c r="V41" s="15">
        <f>ABRIL!V41+MAYO!AL41</f>
        <v>0</v>
      </c>
      <c r="W41" s="15">
        <f>ABRIL!W41+MAYO!AM41</f>
        <v>27070478</v>
      </c>
      <c r="X41" s="18">
        <f t="shared" si="41"/>
        <v>27070478</v>
      </c>
      <c r="Y41" s="19">
        <f>ABRIL!AA41</f>
        <v>27070478</v>
      </c>
      <c r="Z41" s="377">
        <v>0</v>
      </c>
      <c r="AA41" s="18">
        <f t="shared" si="42"/>
        <v>27070478</v>
      </c>
      <c r="AB41" s="19">
        <f>ABRIL!AD41</f>
        <v>27070478</v>
      </c>
      <c r="AC41" s="377">
        <v>0</v>
      </c>
      <c r="AD41" s="18">
        <f t="shared" si="43"/>
        <v>27070478</v>
      </c>
      <c r="AE41" s="19">
        <f>ABRIL!AG41</f>
        <v>18270624</v>
      </c>
      <c r="AF41" s="377">
        <v>0</v>
      </c>
      <c r="AG41" s="18">
        <f t="shared" si="44"/>
        <v>18270624</v>
      </c>
      <c r="AH41" s="19">
        <f t="shared" si="45"/>
        <v>0</v>
      </c>
      <c r="AI41" s="15">
        <f t="shared" si="46"/>
        <v>0</v>
      </c>
      <c r="AJ41" s="16">
        <f t="shared" si="47"/>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+IF(ABRIL!A42=0,"",ABRIL!A42)</f>
        <v>1130106</v>
      </c>
      <c r="B42" s="653" t="str">
        <f>+IF(ABRIL!B42=0,"",ABRIL!B42)</f>
        <v>SALUD PUBLICA - PLAN DE INTERVENCIONES COLECTIVAS</v>
      </c>
      <c r="C42" s="43">
        <f t="shared" ref="C42:N42" si="48">SUM(C43:C44)</f>
        <v>94000000</v>
      </c>
      <c r="D42" s="44">
        <f t="shared" si="48"/>
        <v>0</v>
      </c>
      <c r="E42" s="44">
        <f t="shared" si="48"/>
        <v>17280673</v>
      </c>
      <c r="F42" s="44">
        <f t="shared" si="48"/>
        <v>111280673</v>
      </c>
      <c r="G42" s="44">
        <f t="shared" si="48"/>
        <v>0</v>
      </c>
      <c r="H42" s="44">
        <f t="shared" si="48"/>
        <v>27431733</v>
      </c>
      <c r="I42" s="44">
        <f t="shared" si="48"/>
        <v>27431733</v>
      </c>
      <c r="J42" s="44">
        <f t="shared" si="48"/>
        <v>0</v>
      </c>
      <c r="K42" s="44">
        <f t="shared" si="48"/>
        <v>27431733</v>
      </c>
      <c r="L42" s="44">
        <f t="shared" si="48"/>
        <v>27431733</v>
      </c>
      <c r="M42" s="44">
        <f t="shared" si="48"/>
        <v>83848940</v>
      </c>
      <c r="N42" s="45">
        <f t="shared" si="48"/>
        <v>83848940</v>
      </c>
      <c r="P42" s="43">
        <f>SUM(P43:P44)</f>
        <v>0</v>
      </c>
      <c r="Q42" s="45">
        <f>SUM(Q43:Q44)</f>
        <v>0</v>
      </c>
      <c r="R42" s="9"/>
      <c r="S42" s="369" t="str">
        <f>+IF(ABRIL!S42=0,"",ABRIL!S42)</f>
        <v/>
      </c>
      <c r="T42" s="708" t="str">
        <f>+IF(ABRIL!T42=0,"",ABRIL!T42)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+IF(ABRIL!A43=0,"",ABRIL!A43)</f>
        <v>1130106-1</v>
      </c>
      <c r="B43" s="654" t="str">
        <f>+CONCATENATE("Vigencia ",INSTRUCCIONES!$F$3)</f>
        <v>Vigencia 2015</v>
      </c>
      <c r="C43" s="375">
        <f>+ENERO!C43</f>
        <v>94000000</v>
      </c>
      <c r="D43" s="376">
        <f>ABRIL!D43+MAYO!P43</f>
        <v>0</v>
      </c>
      <c r="E43" s="376">
        <f>ABRIL!E43+MAYO!Q43</f>
        <v>17280673</v>
      </c>
      <c r="F43" s="376">
        <f>SUM(C43:E43)</f>
        <v>111280673</v>
      </c>
      <c r="G43" s="376">
        <f>ABRIL!I43</f>
        <v>0</v>
      </c>
      <c r="H43" s="377">
        <v>27431733</v>
      </c>
      <c r="I43" s="376">
        <f>SUM(G43:H43)</f>
        <v>27431733</v>
      </c>
      <c r="J43" s="376">
        <f>ABRIL!L43</f>
        <v>0</v>
      </c>
      <c r="K43" s="377">
        <v>27431733</v>
      </c>
      <c r="L43" s="376">
        <f>SUM(J43:K43)</f>
        <v>27431733</v>
      </c>
      <c r="M43" s="376">
        <f>F43-I43</f>
        <v>83848940</v>
      </c>
      <c r="N43" s="146">
        <f>F43-L43</f>
        <v>83848940</v>
      </c>
      <c r="O43" s="385"/>
      <c r="P43" s="375">
        <v>0</v>
      </c>
      <c r="Q43" s="378">
        <v>0</v>
      </c>
      <c r="R43" s="9"/>
      <c r="S43" s="718">
        <f>+IF(ABRIL!S43=0,"",ABRIL!S43)</f>
        <v>1010300</v>
      </c>
      <c r="T43" s="692" t="str">
        <f>+IF(ABRIL!T43=0,"",ABRIL!T43)</f>
        <v>Contribuciones Inherentes nómina al Sector Privado</v>
      </c>
      <c r="U43" s="135">
        <f t="shared" ref="U43:AJ43" si="49">U44+U49+U55</f>
        <v>111328187</v>
      </c>
      <c r="V43" s="124">
        <f t="shared" si="49"/>
        <v>0</v>
      </c>
      <c r="W43" s="124">
        <f t="shared" si="49"/>
        <v>43373015</v>
      </c>
      <c r="X43" s="132">
        <f t="shared" si="49"/>
        <v>154701202</v>
      </c>
      <c r="Y43" s="131">
        <f t="shared" si="49"/>
        <v>56021146</v>
      </c>
      <c r="Z43" s="124">
        <f t="shared" si="49"/>
        <v>19860775</v>
      </c>
      <c r="AA43" s="132">
        <f t="shared" si="49"/>
        <v>75881921</v>
      </c>
      <c r="AB43" s="131">
        <f t="shared" si="49"/>
        <v>56021146</v>
      </c>
      <c r="AC43" s="124">
        <f t="shared" si="49"/>
        <v>19860775</v>
      </c>
      <c r="AD43" s="132">
        <f t="shared" si="49"/>
        <v>75881921</v>
      </c>
      <c r="AE43" s="131">
        <f t="shared" si="49"/>
        <v>54775632</v>
      </c>
      <c r="AF43" s="124">
        <f t="shared" si="49"/>
        <v>5219680</v>
      </c>
      <c r="AG43" s="132">
        <f t="shared" si="49"/>
        <v>59995312</v>
      </c>
      <c r="AH43" s="131">
        <f t="shared" si="49"/>
        <v>78819281</v>
      </c>
      <c r="AI43" s="124">
        <f t="shared" si="49"/>
        <v>78819281</v>
      </c>
      <c r="AJ43" s="133">
        <f t="shared" si="49"/>
        <v>94705890</v>
      </c>
      <c r="AK43" s="9"/>
      <c r="AL43" s="131">
        <f>AL44+AL49+AL55</f>
        <v>0</v>
      </c>
      <c r="AM43" s="133">
        <f>AM44+AM49+AM55</f>
        <v>13408841</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+IF(ABRIL!A44=0,"",ABRIL!A44)</f>
        <v>1130106-2</v>
      </c>
      <c r="B44" s="654" t="str">
        <f>+IF(ABRIL!B44=0,"",ABRIL!B44)</f>
        <v>Vigencia Anterior</v>
      </c>
      <c r="C44" s="375">
        <f>+ENERO!C44</f>
        <v>0</v>
      </c>
      <c r="D44" s="376">
        <f>ABRIL!D44+MAYO!P44</f>
        <v>0</v>
      </c>
      <c r="E44" s="376">
        <f>ABRIL!E44+MAYO!Q44</f>
        <v>0</v>
      </c>
      <c r="F44" s="376">
        <f>SUM(C44:E44)</f>
        <v>0</v>
      </c>
      <c r="G44" s="376">
        <f>ABRIL!I44</f>
        <v>0</v>
      </c>
      <c r="H44" s="377">
        <v>0</v>
      </c>
      <c r="I44" s="376">
        <f>SUM(G44:H44)</f>
        <v>0</v>
      </c>
      <c r="J44" s="376">
        <f>ABRIL!L44</f>
        <v>0</v>
      </c>
      <c r="K44" s="377">
        <v>0</v>
      </c>
      <c r="L44" s="376">
        <f>SUM(J44:K44)</f>
        <v>0</v>
      </c>
      <c r="M44" s="376">
        <f>F44-I44</f>
        <v>0</v>
      </c>
      <c r="N44" s="146">
        <f>F44-L44</f>
        <v>0</v>
      </c>
      <c r="O44" s="385"/>
      <c r="P44" s="375">
        <v>0</v>
      </c>
      <c r="Q44" s="378">
        <v>0</v>
      </c>
      <c r="R44" s="9"/>
      <c r="S44" s="719">
        <f>+IF(ABRIL!S44=0,"",ABRIL!S44)</f>
        <v>1010301</v>
      </c>
      <c r="T44" s="693" t="str">
        <f>+IF(ABRIL!T44=0,"",ABRIL!T44)</f>
        <v>Contribuciones - Sin Situación de Fondos</v>
      </c>
      <c r="U44" s="27">
        <f t="shared" ref="U44:AJ44" si="50">SUM(U45:U48)</f>
        <v>96536264</v>
      </c>
      <c r="V44" s="15">
        <f t="shared" si="50"/>
        <v>0</v>
      </c>
      <c r="W44" s="15">
        <f t="shared" si="50"/>
        <v>0</v>
      </c>
      <c r="X44" s="18">
        <f t="shared" si="50"/>
        <v>96536264</v>
      </c>
      <c r="Y44" s="19">
        <f t="shared" si="50"/>
        <v>22360072</v>
      </c>
      <c r="Z44" s="145">
        <f t="shared" si="50"/>
        <v>5452534</v>
      </c>
      <c r="AA44" s="18">
        <f t="shared" si="50"/>
        <v>27812606</v>
      </c>
      <c r="AB44" s="19">
        <f t="shared" si="50"/>
        <v>22360072</v>
      </c>
      <c r="AC44" s="145">
        <f t="shared" si="50"/>
        <v>5452534</v>
      </c>
      <c r="AD44" s="18">
        <f t="shared" si="50"/>
        <v>27812606</v>
      </c>
      <c r="AE44" s="19">
        <f t="shared" si="50"/>
        <v>22360072</v>
      </c>
      <c r="AF44" s="145">
        <f t="shared" si="50"/>
        <v>4167280</v>
      </c>
      <c r="AG44" s="18">
        <f t="shared" si="50"/>
        <v>26527352</v>
      </c>
      <c r="AH44" s="19">
        <f t="shared" si="50"/>
        <v>68723658</v>
      </c>
      <c r="AI44" s="15">
        <f t="shared" si="50"/>
        <v>68723658</v>
      </c>
      <c r="AJ44" s="16">
        <f t="shared" si="50"/>
        <v>70008912</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+IF(ABRIL!A45=0,"",ABRIL!A45)</f>
        <v>1130107</v>
      </c>
      <c r="B45" s="653" t="str">
        <f>+IF(ABRIL!B45=0,"",ABRIL!B45)</f>
        <v>MINSALUD-FOSYGA-RECLAMACIONES ECAT</v>
      </c>
      <c r="C45" s="43">
        <f t="shared" ref="C45:N45" si="51">SUM(C46:C47)</f>
        <v>0</v>
      </c>
      <c r="D45" s="44">
        <f t="shared" si="51"/>
        <v>0</v>
      </c>
      <c r="E45" s="44">
        <f t="shared" si="51"/>
        <v>0</v>
      </c>
      <c r="F45" s="44">
        <f t="shared" si="51"/>
        <v>0</v>
      </c>
      <c r="G45" s="44">
        <f t="shared" si="51"/>
        <v>0</v>
      </c>
      <c r="H45" s="44">
        <f t="shared" si="51"/>
        <v>0</v>
      </c>
      <c r="I45" s="44">
        <f t="shared" si="51"/>
        <v>0</v>
      </c>
      <c r="J45" s="44">
        <f t="shared" si="51"/>
        <v>0</v>
      </c>
      <c r="K45" s="44">
        <f t="shared" si="51"/>
        <v>0</v>
      </c>
      <c r="L45" s="44">
        <f t="shared" si="51"/>
        <v>0</v>
      </c>
      <c r="M45" s="44">
        <f t="shared" si="51"/>
        <v>0</v>
      </c>
      <c r="N45" s="45">
        <f t="shared" si="51"/>
        <v>0</v>
      </c>
      <c r="P45" s="43">
        <f>SUM(P46:P47)</f>
        <v>0</v>
      </c>
      <c r="Q45" s="45">
        <f>SUM(Q46:Q47)</f>
        <v>0</v>
      </c>
      <c r="R45" s="9"/>
      <c r="S45" s="720" t="str">
        <f>+IF(ABRIL!S45=0,"",ABRIL!S45)</f>
        <v>1010301-1</v>
      </c>
      <c r="T45" s="694" t="str">
        <f>+IF(ABRIL!T45=0,"",ABRIL!T45)</f>
        <v>Aportes a E.P.S.- Sin sit. Fondos</v>
      </c>
      <c r="U45" s="27">
        <f>+ENERO!U45</f>
        <v>26843256</v>
      </c>
      <c r="V45" s="15">
        <f>ABRIL!V45+MAYO!AL45</f>
        <v>0</v>
      </c>
      <c r="W45" s="15">
        <f>ABRIL!W45+MAYO!AM45</f>
        <v>0</v>
      </c>
      <c r="X45" s="18">
        <f>SUM(U45:W45)</f>
        <v>26843256</v>
      </c>
      <c r="Y45" s="19">
        <f>ABRIL!AA45</f>
        <v>9054552</v>
      </c>
      <c r="Z45" s="377">
        <v>2206726</v>
      </c>
      <c r="AA45" s="18">
        <f>SUM(Y45:Z45)</f>
        <v>11261278</v>
      </c>
      <c r="AB45" s="19">
        <f>ABRIL!AD45</f>
        <v>9054552</v>
      </c>
      <c r="AC45" s="377">
        <v>2206726</v>
      </c>
      <c r="AD45" s="18">
        <f>SUM(AB45:AC45)</f>
        <v>11261278</v>
      </c>
      <c r="AE45" s="19">
        <f>ABRIL!AG45</f>
        <v>9054552</v>
      </c>
      <c r="AF45" s="377">
        <v>2206726</v>
      </c>
      <c r="AG45" s="18">
        <f>SUM(AE45:AF45)</f>
        <v>11261278</v>
      </c>
      <c r="AH45" s="19">
        <f>X45-AA45</f>
        <v>15581978</v>
      </c>
      <c r="AI45" s="15">
        <f>X45-AD45</f>
        <v>15581978</v>
      </c>
      <c r="AJ45" s="16">
        <f>X45-AG45</f>
        <v>15581978</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+IF(ABRIL!A46=0,"",ABRIL!A46)</f>
        <v>1130107-1</v>
      </c>
      <c r="B46" s="654" t="str">
        <f>+CONCATENATE("Vigencia ",INSTRUCCIONES!$F$3)</f>
        <v>Vigencia 2015</v>
      </c>
      <c r="C46" s="375">
        <f>+ENERO!C46</f>
        <v>0</v>
      </c>
      <c r="D46" s="376">
        <f>ABRIL!D46+MAYO!P46</f>
        <v>0</v>
      </c>
      <c r="E46" s="376">
        <f>ABRIL!E46+MAYO!Q46</f>
        <v>0</v>
      </c>
      <c r="F46" s="376">
        <f>SUM(C46:E46)</f>
        <v>0</v>
      </c>
      <c r="G46" s="376">
        <f>ABRIL!I46</f>
        <v>0</v>
      </c>
      <c r="H46" s="377">
        <v>0</v>
      </c>
      <c r="I46" s="376">
        <f>SUM(G46:H46)</f>
        <v>0</v>
      </c>
      <c r="J46" s="376">
        <f>ABRIL!L46</f>
        <v>0</v>
      </c>
      <c r="K46" s="377">
        <v>0</v>
      </c>
      <c r="L46" s="376">
        <f>SUM(J46:K46)</f>
        <v>0</v>
      </c>
      <c r="M46" s="376">
        <f>F46-I46</f>
        <v>0</v>
      </c>
      <c r="N46" s="146">
        <f>F46-L46</f>
        <v>0</v>
      </c>
      <c r="O46" s="385"/>
      <c r="P46" s="375">
        <v>0</v>
      </c>
      <c r="Q46" s="378">
        <v>0</v>
      </c>
      <c r="R46" s="9"/>
      <c r="S46" s="720" t="str">
        <f>+IF(ABRIL!S46=0,"",ABRIL!S46)</f>
        <v>1010301-2</v>
      </c>
      <c r="T46" s="694" t="str">
        <f>+IF(ABRIL!T46=0,"",ABRIL!T46)</f>
        <v>Aportes Fondos Pensionales - Sin Sit. Fondos</v>
      </c>
      <c r="U46" s="27">
        <f>+ENERO!U46</f>
        <v>37896396</v>
      </c>
      <c r="V46" s="15">
        <f>ABRIL!V46+MAYO!AL46</f>
        <v>0</v>
      </c>
      <c r="W46" s="15">
        <f>ABRIL!W46+MAYO!AM46</f>
        <v>0</v>
      </c>
      <c r="X46" s="18">
        <f>SUM(U46:W46)</f>
        <v>37896396</v>
      </c>
      <c r="Y46" s="19">
        <f>ABRIL!AA46</f>
        <v>12782898</v>
      </c>
      <c r="Z46" s="377">
        <v>3115378</v>
      </c>
      <c r="AA46" s="18">
        <f>SUM(Y46:Z46)</f>
        <v>15898276</v>
      </c>
      <c r="AB46" s="19">
        <f>ABRIL!AD46</f>
        <v>12782898</v>
      </c>
      <c r="AC46" s="377">
        <v>3115378</v>
      </c>
      <c r="AD46" s="18">
        <f>SUM(AB46:AC46)</f>
        <v>15898276</v>
      </c>
      <c r="AE46" s="19">
        <f>ABRIL!AG46</f>
        <v>12782898</v>
      </c>
      <c r="AF46" s="377">
        <v>1830124</v>
      </c>
      <c r="AG46" s="18">
        <f>SUM(AE46:AF46)</f>
        <v>14613022</v>
      </c>
      <c r="AH46" s="19">
        <f>X46-AA46</f>
        <v>21998120</v>
      </c>
      <c r="AI46" s="15">
        <f>X46-AD46</f>
        <v>21998120</v>
      </c>
      <c r="AJ46" s="16">
        <f>X46-AG46</f>
        <v>23283374</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+IF(ABRIL!A47=0,"",ABRIL!A47)</f>
        <v>1130107-2</v>
      </c>
      <c r="B47" s="654" t="str">
        <f>+IF(ABRIL!B47=0,"",ABRIL!B47)</f>
        <v>Vigencia Anterior</v>
      </c>
      <c r="C47" s="375">
        <f>+ENERO!C47</f>
        <v>0</v>
      </c>
      <c r="D47" s="376">
        <f>ABRIL!D47+MAYO!P47</f>
        <v>0</v>
      </c>
      <c r="E47" s="376">
        <f>ABRIL!E47+MAYO!Q47</f>
        <v>0</v>
      </c>
      <c r="F47" s="376">
        <f>SUM(C47:E47)</f>
        <v>0</v>
      </c>
      <c r="G47" s="376">
        <f>ABRIL!I47</f>
        <v>0</v>
      </c>
      <c r="H47" s="377">
        <v>0</v>
      </c>
      <c r="I47" s="376">
        <f>SUM(G47:H47)</f>
        <v>0</v>
      </c>
      <c r="J47" s="376">
        <f>ABRIL!L47</f>
        <v>0</v>
      </c>
      <c r="K47" s="377">
        <v>0</v>
      </c>
      <c r="L47" s="376">
        <f>SUM(J47:K47)</f>
        <v>0</v>
      </c>
      <c r="M47" s="376">
        <f>F47-I47</f>
        <v>0</v>
      </c>
      <c r="N47" s="146">
        <f>F47-L47</f>
        <v>0</v>
      </c>
      <c r="O47" s="385"/>
      <c r="P47" s="375">
        <v>0</v>
      </c>
      <c r="Q47" s="378">
        <v>0</v>
      </c>
      <c r="R47" s="9"/>
      <c r="S47" s="720" t="str">
        <f>+IF(ABRIL!S47=0,"",ABRIL!S47)</f>
        <v>1010301-3</v>
      </c>
      <c r="T47" s="694" t="str">
        <f>+IF(ABRIL!T47=0,"",ABRIL!T47)</f>
        <v xml:space="preserve">Aportes a Fondos de Cesantia - Sin Sit. de Fondos </v>
      </c>
      <c r="U47" s="27">
        <f>+ENERO!U47</f>
        <v>30148119</v>
      </c>
      <c r="V47" s="15">
        <f>ABRIL!V47+MAYO!AL47</f>
        <v>0</v>
      </c>
      <c r="W47" s="15">
        <f>ABRIL!W47+MAYO!AM47</f>
        <v>0</v>
      </c>
      <c r="X47" s="18">
        <f>SUM(U47:W47)</f>
        <v>30148119</v>
      </c>
      <c r="Y47" s="19">
        <f>ABRIL!AA47</f>
        <v>0</v>
      </c>
      <c r="Z47" s="377">
        <v>0</v>
      </c>
      <c r="AA47" s="18">
        <f>SUM(Y47:Z47)</f>
        <v>0</v>
      </c>
      <c r="AB47" s="19">
        <f>ABRIL!AD47</f>
        <v>0</v>
      </c>
      <c r="AC47" s="377">
        <v>0</v>
      </c>
      <c r="AD47" s="18">
        <f>SUM(AB47:AC47)</f>
        <v>0</v>
      </c>
      <c r="AE47" s="19">
        <f>ABRIL!AG47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+IF(ABRIL!A48=0,"",ABRIL!A48)</f>
        <v>1130108</v>
      </c>
      <c r="B48" s="653" t="str">
        <f>+IF(ABRIL!B48=0,"",ABRIL!B48)</f>
        <v>MINSALUD-FOSYGA -TRAUMA MAYOR Y DESPLAZADOS</v>
      </c>
      <c r="C48" s="43">
        <f t="shared" ref="C48:N48" si="52">SUM(C49:C50)</f>
        <v>0</v>
      </c>
      <c r="D48" s="44">
        <f t="shared" si="52"/>
        <v>0</v>
      </c>
      <c r="E48" s="44">
        <f t="shared" si="52"/>
        <v>0</v>
      </c>
      <c r="F48" s="44">
        <f t="shared" si="52"/>
        <v>0</v>
      </c>
      <c r="G48" s="44">
        <f t="shared" si="52"/>
        <v>0</v>
      </c>
      <c r="H48" s="44">
        <f t="shared" si="52"/>
        <v>0</v>
      </c>
      <c r="I48" s="44">
        <f t="shared" si="52"/>
        <v>0</v>
      </c>
      <c r="J48" s="44">
        <f t="shared" si="52"/>
        <v>0</v>
      </c>
      <c r="K48" s="44">
        <f t="shared" si="52"/>
        <v>0</v>
      </c>
      <c r="L48" s="44">
        <f t="shared" si="52"/>
        <v>0</v>
      </c>
      <c r="M48" s="44">
        <f t="shared" si="52"/>
        <v>0</v>
      </c>
      <c r="N48" s="45">
        <f t="shared" si="52"/>
        <v>0</v>
      </c>
      <c r="P48" s="43">
        <f>SUM(P49:P50)</f>
        <v>0</v>
      </c>
      <c r="Q48" s="45">
        <f>SUM(Q49:Q50)</f>
        <v>0</v>
      </c>
      <c r="R48" s="9"/>
      <c r="S48" s="720" t="str">
        <f>+IF(ABRIL!S48=0,"",ABRIL!S48)</f>
        <v>1010301-4</v>
      </c>
      <c r="T48" s="694" t="str">
        <f>+IF(ABRIL!T48=0,"",ABRIL!T48)</f>
        <v xml:space="preserve">Aporte a ARL. - Sin Sit. de Fondos </v>
      </c>
      <c r="U48" s="27">
        <f>+ENERO!U48</f>
        <v>1648493</v>
      </c>
      <c r="V48" s="15">
        <f>ABRIL!V48+MAYO!AL48</f>
        <v>0</v>
      </c>
      <c r="W48" s="15">
        <f>ABRIL!W48+MAYO!AM48</f>
        <v>0</v>
      </c>
      <c r="X48" s="18">
        <f>SUM(U48:W48)</f>
        <v>1648493</v>
      </c>
      <c r="Y48" s="19">
        <f>ABRIL!AA48</f>
        <v>522622</v>
      </c>
      <c r="Z48" s="377">
        <v>130430</v>
      </c>
      <c r="AA48" s="18">
        <f>SUM(Y48:Z48)</f>
        <v>653052</v>
      </c>
      <c r="AB48" s="19">
        <f>ABRIL!AD48</f>
        <v>522622</v>
      </c>
      <c r="AC48" s="377">
        <v>130430</v>
      </c>
      <c r="AD48" s="18">
        <f>SUM(AB48:AC48)</f>
        <v>653052</v>
      </c>
      <c r="AE48" s="19">
        <f>ABRIL!AG48</f>
        <v>522622</v>
      </c>
      <c r="AF48" s="377">
        <v>130430</v>
      </c>
      <c r="AG48" s="18">
        <f>SUM(AE48:AF48)</f>
        <v>653052</v>
      </c>
      <c r="AH48" s="19">
        <f>X48-AA48</f>
        <v>995441</v>
      </c>
      <c r="AI48" s="15">
        <f>X48-AD48</f>
        <v>995441</v>
      </c>
      <c r="AJ48" s="16">
        <f>X48-AG48</f>
        <v>995441</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+IF(ABRIL!A49=0,"",ABRIL!A49)</f>
        <v>1130108-1</v>
      </c>
      <c r="B49" s="654" t="str">
        <f>+CONCATENATE("Vigencia ",INSTRUCCIONES!$F$3)</f>
        <v>Vigencia 2015</v>
      </c>
      <c r="C49" s="375">
        <f>+ENERO!C49</f>
        <v>0</v>
      </c>
      <c r="D49" s="376">
        <f>ABRIL!D49+MAYO!P49</f>
        <v>0</v>
      </c>
      <c r="E49" s="376">
        <f>ABRIL!E49+MAYO!Q49</f>
        <v>0</v>
      </c>
      <c r="F49" s="376">
        <f>SUM(C49:E49)</f>
        <v>0</v>
      </c>
      <c r="G49" s="376">
        <f>ABRIL!I49</f>
        <v>0</v>
      </c>
      <c r="H49" s="377">
        <v>0</v>
      </c>
      <c r="I49" s="376">
        <f>SUM(G49:H49)</f>
        <v>0</v>
      </c>
      <c r="J49" s="376">
        <f>ABRIL!L49</f>
        <v>0</v>
      </c>
      <c r="K49" s="377">
        <v>0</v>
      </c>
      <c r="L49" s="376">
        <f>SUM(J49:K49)</f>
        <v>0</v>
      </c>
      <c r="M49" s="376">
        <f>F49-I49</f>
        <v>0</v>
      </c>
      <c r="N49" s="146">
        <f>F49-L49</f>
        <v>0</v>
      </c>
      <c r="O49" s="385"/>
      <c r="P49" s="375">
        <v>0</v>
      </c>
      <c r="Q49" s="378">
        <v>0</v>
      </c>
      <c r="R49" s="9"/>
      <c r="S49" s="719">
        <f>+IF(ABRIL!S49=0,"",ABRIL!S49)</f>
        <v>1010302</v>
      </c>
      <c r="T49" s="693" t="str">
        <f>+IF(ABRIL!T49=0,"",ABRIL!T49)</f>
        <v>Contribuciones - Otros</v>
      </c>
      <c r="U49" s="27">
        <f t="shared" ref="U49:AJ49" si="53">SUM(U50:U54)</f>
        <v>14791923</v>
      </c>
      <c r="V49" s="15">
        <f t="shared" si="53"/>
        <v>0</v>
      </c>
      <c r="W49" s="15">
        <f t="shared" si="53"/>
        <v>13408841</v>
      </c>
      <c r="X49" s="18">
        <f t="shared" si="53"/>
        <v>28200764</v>
      </c>
      <c r="Y49" s="19">
        <f t="shared" si="53"/>
        <v>3696900</v>
      </c>
      <c r="Z49" s="145">
        <f t="shared" si="53"/>
        <v>14408241</v>
      </c>
      <c r="AA49" s="18">
        <f t="shared" si="53"/>
        <v>18105141</v>
      </c>
      <c r="AB49" s="19">
        <f t="shared" si="53"/>
        <v>3696900</v>
      </c>
      <c r="AC49" s="145">
        <f t="shared" si="53"/>
        <v>14408241</v>
      </c>
      <c r="AD49" s="18">
        <f t="shared" si="53"/>
        <v>18105141</v>
      </c>
      <c r="AE49" s="19">
        <f t="shared" si="53"/>
        <v>2644500</v>
      </c>
      <c r="AF49" s="145">
        <f t="shared" si="53"/>
        <v>1052400</v>
      </c>
      <c r="AG49" s="18">
        <f t="shared" si="53"/>
        <v>3696900</v>
      </c>
      <c r="AH49" s="19">
        <f t="shared" si="53"/>
        <v>10095623</v>
      </c>
      <c r="AI49" s="15">
        <f t="shared" si="53"/>
        <v>10095623</v>
      </c>
      <c r="AJ49" s="16">
        <f t="shared" si="53"/>
        <v>24503864</v>
      </c>
      <c r="AK49" s="9"/>
      <c r="AL49" s="29">
        <f>SUM(AL50:AL54)</f>
        <v>0</v>
      </c>
      <c r="AM49" s="26">
        <f>SUM(AM50:AM54)</f>
        <v>13408841</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+IF(ABRIL!A50=0,"",ABRIL!A50)</f>
        <v>1130108-2</v>
      </c>
      <c r="B50" s="654" t="str">
        <f>+IF(ABRIL!B50=0,"",ABRIL!B50)</f>
        <v>Vigencia Anterior</v>
      </c>
      <c r="C50" s="375">
        <f>+ENERO!C50</f>
        <v>0</v>
      </c>
      <c r="D50" s="376">
        <f>ABRIL!D50+MAYO!P50</f>
        <v>0</v>
      </c>
      <c r="E50" s="376">
        <f>ABRIL!E50+MAYO!Q50</f>
        <v>0</v>
      </c>
      <c r="F50" s="376">
        <f>SUM(C50:E50)</f>
        <v>0</v>
      </c>
      <c r="G50" s="376">
        <f>ABRIL!I50</f>
        <v>0</v>
      </c>
      <c r="H50" s="377">
        <v>0</v>
      </c>
      <c r="I50" s="376">
        <f>SUM(G50:H50)</f>
        <v>0</v>
      </c>
      <c r="J50" s="376">
        <f>ABRIL!L50</f>
        <v>0</v>
      </c>
      <c r="K50" s="377">
        <v>0</v>
      </c>
      <c r="L50" s="376">
        <f>SUM(J50:K50)</f>
        <v>0</v>
      </c>
      <c r="M50" s="376">
        <f>F50-I50</f>
        <v>0</v>
      </c>
      <c r="N50" s="146">
        <f>F50-L50</f>
        <v>0</v>
      </c>
      <c r="O50" s="385"/>
      <c r="P50" s="375">
        <v>0</v>
      </c>
      <c r="Q50" s="378">
        <v>0</v>
      </c>
      <c r="R50" s="9"/>
      <c r="S50" s="720" t="str">
        <f>+IF(ABRIL!S50=0,"",ABRIL!S50)</f>
        <v>1010302-1</v>
      </c>
      <c r="T50" s="694" t="str">
        <f>+IF(ABRIL!T50=0,"",ABRIL!T50)</f>
        <v>Aportes a E.P.S.- Con sit. Fondos</v>
      </c>
      <c r="U50" s="27">
        <f>+ENERO!U50</f>
        <v>0</v>
      </c>
      <c r="V50" s="15">
        <f>ABRIL!V50+MAYO!AL50</f>
        <v>0</v>
      </c>
      <c r="W50" s="15">
        <f>ABRIL!W50+MAYO!AM50</f>
        <v>13408841</v>
      </c>
      <c r="X50" s="18">
        <f t="shared" ref="X50:X55" si="54">SUM(U50:W50)</f>
        <v>13408841</v>
      </c>
      <c r="Y50" s="19">
        <f>ABRIL!AA50</f>
        <v>0</v>
      </c>
      <c r="Z50" s="377">
        <v>13408841</v>
      </c>
      <c r="AA50" s="18">
        <f t="shared" ref="AA50:AA55" si="55">SUM(Y50:Z50)</f>
        <v>13408841</v>
      </c>
      <c r="AB50" s="19">
        <f>ABRIL!AD50</f>
        <v>0</v>
      </c>
      <c r="AC50" s="377">
        <v>13408841</v>
      </c>
      <c r="AD50" s="18">
        <f t="shared" ref="AD50:AD55" si="56">SUM(AB50:AC50)</f>
        <v>13408841</v>
      </c>
      <c r="AE50" s="19">
        <f>ABRIL!AG50</f>
        <v>0</v>
      </c>
      <c r="AF50" s="377">
        <v>0</v>
      </c>
      <c r="AG50" s="18">
        <f t="shared" ref="AG50:AG55" si="57">SUM(AE50:AF50)</f>
        <v>0</v>
      </c>
      <c r="AH50" s="19">
        <f t="shared" ref="AH50:AH55" si="58">X50-AA50</f>
        <v>0</v>
      </c>
      <c r="AI50" s="15">
        <f t="shared" ref="AI50:AI55" si="59">X50-AD50</f>
        <v>0</v>
      </c>
      <c r="AJ50" s="16">
        <f t="shared" ref="AJ50:AJ55" si="60">X50-AG50</f>
        <v>13408841</v>
      </c>
      <c r="AK50" s="9"/>
      <c r="AL50" s="375">
        <v>0</v>
      </c>
      <c r="AM50" s="378">
        <v>13408841</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+IF(ABRIL!A51=0,"",ABRIL!A51)</f>
        <v>1130109</v>
      </c>
      <c r="B51" s="653" t="str">
        <f>+IF(ABRIL!B51=0,"",ABRIL!B51)</f>
        <v>EPS - PLANES COMPLEMENTARIOS</v>
      </c>
      <c r="C51" s="43">
        <f t="shared" ref="C51:N51" si="61">SUM(C52:C53)</f>
        <v>0</v>
      </c>
      <c r="D51" s="44">
        <f t="shared" si="61"/>
        <v>0</v>
      </c>
      <c r="E51" s="44">
        <f t="shared" si="61"/>
        <v>0</v>
      </c>
      <c r="F51" s="44">
        <f t="shared" si="61"/>
        <v>0</v>
      </c>
      <c r="G51" s="44">
        <f t="shared" si="61"/>
        <v>0</v>
      </c>
      <c r="H51" s="44">
        <f t="shared" si="61"/>
        <v>0</v>
      </c>
      <c r="I51" s="44">
        <f t="shared" si="61"/>
        <v>0</v>
      </c>
      <c r="J51" s="44">
        <f t="shared" si="61"/>
        <v>0</v>
      </c>
      <c r="K51" s="44">
        <f t="shared" si="61"/>
        <v>0</v>
      </c>
      <c r="L51" s="44">
        <f t="shared" si="61"/>
        <v>0</v>
      </c>
      <c r="M51" s="44">
        <f t="shared" si="61"/>
        <v>0</v>
      </c>
      <c r="N51" s="45">
        <f t="shared" si="61"/>
        <v>0</v>
      </c>
      <c r="P51" s="43">
        <f>SUM(P52:P53)</f>
        <v>0</v>
      </c>
      <c r="Q51" s="45">
        <f>SUM(Q52:Q53)</f>
        <v>0</v>
      </c>
      <c r="R51" s="9"/>
      <c r="S51" s="720" t="str">
        <f>+IF(ABRIL!S51=0,"",ABRIL!S51)</f>
        <v>1010302-2</v>
      </c>
      <c r="T51" s="694" t="str">
        <f>+IF(ABRIL!T51=0,"",ABRIL!T51)</f>
        <v>Aportes Fondos Pensionales - Con Sit. Fondos</v>
      </c>
      <c r="U51" s="27">
        <f>+ENERO!U51</f>
        <v>0</v>
      </c>
      <c r="V51" s="15">
        <f>ABRIL!V51+MAYO!AL51</f>
        <v>0</v>
      </c>
      <c r="W51" s="15">
        <f>ABRIL!W51+MAYO!AM51</f>
        <v>0</v>
      </c>
      <c r="X51" s="18">
        <f t="shared" si="54"/>
        <v>0</v>
      </c>
      <c r="Y51" s="19">
        <f>ABRIL!AA51</f>
        <v>0</v>
      </c>
      <c r="Z51" s="377">
        <v>0</v>
      </c>
      <c r="AA51" s="18">
        <f t="shared" si="55"/>
        <v>0</v>
      </c>
      <c r="AB51" s="19">
        <f>ABRIL!AD51</f>
        <v>0</v>
      </c>
      <c r="AC51" s="377">
        <v>0</v>
      </c>
      <c r="AD51" s="18">
        <f t="shared" si="56"/>
        <v>0</v>
      </c>
      <c r="AE51" s="19">
        <f>ABRIL!AG51</f>
        <v>0</v>
      </c>
      <c r="AF51" s="377">
        <v>0</v>
      </c>
      <c r="AG51" s="18">
        <f t="shared" si="57"/>
        <v>0</v>
      </c>
      <c r="AH51" s="19">
        <f t="shared" si="58"/>
        <v>0</v>
      </c>
      <c r="AI51" s="15">
        <f t="shared" si="59"/>
        <v>0</v>
      </c>
      <c r="AJ51" s="16">
        <f t="shared" si="60"/>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+IF(ABRIL!A52=0,"",ABRIL!A52)</f>
        <v>1130109-1</v>
      </c>
      <c r="B52" s="654" t="str">
        <f>+CONCATENATE("Vigencia ",INSTRUCCIONES!$F$3)</f>
        <v>Vigencia 2015</v>
      </c>
      <c r="C52" s="375">
        <f>+ENERO!C52</f>
        <v>0</v>
      </c>
      <c r="D52" s="376">
        <f>ABRIL!D52+MAYO!P52</f>
        <v>0</v>
      </c>
      <c r="E52" s="376">
        <f>ABRIL!E52+MAYO!Q52</f>
        <v>0</v>
      </c>
      <c r="F52" s="376">
        <f>SUM(C52:E52)</f>
        <v>0</v>
      </c>
      <c r="G52" s="376">
        <f>ABRIL!I52</f>
        <v>0</v>
      </c>
      <c r="H52" s="377">
        <v>0</v>
      </c>
      <c r="I52" s="376">
        <f>SUM(G52:H52)</f>
        <v>0</v>
      </c>
      <c r="J52" s="376">
        <f>ABRIL!L52</f>
        <v>0</v>
      </c>
      <c r="K52" s="377">
        <v>0</v>
      </c>
      <c r="L52" s="376">
        <f>SUM(J52:K52)</f>
        <v>0</v>
      </c>
      <c r="M52" s="376">
        <f>F52-I52</f>
        <v>0</v>
      </c>
      <c r="N52" s="146">
        <f>F52-L52</f>
        <v>0</v>
      </c>
      <c r="O52" s="385"/>
      <c r="P52" s="375">
        <v>0</v>
      </c>
      <c r="Q52" s="378">
        <v>0</v>
      </c>
      <c r="R52" s="9"/>
      <c r="S52" s="720" t="str">
        <f>+IF(ABRIL!S52=0,"",ABRIL!S52)</f>
        <v>1010302-3</v>
      </c>
      <c r="T52" s="694" t="str">
        <f>+IF(ABRIL!T52=0,"",ABRIL!T52)</f>
        <v xml:space="preserve">Aportes a Fondos de Cesantia - Con Sit. de Fondos </v>
      </c>
      <c r="U52" s="27">
        <f>+ENERO!U52</f>
        <v>0</v>
      </c>
      <c r="V52" s="15">
        <f>ABRIL!V52+MAYO!AL52</f>
        <v>0</v>
      </c>
      <c r="W52" s="15">
        <f>ABRIL!W52+MAYO!AM52</f>
        <v>0</v>
      </c>
      <c r="X52" s="18">
        <f t="shared" si="54"/>
        <v>0</v>
      </c>
      <c r="Y52" s="19">
        <f>ABRIL!AA52</f>
        <v>0</v>
      </c>
      <c r="Z52" s="377">
        <v>0</v>
      </c>
      <c r="AA52" s="18">
        <f t="shared" si="55"/>
        <v>0</v>
      </c>
      <c r="AB52" s="19">
        <f>ABRIL!AD52</f>
        <v>0</v>
      </c>
      <c r="AC52" s="377">
        <v>0</v>
      </c>
      <c r="AD52" s="18">
        <f t="shared" si="56"/>
        <v>0</v>
      </c>
      <c r="AE52" s="19">
        <f>ABRIL!AG52</f>
        <v>0</v>
      </c>
      <c r="AF52" s="377">
        <v>0</v>
      </c>
      <c r="AG52" s="18">
        <f t="shared" si="57"/>
        <v>0</v>
      </c>
      <c r="AH52" s="19">
        <f t="shared" si="58"/>
        <v>0</v>
      </c>
      <c r="AI52" s="15">
        <f t="shared" si="59"/>
        <v>0</v>
      </c>
      <c r="AJ52" s="16">
        <f t="shared" si="60"/>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+IF(ABRIL!A53=0,"",ABRIL!A53)</f>
        <v>1130109-2</v>
      </c>
      <c r="B53" s="654" t="str">
        <f>+IF(ABRIL!B53=0,"",ABRIL!B53)</f>
        <v>Vigencia Anterior</v>
      </c>
      <c r="C53" s="375">
        <f>+ENERO!C53</f>
        <v>0</v>
      </c>
      <c r="D53" s="376">
        <f>ABRIL!D53+MAYO!P53</f>
        <v>0</v>
      </c>
      <c r="E53" s="376">
        <f>ABRIL!E53+MAYO!Q53</f>
        <v>0</v>
      </c>
      <c r="F53" s="376">
        <f>SUM(C53:E53)</f>
        <v>0</v>
      </c>
      <c r="G53" s="376">
        <f>ABRIL!I53</f>
        <v>0</v>
      </c>
      <c r="H53" s="377">
        <v>0</v>
      </c>
      <c r="I53" s="376">
        <f>SUM(G53:H53)</f>
        <v>0</v>
      </c>
      <c r="J53" s="376">
        <f>ABRIL!L53</f>
        <v>0</v>
      </c>
      <c r="K53" s="377">
        <v>0</v>
      </c>
      <c r="L53" s="376">
        <f>SUM(J53:K53)</f>
        <v>0</v>
      </c>
      <c r="M53" s="376">
        <f>F53-I53</f>
        <v>0</v>
      </c>
      <c r="N53" s="146">
        <f>F53-L53</f>
        <v>0</v>
      </c>
      <c r="O53" s="385"/>
      <c r="P53" s="375">
        <v>0</v>
      </c>
      <c r="Q53" s="378">
        <v>0</v>
      </c>
      <c r="R53" s="9"/>
      <c r="S53" s="720" t="str">
        <f>+IF(ABRIL!S53=0,"",ABRIL!S53)</f>
        <v>1010302-4</v>
      </c>
      <c r="T53" s="694" t="str">
        <f>+IF(ABRIL!T53=0,"",ABRIL!T53)</f>
        <v>Aporte a ARL. - Con Sit. de Fondos</v>
      </c>
      <c r="U53" s="27">
        <f>+ENERO!U53</f>
        <v>0</v>
      </c>
      <c r="V53" s="15">
        <f>ABRIL!V53+MAYO!AL53</f>
        <v>0</v>
      </c>
      <c r="W53" s="15">
        <f>ABRIL!W53+MAYO!AM53</f>
        <v>0</v>
      </c>
      <c r="X53" s="18">
        <f t="shared" si="54"/>
        <v>0</v>
      </c>
      <c r="Y53" s="19">
        <f>ABRIL!AA53</f>
        <v>0</v>
      </c>
      <c r="Z53" s="377">
        <v>0</v>
      </c>
      <c r="AA53" s="18">
        <f t="shared" si="55"/>
        <v>0</v>
      </c>
      <c r="AB53" s="19">
        <f>ABRIL!AD53</f>
        <v>0</v>
      </c>
      <c r="AC53" s="377">
        <v>0</v>
      </c>
      <c r="AD53" s="18">
        <f t="shared" si="56"/>
        <v>0</v>
      </c>
      <c r="AE53" s="19">
        <f>ABRIL!AG53</f>
        <v>0</v>
      </c>
      <c r="AF53" s="377">
        <v>0</v>
      </c>
      <c r="AG53" s="18">
        <f t="shared" si="57"/>
        <v>0</v>
      </c>
      <c r="AH53" s="19">
        <f t="shared" si="58"/>
        <v>0</v>
      </c>
      <c r="AI53" s="15">
        <f t="shared" si="59"/>
        <v>0</v>
      </c>
      <c r="AJ53" s="16">
        <f t="shared" si="60"/>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+IF(ABRIL!A54=0,"",ABRIL!A54)</f>
        <v>1130110</v>
      </c>
      <c r="B54" s="653" t="str">
        <f>+IF(ABRIL!B54=0,"",ABRIL!B54)</f>
        <v>EMPRESAS MEDICINA PREPAGADA</v>
      </c>
      <c r="C54" s="43">
        <f t="shared" ref="C54:N54" si="62">SUM(C55:C56)</f>
        <v>0</v>
      </c>
      <c r="D54" s="44">
        <f t="shared" si="62"/>
        <v>0</v>
      </c>
      <c r="E54" s="44">
        <f t="shared" si="62"/>
        <v>0</v>
      </c>
      <c r="F54" s="44">
        <f t="shared" si="62"/>
        <v>0</v>
      </c>
      <c r="G54" s="44">
        <f t="shared" si="62"/>
        <v>0</v>
      </c>
      <c r="H54" s="44">
        <f t="shared" si="62"/>
        <v>0</v>
      </c>
      <c r="I54" s="44">
        <f t="shared" si="62"/>
        <v>0</v>
      </c>
      <c r="J54" s="44">
        <f t="shared" si="62"/>
        <v>0</v>
      </c>
      <c r="K54" s="44">
        <f t="shared" si="62"/>
        <v>0</v>
      </c>
      <c r="L54" s="44">
        <f t="shared" si="62"/>
        <v>0</v>
      </c>
      <c r="M54" s="44">
        <f t="shared" si="62"/>
        <v>0</v>
      </c>
      <c r="N54" s="45">
        <f t="shared" si="62"/>
        <v>0</v>
      </c>
      <c r="P54" s="43">
        <f>SUM(P55:P56)</f>
        <v>0</v>
      </c>
      <c r="Q54" s="45">
        <f>SUM(Q55:Q56)</f>
        <v>0</v>
      </c>
      <c r="R54" s="9"/>
      <c r="S54" s="720" t="str">
        <f>+IF(ABRIL!S54=0,"",ABRIL!S54)</f>
        <v>1010302-5</v>
      </c>
      <c r="T54" s="694" t="str">
        <f>+IF(ABRIL!T54=0,"",ABRIL!T54)</f>
        <v>Aporte a Caja Compensación Familiar</v>
      </c>
      <c r="U54" s="27">
        <f>+ENERO!U54</f>
        <v>14791923</v>
      </c>
      <c r="V54" s="15">
        <f>ABRIL!V54+MAYO!AL54</f>
        <v>0</v>
      </c>
      <c r="W54" s="15">
        <f>ABRIL!W54+MAYO!AM54</f>
        <v>0</v>
      </c>
      <c r="X54" s="18">
        <f t="shared" si="54"/>
        <v>14791923</v>
      </c>
      <c r="Y54" s="19">
        <f>ABRIL!AA54</f>
        <v>3696900</v>
      </c>
      <c r="Z54" s="377">
        <v>999400</v>
      </c>
      <c r="AA54" s="18">
        <f t="shared" si="55"/>
        <v>4696300</v>
      </c>
      <c r="AB54" s="19">
        <f>ABRIL!AD54</f>
        <v>3696900</v>
      </c>
      <c r="AC54" s="377">
        <v>999400</v>
      </c>
      <c r="AD54" s="18">
        <f t="shared" si="56"/>
        <v>4696300</v>
      </c>
      <c r="AE54" s="19">
        <f>ABRIL!AG54</f>
        <v>2644500</v>
      </c>
      <c r="AF54" s="377">
        <v>1052400</v>
      </c>
      <c r="AG54" s="18">
        <f t="shared" si="57"/>
        <v>3696900</v>
      </c>
      <c r="AH54" s="19">
        <f t="shared" si="58"/>
        <v>10095623</v>
      </c>
      <c r="AI54" s="15">
        <f t="shared" si="59"/>
        <v>10095623</v>
      </c>
      <c r="AJ54" s="16">
        <f t="shared" si="60"/>
        <v>11095023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+IF(ABRIL!A55=0,"",ABRIL!A55)</f>
        <v>1130110-1</v>
      </c>
      <c r="B55" s="654" t="str">
        <f>+CONCATENATE("Vigencia ",INSTRUCCIONES!$F$3)</f>
        <v>Vigencia 2015</v>
      </c>
      <c r="C55" s="375">
        <f>+ENERO!C55</f>
        <v>0</v>
      </c>
      <c r="D55" s="376">
        <f>ABRIL!D55+MAYO!P55</f>
        <v>0</v>
      </c>
      <c r="E55" s="376">
        <f>ABRIL!E55+MAYO!Q55</f>
        <v>0</v>
      </c>
      <c r="F55" s="376">
        <f>SUM(C55:E55)</f>
        <v>0</v>
      </c>
      <c r="G55" s="376">
        <f>ABRIL!I55</f>
        <v>0</v>
      </c>
      <c r="H55" s="377">
        <v>0</v>
      </c>
      <c r="I55" s="376">
        <f>SUM(G55:H55)</f>
        <v>0</v>
      </c>
      <c r="J55" s="376">
        <f>ABRIL!L55</f>
        <v>0</v>
      </c>
      <c r="K55" s="377">
        <v>0</v>
      </c>
      <c r="L55" s="376">
        <f>SUM(J55:K55)</f>
        <v>0</v>
      </c>
      <c r="M55" s="376">
        <f>F55-I55</f>
        <v>0</v>
      </c>
      <c r="N55" s="146">
        <f>F55-L55</f>
        <v>0</v>
      </c>
      <c r="O55" s="385"/>
      <c r="P55" s="375">
        <v>0</v>
      </c>
      <c r="Q55" s="378">
        <v>0</v>
      </c>
      <c r="R55" s="9"/>
      <c r="S55" s="719">
        <f>+IF(ABRIL!S55=0,"",ABRIL!S55)</f>
        <v>1010399</v>
      </c>
      <c r="T55" s="693" t="str">
        <f>+IF(ABRIL!T55=0,"",ABRIL!T55)</f>
        <v>Vigencias Anteriores</v>
      </c>
      <c r="U55" s="27">
        <f>+ENERO!U55</f>
        <v>0</v>
      </c>
      <c r="V55" s="15">
        <f>ABRIL!V55+MAYO!AL55</f>
        <v>0</v>
      </c>
      <c r="W55" s="15">
        <f>ABRIL!W55+MAYO!AM55</f>
        <v>29964174</v>
      </c>
      <c r="X55" s="18">
        <f t="shared" si="54"/>
        <v>29964174</v>
      </c>
      <c r="Y55" s="19">
        <f>ABRIL!AA55</f>
        <v>29964174</v>
      </c>
      <c r="Z55" s="377">
        <v>0</v>
      </c>
      <c r="AA55" s="18">
        <f t="shared" si="55"/>
        <v>29964174</v>
      </c>
      <c r="AB55" s="19">
        <f>ABRIL!AD55</f>
        <v>29964174</v>
      </c>
      <c r="AC55" s="377">
        <v>0</v>
      </c>
      <c r="AD55" s="18">
        <f t="shared" si="56"/>
        <v>29964174</v>
      </c>
      <c r="AE55" s="19">
        <f>ABRIL!AG55</f>
        <v>29771060</v>
      </c>
      <c r="AF55" s="377">
        <v>0</v>
      </c>
      <c r="AG55" s="18">
        <f t="shared" si="57"/>
        <v>29771060</v>
      </c>
      <c r="AH55" s="19">
        <f t="shared" si="58"/>
        <v>0</v>
      </c>
      <c r="AI55" s="15">
        <f t="shared" si="59"/>
        <v>0</v>
      </c>
      <c r="AJ55" s="16">
        <f t="shared" si="60"/>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+IF(ABRIL!A56=0,"",ABRIL!A56)</f>
        <v>1130110-2</v>
      </c>
      <c r="B56" s="654" t="str">
        <f>+IF(ABRIL!B56=0,"",ABRIL!B56)</f>
        <v>Vigencia Anterior</v>
      </c>
      <c r="C56" s="375">
        <f>+ENERO!C56</f>
        <v>0</v>
      </c>
      <c r="D56" s="376">
        <f>ABRIL!D56+MAYO!P56</f>
        <v>0</v>
      </c>
      <c r="E56" s="376">
        <f>ABRIL!E56+MAYO!Q56</f>
        <v>0</v>
      </c>
      <c r="F56" s="376">
        <f>SUM(C56:E56)</f>
        <v>0</v>
      </c>
      <c r="G56" s="376">
        <f>ABRIL!I56</f>
        <v>0</v>
      </c>
      <c r="H56" s="377">
        <v>0</v>
      </c>
      <c r="I56" s="376">
        <f>SUM(G56:H56)</f>
        <v>0</v>
      </c>
      <c r="J56" s="376">
        <f>ABRIL!L56</f>
        <v>0</v>
      </c>
      <c r="K56" s="377">
        <v>0</v>
      </c>
      <c r="L56" s="376">
        <f>SUM(J56:K56)</f>
        <v>0</v>
      </c>
      <c r="M56" s="376">
        <f>F56-I56</f>
        <v>0</v>
      </c>
      <c r="N56" s="146">
        <f>F56-L56</f>
        <v>0</v>
      </c>
      <c r="O56" s="385"/>
      <c r="P56" s="375">
        <v>0</v>
      </c>
      <c r="Q56" s="378">
        <v>0</v>
      </c>
      <c r="R56" s="9"/>
      <c r="S56" s="369" t="str">
        <f>+IF(ABRIL!S56=0,"",ABRIL!S56)</f>
        <v/>
      </c>
      <c r="T56" s="708" t="str">
        <f>+IF(ABRIL!T56=0,"",ABRIL!T56)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+IF(ABRIL!A57=0,"",ABRIL!A57)</f>
        <v>1130111</v>
      </c>
      <c r="B57" s="653" t="str">
        <f>+IF(ABRIL!B57=0,"",ABRIL!B57)</f>
        <v>IPS PRIVADAS</v>
      </c>
      <c r="C57" s="43">
        <f t="shared" ref="C57:N57" si="63">SUM(C58:C59)</f>
        <v>0</v>
      </c>
      <c r="D57" s="44">
        <f t="shared" si="63"/>
        <v>0</v>
      </c>
      <c r="E57" s="44">
        <f t="shared" si="63"/>
        <v>0</v>
      </c>
      <c r="F57" s="44">
        <f t="shared" si="63"/>
        <v>0</v>
      </c>
      <c r="G57" s="44">
        <f t="shared" si="63"/>
        <v>0</v>
      </c>
      <c r="H57" s="44">
        <f t="shared" si="63"/>
        <v>0</v>
      </c>
      <c r="I57" s="44">
        <f t="shared" si="63"/>
        <v>0</v>
      </c>
      <c r="J57" s="44">
        <f t="shared" si="63"/>
        <v>0</v>
      </c>
      <c r="K57" s="44">
        <f t="shared" si="63"/>
        <v>0</v>
      </c>
      <c r="L57" s="44">
        <f t="shared" si="63"/>
        <v>0</v>
      </c>
      <c r="M57" s="44">
        <f t="shared" si="63"/>
        <v>0</v>
      </c>
      <c r="N57" s="45">
        <f t="shared" si="63"/>
        <v>0</v>
      </c>
      <c r="P57" s="43">
        <f>SUM(P58:P59)</f>
        <v>0</v>
      </c>
      <c r="Q57" s="45">
        <f>SUM(Q58:Q59)</f>
        <v>0</v>
      </c>
      <c r="R57" s="9"/>
      <c r="S57" s="718">
        <f>+IF(ABRIL!S57=0,"",ABRIL!S57)</f>
        <v>1010400</v>
      </c>
      <c r="T57" s="692" t="str">
        <f>+IF(ABRIL!T57=0,"",ABRIL!T57)</f>
        <v>Contribuciones Inherentes nómina del Sector Publico</v>
      </c>
      <c r="U57" s="135">
        <f t="shared" ref="U57:AJ57" si="64">U58+U61</f>
        <v>18489903</v>
      </c>
      <c r="V57" s="124">
        <f t="shared" si="64"/>
        <v>0</v>
      </c>
      <c r="W57" s="124">
        <f t="shared" si="64"/>
        <v>1280600</v>
      </c>
      <c r="X57" s="132">
        <f t="shared" si="64"/>
        <v>19770503</v>
      </c>
      <c r="Y57" s="131">
        <f t="shared" si="64"/>
        <v>7072800</v>
      </c>
      <c r="Z57" s="124">
        <f t="shared" si="64"/>
        <v>1249300</v>
      </c>
      <c r="AA57" s="132">
        <f t="shared" si="64"/>
        <v>8322100</v>
      </c>
      <c r="AB57" s="131">
        <f t="shared" si="64"/>
        <v>7072800</v>
      </c>
      <c r="AC57" s="124">
        <f t="shared" si="64"/>
        <v>1249300</v>
      </c>
      <c r="AD57" s="132">
        <f t="shared" si="64"/>
        <v>8322100</v>
      </c>
      <c r="AE57" s="131">
        <f t="shared" si="64"/>
        <v>5757000</v>
      </c>
      <c r="AF57" s="124">
        <f t="shared" si="64"/>
        <v>1315800</v>
      </c>
      <c r="AG57" s="132">
        <f t="shared" si="64"/>
        <v>7072800</v>
      </c>
      <c r="AH57" s="131">
        <f t="shared" si="64"/>
        <v>11448403</v>
      </c>
      <c r="AI57" s="124">
        <f t="shared" si="64"/>
        <v>11448403</v>
      </c>
      <c r="AJ57" s="133">
        <f t="shared" si="64"/>
        <v>12697703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+IF(ABRIL!A58=0,"",ABRIL!A58)</f>
        <v>1130111-1</v>
      </c>
      <c r="B58" s="654" t="str">
        <f>+CONCATENATE("Vigencia ",INSTRUCCIONES!$F$3)</f>
        <v>Vigencia 2015</v>
      </c>
      <c r="C58" s="375">
        <f>+ENERO!C58</f>
        <v>0</v>
      </c>
      <c r="D58" s="376">
        <f>ABRIL!D58+MAYO!P58</f>
        <v>0</v>
      </c>
      <c r="E58" s="376">
        <f>ABRIL!E58+MAYO!Q58</f>
        <v>0</v>
      </c>
      <c r="F58" s="376">
        <f>SUM(C58:E58)</f>
        <v>0</v>
      </c>
      <c r="G58" s="376">
        <f>ABRIL!I58</f>
        <v>0</v>
      </c>
      <c r="H58" s="377">
        <v>0</v>
      </c>
      <c r="I58" s="376">
        <f>SUM(G58:H58)</f>
        <v>0</v>
      </c>
      <c r="J58" s="376">
        <f>ABRIL!L58</f>
        <v>0</v>
      </c>
      <c r="K58" s="377">
        <v>0</v>
      </c>
      <c r="L58" s="376">
        <f>SUM(J58:K58)</f>
        <v>0</v>
      </c>
      <c r="M58" s="376">
        <f>F58-I58</f>
        <v>0</v>
      </c>
      <c r="N58" s="146">
        <f>F58-L58</f>
        <v>0</v>
      </c>
      <c r="O58" s="385"/>
      <c r="P58" s="375">
        <v>0</v>
      </c>
      <c r="Q58" s="378">
        <v>0</v>
      </c>
      <c r="R58" s="9"/>
      <c r="S58" s="719">
        <f>+IF(ABRIL!S58=0,"",ABRIL!S58)</f>
        <v>1010402</v>
      </c>
      <c r="T58" s="693" t="str">
        <f>+IF(ABRIL!T58=0,"",ABRIL!T58)</f>
        <v>Contribuciones - Otros</v>
      </c>
      <c r="U58" s="27">
        <f t="shared" ref="U58:AJ58" si="65">SUM(U59:U60)</f>
        <v>18489903</v>
      </c>
      <c r="V58" s="15">
        <f t="shared" si="65"/>
        <v>0</v>
      </c>
      <c r="W58" s="15">
        <f t="shared" si="65"/>
        <v>0</v>
      </c>
      <c r="X58" s="18">
        <f t="shared" si="65"/>
        <v>18489903</v>
      </c>
      <c r="Y58" s="19">
        <f t="shared" si="65"/>
        <v>5792200</v>
      </c>
      <c r="Z58" s="145">
        <f t="shared" si="65"/>
        <v>1249300</v>
      </c>
      <c r="AA58" s="18">
        <f t="shared" si="65"/>
        <v>7041500</v>
      </c>
      <c r="AB58" s="19">
        <f t="shared" si="65"/>
        <v>5792200</v>
      </c>
      <c r="AC58" s="145">
        <f t="shared" si="65"/>
        <v>1249300</v>
      </c>
      <c r="AD58" s="18">
        <f t="shared" si="65"/>
        <v>7041500</v>
      </c>
      <c r="AE58" s="19">
        <f t="shared" si="65"/>
        <v>4476400</v>
      </c>
      <c r="AF58" s="145">
        <f t="shared" si="65"/>
        <v>1315800</v>
      </c>
      <c r="AG58" s="18">
        <f t="shared" si="65"/>
        <v>5792200</v>
      </c>
      <c r="AH58" s="19">
        <f t="shared" si="65"/>
        <v>11448403</v>
      </c>
      <c r="AI58" s="15">
        <f t="shared" si="65"/>
        <v>11448403</v>
      </c>
      <c r="AJ58" s="16">
        <f t="shared" si="65"/>
        <v>12697703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+IF(ABRIL!A59=0,"",ABRIL!A59)</f>
        <v>1130111-2</v>
      </c>
      <c r="B59" s="654" t="str">
        <f>+IF(ABRIL!B59=0,"",ABRIL!B59)</f>
        <v>Vigencia Anterior</v>
      </c>
      <c r="C59" s="375">
        <f>+ENERO!C59</f>
        <v>0</v>
      </c>
      <c r="D59" s="376">
        <f>ABRIL!D59+MAYO!P59</f>
        <v>0</v>
      </c>
      <c r="E59" s="376">
        <f>ABRIL!E59+MAYO!Q59</f>
        <v>0</v>
      </c>
      <c r="F59" s="376">
        <f>SUM(C59:E59)</f>
        <v>0</v>
      </c>
      <c r="G59" s="376">
        <f>ABRIL!I59</f>
        <v>0</v>
      </c>
      <c r="H59" s="377">
        <v>0</v>
      </c>
      <c r="I59" s="376">
        <f>SUM(G59:H59)</f>
        <v>0</v>
      </c>
      <c r="J59" s="376">
        <f>ABRIL!L59</f>
        <v>0</v>
      </c>
      <c r="K59" s="377">
        <v>0</v>
      </c>
      <c r="L59" s="376">
        <f>SUM(J59:K59)</f>
        <v>0</v>
      </c>
      <c r="M59" s="376">
        <f>F59-I59</f>
        <v>0</v>
      </c>
      <c r="N59" s="146">
        <f>F59-L59</f>
        <v>0</v>
      </c>
      <c r="O59" s="385"/>
      <c r="P59" s="375">
        <v>0</v>
      </c>
      <c r="Q59" s="378">
        <v>0</v>
      </c>
      <c r="R59" s="9"/>
      <c r="S59" s="720" t="str">
        <f>+IF(ABRIL!S59=0,"",ABRIL!S59)</f>
        <v>1010402-1</v>
      </c>
      <c r="T59" s="693" t="str">
        <f>+IF(ABRIL!T59=0,"",ABRIL!T59)</f>
        <v>S.E.N.A.</v>
      </c>
      <c r="U59" s="27">
        <f>+ENERO!U59</f>
        <v>7395961</v>
      </c>
      <c r="V59" s="15">
        <f>ABRIL!V59+MAYO!AL59</f>
        <v>0</v>
      </c>
      <c r="W59" s="15">
        <f>ABRIL!W59+MAYO!AM59</f>
        <v>0</v>
      </c>
      <c r="X59" s="18">
        <f>SUM(U59:W59)</f>
        <v>7395961</v>
      </c>
      <c r="Y59" s="19">
        <f>ABRIL!AA59</f>
        <v>2359900</v>
      </c>
      <c r="Z59" s="377">
        <v>499800</v>
      </c>
      <c r="AA59" s="18">
        <f>SUM(Y59:Z59)</f>
        <v>2859700</v>
      </c>
      <c r="AB59" s="19">
        <f>ABRIL!AD59</f>
        <v>2359900</v>
      </c>
      <c r="AC59" s="377">
        <v>499800</v>
      </c>
      <c r="AD59" s="18">
        <f>SUM(AB59:AC59)</f>
        <v>2859700</v>
      </c>
      <c r="AE59" s="19">
        <f>ABRIL!AG59</f>
        <v>1833300</v>
      </c>
      <c r="AF59" s="377">
        <v>526600</v>
      </c>
      <c r="AG59" s="18">
        <f>SUM(AE59:AF59)</f>
        <v>2359900</v>
      </c>
      <c r="AH59" s="19">
        <f>X59-AA59</f>
        <v>4536261</v>
      </c>
      <c r="AI59" s="15">
        <f>X59-AD59</f>
        <v>4536261</v>
      </c>
      <c r="AJ59" s="16">
        <f>X59-AG59</f>
        <v>5036061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+IF(ABRIL!A60=0,"",ABRIL!A60)</f>
        <v>1130112</v>
      </c>
      <c r="B60" s="653" t="str">
        <f>+IF(ABRIL!B60=0,"",ABRIL!B60)</f>
        <v>IPS PUBLICAS</v>
      </c>
      <c r="C60" s="43">
        <f t="shared" ref="C60:N60" si="66">SUM(C61:C62)</f>
        <v>3473660</v>
      </c>
      <c r="D60" s="44">
        <f t="shared" si="66"/>
        <v>0</v>
      </c>
      <c r="E60" s="44">
        <f t="shared" si="66"/>
        <v>0</v>
      </c>
      <c r="F60" s="44">
        <f t="shared" si="66"/>
        <v>3473660</v>
      </c>
      <c r="G60" s="44">
        <f t="shared" si="66"/>
        <v>2394069</v>
      </c>
      <c r="H60" s="44">
        <f t="shared" si="66"/>
        <v>582432</v>
      </c>
      <c r="I60" s="44">
        <f t="shared" si="66"/>
        <v>2976501</v>
      </c>
      <c r="J60" s="44">
        <f t="shared" si="66"/>
        <v>0</v>
      </c>
      <c r="K60" s="44">
        <f t="shared" si="66"/>
        <v>718248</v>
      </c>
      <c r="L60" s="44">
        <f t="shared" si="66"/>
        <v>718248</v>
      </c>
      <c r="M60" s="44">
        <f t="shared" si="66"/>
        <v>497159</v>
      </c>
      <c r="N60" s="45">
        <f t="shared" si="66"/>
        <v>2755412</v>
      </c>
      <c r="P60" s="43">
        <f>SUM(P61:P62)</f>
        <v>0</v>
      </c>
      <c r="Q60" s="45">
        <f>SUM(Q61:Q62)</f>
        <v>0</v>
      </c>
      <c r="R60" s="9"/>
      <c r="S60" s="720" t="str">
        <f>+IF(ABRIL!S60=0,"",ABRIL!S60)</f>
        <v>1010402-2</v>
      </c>
      <c r="T60" s="693" t="str">
        <f>+IF(ABRIL!T60=0,"",ABRIL!T60)</f>
        <v>I.C.B.F.</v>
      </c>
      <c r="U60" s="27">
        <f>+ENERO!U60</f>
        <v>11093942</v>
      </c>
      <c r="V60" s="15">
        <f>ABRIL!V60+MAYO!AL60</f>
        <v>0</v>
      </c>
      <c r="W60" s="15">
        <f>ABRIL!W60+MAYO!AM60</f>
        <v>0</v>
      </c>
      <c r="X60" s="18">
        <f>SUM(U60:W60)</f>
        <v>11093942</v>
      </c>
      <c r="Y60" s="19">
        <f>ABRIL!AA60</f>
        <v>3432300</v>
      </c>
      <c r="Z60" s="377">
        <v>749500</v>
      </c>
      <c r="AA60" s="18">
        <f>SUM(Y60:Z60)</f>
        <v>4181800</v>
      </c>
      <c r="AB60" s="19">
        <f>ABRIL!AD60</f>
        <v>3432300</v>
      </c>
      <c r="AC60" s="377">
        <v>749500</v>
      </c>
      <c r="AD60" s="18">
        <f>SUM(AB60:AC60)</f>
        <v>4181800</v>
      </c>
      <c r="AE60" s="19">
        <f>ABRIL!AG60</f>
        <v>2643100</v>
      </c>
      <c r="AF60" s="377">
        <v>789200</v>
      </c>
      <c r="AG60" s="18">
        <f>SUM(AE60:AF60)</f>
        <v>3432300</v>
      </c>
      <c r="AH60" s="19">
        <f>X60-AA60</f>
        <v>6912142</v>
      </c>
      <c r="AI60" s="15">
        <f>X60-AD60</f>
        <v>6912142</v>
      </c>
      <c r="AJ60" s="16">
        <f>X60-AG60</f>
        <v>7661642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+IF(ABRIL!A61=0,"",ABRIL!A61)</f>
        <v>1130112-1</v>
      </c>
      <c r="B61" s="654" t="str">
        <f>+CONCATENATE("Vigencia ",INSTRUCCIONES!$F$3)</f>
        <v>Vigencia 2015</v>
      </c>
      <c r="C61" s="375">
        <f>+ENERO!C61</f>
        <v>3473660</v>
      </c>
      <c r="D61" s="376">
        <f>ABRIL!D61+MAYO!P61</f>
        <v>0</v>
      </c>
      <c r="E61" s="376">
        <f>ABRIL!E61+MAYO!Q61</f>
        <v>0</v>
      </c>
      <c r="F61" s="376">
        <f>SUM(C61:E61)</f>
        <v>3473660</v>
      </c>
      <c r="G61" s="376">
        <f>ABRIL!I61</f>
        <v>2394069</v>
      </c>
      <c r="H61" s="377">
        <v>205892</v>
      </c>
      <c r="I61" s="376">
        <f>SUM(G61:H61)</f>
        <v>2599961</v>
      </c>
      <c r="J61" s="376">
        <f>ABRIL!L61</f>
        <v>0</v>
      </c>
      <c r="K61" s="377">
        <v>341708</v>
      </c>
      <c r="L61" s="376">
        <f>SUM(J61:K61)</f>
        <v>341708</v>
      </c>
      <c r="M61" s="376">
        <f>F61-I61</f>
        <v>873699</v>
      </c>
      <c r="N61" s="146">
        <f>F61-L61</f>
        <v>3131952</v>
      </c>
      <c r="O61" s="385"/>
      <c r="P61" s="375">
        <v>0</v>
      </c>
      <c r="Q61" s="378">
        <v>0</v>
      </c>
      <c r="R61" s="9"/>
      <c r="S61" s="719">
        <f>+IF(ABRIL!S61=0,"",ABRIL!S61)</f>
        <v>1010499</v>
      </c>
      <c r="T61" s="693" t="str">
        <f>+IF(ABRIL!T61=0,"",ABRIL!T61)</f>
        <v>Vigencias Anteriores</v>
      </c>
      <c r="U61" s="27">
        <f>+ENERO!U61</f>
        <v>0</v>
      </c>
      <c r="V61" s="15">
        <f>ABRIL!V61+MAYO!AL61</f>
        <v>0</v>
      </c>
      <c r="W61" s="15">
        <f>ABRIL!W61+MAYO!AM61</f>
        <v>1280600</v>
      </c>
      <c r="X61" s="18">
        <f>SUM(U61:W61)</f>
        <v>1280600</v>
      </c>
      <c r="Y61" s="19">
        <f>ABRIL!AA61</f>
        <v>1280600</v>
      </c>
      <c r="Z61" s="377">
        <v>0</v>
      </c>
      <c r="AA61" s="18">
        <f>SUM(Y61:Z61)</f>
        <v>1280600</v>
      </c>
      <c r="AB61" s="19">
        <f>ABRIL!AD61</f>
        <v>1280600</v>
      </c>
      <c r="AC61" s="377">
        <v>0</v>
      </c>
      <c r="AD61" s="18">
        <f>SUM(AB61:AC61)</f>
        <v>1280600</v>
      </c>
      <c r="AE61" s="19">
        <f>ABRIL!AG61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+IF(ABRIL!A62=0,"",ABRIL!A62)</f>
        <v>1130112-2</v>
      </c>
      <c r="B62" s="654" t="str">
        <f>+IF(ABRIL!B62=0,"",ABRIL!B62)</f>
        <v>Vigencia Anterior</v>
      </c>
      <c r="C62" s="375">
        <f>+ENERO!C62</f>
        <v>0</v>
      </c>
      <c r="D62" s="376">
        <f>ABRIL!D62+MAYO!P62</f>
        <v>0</v>
      </c>
      <c r="E62" s="376">
        <f>ABRIL!E62+MAYO!Q62</f>
        <v>0</v>
      </c>
      <c r="F62" s="376">
        <f>SUM(C62:E62)</f>
        <v>0</v>
      </c>
      <c r="G62" s="376">
        <f>ABRIL!I62</f>
        <v>0</v>
      </c>
      <c r="H62" s="377">
        <v>376540</v>
      </c>
      <c r="I62" s="376">
        <f>SUM(G62:H62)</f>
        <v>376540</v>
      </c>
      <c r="J62" s="376">
        <f>ABRIL!L62</f>
        <v>0</v>
      </c>
      <c r="K62" s="377">
        <v>376540</v>
      </c>
      <c r="L62" s="376">
        <f>SUM(J62:K62)</f>
        <v>376540</v>
      </c>
      <c r="M62" s="376">
        <f>F62-I62</f>
        <v>-376540</v>
      </c>
      <c r="N62" s="146">
        <f>F62-L62</f>
        <v>-376540</v>
      </c>
      <c r="O62" s="385"/>
      <c r="P62" s="375">
        <v>0</v>
      </c>
      <c r="Q62" s="378">
        <v>0</v>
      </c>
      <c r="R62" s="9"/>
      <c r="S62" s="369" t="str">
        <f>+IF(ABRIL!S62=0,"",ABRIL!S62)</f>
        <v/>
      </c>
      <c r="T62" s="708" t="str">
        <f>+IF(ABRIL!T62=0,"",ABRIL!T62)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+IF(ABRIL!A63=0,"",ABRIL!A63)</f>
        <v>1130113</v>
      </c>
      <c r="B63" s="653" t="str">
        <f>+IF(ABRIL!B63=0,"",ABRIL!B63)</f>
        <v>COMPAÑIAS DE SEGUROS  - ACCIDENTES DE TRANSITO (SOAT)</v>
      </c>
      <c r="C63" s="43">
        <f t="shared" ref="C63:N63" si="67">SUM(C64:C65)</f>
        <v>22951026</v>
      </c>
      <c r="D63" s="44">
        <f t="shared" si="67"/>
        <v>0</v>
      </c>
      <c r="E63" s="44">
        <f t="shared" si="67"/>
        <v>2940835</v>
      </c>
      <c r="F63" s="44">
        <f t="shared" si="67"/>
        <v>25891861</v>
      </c>
      <c r="G63" s="44">
        <f t="shared" si="67"/>
        <v>11756957</v>
      </c>
      <c r="H63" s="44">
        <f t="shared" si="67"/>
        <v>1605105</v>
      </c>
      <c r="I63" s="44">
        <f t="shared" si="67"/>
        <v>13362062</v>
      </c>
      <c r="J63" s="44">
        <f t="shared" si="67"/>
        <v>4090236</v>
      </c>
      <c r="K63" s="44">
        <f t="shared" si="67"/>
        <v>651266</v>
      </c>
      <c r="L63" s="44">
        <f t="shared" si="67"/>
        <v>4741502</v>
      </c>
      <c r="M63" s="44">
        <f t="shared" si="67"/>
        <v>12529799</v>
      </c>
      <c r="N63" s="45">
        <f t="shared" si="67"/>
        <v>21150359</v>
      </c>
      <c r="P63" s="43">
        <f>SUM(P64:P65)</f>
        <v>0</v>
      </c>
      <c r="Q63" s="45">
        <f>SUM(Q64:Q65)</f>
        <v>0</v>
      </c>
      <c r="R63" s="9"/>
      <c r="S63" s="717">
        <f>+IF(ABRIL!S63=0,"",ABRIL!S63)</f>
        <v>1020010</v>
      </c>
      <c r="T63" s="691" t="str">
        <f>+IF(ABRIL!T63=0,"",ABRIL!T63)</f>
        <v>Gastos de Operación</v>
      </c>
      <c r="U63" s="135">
        <f t="shared" ref="U63:AJ63" si="68">U65+U83+U90+U104</f>
        <v>1276921669</v>
      </c>
      <c r="V63" s="124">
        <f t="shared" si="68"/>
        <v>20000000</v>
      </c>
      <c r="W63" s="124">
        <f t="shared" si="68"/>
        <v>78294418</v>
      </c>
      <c r="X63" s="132">
        <f t="shared" si="68"/>
        <v>1375216087</v>
      </c>
      <c r="Y63" s="131">
        <f t="shared" si="68"/>
        <v>498396858</v>
      </c>
      <c r="Z63" s="124">
        <f t="shared" si="68"/>
        <v>104507248</v>
      </c>
      <c r="AA63" s="132">
        <f t="shared" si="68"/>
        <v>602904106</v>
      </c>
      <c r="AB63" s="131">
        <f t="shared" si="68"/>
        <v>461492191</v>
      </c>
      <c r="AC63" s="124">
        <f t="shared" si="68"/>
        <v>116545248</v>
      </c>
      <c r="AD63" s="132">
        <f t="shared" si="68"/>
        <v>578037439</v>
      </c>
      <c r="AE63" s="131">
        <f t="shared" si="68"/>
        <v>411209018</v>
      </c>
      <c r="AF63" s="124">
        <f t="shared" si="68"/>
        <v>100675999</v>
      </c>
      <c r="AG63" s="132">
        <f t="shared" si="68"/>
        <v>511885017</v>
      </c>
      <c r="AH63" s="131">
        <f t="shared" si="68"/>
        <v>772311981</v>
      </c>
      <c r="AI63" s="124">
        <f t="shared" si="68"/>
        <v>797178648</v>
      </c>
      <c r="AJ63" s="133">
        <f t="shared" si="68"/>
        <v>863331070</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+IF(ABRIL!A64=0,"",ABRIL!A64)</f>
        <v>1130113-1</v>
      </c>
      <c r="B64" s="654" t="str">
        <f>+CONCATENATE("Vigencia ",INSTRUCCIONES!$F$3)</f>
        <v>Vigencia 2015</v>
      </c>
      <c r="C64" s="375">
        <f>+ENERO!C64</f>
        <v>22951026</v>
      </c>
      <c r="D64" s="376">
        <f>ABRIL!D64+MAYO!P64</f>
        <v>0</v>
      </c>
      <c r="E64" s="376">
        <f>ABRIL!E64+MAYO!Q64</f>
        <v>0</v>
      </c>
      <c r="F64" s="376">
        <f>SUM(C64:E64)</f>
        <v>22951026</v>
      </c>
      <c r="G64" s="376">
        <f>ABRIL!I64</f>
        <v>8449105</v>
      </c>
      <c r="H64" s="377">
        <v>1605105</v>
      </c>
      <c r="I64" s="376">
        <f>SUM(G64:H64)</f>
        <v>10054210</v>
      </c>
      <c r="J64" s="376">
        <f>ABRIL!L64</f>
        <v>782384</v>
      </c>
      <c r="K64" s="377">
        <v>651266</v>
      </c>
      <c r="L64" s="376">
        <f>SUM(J64:K64)</f>
        <v>1433650</v>
      </c>
      <c r="M64" s="376">
        <f>F64-I64</f>
        <v>12896816</v>
      </c>
      <c r="N64" s="146">
        <f>F64-L64</f>
        <v>21517376</v>
      </c>
      <c r="O64" s="385"/>
      <c r="P64" s="375">
        <v>0</v>
      </c>
      <c r="Q64" s="378">
        <v>0</v>
      </c>
      <c r="R64" s="9"/>
      <c r="S64" s="369" t="str">
        <f>+IF(ABRIL!S64=0,"",ABRIL!S64)</f>
        <v/>
      </c>
      <c r="T64" s="708" t="str">
        <f>+IF(ABRIL!T64=0,"",ABRIL!T64)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+IF(ABRIL!A65=0,"",ABRIL!A65)</f>
        <v>1130113-2</v>
      </c>
      <c r="B65" s="654" t="str">
        <f>+IF(ABRIL!B65=0,"",ABRIL!B65)</f>
        <v>Vigencia Anterior</v>
      </c>
      <c r="C65" s="375">
        <f>+ENERO!C65</f>
        <v>0</v>
      </c>
      <c r="D65" s="376">
        <f>ABRIL!D65+MAYO!P65</f>
        <v>0</v>
      </c>
      <c r="E65" s="376">
        <f>ABRIL!E65+MAYO!Q65</f>
        <v>2940835</v>
      </c>
      <c r="F65" s="376">
        <f>SUM(C65:E65)</f>
        <v>2940835</v>
      </c>
      <c r="G65" s="376">
        <f>ABRIL!I65</f>
        <v>3307852</v>
      </c>
      <c r="H65" s="377">
        <v>0</v>
      </c>
      <c r="I65" s="376">
        <f>SUM(G65:H65)</f>
        <v>3307852</v>
      </c>
      <c r="J65" s="376">
        <f>ABRIL!L65</f>
        <v>3307852</v>
      </c>
      <c r="K65" s="377">
        <v>0</v>
      </c>
      <c r="L65" s="376">
        <f>SUM(J65:K65)</f>
        <v>3307852</v>
      </c>
      <c r="M65" s="376">
        <f>F65-I65</f>
        <v>-367017</v>
      </c>
      <c r="N65" s="146">
        <f>F65-L65</f>
        <v>-367017</v>
      </c>
      <c r="O65" s="385"/>
      <c r="P65" s="375">
        <v>0</v>
      </c>
      <c r="Q65" s="378">
        <v>0</v>
      </c>
      <c r="R65" s="9"/>
      <c r="S65" s="718">
        <f>+IF(ABRIL!S65=0,"",ABRIL!S65)</f>
        <v>1020100</v>
      </c>
      <c r="T65" s="692" t="str">
        <f>+IF(ABRIL!T65=0,"",ABRIL!T65)</f>
        <v>Servicios Personales Asociados a Nómina</v>
      </c>
      <c r="U65" s="135">
        <f t="shared" ref="U65:AJ65" si="69">SUM(U66:U69)+U81</f>
        <v>815343813</v>
      </c>
      <c r="V65" s="124">
        <f t="shared" si="69"/>
        <v>20000000</v>
      </c>
      <c r="W65" s="124">
        <f t="shared" si="69"/>
        <v>13655677</v>
      </c>
      <c r="X65" s="132">
        <f t="shared" si="69"/>
        <v>848999490</v>
      </c>
      <c r="Y65" s="131">
        <f t="shared" si="69"/>
        <v>271825676</v>
      </c>
      <c r="Z65" s="124">
        <f t="shared" si="69"/>
        <v>64830264</v>
      </c>
      <c r="AA65" s="132">
        <f t="shared" si="69"/>
        <v>336655940</v>
      </c>
      <c r="AB65" s="131">
        <f t="shared" si="69"/>
        <v>271825676</v>
      </c>
      <c r="AC65" s="124">
        <f t="shared" si="69"/>
        <v>64830264</v>
      </c>
      <c r="AD65" s="132">
        <f t="shared" si="69"/>
        <v>336655940</v>
      </c>
      <c r="AE65" s="131">
        <f t="shared" si="69"/>
        <v>242080721</v>
      </c>
      <c r="AF65" s="124">
        <f t="shared" si="69"/>
        <v>66211670</v>
      </c>
      <c r="AG65" s="132">
        <f t="shared" si="69"/>
        <v>308292391</v>
      </c>
      <c r="AH65" s="131">
        <f t="shared" si="69"/>
        <v>512343550</v>
      </c>
      <c r="AI65" s="124">
        <f t="shared" si="69"/>
        <v>512343550</v>
      </c>
      <c r="AJ65" s="133">
        <f t="shared" si="69"/>
        <v>540707099</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+IF(ABRIL!A66=0,"",ABRIL!A66)</f>
        <v>1130114</v>
      </c>
      <c r="B66" s="653" t="str">
        <f>+IF(ABRIL!B66=0,"",ABRIL!B66)</f>
        <v xml:space="preserve">COMPAÑIAS DE SEGUROS  - PLANES DE SALUD  </v>
      </c>
      <c r="C66" s="43">
        <f t="shared" ref="C66:N66" si="70">SUM(C67:C68)</f>
        <v>338898</v>
      </c>
      <c r="D66" s="44">
        <f t="shared" si="70"/>
        <v>0</v>
      </c>
      <c r="E66" s="44">
        <f t="shared" si="70"/>
        <v>0</v>
      </c>
      <c r="F66" s="44">
        <f t="shared" si="70"/>
        <v>338898</v>
      </c>
      <c r="G66" s="44">
        <f t="shared" si="70"/>
        <v>78500</v>
      </c>
      <c r="H66" s="44">
        <f t="shared" si="70"/>
        <v>0</v>
      </c>
      <c r="I66" s="44">
        <f t="shared" si="70"/>
        <v>78500</v>
      </c>
      <c r="J66" s="44">
        <f t="shared" si="70"/>
        <v>78500</v>
      </c>
      <c r="K66" s="44">
        <f t="shared" si="70"/>
        <v>0</v>
      </c>
      <c r="L66" s="44">
        <f t="shared" si="70"/>
        <v>78500</v>
      </c>
      <c r="M66" s="44">
        <f t="shared" si="70"/>
        <v>260398</v>
      </c>
      <c r="N66" s="45">
        <f t="shared" si="70"/>
        <v>260398</v>
      </c>
      <c r="P66" s="43">
        <f>SUM(P67:P68)</f>
        <v>0</v>
      </c>
      <c r="Q66" s="45">
        <f>SUM(Q67:Q68)</f>
        <v>0</v>
      </c>
      <c r="R66" s="9"/>
      <c r="S66" s="719">
        <f>+IF(ABRIL!S66=0,"",ABRIL!S66)</f>
        <v>1020101</v>
      </c>
      <c r="T66" s="693" t="str">
        <f>+IF(ABRIL!T66=0,"",ABRIL!T66)</f>
        <v>Sueldos del Personal de nómina</v>
      </c>
      <c r="U66" s="27">
        <f>+ENERO!U66</f>
        <v>641065344</v>
      </c>
      <c r="V66" s="15">
        <f>ABRIL!V66+MAYO!AL66</f>
        <v>0</v>
      </c>
      <c r="W66" s="15">
        <f>ABRIL!W66+MAYO!AM66</f>
        <v>0</v>
      </c>
      <c r="X66" s="18">
        <f>SUM(U66:W66)</f>
        <v>641065344</v>
      </c>
      <c r="Y66" s="19">
        <f>ABRIL!AA66</f>
        <v>210620572</v>
      </c>
      <c r="Z66" s="377">
        <v>51271502</v>
      </c>
      <c r="AA66" s="18">
        <f>SUM(Y66:Z66)</f>
        <v>261892074</v>
      </c>
      <c r="AB66" s="19">
        <f>ABRIL!AD66</f>
        <v>210620572</v>
      </c>
      <c r="AC66" s="377">
        <v>51271502</v>
      </c>
      <c r="AD66" s="18">
        <f>SUM(AB66:AC66)</f>
        <v>261892074</v>
      </c>
      <c r="AE66" s="19">
        <f>ABRIL!AG66</f>
        <v>191564058</v>
      </c>
      <c r="AF66" s="377">
        <v>52712254</v>
      </c>
      <c r="AG66" s="18">
        <f>SUM(AE66:AF66)</f>
        <v>244276312</v>
      </c>
      <c r="AH66" s="19">
        <f>X66-AA66</f>
        <v>379173270</v>
      </c>
      <c r="AI66" s="15">
        <f>X66-AD66</f>
        <v>379173270</v>
      </c>
      <c r="AJ66" s="16">
        <f>X66-AG66</f>
        <v>396789032</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+IF(ABRIL!A67=0,"",ABRIL!A67)</f>
        <v>1130114-1</v>
      </c>
      <c r="B67" s="654" t="str">
        <f>+CONCATENATE("Vigencia ",INSTRUCCIONES!$F$3)</f>
        <v>Vigencia 2015</v>
      </c>
      <c r="C67" s="375">
        <f>+ENERO!C67</f>
        <v>338898</v>
      </c>
      <c r="D67" s="376">
        <f>ABRIL!D67+MAYO!P67</f>
        <v>0</v>
      </c>
      <c r="E67" s="376">
        <f>ABRIL!E67+MAYO!Q67</f>
        <v>0</v>
      </c>
      <c r="F67" s="376">
        <f>SUM(C67:E67)</f>
        <v>338898</v>
      </c>
      <c r="G67" s="376">
        <f>ABRIL!I67</f>
        <v>0</v>
      </c>
      <c r="H67" s="377">
        <v>0</v>
      </c>
      <c r="I67" s="376">
        <f>SUM(G67:H67)</f>
        <v>0</v>
      </c>
      <c r="J67" s="376">
        <f>ABRIL!L67</f>
        <v>0</v>
      </c>
      <c r="K67" s="377">
        <v>0</v>
      </c>
      <c r="L67" s="376">
        <f>SUM(J67:K67)</f>
        <v>0</v>
      </c>
      <c r="M67" s="376">
        <f>F67-I67</f>
        <v>338898</v>
      </c>
      <c r="N67" s="146">
        <f>F67-L67</f>
        <v>338898</v>
      </c>
      <c r="O67" s="385"/>
      <c r="P67" s="375">
        <v>0</v>
      </c>
      <c r="Q67" s="378">
        <v>0</v>
      </c>
      <c r="R67" s="9"/>
      <c r="S67" s="719">
        <f>+IF(ABRIL!S67=0,"",ABRIL!S67)</f>
        <v>1020102</v>
      </c>
      <c r="T67" s="693" t="str">
        <f>+IF(ABRIL!T67=0,"",ABRIL!T67)</f>
        <v>Horas Extras,Dominic.,Festivos y Rec. Nocturnos</v>
      </c>
      <c r="U67" s="27">
        <f>+ENERO!U67</f>
        <v>57949728</v>
      </c>
      <c r="V67" s="15">
        <f>ABRIL!V67+MAYO!AL67</f>
        <v>20000000</v>
      </c>
      <c r="W67" s="15">
        <f>ABRIL!W67+MAYO!AM67</f>
        <v>0</v>
      </c>
      <c r="X67" s="18">
        <f>SUM(U67:W67)</f>
        <v>77949728</v>
      </c>
      <c r="Y67" s="19">
        <f>ABRIL!AA67</f>
        <v>45276691</v>
      </c>
      <c r="Z67" s="377">
        <v>12445445</v>
      </c>
      <c r="AA67" s="18">
        <f>SUM(Y67:Z67)</f>
        <v>57722136</v>
      </c>
      <c r="AB67" s="19">
        <f>ABRIL!AD67</f>
        <v>45276691</v>
      </c>
      <c r="AC67" s="377">
        <v>12445445</v>
      </c>
      <c r="AD67" s="18">
        <f>SUM(AB67:AC67)</f>
        <v>57722136</v>
      </c>
      <c r="AE67" s="19">
        <f>ABRIL!AG67</f>
        <v>41126680</v>
      </c>
      <c r="AF67" s="377">
        <v>12748587</v>
      </c>
      <c r="AG67" s="18">
        <f>SUM(AE67:AF67)</f>
        <v>53875267</v>
      </c>
      <c r="AH67" s="19">
        <f>X67-AA67</f>
        <v>20227592</v>
      </c>
      <c r="AI67" s="15">
        <f>X67-AD67</f>
        <v>20227592</v>
      </c>
      <c r="AJ67" s="16">
        <f>X67-AG67</f>
        <v>24074461</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+IF(ABRIL!A68=0,"",ABRIL!A68)</f>
        <v>1130114-2</v>
      </c>
      <c r="B68" s="654" t="str">
        <f>+IF(ABRIL!B68=0,"",ABRIL!B68)</f>
        <v>Vigencia Anterior</v>
      </c>
      <c r="C68" s="375">
        <f>+ENERO!C68</f>
        <v>0</v>
      </c>
      <c r="D68" s="376">
        <f>ABRIL!D68+MAYO!P68</f>
        <v>0</v>
      </c>
      <c r="E68" s="376">
        <f>ABRIL!E68+MAYO!Q68</f>
        <v>0</v>
      </c>
      <c r="F68" s="376">
        <f>SUM(C68:E68)</f>
        <v>0</v>
      </c>
      <c r="G68" s="376">
        <f>ABRIL!I68</f>
        <v>78500</v>
      </c>
      <c r="H68" s="377">
        <v>0</v>
      </c>
      <c r="I68" s="376">
        <f>SUM(G68:H68)</f>
        <v>78500</v>
      </c>
      <c r="J68" s="376">
        <f>ABRIL!L68</f>
        <v>78500</v>
      </c>
      <c r="K68" s="377">
        <v>0</v>
      </c>
      <c r="L68" s="376">
        <f>SUM(J68:K68)</f>
        <v>78500</v>
      </c>
      <c r="M68" s="376">
        <f>F68-I68</f>
        <v>-78500</v>
      </c>
      <c r="N68" s="146">
        <f>F68-L68</f>
        <v>-78500</v>
      </c>
      <c r="O68" s="385"/>
      <c r="P68" s="375">
        <v>0</v>
      </c>
      <c r="Q68" s="378">
        <v>0</v>
      </c>
      <c r="R68" s="9"/>
      <c r="S68" s="719">
        <f>+IF(ABRIL!S68=0,"",ABRIL!S68)</f>
        <v>1020103</v>
      </c>
      <c r="T68" s="693" t="str">
        <f>+IF(ABRIL!T68=0,"",ABRIL!T68)</f>
        <v>Prima Técnica</v>
      </c>
      <c r="U68" s="27">
        <f>+ENERO!U68</f>
        <v>0</v>
      </c>
      <c r="V68" s="15">
        <f>ABRIL!V68+MAYO!AL68</f>
        <v>0</v>
      </c>
      <c r="W68" s="15">
        <f>ABRIL!W68+MAYO!AM68</f>
        <v>0</v>
      </c>
      <c r="X68" s="18">
        <f>SUM(U68:W68)</f>
        <v>0</v>
      </c>
      <c r="Y68" s="19">
        <f>ABRIL!AA68</f>
        <v>0</v>
      </c>
      <c r="Z68" s="377">
        <v>0</v>
      </c>
      <c r="AA68" s="18">
        <f>SUM(Y68:Z68)</f>
        <v>0</v>
      </c>
      <c r="AB68" s="19">
        <f>ABRIL!AD68</f>
        <v>0</v>
      </c>
      <c r="AC68" s="377">
        <v>0</v>
      </c>
      <c r="AD68" s="18">
        <f>SUM(AB68:AC68)</f>
        <v>0</v>
      </c>
      <c r="AE68" s="19">
        <f>ABRIL!AG68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+IF(ABRIL!A69=0,"",ABRIL!A69)</f>
        <v>1130115</v>
      </c>
      <c r="B69" s="653" t="str">
        <f>+IF(ABRIL!B69=0,"",ABRIL!B69)</f>
        <v>ENTIDADES DE REGIMEN ESPECIAL (Magisterio, Fuerza Pca.)</v>
      </c>
      <c r="C69" s="43">
        <f t="shared" ref="C69:N69" si="71">SUM(C70:C71)</f>
        <v>53468516</v>
      </c>
      <c r="D69" s="44">
        <f t="shared" si="71"/>
        <v>0</v>
      </c>
      <c r="E69" s="44">
        <f t="shared" si="71"/>
        <v>27541841</v>
      </c>
      <c r="F69" s="44">
        <f t="shared" si="71"/>
        <v>81010357</v>
      </c>
      <c r="G69" s="44">
        <f t="shared" si="71"/>
        <v>36621458</v>
      </c>
      <c r="H69" s="44">
        <f t="shared" si="71"/>
        <v>7469503</v>
      </c>
      <c r="I69" s="44">
        <f t="shared" si="71"/>
        <v>44090961</v>
      </c>
      <c r="J69" s="44">
        <f t="shared" si="71"/>
        <v>19644902</v>
      </c>
      <c r="K69" s="44">
        <f t="shared" si="71"/>
        <v>3050559</v>
      </c>
      <c r="L69" s="44">
        <f t="shared" si="71"/>
        <v>22695461</v>
      </c>
      <c r="M69" s="44">
        <f t="shared" si="71"/>
        <v>36919396</v>
      </c>
      <c r="N69" s="45">
        <f t="shared" si="71"/>
        <v>58314896</v>
      </c>
      <c r="P69" s="43">
        <f>SUM(P70:P71)</f>
        <v>0</v>
      </c>
      <c r="Q69" s="45">
        <f>SUM(Q70:Q71)</f>
        <v>0</v>
      </c>
      <c r="R69" s="9"/>
      <c r="S69" s="719">
        <f>+IF(ABRIL!S69=0,"",ABRIL!S69)</f>
        <v>1020104</v>
      </c>
      <c r="T69" s="693" t="str">
        <f>+IF(ABRIL!T69=0,"",ABRIL!T69)</f>
        <v>Otros</v>
      </c>
      <c r="U69" s="27">
        <f t="shared" ref="U69:AJ69" si="72">SUM(U70:U80)</f>
        <v>116328741</v>
      </c>
      <c r="V69" s="15">
        <f t="shared" si="72"/>
        <v>0</v>
      </c>
      <c r="W69" s="15">
        <f t="shared" si="72"/>
        <v>0</v>
      </c>
      <c r="X69" s="18">
        <f t="shared" si="72"/>
        <v>116328741</v>
      </c>
      <c r="Y69" s="19">
        <f t="shared" si="72"/>
        <v>2272736</v>
      </c>
      <c r="Z69" s="145">
        <f t="shared" si="72"/>
        <v>1113317</v>
      </c>
      <c r="AA69" s="18">
        <f t="shared" si="72"/>
        <v>3386053</v>
      </c>
      <c r="AB69" s="19">
        <f t="shared" si="72"/>
        <v>2272736</v>
      </c>
      <c r="AC69" s="145">
        <f t="shared" si="72"/>
        <v>1113317</v>
      </c>
      <c r="AD69" s="18">
        <f t="shared" si="72"/>
        <v>3386053</v>
      </c>
      <c r="AE69" s="19">
        <f t="shared" si="72"/>
        <v>2259485</v>
      </c>
      <c r="AF69" s="145">
        <f t="shared" si="72"/>
        <v>750829</v>
      </c>
      <c r="AG69" s="18">
        <f t="shared" si="72"/>
        <v>3010314</v>
      </c>
      <c r="AH69" s="19">
        <f t="shared" si="72"/>
        <v>112942688</v>
      </c>
      <c r="AI69" s="15">
        <f t="shared" si="72"/>
        <v>112942688</v>
      </c>
      <c r="AJ69" s="16">
        <f t="shared" si="72"/>
        <v>113318427</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+IF(ABRIL!A70=0,"",ABRIL!A70)</f>
        <v>1130115-1</v>
      </c>
      <c r="B70" s="654" t="str">
        <f>+CONCATENATE("Vigencia ",INSTRUCCIONES!$F$3)</f>
        <v>Vigencia 2015</v>
      </c>
      <c r="C70" s="375">
        <f>+ENERO!C70</f>
        <v>53468516</v>
      </c>
      <c r="D70" s="376">
        <f>ABRIL!D70+MAYO!P70</f>
        <v>0</v>
      </c>
      <c r="E70" s="376">
        <f>ABRIL!E70+MAYO!Q70</f>
        <v>0</v>
      </c>
      <c r="F70" s="376">
        <f>SUM(C70:E70)</f>
        <v>53468516</v>
      </c>
      <c r="G70" s="376">
        <f>ABRIL!I70</f>
        <v>16976556</v>
      </c>
      <c r="H70" s="377">
        <v>4775209</v>
      </c>
      <c r="I70" s="376">
        <f>SUM(G70:H70)</f>
        <v>21751765</v>
      </c>
      <c r="J70" s="376">
        <f>ABRIL!L70</f>
        <v>0</v>
      </c>
      <c r="K70" s="377">
        <v>356265</v>
      </c>
      <c r="L70" s="376">
        <f>SUM(J70:K70)</f>
        <v>356265</v>
      </c>
      <c r="M70" s="376">
        <f>F70-I70</f>
        <v>31716751</v>
      </c>
      <c r="N70" s="146">
        <f>F70-L70</f>
        <v>53112251</v>
      </c>
      <c r="O70" s="385"/>
      <c r="P70" s="375">
        <v>0</v>
      </c>
      <c r="Q70" s="378">
        <v>0</v>
      </c>
      <c r="R70" s="9"/>
      <c r="S70" s="720" t="str">
        <f>+IF(ABRIL!S70=0,"",ABRIL!S70)</f>
        <v>1020104-1</v>
      </c>
      <c r="T70" s="694" t="str">
        <f>+IF(ABRIL!T70=0,"",ABRIL!T70)</f>
        <v xml:space="preserve">Prima de Navidad </v>
      </c>
      <c r="U70" s="27">
        <f>+ENERO!U70</f>
        <v>57873955</v>
      </c>
      <c r="V70" s="15">
        <f>ABRIL!V70+MAYO!AL70</f>
        <v>0</v>
      </c>
      <c r="W70" s="15">
        <f>ABRIL!W70+MAYO!AM70</f>
        <v>0</v>
      </c>
      <c r="X70" s="18">
        <f t="shared" ref="X70:X81" si="73">SUM(U70:W70)</f>
        <v>57873955</v>
      </c>
      <c r="Y70" s="19">
        <f>ABRIL!AA70</f>
        <v>0</v>
      </c>
      <c r="Z70" s="377">
        <v>131226</v>
      </c>
      <c r="AA70" s="18">
        <f t="shared" ref="AA70:AA81" si="74">SUM(Y70:Z70)</f>
        <v>131226</v>
      </c>
      <c r="AB70" s="19">
        <f>ABRIL!AD70</f>
        <v>0</v>
      </c>
      <c r="AC70" s="377">
        <v>131226</v>
      </c>
      <c r="AD70" s="18">
        <f t="shared" ref="AD70:AD81" si="75">SUM(AB70:AC70)</f>
        <v>131226</v>
      </c>
      <c r="AE70" s="19">
        <f>ABRIL!AG70</f>
        <v>0</v>
      </c>
      <c r="AF70" s="377">
        <v>0</v>
      </c>
      <c r="AG70" s="18">
        <f t="shared" ref="AG70:AG81" si="76">SUM(AE70:AF70)</f>
        <v>0</v>
      </c>
      <c r="AH70" s="19">
        <f t="shared" ref="AH70:AH81" si="77">X70-AA70</f>
        <v>57742729</v>
      </c>
      <c r="AI70" s="15">
        <f t="shared" ref="AI70:AI81" si="78">X70-AD70</f>
        <v>57742729</v>
      </c>
      <c r="AJ70" s="16">
        <f t="shared" ref="AJ70:AJ81" si="79">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+IF(ABRIL!A71=0,"",ABRIL!A71)</f>
        <v>1130115-2</v>
      </c>
      <c r="B71" s="654" t="str">
        <f>+IF(ABRIL!B71=0,"",ABRIL!B71)</f>
        <v>Vigencia Anterior</v>
      </c>
      <c r="C71" s="375">
        <f>+ENERO!C71</f>
        <v>0</v>
      </c>
      <c r="D71" s="376">
        <f>ABRIL!D71+MAYO!P71</f>
        <v>0</v>
      </c>
      <c r="E71" s="376">
        <f>ABRIL!E71+MAYO!Q71</f>
        <v>27541841</v>
      </c>
      <c r="F71" s="376">
        <f>SUM(C71:E71)</f>
        <v>27541841</v>
      </c>
      <c r="G71" s="376">
        <f>ABRIL!I71</f>
        <v>19644902</v>
      </c>
      <c r="H71" s="377">
        <v>2694294</v>
      </c>
      <c r="I71" s="376">
        <f>SUM(G71:H71)</f>
        <v>22339196</v>
      </c>
      <c r="J71" s="376">
        <f>ABRIL!L71</f>
        <v>19644902</v>
      </c>
      <c r="K71" s="377">
        <v>2694294</v>
      </c>
      <c r="L71" s="376">
        <f>SUM(J71:K71)</f>
        <v>22339196</v>
      </c>
      <c r="M71" s="376">
        <f>F71-I71</f>
        <v>5202645</v>
      </c>
      <c r="N71" s="146">
        <f>F71-L71</f>
        <v>5202645</v>
      </c>
      <c r="O71" s="385"/>
      <c r="P71" s="375">
        <v>0</v>
      </c>
      <c r="Q71" s="378">
        <v>0</v>
      </c>
      <c r="R71" s="9"/>
      <c r="S71" s="720" t="str">
        <f>+IF(ABRIL!S71=0,"",ABRIL!S71)</f>
        <v>1020104-2</v>
      </c>
      <c r="T71" s="694" t="str">
        <f>+IF(ABRIL!T71=0,"",ABRIL!T71)</f>
        <v>Prima Vida Cara</v>
      </c>
      <c r="U71" s="27">
        <f>+ENERO!U71</f>
        <v>0</v>
      </c>
      <c r="V71" s="15">
        <f>ABRIL!V71+MAYO!AL71</f>
        <v>0</v>
      </c>
      <c r="W71" s="15">
        <f>ABRIL!W71+MAYO!AM71</f>
        <v>0</v>
      </c>
      <c r="X71" s="18">
        <f t="shared" si="73"/>
        <v>0</v>
      </c>
      <c r="Y71" s="19">
        <f>ABRIL!AA71</f>
        <v>0</v>
      </c>
      <c r="Z71" s="377">
        <v>0</v>
      </c>
      <c r="AA71" s="18">
        <f t="shared" si="74"/>
        <v>0</v>
      </c>
      <c r="AB71" s="19">
        <f>ABRIL!AD71</f>
        <v>0</v>
      </c>
      <c r="AC71" s="377">
        <v>0</v>
      </c>
      <c r="AD71" s="18">
        <f t="shared" si="75"/>
        <v>0</v>
      </c>
      <c r="AE71" s="19">
        <f>ABRIL!AG71</f>
        <v>0</v>
      </c>
      <c r="AF71" s="377">
        <v>0</v>
      </c>
      <c r="AG71" s="18">
        <f t="shared" si="76"/>
        <v>0</v>
      </c>
      <c r="AH71" s="19">
        <f t="shared" si="77"/>
        <v>0</v>
      </c>
      <c r="AI71" s="15">
        <f t="shared" si="78"/>
        <v>0</v>
      </c>
      <c r="AJ71" s="16">
        <f t="shared" si="79"/>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+IF(ABRIL!A72=0,"",ABRIL!A72)</f>
        <v>1130116</v>
      </c>
      <c r="B72" s="653" t="str">
        <f>+IF(ABRIL!B72=0,"",ABRIL!B72)</f>
        <v>ADMINISTRADORAS DE RIESGOS PROFESIONALES</v>
      </c>
      <c r="C72" s="43">
        <f t="shared" ref="C72:N72" si="80">SUM(C73:C74)</f>
        <v>47982534</v>
      </c>
      <c r="D72" s="44">
        <f t="shared" si="80"/>
        <v>0</v>
      </c>
      <c r="E72" s="44">
        <f t="shared" si="80"/>
        <v>7739704</v>
      </c>
      <c r="F72" s="44">
        <f t="shared" si="80"/>
        <v>55722238</v>
      </c>
      <c r="G72" s="44">
        <f t="shared" si="80"/>
        <v>22002422</v>
      </c>
      <c r="H72" s="44">
        <f t="shared" si="80"/>
        <v>2690009</v>
      </c>
      <c r="I72" s="44">
        <f t="shared" si="80"/>
        <v>24692431</v>
      </c>
      <c r="J72" s="44">
        <f t="shared" si="80"/>
        <v>14123916</v>
      </c>
      <c r="K72" s="44">
        <f t="shared" si="80"/>
        <v>4337805</v>
      </c>
      <c r="L72" s="44">
        <f t="shared" si="80"/>
        <v>18461721</v>
      </c>
      <c r="M72" s="44">
        <f t="shared" si="80"/>
        <v>31029807</v>
      </c>
      <c r="N72" s="45">
        <f t="shared" si="80"/>
        <v>37260517</v>
      </c>
      <c r="P72" s="43">
        <f>SUM(P73:P74)</f>
        <v>0</v>
      </c>
      <c r="Q72" s="45">
        <f>SUM(Q73:Q74)</f>
        <v>0</v>
      </c>
      <c r="R72" s="9"/>
      <c r="S72" s="720" t="str">
        <f>+IF(ABRIL!S72=0,"",ABRIL!S72)</f>
        <v>1020104-3</v>
      </c>
      <c r="T72" s="694" t="str">
        <f>+IF(ABRIL!T72=0,"",ABRIL!T72)</f>
        <v>Prima de Vacaciones</v>
      </c>
      <c r="U72" s="27">
        <f>+ENERO!U72</f>
        <v>26711056</v>
      </c>
      <c r="V72" s="15">
        <f>ABRIL!V72+MAYO!AL72</f>
        <v>0</v>
      </c>
      <c r="W72" s="15">
        <f>ABRIL!W72+MAYO!AM72</f>
        <v>0</v>
      </c>
      <c r="X72" s="18">
        <f t="shared" si="73"/>
        <v>26711056</v>
      </c>
      <c r="Y72" s="19">
        <f>ABRIL!AA72</f>
        <v>1876532</v>
      </c>
      <c r="Z72" s="377">
        <v>841592</v>
      </c>
      <c r="AA72" s="18">
        <f t="shared" si="74"/>
        <v>2718124</v>
      </c>
      <c r="AB72" s="19">
        <f>ABRIL!AD72</f>
        <v>1876532</v>
      </c>
      <c r="AC72" s="377">
        <v>841592</v>
      </c>
      <c r="AD72" s="18">
        <f t="shared" si="75"/>
        <v>2718124</v>
      </c>
      <c r="AE72" s="19">
        <f>ABRIL!AG72</f>
        <v>1876532</v>
      </c>
      <c r="AF72" s="377">
        <v>660062</v>
      </c>
      <c r="AG72" s="18">
        <f t="shared" si="76"/>
        <v>2536594</v>
      </c>
      <c r="AH72" s="19">
        <f t="shared" si="77"/>
        <v>23992932</v>
      </c>
      <c r="AI72" s="15">
        <f t="shared" si="78"/>
        <v>23992932</v>
      </c>
      <c r="AJ72" s="16">
        <f t="shared" si="79"/>
        <v>24174462</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+IF(ABRIL!A73=0,"",ABRIL!A73)</f>
        <v>1130116-1</v>
      </c>
      <c r="B73" s="654" t="str">
        <f>+CONCATENATE("Vigencia ",INSTRUCCIONES!$F$3)</f>
        <v>Vigencia 2015</v>
      </c>
      <c r="C73" s="375">
        <f>+ENERO!C73</f>
        <v>47982534</v>
      </c>
      <c r="D73" s="376">
        <f>ABRIL!D73+MAYO!P73</f>
        <v>0</v>
      </c>
      <c r="E73" s="376">
        <f>ABRIL!E73+MAYO!Q73</f>
        <v>0</v>
      </c>
      <c r="F73" s="376">
        <f>SUM(C73:E73)</f>
        <v>47982534</v>
      </c>
      <c r="G73" s="376">
        <f>ABRIL!I73</f>
        <v>14895073</v>
      </c>
      <c r="H73" s="377">
        <v>2525338</v>
      </c>
      <c r="I73" s="376">
        <f>SUM(G73:H73)</f>
        <v>17420411</v>
      </c>
      <c r="J73" s="376">
        <f>ABRIL!L73</f>
        <v>7016567</v>
      </c>
      <c r="K73" s="377">
        <v>4173134</v>
      </c>
      <c r="L73" s="376">
        <f>SUM(J73:K73)</f>
        <v>11189701</v>
      </c>
      <c r="M73" s="376">
        <f>F73-I73</f>
        <v>30562123</v>
      </c>
      <c r="N73" s="146">
        <f>F73-L73</f>
        <v>36792833</v>
      </c>
      <c r="O73" s="385"/>
      <c r="P73" s="375">
        <v>0</v>
      </c>
      <c r="Q73" s="378">
        <v>0</v>
      </c>
      <c r="R73" s="9"/>
      <c r="S73" s="720" t="str">
        <f>+IF(ABRIL!S73=0,"",ABRIL!S73)</f>
        <v>1020104-4</v>
      </c>
      <c r="T73" s="694" t="str">
        <f>+IF(ABRIL!T73=0,"",ABRIL!T73)</f>
        <v>Prima Clima</v>
      </c>
      <c r="U73" s="27">
        <f>+ENERO!U73</f>
        <v>0</v>
      </c>
      <c r="V73" s="15">
        <f>ABRIL!V73+MAYO!AL73</f>
        <v>0</v>
      </c>
      <c r="W73" s="15">
        <f>ABRIL!W73+MAYO!AM73</f>
        <v>0</v>
      </c>
      <c r="X73" s="18">
        <f t="shared" si="73"/>
        <v>0</v>
      </c>
      <c r="Y73" s="19">
        <f>ABRIL!AA73</f>
        <v>0</v>
      </c>
      <c r="Z73" s="377">
        <v>0</v>
      </c>
      <c r="AA73" s="18">
        <f t="shared" si="74"/>
        <v>0</v>
      </c>
      <c r="AB73" s="19">
        <f>ABRIL!AD73</f>
        <v>0</v>
      </c>
      <c r="AC73" s="377">
        <v>0</v>
      </c>
      <c r="AD73" s="18">
        <f t="shared" si="75"/>
        <v>0</v>
      </c>
      <c r="AE73" s="19">
        <f>ABRIL!AG73</f>
        <v>0</v>
      </c>
      <c r="AF73" s="377">
        <v>0</v>
      </c>
      <c r="AG73" s="18">
        <f t="shared" si="76"/>
        <v>0</v>
      </c>
      <c r="AH73" s="19">
        <f t="shared" si="77"/>
        <v>0</v>
      </c>
      <c r="AI73" s="15">
        <f t="shared" si="78"/>
        <v>0</v>
      </c>
      <c r="AJ73" s="16">
        <f t="shared" si="79"/>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+IF(ABRIL!A74=0,"",ABRIL!A74)</f>
        <v>1130116-2</v>
      </c>
      <c r="B74" s="654" t="str">
        <f>+IF(ABRIL!B74=0,"",ABRIL!B74)</f>
        <v>Vigencia Anterior</v>
      </c>
      <c r="C74" s="375">
        <f>+ENERO!C74</f>
        <v>0</v>
      </c>
      <c r="D74" s="376">
        <f>ABRIL!D74+MAYO!P74</f>
        <v>0</v>
      </c>
      <c r="E74" s="376">
        <f>ABRIL!E74+MAYO!Q74</f>
        <v>7739704</v>
      </c>
      <c r="F74" s="376">
        <f>SUM(C74:E74)</f>
        <v>7739704</v>
      </c>
      <c r="G74" s="376">
        <f>ABRIL!I74</f>
        <v>7107349</v>
      </c>
      <c r="H74" s="377">
        <v>164671</v>
      </c>
      <c r="I74" s="376">
        <f>SUM(G74:H74)</f>
        <v>7272020</v>
      </c>
      <c r="J74" s="376">
        <f>ABRIL!L74</f>
        <v>7107349</v>
      </c>
      <c r="K74" s="377">
        <v>164671</v>
      </c>
      <c r="L74" s="376">
        <f>SUM(J74:K74)</f>
        <v>7272020</v>
      </c>
      <c r="M74" s="376">
        <f>F74-I74</f>
        <v>467684</v>
      </c>
      <c r="N74" s="146">
        <f>F74-L74</f>
        <v>467684</v>
      </c>
      <c r="O74" s="385"/>
      <c r="P74" s="375">
        <v>0</v>
      </c>
      <c r="Q74" s="378">
        <v>0</v>
      </c>
      <c r="R74" s="9"/>
      <c r="S74" s="720" t="str">
        <f>+IF(ABRIL!S74=0,"",ABRIL!S74)</f>
        <v>1020104-5</v>
      </c>
      <c r="T74" s="694" t="str">
        <f>+IF(ABRIL!T74=0,"",ABRIL!T74)</f>
        <v>Prima de Servicios</v>
      </c>
      <c r="U74" s="27">
        <f>+ENERO!U74</f>
        <v>26711056</v>
      </c>
      <c r="V74" s="15">
        <f>ABRIL!V74+MAYO!AL74</f>
        <v>0</v>
      </c>
      <c r="W74" s="15">
        <f>ABRIL!W74+MAYO!AM74</f>
        <v>0</v>
      </c>
      <c r="X74" s="18">
        <f t="shared" si="73"/>
        <v>26711056</v>
      </c>
      <c r="Y74" s="19">
        <f>ABRIL!AA74</f>
        <v>0</v>
      </c>
      <c r="Z74" s="377">
        <v>0</v>
      </c>
      <c r="AA74" s="18">
        <f t="shared" si="74"/>
        <v>0</v>
      </c>
      <c r="AB74" s="19">
        <f>ABRIL!AD74</f>
        <v>0</v>
      </c>
      <c r="AC74" s="377">
        <v>0</v>
      </c>
      <c r="AD74" s="18">
        <f t="shared" si="75"/>
        <v>0</v>
      </c>
      <c r="AE74" s="19">
        <f>ABRIL!AG74</f>
        <v>0</v>
      </c>
      <c r="AF74" s="377">
        <v>0</v>
      </c>
      <c r="AG74" s="18">
        <f t="shared" si="76"/>
        <v>0</v>
      </c>
      <c r="AH74" s="19">
        <f t="shared" si="77"/>
        <v>26711056</v>
      </c>
      <c r="AI74" s="15">
        <f t="shared" si="78"/>
        <v>26711056</v>
      </c>
      <c r="AJ74" s="16">
        <f t="shared" si="79"/>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+IF(ABRIL!A75=0,"",ABRIL!A75)</f>
        <v>1130117</v>
      </c>
      <c r="B75" s="653" t="str">
        <f>+IF(ABRIL!B75=0,"",ABRIL!B75)</f>
        <v>CUOTAS DE RECUPERACION</v>
      </c>
      <c r="C75" s="43">
        <f t="shared" ref="C75:N75" si="81">SUM(C76:C77)</f>
        <v>0</v>
      </c>
      <c r="D75" s="44">
        <f t="shared" si="81"/>
        <v>0</v>
      </c>
      <c r="E75" s="44">
        <f t="shared" si="81"/>
        <v>0</v>
      </c>
      <c r="F75" s="44">
        <f t="shared" si="81"/>
        <v>0</v>
      </c>
      <c r="G75" s="44">
        <f t="shared" si="81"/>
        <v>0</v>
      </c>
      <c r="H75" s="44">
        <f t="shared" si="81"/>
        <v>0</v>
      </c>
      <c r="I75" s="44">
        <f t="shared" si="81"/>
        <v>0</v>
      </c>
      <c r="J75" s="44">
        <f t="shared" si="81"/>
        <v>0</v>
      </c>
      <c r="K75" s="44">
        <f t="shared" si="81"/>
        <v>0</v>
      </c>
      <c r="L75" s="44">
        <f t="shared" si="81"/>
        <v>0</v>
      </c>
      <c r="M75" s="44">
        <f t="shared" si="81"/>
        <v>0</v>
      </c>
      <c r="N75" s="45">
        <f t="shared" si="81"/>
        <v>0</v>
      </c>
      <c r="P75" s="43">
        <f>SUM(P76:P77)</f>
        <v>0</v>
      </c>
      <c r="Q75" s="45">
        <f>SUM(Q76:Q77)</f>
        <v>0</v>
      </c>
      <c r="R75" s="9"/>
      <c r="S75" s="720" t="str">
        <f>+IF(ABRIL!S75=0,"",ABRIL!S75)</f>
        <v>1020104-8</v>
      </c>
      <c r="T75" s="694" t="str">
        <f>+IF(ABRIL!T75=0,"",ABRIL!T75)</f>
        <v>Bonific. por Servicios Prestados (Convencional)</v>
      </c>
      <c r="U75" s="27">
        <f>+ENERO!U75</f>
        <v>0</v>
      </c>
      <c r="V75" s="15">
        <f>ABRIL!V75+MAYO!AL75</f>
        <v>0</v>
      </c>
      <c r="W75" s="15">
        <f>ABRIL!W75+MAYO!AM75</f>
        <v>0</v>
      </c>
      <c r="X75" s="18">
        <f t="shared" si="73"/>
        <v>0</v>
      </c>
      <c r="Y75" s="19">
        <f>ABRIL!AA75</f>
        <v>0</v>
      </c>
      <c r="Z75" s="377">
        <v>0</v>
      </c>
      <c r="AA75" s="18">
        <f t="shared" si="74"/>
        <v>0</v>
      </c>
      <c r="AB75" s="19">
        <f>ABRIL!AD75</f>
        <v>0</v>
      </c>
      <c r="AC75" s="377">
        <v>0</v>
      </c>
      <c r="AD75" s="18">
        <f t="shared" si="75"/>
        <v>0</v>
      </c>
      <c r="AE75" s="19">
        <f>ABRIL!AG75</f>
        <v>0</v>
      </c>
      <c r="AF75" s="377">
        <v>0</v>
      </c>
      <c r="AG75" s="18">
        <f t="shared" si="76"/>
        <v>0</v>
      </c>
      <c r="AH75" s="19">
        <f t="shared" si="77"/>
        <v>0</v>
      </c>
      <c r="AI75" s="15">
        <f t="shared" si="78"/>
        <v>0</v>
      </c>
      <c r="AJ75" s="16">
        <f t="shared" si="79"/>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+IF(ABRIL!A76=0,"",ABRIL!A76)</f>
        <v>1130117-1</v>
      </c>
      <c r="B76" s="654" t="str">
        <f>+CONCATENATE("Vigencia ",INSTRUCCIONES!$F$3)</f>
        <v>Vigencia 2015</v>
      </c>
      <c r="C76" s="375">
        <f>+ENERO!C76</f>
        <v>0</v>
      </c>
      <c r="D76" s="376">
        <f>ABRIL!D76+MAYO!P76</f>
        <v>0</v>
      </c>
      <c r="E76" s="376">
        <f>ABRIL!E76+MAYO!Q76</f>
        <v>0</v>
      </c>
      <c r="F76" s="376">
        <f t="shared" ref="F76:F83" si="82">SUM(C76:E76)</f>
        <v>0</v>
      </c>
      <c r="G76" s="376">
        <f>ABRIL!I76</f>
        <v>0</v>
      </c>
      <c r="H76" s="377">
        <v>0</v>
      </c>
      <c r="I76" s="376">
        <f t="shared" ref="I76:I83" si="83">SUM(G76:H76)</f>
        <v>0</v>
      </c>
      <c r="J76" s="376">
        <f>ABRIL!L76</f>
        <v>0</v>
      </c>
      <c r="K76" s="377">
        <v>0</v>
      </c>
      <c r="L76" s="376">
        <f t="shared" ref="L76:L83" si="84">SUM(J76:K76)</f>
        <v>0</v>
      </c>
      <c r="M76" s="376">
        <f t="shared" ref="M76:M83" si="85">F76-I76</f>
        <v>0</v>
      </c>
      <c r="N76" s="146">
        <f t="shared" ref="N76:N83" si="86">F76-L76</f>
        <v>0</v>
      </c>
      <c r="O76" s="385"/>
      <c r="P76" s="375">
        <v>0</v>
      </c>
      <c r="Q76" s="378">
        <v>0</v>
      </c>
      <c r="R76" s="9"/>
      <c r="S76" s="720" t="str">
        <f>+IF(ABRIL!S76=0,"",ABRIL!S76)</f>
        <v>1020104-9</v>
      </c>
      <c r="T76" s="694" t="str">
        <f>+IF(ABRIL!T76=0,"",ABRIL!T76)</f>
        <v>Auxilio de Transporte</v>
      </c>
      <c r="U76" s="27">
        <f>+ENERO!U76</f>
        <v>1471200</v>
      </c>
      <c r="V76" s="15">
        <f>ABRIL!V76+MAYO!AL76</f>
        <v>0</v>
      </c>
      <c r="W76" s="15">
        <f>ABRIL!W76+MAYO!AM76</f>
        <v>0</v>
      </c>
      <c r="X76" s="18">
        <f t="shared" si="73"/>
        <v>1471200</v>
      </c>
      <c r="Y76" s="19">
        <f>ABRIL!AA76</f>
        <v>146000</v>
      </c>
      <c r="Z76" s="377">
        <v>0</v>
      </c>
      <c r="AA76" s="18">
        <f t="shared" si="74"/>
        <v>146000</v>
      </c>
      <c r="AB76" s="19">
        <f>ABRIL!AD76</f>
        <v>146000</v>
      </c>
      <c r="AC76" s="377">
        <v>0</v>
      </c>
      <c r="AD76" s="18">
        <f t="shared" si="75"/>
        <v>146000</v>
      </c>
      <c r="AE76" s="19">
        <f>ABRIL!AG76</f>
        <v>132749</v>
      </c>
      <c r="AF76" s="377">
        <v>2759</v>
      </c>
      <c r="AG76" s="18">
        <f t="shared" si="76"/>
        <v>135508</v>
      </c>
      <c r="AH76" s="19">
        <f t="shared" si="77"/>
        <v>1325200</v>
      </c>
      <c r="AI76" s="15">
        <f t="shared" si="78"/>
        <v>1325200</v>
      </c>
      <c r="AJ76" s="16">
        <f t="shared" si="79"/>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+IF(ABRIL!A77=0,"",ABRIL!A77)</f>
        <v>1130117-2</v>
      </c>
      <c r="B77" s="654" t="str">
        <f>+IF(ABRIL!B77=0,"",ABRIL!B77)</f>
        <v>Vigencia Anterior</v>
      </c>
      <c r="C77" s="375">
        <f>+ENERO!C77</f>
        <v>0</v>
      </c>
      <c r="D77" s="376">
        <f>ABRIL!D77+MAYO!P77</f>
        <v>0</v>
      </c>
      <c r="E77" s="376">
        <f>ABRIL!E77+MAYO!Q77</f>
        <v>0</v>
      </c>
      <c r="F77" s="376">
        <f t="shared" si="82"/>
        <v>0</v>
      </c>
      <c r="G77" s="376">
        <f>ABRIL!I77</f>
        <v>0</v>
      </c>
      <c r="H77" s="377">
        <v>0</v>
      </c>
      <c r="I77" s="376">
        <f t="shared" si="83"/>
        <v>0</v>
      </c>
      <c r="J77" s="376">
        <f>ABRIL!L77</f>
        <v>0</v>
      </c>
      <c r="K77" s="377">
        <v>0</v>
      </c>
      <c r="L77" s="376">
        <f t="shared" si="84"/>
        <v>0</v>
      </c>
      <c r="M77" s="376">
        <f t="shared" si="85"/>
        <v>0</v>
      </c>
      <c r="N77" s="146">
        <f t="shared" si="86"/>
        <v>0</v>
      </c>
      <c r="O77" s="385"/>
      <c r="P77" s="375">
        <v>0</v>
      </c>
      <c r="Q77" s="378">
        <v>0</v>
      </c>
      <c r="R77" s="9"/>
      <c r="S77" s="720" t="str">
        <f>+IF(ABRIL!S77=0,"",ABRIL!S77)</f>
        <v>1020104-10</v>
      </c>
      <c r="T77" s="694" t="str">
        <f>+IF(ABRIL!T77=0,"",ABRIL!T77)</f>
        <v>Subsidio de Alimentación</v>
      </c>
      <c r="U77" s="27">
        <f>+ENERO!U77</f>
        <v>0</v>
      </c>
      <c r="V77" s="15">
        <f>ABRIL!V77+MAYO!AL77</f>
        <v>0</v>
      </c>
      <c r="W77" s="15">
        <f>ABRIL!W77+MAYO!AM77</f>
        <v>0</v>
      </c>
      <c r="X77" s="18">
        <f t="shared" si="73"/>
        <v>0</v>
      </c>
      <c r="Y77" s="19">
        <f>ABRIL!AA77</f>
        <v>0</v>
      </c>
      <c r="Z77" s="377">
        <v>0</v>
      </c>
      <c r="AA77" s="18">
        <f t="shared" si="74"/>
        <v>0</v>
      </c>
      <c r="AB77" s="19">
        <f>ABRIL!AD77</f>
        <v>0</v>
      </c>
      <c r="AC77" s="377">
        <v>0</v>
      </c>
      <c r="AD77" s="18">
        <f t="shared" si="75"/>
        <v>0</v>
      </c>
      <c r="AE77" s="19">
        <f>ABRIL!AG77</f>
        <v>0</v>
      </c>
      <c r="AF77" s="377">
        <v>0</v>
      </c>
      <c r="AG77" s="18">
        <f t="shared" si="76"/>
        <v>0</v>
      </c>
      <c r="AH77" s="19">
        <f t="shared" si="77"/>
        <v>0</v>
      </c>
      <c r="AI77" s="15">
        <f t="shared" si="78"/>
        <v>0</v>
      </c>
      <c r="AJ77" s="16">
        <f t="shared" si="79"/>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+IF(ABRIL!A78=0,"",ABRIL!A78)</f>
        <v>1130118</v>
      </c>
      <c r="B78" s="653" t="str">
        <f>+IF(ABRIL!B78=0,"",ABRIL!B78)</f>
        <v>PARTICULARES   (Venta de Contado)</v>
      </c>
      <c r="C78" s="43">
        <f>SUM(C79:C80)</f>
        <v>151788162</v>
      </c>
      <c r="D78" s="44">
        <f>SUM(D79:D80)</f>
        <v>0</v>
      </c>
      <c r="E78" s="44">
        <f>SUM(E79:E80)</f>
        <v>0</v>
      </c>
      <c r="F78" s="44">
        <f t="shared" si="82"/>
        <v>151788162</v>
      </c>
      <c r="G78" s="44">
        <f>SUM(G79:G80)</f>
        <v>44150801</v>
      </c>
      <c r="H78" s="44">
        <f>SUM(H79:H80)</f>
        <v>11174625</v>
      </c>
      <c r="I78" s="44">
        <f t="shared" si="83"/>
        <v>55325426</v>
      </c>
      <c r="J78" s="44">
        <f>SUM(J79:J80)</f>
        <v>44150801</v>
      </c>
      <c r="K78" s="44">
        <f>SUM(K79:K80)</f>
        <v>11174625</v>
      </c>
      <c r="L78" s="44">
        <f t="shared" si="84"/>
        <v>55325426</v>
      </c>
      <c r="M78" s="44">
        <f t="shared" si="85"/>
        <v>96462736</v>
      </c>
      <c r="N78" s="45">
        <f t="shared" si="86"/>
        <v>96462736</v>
      </c>
      <c r="O78" s="385"/>
      <c r="P78" s="43">
        <f>SUM(P79:P80)</f>
        <v>0</v>
      </c>
      <c r="Q78" s="45">
        <f>SUM(Q79:Q80)</f>
        <v>0</v>
      </c>
      <c r="R78" s="9"/>
      <c r="S78" s="720" t="str">
        <f>+IF(ABRIL!S78=0,"",ABRIL!S78)</f>
        <v>1020104-12</v>
      </c>
      <c r="T78" s="694" t="str">
        <f>+IF(ABRIL!T78=0,"",ABRIL!T78)</f>
        <v>Indemnizaciones por Vacaciones o Supresión de Cargos por Reestructuración</v>
      </c>
      <c r="U78" s="27">
        <f>+ENERO!U78</f>
        <v>0</v>
      </c>
      <c r="V78" s="15">
        <f>ABRIL!V78+MAYO!AL78</f>
        <v>0</v>
      </c>
      <c r="W78" s="15">
        <f>ABRIL!W78+MAYO!AM78</f>
        <v>0</v>
      </c>
      <c r="X78" s="18">
        <f t="shared" si="73"/>
        <v>0</v>
      </c>
      <c r="Y78" s="19">
        <f>ABRIL!AA78</f>
        <v>0</v>
      </c>
      <c r="Z78" s="377">
        <v>0</v>
      </c>
      <c r="AA78" s="18">
        <f t="shared" si="74"/>
        <v>0</v>
      </c>
      <c r="AB78" s="19">
        <f>ABRIL!AD78</f>
        <v>0</v>
      </c>
      <c r="AC78" s="377">
        <v>0</v>
      </c>
      <c r="AD78" s="18">
        <f t="shared" si="75"/>
        <v>0</v>
      </c>
      <c r="AE78" s="19">
        <f>ABRIL!AG78</f>
        <v>0</v>
      </c>
      <c r="AF78" s="377">
        <v>0</v>
      </c>
      <c r="AG78" s="18">
        <f t="shared" si="76"/>
        <v>0</v>
      </c>
      <c r="AH78" s="19">
        <f t="shared" si="77"/>
        <v>0</v>
      </c>
      <c r="AI78" s="15">
        <f t="shared" si="78"/>
        <v>0</v>
      </c>
      <c r="AJ78" s="16">
        <f t="shared" si="79"/>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+IF(ABRIL!A79=0,"",ABRIL!A79)</f>
        <v>1130118-1</v>
      </c>
      <c r="B79" s="654" t="str">
        <f>+CONCATENATE("Vigencia ",INSTRUCCIONES!$F$3)</f>
        <v>Vigencia 2015</v>
      </c>
      <c r="C79" s="375">
        <f>+ENERO!C79</f>
        <v>151788162</v>
      </c>
      <c r="D79" s="376">
        <f>ABRIL!D79+MAYO!P79</f>
        <v>0</v>
      </c>
      <c r="E79" s="376">
        <f>ABRIL!E79+MAYO!Q79</f>
        <v>0</v>
      </c>
      <c r="F79" s="376">
        <f t="shared" si="82"/>
        <v>151788162</v>
      </c>
      <c r="G79" s="376">
        <f>ABRIL!I79</f>
        <v>44150801</v>
      </c>
      <c r="H79" s="377">
        <v>11174625</v>
      </c>
      <c r="I79" s="376">
        <f t="shared" si="83"/>
        <v>55325426</v>
      </c>
      <c r="J79" s="376">
        <f>ABRIL!L79</f>
        <v>44150801</v>
      </c>
      <c r="K79" s="377">
        <v>11174625</v>
      </c>
      <c r="L79" s="376">
        <f t="shared" si="84"/>
        <v>55325426</v>
      </c>
      <c r="M79" s="376">
        <f t="shared" si="85"/>
        <v>96462736</v>
      </c>
      <c r="N79" s="146">
        <f t="shared" si="86"/>
        <v>96462736</v>
      </c>
      <c r="P79" s="375">
        <v>0</v>
      </c>
      <c r="Q79" s="378">
        <v>0</v>
      </c>
      <c r="R79" s="9"/>
      <c r="S79" s="720" t="str">
        <f>+IF(ABRIL!S79=0,"",ABRIL!S79)</f>
        <v>1020104-13</v>
      </c>
      <c r="T79" s="694" t="str">
        <f>+IF(ABRIL!T79=0,"",ABRIL!T79)</f>
        <v>Bonificación Especial por Recreación</v>
      </c>
      <c r="U79" s="27">
        <f>+ENERO!U79</f>
        <v>3561474</v>
      </c>
      <c r="V79" s="15">
        <f>ABRIL!V79+MAYO!AL79</f>
        <v>0</v>
      </c>
      <c r="W79" s="15">
        <f>ABRIL!W79+MAYO!AM79</f>
        <v>0</v>
      </c>
      <c r="X79" s="18">
        <f t="shared" si="73"/>
        <v>3561474</v>
      </c>
      <c r="Y79" s="19">
        <f>ABRIL!AA79</f>
        <v>250204</v>
      </c>
      <c r="Z79" s="377">
        <v>140499</v>
      </c>
      <c r="AA79" s="18">
        <f t="shared" si="74"/>
        <v>390703</v>
      </c>
      <c r="AB79" s="19">
        <f>ABRIL!AD79</f>
        <v>250204</v>
      </c>
      <c r="AC79" s="377">
        <v>140499</v>
      </c>
      <c r="AD79" s="18">
        <f t="shared" si="75"/>
        <v>390703</v>
      </c>
      <c r="AE79" s="19">
        <f>ABRIL!AG79</f>
        <v>250204</v>
      </c>
      <c r="AF79" s="377">
        <v>88008</v>
      </c>
      <c r="AG79" s="18">
        <f t="shared" si="76"/>
        <v>338212</v>
      </c>
      <c r="AH79" s="19">
        <f t="shared" si="77"/>
        <v>3170771</v>
      </c>
      <c r="AI79" s="15">
        <f t="shared" si="78"/>
        <v>3170771</v>
      </c>
      <c r="AJ79" s="16">
        <f t="shared" si="79"/>
        <v>3223262</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+IF(ABRIL!A80=0,"",ABRIL!A80)</f>
        <v>1130118-2</v>
      </c>
      <c r="B80" s="654" t="str">
        <f>+IF(ABRIL!B80=0,"",ABRIL!B80)</f>
        <v>Vigencia Anterior</v>
      </c>
      <c r="C80" s="375">
        <f>+ENERO!C80</f>
        <v>0</v>
      </c>
      <c r="D80" s="376">
        <f>ABRIL!D80+MAYO!P80</f>
        <v>0</v>
      </c>
      <c r="E80" s="376">
        <f>ABRIL!E80+MAYO!Q80</f>
        <v>0</v>
      </c>
      <c r="F80" s="376">
        <f t="shared" si="82"/>
        <v>0</v>
      </c>
      <c r="G80" s="376">
        <f>ABRIL!I80</f>
        <v>0</v>
      </c>
      <c r="H80" s="377">
        <v>0</v>
      </c>
      <c r="I80" s="376">
        <f t="shared" si="83"/>
        <v>0</v>
      </c>
      <c r="J80" s="376">
        <f>ABRIL!L80</f>
        <v>0</v>
      </c>
      <c r="K80" s="377">
        <v>0</v>
      </c>
      <c r="L80" s="376">
        <f t="shared" si="84"/>
        <v>0</v>
      </c>
      <c r="M80" s="376">
        <f t="shared" si="85"/>
        <v>0</v>
      </c>
      <c r="N80" s="146">
        <f t="shared" si="86"/>
        <v>0</v>
      </c>
      <c r="O80" s="385"/>
      <c r="P80" s="375">
        <v>0</v>
      </c>
      <c r="Q80" s="378">
        <v>0</v>
      </c>
      <c r="S80" s="720" t="str">
        <f>+IF(ABRIL!S80=0,"",ABRIL!S80)</f>
        <v>1020104-14</v>
      </c>
      <c r="T80" s="694" t="str">
        <f>+IF(ABRIL!T80=0,"",ABRIL!T80)</f>
        <v/>
      </c>
      <c r="U80" s="27">
        <f>+ENERO!U80</f>
        <v>0</v>
      </c>
      <c r="V80" s="15">
        <f>ABRIL!V80+MAYO!AL80</f>
        <v>0</v>
      </c>
      <c r="W80" s="15">
        <f>ABRIL!W80+MAYO!AM80</f>
        <v>0</v>
      </c>
      <c r="X80" s="18">
        <f t="shared" si="73"/>
        <v>0</v>
      </c>
      <c r="Y80" s="19">
        <f>ABRIL!AA80</f>
        <v>0</v>
      </c>
      <c r="Z80" s="377">
        <v>0</v>
      </c>
      <c r="AA80" s="18">
        <f t="shared" si="74"/>
        <v>0</v>
      </c>
      <c r="AB80" s="19">
        <f>ABRIL!AD80</f>
        <v>0</v>
      </c>
      <c r="AC80" s="377">
        <v>0</v>
      </c>
      <c r="AD80" s="18">
        <f t="shared" si="75"/>
        <v>0</v>
      </c>
      <c r="AE80" s="19">
        <f>ABRIL!AG80</f>
        <v>0</v>
      </c>
      <c r="AF80" s="377">
        <v>0</v>
      </c>
      <c r="AG80" s="18">
        <f t="shared" si="76"/>
        <v>0</v>
      </c>
      <c r="AH80" s="19">
        <f t="shared" si="77"/>
        <v>0</v>
      </c>
      <c r="AI80" s="15">
        <f t="shared" si="78"/>
        <v>0</v>
      </c>
      <c r="AJ80" s="16">
        <f t="shared" si="79"/>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+IF(ABRIL!A81=0,"",ABRIL!A81)</f>
        <v>1130119</v>
      </c>
      <c r="B81" s="657" t="str">
        <f>+IF(ABRIL!B81=0,"",ABRIL!B81)</f>
        <v>Digitar nombre de Nuevo Rubro. Si lo Requiere</v>
      </c>
      <c r="C81" s="43">
        <f>ENERO!C81</f>
        <v>0</v>
      </c>
      <c r="D81" s="44">
        <f t="shared" ref="D81:Q81" si="87">SUM(D82:D83)</f>
        <v>0</v>
      </c>
      <c r="E81" s="44">
        <f t="shared" si="87"/>
        <v>0</v>
      </c>
      <c r="F81" s="44">
        <f t="shared" si="87"/>
        <v>0</v>
      </c>
      <c r="G81" s="44">
        <f t="shared" si="87"/>
        <v>0</v>
      </c>
      <c r="H81" s="44">
        <f t="shared" si="87"/>
        <v>0</v>
      </c>
      <c r="I81" s="44">
        <f t="shared" si="87"/>
        <v>0</v>
      </c>
      <c r="J81" s="44">
        <f t="shared" si="87"/>
        <v>0</v>
      </c>
      <c r="K81" s="44">
        <f t="shared" si="87"/>
        <v>0</v>
      </c>
      <c r="L81" s="44">
        <f t="shared" si="87"/>
        <v>0</v>
      </c>
      <c r="M81" s="44">
        <f t="shared" si="87"/>
        <v>0</v>
      </c>
      <c r="N81" s="45">
        <f t="shared" si="87"/>
        <v>0</v>
      </c>
      <c r="P81" s="43">
        <f t="shared" si="87"/>
        <v>0</v>
      </c>
      <c r="Q81" s="45">
        <f t="shared" si="87"/>
        <v>0</v>
      </c>
      <c r="R81" s="9"/>
      <c r="S81" s="719">
        <f>+IF(ABRIL!S81=0,"",ABRIL!S81)</f>
        <v>1020199</v>
      </c>
      <c r="T81" s="693" t="str">
        <f>+IF(ABRIL!T81=0,"",ABRIL!T81)</f>
        <v>Vigencias Anteriores</v>
      </c>
      <c r="U81" s="27">
        <f>+ENERO!U81</f>
        <v>0</v>
      </c>
      <c r="V81" s="15">
        <f>ABRIL!V81+MAYO!AL81</f>
        <v>0</v>
      </c>
      <c r="W81" s="15">
        <f>ABRIL!W81+MAYO!AM81</f>
        <v>13655677</v>
      </c>
      <c r="X81" s="18">
        <f t="shared" si="73"/>
        <v>13655677</v>
      </c>
      <c r="Y81" s="19">
        <f>ABRIL!AA81</f>
        <v>13655677</v>
      </c>
      <c r="Z81" s="377">
        <v>0</v>
      </c>
      <c r="AA81" s="18">
        <f t="shared" si="74"/>
        <v>13655677</v>
      </c>
      <c r="AB81" s="19">
        <f>ABRIL!AD81</f>
        <v>13655677</v>
      </c>
      <c r="AC81" s="377">
        <v>0</v>
      </c>
      <c r="AD81" s="18">
        <f t="shared" si="75"/>
        <v>13655677</v>
      </c>
      <c r="AE81" s="19">
        <f>ABRIL!AG81</f>
        <v>7130498</v>
      </c>
      <c r="AF81" s="377">
        <v>0</v>
      </c>
      <c r="AG81" s="18">
        <f t="shared" si="76"/>
        <v>7130498</v>
      </c>
      <c r="AH81" s="19">
        <f t="shared" si="77"/>
        <v>0</v>
      </c>
      <c r="AI81" s="15">
        <f t="shared" si="78"/>
        <v>0</v>
      </c>
      <c r="AJ81" s="16">
        <f t="shared" si="79"/>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+IF(ABRIL!A82=0,"",ABRIL!A82)</f>
        <v>1130119-1</v>
      </c>
      <c r="B82" s="654" t="str">
        <f>+CONCATENATE("Vigencia ",INSTRUCCIONES!$F$3)</f>
        <v>Vigencia 2015</v>
      </c>
      <c r="C82" s="375">
        <f>+ENERO!C82</f>
        <v>0</v>
      </c>
      <c r="D82" s="376">
        <f>ABRIL!D82+MAYO!P82</f>
        <v>0</v>
      </c>
      <c r="E82" s="376">
        <f>ABRIL!E82+MAYO!Q82</f>
        <v>0</v>
      </c>
      <c r="F82" s="376">
        <f t="shared" si="82"/>
        <v>0</v>
      </c>
      <c r="G82" s="376">
        <f>ABRIL!I82</f>
        <v>0</v>
      </c>
      <c r="H82" s="377">
        <v>0</v>
      </c>
      <c r="I82" s="376">
        <f t="shared" si="83"/>
        <v>0</v>
      </c>
      <c r="J82" s="376">
        <f>ABRIL!L82</f>
        <v>0</v>
      </c>
      <c r="K82" s="377">
        <v>0</v>
      </c>
      <c r="L82" s="376">
        <f t="shared" si="84"/>
        <v>0</v>
      </c>
      <c r="M82" s="376">
        <f t="shared" si="85"/>
        <v>0</v>
      </c>
      <c r="N82" s="146">
        <f t="shared" si="86"/>
        <v>0</v>
      </c>
      <c r="P82" s="375">
        <v>0</v>
      </c>
      <c r="Q82" s="378">
        <v>0</v>
      </c>
      <c r="R82" s="9"/>
      <c r="S82" s="369" t="str">
        <f>+IF(ABRIL!S82=0,"",ABRIL!S82)</f>
        <v/>
      </c>
      <c r="T82" s="708" t="str">
        <f>+IF(ABRIL!T82=0,"",ABRIL!T82)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+IF(ABRIL!A83=0,"",ABRIL!A83)</f>
        <v>1130119-2</v>
      </c>
      <c r="B83" s="658" t="str">
        <f>+IF(ABRIL!B83=0,"",ABRIL!B83)</f>
        <v>Vigencia Anterior</v>
      </c>
      <c r="C83" s="387">
        <f>+ENERO!C83</f>
        <v>0</v>
      </c>
      <c r="D83" s="388">
        <f>ABRIL!D83+MAYO!P83</f>
        <v>0</v>
      </c>
      <c r="E83" s="388">
        <f>ABRIL!E83+MAYO!Q83</f>
        <v>0</v>
      </c>
      <c r="F83" s="388">
        <f t="shared" si="82"/>
        <v>0</v>
      </c>
      <c r="G83" s="388">
        <f>ABRIL!I83</f>
        <v>0</v>
      </c>
      <c r="H83" s="391">
        <v>0</v>
      </c>
      <c r="I83" s="388">
        <f t="shared" si="83"/>
        <v>0</v>
      </c>
      <c r="J83" s="388">
        <f>ABRIL!L83</f>
        <v>0</v>
      </c>
      <c r="K83" s="391">
        <v>0</v>
      </c>
      <c r="L83" s="388">
        <f t="shared" si="84"/>
        <v>0</v>
      </c>
      <c r="M83" s="388">
        <f t="shared" si="85"/>
        <v>0</v>
      </c>
      <c r="N83" s="389">
        <f t="shared" si="86"/>
        <v>0</v>
      </c>
      <c r="P83" s="375">
        <v>0</v>
      </c>
      <c r="Q83" s="378">
        <v>0</v>
      </c>
      <c r="R83" s="9"/>
      <c r="S83" s="718">
        <f>+IF(ABRIL!S83=0,"",ABRIL!S83)</f>
        <v>1020200</v>
      </c>
      <c r="T83" s="692" t="str">
        <f>+IF(ABRIL!T83=0,"",ABRIL!T83)</f>
        <v>Servicios Personales Indirectos</v>
      </c>
      <c r="U83" s="135">
        <f t="shared" ref="U83:AJ83" si="88">SUM(U84:U88)</f>
        <v>151257124</v>
      </c>
      <c r="V83" s="124">
        <f t="shared" si="88"/>
        <v>0</v>
      </c>
      <c r="W83" s="124">
        <f t="shared" si="88"/>
        <v>6884000</v>
      </c>
      <c r="X83" s="132">
        <f t="shared" si="88"/>
        <v>158141124</v>
      </c>
      <c r="Y83" s="131">
        <f t="shared" si="88"/>
        <v>87458667</v>
      </c>
      <c r="Z83" s="124">
        <f t="shared" si="88"/>
        <v>600000</v>
      </c>
      <c r="AA83" s="132">
        <f t="shared" si="88"/>
        <v>88058667</v>
      </c>
      <c r="AB83" s="131">
        <f t="shared" si="88"/>
        <v>50554000</v>
      </c>
      <c r="AC83" s="124">
        <f t="shared" si="88"/>
        <v>12638000</v>
      </c>
      <c r="AD83" s="132">
        <f t="shared" si="88"/>
        <v>63192000</v>
      </c>
      <c r="AE83" s="131">
        <f t="shared" si="88"/>
        <v>39846000</v>
      </c>
      <c r="AF83" s="124">
        <f t="shared" si="88"/>
        <v>16962000</v>
      </c>
      <c r="AG83" s="132">
        <f t="shared" si="88"/>
        <v>56808000</v>
      </c>
      <c r="AH83" s="131">
        <f t="shared" si="88"/>
        <v>70082457</v>
      </c>
      <c r="AI83" s="124">
        <f t="shared" si="88"/>
        <v>94949124</v>
      </c>
      <c r="AJ83" s="133">
        <f t="shared" si="88"/>
        <v>101333124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+IF(ABRIL!A84=0,"",ABRIL!A84)</f>
        <v/>
      </c>
      <c r="B84" s="659" t="str">
        <f>+IF(ABRIL!B84=0,"",ABRIL!B84)</f>
        <v/>
      </c>
      <c r="C84" s="297"/>
      <c r="D84" s="297"/>
      <c r="E84" s="297"/>
      <c r="F84" s="297"/>
      <c r="G84" s="297"/>
      <c r="H84" s="297"/>
      <c r="I84" s="297"/>
      <c r="J84" s="297"/>
      <c r="K84" s="297"/>
      <c r="L84" s="297"/>
      <c r="M84" s="297"/>
      <c r="N84" s="466"/>
      <c r="O84" s="464"/>
      <c r="P84" s="470"/>
      <c r="Q84" s="394"/>
      <c r="R84" s="9"/>
      <c r="S84" s="719" t="str">
        <f>+IF(ABRIL!S84=0,"",ABRIL!S84)</f>
        <v>1020200-1</v>
      </c>
      <c r="T84" s="693" t="str">
        <f>+IF(ABRIL!T84=0,"",ABRIL!T84)</f>
        <v>Remuneración y Honorarios por Servicios Técnicos y Profesionales</v>
      </c>
      <c r="U84" s="27">
        <f>+ENERO!U84</f>
        <v>151257124</v>
      </c>
      <c r="V84" s="15">
        <f>ABRIL!V84+MAYO!AL84</f>
        <v>0</v>
      </c>
      <c r="W84" s="15">
        <f>ABRIL!W84+MAYO!AM84</f>
        <v>0</v>
      </c>
      <c r="X84" s="18">
        <f>SUM(U84:W84)</f>
        <v>151257124</v>
      </c>
      <c r="Y84" s="19">
        <f>ABRIL!AA84</f>
        <v>80574667</v>
      </c>
      <c r="Z84" s="377">
        <v>600000</v>
      </c>
      <c r="AA84" s="18">
        <f>SUM(Y84:Z84)</f>
        <v>81174667</v>
      </c>
      <c r="AB84" s="19">
        <f>ABRIL!AD84</f>
        <v>43670000</v>
      </c>
      <c r="AC84" s="377">
        <v>12638000</v>
      </c>
      <c r="AD84" s="18">
        <f>SUM(AB84:AC84)</f>
        <v>56308000</v>
      </c>
      <c r="AE84" s="19">
        <f>ABRIL!AG84</f>
        <v>32962000</v>
      </c>
      <c r="AF84" s="377">
        <v>16962000</v>
      </c>
      <c r="AG84" s="18">
        <f>SUM(AE84:AF84)</f>
        <v>49924000</v>
      </c>
      <c r="AH84" s="19">
        <f>X84-AA84</f>
        <v>70082457</v>
      </c>
      <c r="AI84" s="15">
        <f>X84-AD84</f>
        <v>94949124</v>
      </c>
      <c r="AJ84" s="16">
        <f>X84-AG84</f>
        <v>101333124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+IF(ABRIL!A85=0,"",ABRIL!A85)</f>
        <v>11302</v>
      </c>
      <c r="B85" s="660" t="str">
        <f>+IF(ABRIL!B85=0,"",ABRIL!B85)</f>
        <v>Otras Ventas de Servicios de Salud</v>
      </c>
      <c r="C85" s="625">
        <f t="shared" ref="C85:N85" si="89">SUM(C86:C92)</f>
        <v>74000000</v>
      </c>
      <c r="D85" s="623">
        <f t="shared" si="89"/>
        <v>0</v>
      </c>
      <c r="E85" s="623">
        <f t="shared" si="89"/>
        <v>0</v>
      </c>
      <c r="F85" s="623">
        <f t="shared" si="89"/>
        <v>74000000</v>
      </c>
      <c r="G85" s="623">
        <f t="shared" si="89"/>
        <v>19138686</v>
      </c>
      <c r="H85" s="623">
        <f t="shared" si="89"/>
        <v>3760000</v>
      </c>
      <c r="I85" s="623">
        <f t="shared" si="89"/>
        <v>22898686</v>
      </c>
      <c r="J85" s="623">
        <f t="shared" si="89"/>
        <v>0</v>
      </c>
      <c r="K85" s="623">
        <f t="shared" si="89"/>
        <v>9729343</v>
      </c>
      <c r="L85" s="623">
        <f t="shared" si="89"/>
        <v>9729343</v>
      </c>
      <c r="M85" s="623">
        <f t="shared" si="89"/>
        <v>51101314</v>
      </c>
      <c r="N85" s="624">
        <f t="shared" si="89"/>
        <v>64270657</v>
      </c>
      <c r="P85" s="43">
        <f>SUM(P86:P92)</f>
        <v>0</v>
      </c>
      <c r="Q85" s="45">
        <f>SUM(Q86:Q92)</f>
        <v>0</v>
      </c>
      <c r="R85" s="9"/>
      <c r="S85" s="719" t="str">
        <f>+IF(ABRIL!S85=0,"",ABRIL!S85)</f>
        <v>1020200-2</v>
      </c>
      <c r="T85" s="693" t="str">
        <f>+IF(ABRIL!T85=0,"",ABRIL!T85)</f>
        <v>Personal Supernumerario</v>
      </c>
      <c r="U85" s="27">
        <f>+ENERO!U85</f>
        <v>0</v>
      </c>
      <c r="V85" s="15">
        <f>ABRIL!V85+MAYO!AL85</f>
        <v>0</v>
      </c>
      <c r="W85" s="15">
        <f>ABRIL!W85+MAYO!AM85</f>
        <v>0</v>
      </c>
      <c r="X85" s="18">
        <f>SUM(U85:W85)</f>
        <v>0</v>
      </c>
      <c r="Y85" s="19">
        <f>ABRIL!AA85</f>
        <v>0</v>
      </c>
      <c r="Z85" s="377">
        <v>0</v>
      </c>
      <c r="AA85" s="18">
        <f>SUM(Y85:Z85)</f>
        <v>0</v>
      </c>
      <c r="AB85" s="19">
        <f>ABRIL!AD85</f>
        <v>0</v>
      </c>
      <c r="AC85" s="377">
        <v>0</v>
      </c>
      <c r="AD85" s="18">
        <f>SUM(AB85:AC85)</f>
        <v>0</v>
      </c>
      <c r="AE85" s="19">
        <f>ABRIL!AG85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+IF(ABRIL!A86=0,"",ABRIL!A86)</f>
        <v>1130201</v>
      </c>
      <c r="B86" s="673" t="str">
        <f>+IF(ABRIL!B86=0,"",ABRIL!B86)</f>
        <v/>
      </c>
      <c r="C86" s="401">
        <f>+ENERO!C86</f>
        <v>0</v>
      </c>
      <c r="D86" s="376">
        <f>ABRIL!D86+MAYO!P86</f>
        <v>0</v>
      </c>
      <c r="E86" s="376">
        <f>ABRIL!E86+MAYO!Q86</f>
        <v>0</v>
      </c>
      <c r="F86" s="376">
        <f t="shared" ref="F86:F92" si="90">SUM(C86:E86)</f>
        <v>0</v>
      </c>
      <c r="G86" s="376">
        <f>ABRIL!I86</f>
        <v>0</v>
      </c>
      <c r="H86" s="377">
        <v>0</v>
      </c>
      <c r="I86" s="376">
        <f t="shared" ref="I86:I92" si="91">SUM(G86:H86)</f>
        <v>0</v>
      </c>
      <c r="J86" s="376">
        <f>ABRIL!L86</f>
        <v>0</v>
      </c>
      <c r="K86" s="377">
        <v>0</v>
      </c>
      <c r="L86" s="376">
        <f t="shared" ref="L86:L92" si="92">SUM(J86:K86)</f>
        <v>0</v>
      </c>
      <c r="M86" s="376">
        <f t="shared" ref="M86:M92" si="93">F86-I86</f>
        <v>0</v>
      </c>
      <c r="N86" s="146">
        <f t="shared" ref="N86:N92" si="94">F86-L86</f>
        <v>0</v>
      </c>
      <c r="O86" s="385"/>
      <c r="P86" s="375">
        <v>0</v>
      </c>
      <c r="Q86" s="378">
        <v>0</v>
      </c>
      <c r="S86" s="719" t="str">
        <f>+IF(ABRIL!S86=0,"",ABRIL!S86)</f>
        <v>1020200-4</v>
      </c>
      <c r="T86" s="693" t="str">
        <f>+IF(ABRIL!T86=0,"",ABRIL!T86)</f>
        <v>Otros Honorarios (Servicios de Cooperativa)</v>
      </c>
      <c r="U86" s="27">
        <f>+ENERO!U86</f>
        <v>0</v>
      </c>
      <c r="V86" s="15">
        <f>ABRIL!V86+MAYO!AL86</f>
        <v>0</v>
      </c>
      <c r="W86" s="15">
        <f>ABRIL!W86+MAYO!AM86</f>
        <v>0</v>
      </c>
      <c r="X86" s="18">
        <f>SUM(U86:W86)</f>
        <v>0</v>
      </c>
      <c r="Y86" s="19">
        <f>ABRIL!AA86</f>
        <v>0</v>
      </c>
      <c r="Z86" s="377">
        <v>0</v>
      </c>
      <c r="AA86" s="18">
        <f>SUM(Y86:Z86)</f>
        <v>0</v>
      </c>
      <c r="AB86" s="19">
        <f>ABRIL!AD86</f>
        <v>0</v>
      </c>
      <c r="AC86" s="377">
        <v>0</v>
      </c>
      <c r="AD86" s="18">
        <f>SUM(AB86:AC86)</f>
        <v>0</v>
      </c>
      <c r="AE86" s="19">
        <f>ABRIL!AG86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+IF(ABRIL!A87=0,"",ABRIL!A87)</f>
        <v>1130202</v>
      </c>
      <c r="B87" s="673" t="str">
        <f>+IF(ABRIL!B87=0,"",ABRIL!B87)</f>
        <v/>
      </c>
      <c r="C87" s="401">
        <f>+ENERO!C87</f>
        <v>0</v>
      </c>
      <c r="D87" s="376">
        <f>ABRIL!D87+MAYO!P87</f>
        <v>0</v>
      </c>
      <c r="E87" s="376">
        <f>ABRIL!E87+MAYO!Q87</f>
        <v>0</v>
      </c>
      <c r="F87" s="376">
        <f t="shared" si="90"/>
        <v>0</v>
      </c>
      <c r="G87" s="376">
        <f>ABRIL!I87</f>
        <v>0</v>
      </c>
      <c r="H87" s="377">
        <v>0</v>
      </c>
      <c r="I87" s="376">
        <f t="shared" si="91"/>
        <v>0</v>
      </c>
      <c r="J87" s="376">
        <f>ABRIL!L87</f>
        <v>0</v>
      </c>
      <c r="K87" s="377">
        <v>0</v>
      </c>
      <c r="L87" s="376">
        <f t="shared" si="92"/>
        <v>0</v>
      </c>
      <c r="M87" s="376">
        <f t="shared" si="93"/>
        <v>0</v>
      </c>
      <c r="N87" s="146">
        <f t="shared" si="94"/>
        <v>0</v>
      </c>
      <c r="P87" s="375">
        <v>0</v>
      </c>
      <c r="Q87" s="378">
        <v>0</v>
      </c>
      <c r="R87" s="9"/>
      <c r="S87" s="719" t="str">
        <f>+IF(ABRIL!S87=0,"",ABRIL!S87)</f>
        <v/>
      </c>
      <c r="T87" s="693" t="str">
        <f>+IF(ABRIL!T87=0,"",ABRIL!T87)</f>
        <v/>
      </c>
      <c r="U87" s="27">
        <f>+ENERO!U87</f>
        <v>0</v>
      </c>
      <c r="V87" s="15">
        <f>ABRIL!V87+MAYO!AL87</f>
        <v>0</v>
      </c>
      <c r="W87" s="15">
        <f>ABRIL!W87+MAYO!AM87</f>
        <v>0</v>
      </c>
      <c r="X87" s="18">
        <f>SUM(U87:W87)</f>
        <v>0</v>
      </c>
      <c r="Y87" s="19">
        <f>ABRIL!AA87</f>
        <v>0</v>
      </c>
      <c r="Z87" s="377">
        <v>0</v>
      </c>
      <c r="AA87" s="18">
        <f>SUM(Y87:Z87)</f>
        <v>0</v>
      </c>
      <c r="AB87" s="19">
        <f>ABRIL!AD87</f>
        <v>0</v>
      </c>
      <c r="AC87" s="377">
        <v>0</v>
      </c>
      <c r="AD87" s="18">
        <f>SUM(AB87:AC87)</f>
        <v>0</v>
      </c>
      <c r="AE87" s="19">
        <f>ABRIL!AG87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9.25" customHeight="1" x14ac:dyDescent="0.2">
      <c r="A88" s="752">
        <f>+IF(ABRIL!A88=0,"",ABRIL!A88)</f>
        <v>1130203</v>
      </c>
      <c r="B88" s="674" t="str">
        <f>+IF(ABRIL!B88=0,"",ABRIL!B88)</f>
        <v>CONVENIOS CON LA NACION LIGADOS A LA VENTA DE SERVICIOS</v>
      </c>
      <c r="C88" s="401">
        <f>+ENERO!C88</f>
        <v>0</v>
      </c>
      <c r="D88" s="376">
        <f>ABRIL!D88+MAYO!P88</f>
        <v>0</v>
      </c>
      <c r="E88" s="376">
        <f>ABRIL!E88+MAYO!Q88</f>
        <v>0</v>
      </c>
      <c r="F88" s="376">
        <f t="shared" si="90"/>
        <v>0</v>
      </c>
      <c r="G88" s="376">
        <f>ABRIL!I88</f>
        <v>0</v>
      </c>
      <c r="H88" s="377">
        <v>0</v>
      </c>
      <c r="I88" s="376">
        <f t="shared" si="91"/>
        <v>0</v>
      </c>
      <c r="J88" s="376">
        <f>ABRIL!L88</f>
        <v>0</v>
      </c>
      <c r="K88" s="377">
        <v>0</v>
      </c>
      <c r="L88" s="376">
        <f t="shared" si="92"/>
        <v>0</v>
      </c>
      <c r="M88" s="376">
        <f t="shared" si="93"/>
        <v>0</v>
      </c>
      <c r="N88" s="146">
        <f t="shared" si="94"/>
        <v>0</v>
      </c>
      <c r="P88" s="375">
        <v>0</v>
      </c>
      <c r="Q88" s="378">
        <v>0</v>
      </c>
      <c r="R88" s="9"/>
      <c r="S88" s="719">
        <f>+IF(ABRIL!S88=0,"",ABRIL!S88)</f>
        <v>1020299</v>
      </c>
      <c r="T88" s="693" t="str">
        <f>+IF(ABRIL!T88=0,"",ABRIL!T88)</f>
        <v>Vigencias Anteriores</v>
      </c>
      <c r="U88" s="27">
        <f>+ENERO!U88</f>
        <v>0</v>
      </c>
      <c r="V88" s="15">
        <f>ABRIL!V88+MAYO!AL88</f>
        <v>0</v>
      </c>
      <c r="W88" s="15">
        <f>ABRIL!W88+MAYO!AM88</f>
        <v>6884000</v>
      </c>
      <c r="X88" s="18">
        <f>SUM(U88:W88)</f>
        <v>6884000</v>
      </c>
      <c r="Y88" s="19">
        <f>ABRIL!AA88</f>
        <v>6884000</v>
      </c>
      <c r="Z88" s="377">
        <v>0</v>
      </c>
      <c r="AA88" s="18">
        <f>SUM(Y88:Z88)</f>
        <v>6884000</v>
      </c>
      <c r="AB88" s="19">
        <f>ABRIL!AD88</f>
        <v>6884000</v>
      </c>
      <c r="AC88" s="377">
        <v>0</v>
      </c>
      <c r="AD88" s="18">
        <f>SUM(AB88:AC88)</f>
        <v>6884000</v>
      </c>
      <c r="AE88" s="19">
        <f>ABRIL!AG88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31.5" customHeight="1" x14ac:dyDescent="0.2">
      <c r="A89" s="752">
        <f>+IF(ABRIL!A89=0,"",ABRIL!A89)</f>
        <v>1130204</v>
      </c>
      <c r="B89" s="674" t="str">
        <f>+IF(ABRIL!B89=0,"",ABRIL!B89)</f>
        <v>CONVENIOS CON EL DEPARTAMENTO LIGADOS A LA VENTA SERVICIOS</v>
      </c>
      <c r="C89" s="401">
        <f>+ENERO!C89</f>
        <v>50000000</v>
      </c>
      <c r="D89" s="376">
        <f>ABRIL!D89+MAYO!P89</f>
        <v>0</v>
      </c>
      <c r="E89" s="376">
        <f>ABRIL!E89+MAYO!Q89</f>
        <v>0</v>
      </c>
      <c r="F89" s="376">
        <f t="shared" si="90"/>
        <v>50000000</v>
      </c>
      <c r="G89" s="376">
        <f>ABRIL!I89</f>
        <v>14658686</v>
      </c>
      <c r="H89" s="377">
        <v>0</v>
      </c>
      <c r="I89" s="376">
        <f t="shared" si="91"/>
        <v>14658686</v>
      </c>
      <c r="J89" s="376">
        <f>ABRIL!L89</f>
        <v>0</v>
      </c>
      <c r="K89" s="377">
        <v>7329343</v>
      </c>
      <c r="L89" s="376">
        <f t="shared" si="92"/>
        <v>7329343</v>
      </c>
      <c r="M89" s="376">
        <f t="shared" si="93"/>
        <v>35341314</v>
      </c>
      <c r="N89" s="146">
        <f t="shared" si="94"/>
        <v>42670657</v>
      </c>
      <c r="P89" s="375">
        <v>0</v>
      </c>
      <c r="Q89" s="378">
        <v>0</v>
      </c>
      <c r="R89" s="9"/>
      <c r="S89" s="369" t="str">
        <f>+IF(ABRIL!S89=0,"",ABRIL!S89)</f>
        <v/>
      </c>
      <c r="T89" s="708" t="str">
        <f>+IF(ABRIL!T89=0,"",ABRIL!T89)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32.25" customHeight="1" x14ac:dyDescent="0.2">
      <c r="A90" s="752">
        <f>+IF(ABRIL!A90=0,"",ABRIL!A90)</f>
        <v>1130205</v>
      </c>
      <c r="B90" s="674" t="str">
        <f>+IF(ABRIL!B90=0,"",ABRIL!B90)</f>
        <v>CONVENIOS CON EL MUNICIPIO LIGADOS A LA VENTA DE SERVICIOS</v>
      </c>
      <c r="C90" s="401">
        <f>+ENERO!C90</f>
        <v>24000000</v>
      </c>
      <c r="D90" s="376">
        <f>ABRIL!D90+MAYO!P90</f>
        <v>0</v>
      </c>
      <c r="E90" s="376">
        <f>ABRIL!E90+MAYO!Q90</f>
        <v>0</v>
      </c>
      <c r="F90" s="376">
        <f t="shared" si="90"/>
        <v>24000000</v>
      </c>
      <c r="G90" s="376">
        <f>ABRIL!I90</f>
        <v>4480000</v>
      </c>
      <c r="H90" s="377">
        <v>3760000</v>
      </c>
      <c r="I90" s="376">
        <f t="shared" si="91"/>
        <v>8240000</v>
      </c>
      <c r="J90" s="376">
        <f>ABRIL!L90</f>
        <v>0</v>
      </c>
      <c r="K90" s="377">
        <v>2400000</v>
      </c>
      <c r="L90" s="376">
        <f t="shared" si="92"/>
        <v>2400000</v>
      </c>
      <c r="M90" s="376">
        <f t="shared" si="93"/>
        <v>15760000</v>
      </c>
      <c r="N90" s="146">
        <f t="shared" si="94"/>
        <v>21600000</v>
      </c>
      <c r="O90" s="385"/>
      <c r="P90" s="375">
        <v>0</v>
      </c>
      <c r="Q90" s="378">
        <v>0</v>
      </c>
      <c r="R90" s="30"/>
      <c r="S90" s="718">
        <f>+IF(ABRIL!S90=0,"",ABRIL!S90)</f>
        <v>1020300</v>
      </c>
      <c r="T90" s="692" t="str">
        <f>+IF(ABRIL!T90=0,"",ABRIL!T90)</f>
        <v>Contribuciones Inherentes nómina al Sector Privado</v>
      </c>
      <c r="U90" s="135">
        <f t="shared" ref="U90:AJ90" si="95">U91+U96+U102</f>
        <v>269700847</v>
      </c>
      <c r="V90" s="124">
        <f t="shared" si="95"/>
        <v>0</v>
      </c>
      <c r="W90" s="124">
        <f t="shared" si="95"/>
        <v>54740941</v>
      </c>
      <c r="X90" s="132">
        <f t="shared" si="95"/>
        <v>324441788</v>
      </c>
      <c r="Y90" s="131">
        <f t="shared" si="95"/>
        <v>123413315</v>
      </c>
      <c r="Z90" s="124">
        <f t="shared" si="95"/>
        <v>35903284</v>
      </c>
      <c r="AA90" s="132">
        <f t="shared" si="95"/>
        <v>159316599</v>
      </c>
      <c r="AB90" s="131">
        <f t="shared" si="95"/>
        <v>123413315</v>
      </c>
      <c r="AC90" s="124">
        <f t="shared" si="95"/>
        <v>35903284</v>
      </c>
      <c r="AD90" s="132">
        <f t="shared" si="95"/>
        <v>159316599</v>
      </c>
      <c r="AE90" s="131">
        <f t="shared" si="95"/>
        <v>116729997</v>
      </c>
      <c r="AF90" s="124">
        <f t="shared" si="95"/>
        <v>14355429</v>
      </c>
      <c r="AG90" s="132">
        <f t="shared" si="95"/>
        <v>131085426</v>
      </c>
      <c r="AH90" s="131">
        <f t="shared" si="95"/>
        <v>165125189</v>
      </c>
      <c r="AI90" s="124">
        <f t="shared" si="95"/>
        <v>165125189</v>
      </c>
      <c r="AJ90" s="133">
        <f t="shared" si="95"/>
        <v>193356362</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9.25" customHeight="1" x14ac:dyDescent="0.2">
      <c r="A91" s="752">
        <f>+IF(ABRIL!A91=0,"",ABRIL!A91)</f>
        <v>1130206</v>
      </c>
      <c r="B91" s="674" t="str">
        <f>+IF(ABRIL!B91=0,"",ABRIL!B91)</f>
        <v>OTROS CONVENIOS LIGADOS A LA VENTA DE SERVICIOS</v>
      </c>
      <c r="C91" s="401">
        <f>+ENERO!C91</f>
        <v>0</v>
      </c>
      <c r="D91" s="376">
        <f>ABRIL!D91+MAYO!P91</f>
        <v>0</v>
      </c>
      <c r="E91" s="376">
        <f>ABRIL!E91+MAYO!Q91</f>
        <v>0</v>
      </c>
      <c r="F91" s="376">
        <f t="shared" si="90"/>
        <v>0</v>
      </c>
      <c r="G91" s="376">
        <f>ABRIL!I91</f>
        <v>0</v>
      </c>
      <c r="H91" s="377">
        <v>0</v>
      </c>
      <c r="I91" s="376">
        <f t="shared" si="91"/>
        <v>0</v>
      </c>
      <c r="J91" s="376">
        <f>ABRIL!L91</f>
        <v>0</v>
      </c>
      <c r="K91" s="377">
        <v>0</v>
      </c>
      <c r="L91" s="376">
        <f t="shared" si="92"/>
        <v>0</v>
      </c>
      <c r="M91" s="376">
        <f t="shared" si="93"/>
        <v>0</v>
      </c>
      <c r="N91" s="146">
        <f t="shared" si="94"/>
        <v>0</v>
      </c>
      <c r="O91" s="385"/>
      <c r="P91" s="375">
        <v>0</v>
      </c>
      <c r="Q91" s="378">
        <v>0</v>
      </c>
      <c r="R91" s="30"/>
      <c r="S91" s="719">
        <f>+IF(ABRIL!S91=0,"",ABRIL!S91)</f>
        <v>1020301</v>
      </c>
      <c r="T91" s="693" t="str">
        <f>+IF(ABRIL!T91=0,"",ABRIL!T91)</f>
        <v>Contribuciones - Sin Situación de Fondos</v>
      </c>
      <c r="U91" s="27">
        <f t="shared" ref="U91:AJ91" si="96">SUM(U92:U95)</f>
        <v>230094736</v>
      </c>
      <c r="V91" s="15">
        <f t="shared" si="96"/>
        <v>0</v>
      </c>
      <c r="W91" s="15">
        <f t="shared" si="96"/>
        <v>0</v>
      </c>
      <c r="X91" s="18">
        <f t="shared" si="96"/>
        <v>230094736</v>
      </c>
      <c r="Y91" s="19">
        <f t="shared" si="96"/>
        <v>58523674</v>
      </c>
      <c r="Z91" s="145">
        <f t="shared" si="96"/>
        <v>33364184</v>
      </c>
      <c r="AA91" s="18">
        <f t="shared" si="96"/>
        <v>91887858</v>
      </c>
      <c r="AB91" s="19">
        <f t="shared" si="96"/>
        <v>58523674</v>
      </c>
      <c r="AC91" s="145">
        <f t="shared" si="96"/>
        <v>33364184</v>
      </c>
      <c r="AD91" s="18">
        <f t="shared" si="96"/>
        <v>91887858</v>
      </c>
      <c r="AE91" s="19">
        <f t="shared" si="96"/>
        <v>56137661</v>
      </c>
      <c r="AF91" s="145">
        <f t="shared" si="96"/>
        <v>11837929</v>
      </c>
      <c r="AG91" s="18">
        <f t="shared" si="96"/>
        <v>67975590</v>
      </c>
      <c r="AH91" s="19">
        <f t="shared" si="96"/>
        <v>138206878</v>
      </c>
      <c r="AI91" s="15">
        <f t="shared" si="96"/>
        <v>138206878</v>
      </c>
      <c r="AJ91" s="16">
        <f t="shared" si="96"/>
        <v>162119146</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+IF(ABRIL!A92=0,"",ABRIL!A92)</f>
        <v>1130207</v>
      </c>
      <c r="B92" s="662" t="str">
        <f>+IF(ABRIL!B92=0,"",ABRIL!B92)</f>
        <v>Vigencia Anterior</v>
      </c>
      <c r="C92" s="491">
        <f>+ENERO!C92</f>
        <v>0</v>
      </c>
      <c r="D92" s="388">
        <f>ABRIL!D92+MAYO!P92</f>
        <v>0</v>
      </c>
      <c r="E92" s="388">
        <f>ABRIL!E92+MAYO!Q92</f>
        <v>0</v>
      </c>
      <c r="F92" s="388">
        <f t="shared" si="90"/>
        <v>0</v>
      </c>
      <c r="G92" s="388">
        <f>ABRIL!I92</f>
        <v>0</v>
      </c>
      <c r="H92" s="391">
        <v>0</v>
      </c>
      <c r="I92" s="388">
        <f t="shared" si="91"/>
        <v>0</v>
      </c>
      <c r="J92" s="388">
        <f>ABRIL!L92</f>
        <v>0</v>
      </c>
      <c r="K92" s="391">
        <v>0</v>
      </c>
      <c r="L92" s="388">
        <f t="shared" si="92"/>
        <v>0</v>
      </c>
      <c r="M92" s="388">
        <f t="shared" si="93"/>
        <v>0</v>
      </c>
      <c r="N92" s="389">
        <f t="shared" si="94"/>
        <v>0</v>
      </c>
      <c r="O92" s="385"/>
      <c r="P92" s="375">
        <v>0</v>
      </c>
      <c r="Q92" s="378">
        <v>0</v>
      </c>
      <c r="R92" s="30"/>
      <c r="S92" s="720" t="str">
        <f>+IF(ABRIL!S92=0,"",ABRIL!S92)</f>
        <v>1020301-1</v>
      </c>
      <c r="T92" s="694" t="str">
        <f>+IF(ABRIL!T92=0,"",ABRIL!T92)</f>
        <v>Aportes a E.P.S.- Sin sit. Fondos</v>
      </c>
      <c r="U92" s="27">
        <f>+ENERO!U92</f>
        <v>59416260</v>
      </c>
      <c r="V92" s="15">
        <f>ABRIL!V92+MAYO!AL92</f>
        <v>0</v>
      </c>
      <c r="W92" s="15">
        <f>ABRIL!W92+MAYO!AM92</f>
        <v>0</v>
      </c>
      <c r="X92" s="18">
        <f>SUM(U92:W92)</f>
        <v>59416260</v>
      </c>
      <c r="Y92" s="19">
        <f>ABRIL!AA92</f>
        <v>21751259</v>
      </c>
      <c r="Z92" s="377">
        <v>5400507</v>
      </c>
      <c r="AA92" s="18">
        <f>SUM(Y92:Z92)</f>
        <v>27151766</v>
      </c>
      <c r="AB92" s="19">
        <f>ABRIL!AD92</f>
        <v>21751259</v>
      </c>
      <c r="AC92" s="377">
        <v>5400507</v>
      </c>
      <c r="AD92" s="18">
        <f>SUM(AB92:AC92)</f>
        <v>27151766</v>
      </c>
      <c r="AE92" s="19">
        <f>ABRIL!AG92</f>
        <v>21751259</v>
      </c>
      <c r="AF92" s="377">
        <v>5400507</v>
      </c>
      <c r="AG92" s="18">
        <f>SUM(AE92:AF92)</f>
        <v>27151766</v>
      </c>
      <c r="AH92" s="19">
        <f>X92-AA92</f>
        <v>32264494</v>
      </c>
      <c r="AI92" s="15">
        <f>X92-AD92</f>
        <v>32264494</v>
      </c>
      <c r="AJ92" s="16">
        <f>X92-AG92</f>
        <v>32264494</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+IF(ABRIL!A93=0,"",ABRIL!A93)</f>
        <v/>
      </c>
      <c r="B93" s="659" t="str">
        <f>+IF(ABRIL!B93=0,"",ABRIL!B93)</f>
        <v/>
      </c>
      <c r="C93" s="297"/>
      <c r="D93" s="297"/>
      <c r="E93" s="297"/>
      <c r="F93" s="297"/>
      <c r="G93" s="297"/>
      <c r="H93" s="297"/>
      <c r="I93" s="297"/>
      <c r="J93" s="297"/>
      <c r="K93" s="297"/>
      <c r="L93" s="297"/>
      <c r="M93" s="297"/>
      <c r="N93" s="466"/>
      <c r="P93" s="470"/>
      <c r="Q93" s="394"/>
      <c r="R93" s="30"/>
      <c r="S93" s="720" t="str">
        <f>+IF(ABRIL!S93=0,"",ABRIL!S93)</f>
        <v>1020301-2</v>
      </c>
      <c r="T93" s="694" t="str">
        <f>+IF(ABRIL!T93=0,"",ABRIL!T93)</f>
        <v>Aportes Fondos Pensionales - Sin Sit. Fondos</v>
      </c>
      <c r="U93" s="27">
        <f>+ENERO!U93</f>
        <v>81857136</v>
      </c>
      <c r="V93" s="15">
        <f>ABRIL!V93+MAYO!AL93</f>
        <v>0</v>
      </c>
      <c r="W93" s="15">
        <f>ABRIL!W93+MAYO!AM93</f>
        <v>0</v>
      </c>
      <c r="X93" s="18">
        <f>SUM(U93:W93)</f>
        <v>81857136</v>
      </c>
      <c r="Y93" s="19">
        <f>ABRIL!AA93</f>
        <v>30707666</v>
      </c>
      <c r="Z93" s="377">
        <v>7624247</v>
      </c>
      <c r="AA93" s="18">
        <f>SUM(Y93:Z93)</f>
        <v>38331913</v>
      </c>
      <c r="AB93" s="19">
        <f>ABRIL!AD93</f>
        <v>30707666</v>
      </c>
      <c r="AC93" s="377">
        <v>7624247</v>
      </c>
      <c r="AD93" s="18">
        <f>SUM(AB93:AC93)</f>
        <v>38331913</v>
      </c>
      <c r="AE93" s="19">
        <f>ABRIL!AG93</f>
        <v>28321653</v>
      </c>
      <c r="AF93" s="377">
        <v>4911616</v>
      </c>
      <c r="AG93" s="18">
        <f>SUM(AE93:AF93)</f>
        <v>33233269</v>
      </c>
      <c r="AH93" s="19">
        <f>X93-AA93</f>
        <v>43525223</v>
      </c>
      <c r="AI93" s="15">
        <f>X93-AD93</f>
        <v>43525223</v>
      </c>
      <c r="AJ93" s="16">
        <f>X93-AG93</f>
        <v>48623867</v>
      </c>
      <c r="AK93" s="9"/>
      <c r="AL93" s="375">
        <v>0</v>
      </c>
      <c r="AM93" s="378">
        <v>0</v>
      </c>
      <c r="AN93" s="30"/>
      <c r="AO93" s="463"/>
      <c r="AP93" s="463"/>
      <c r="AQ93" s="463"/>
      <c r="AR93" s="463"/>
      <c r="AS93" s="463"/>
      <c r="AT93" s="463"/>
      <c r="AU93" s="463"/>
      <c r="AV93" s="463"/>
      <c r="AW93" s="463"/>
      <c r="AX93" s="463"/>
      <c r="AY93" s="463"/>
      <c r="AZ93" s="463"/>
      <c r="BL93" s="30"/>
    </row>
    <row r="94" spans="1:70" s="464" customFormat="1" ht="29.25" customHeight="1" x14ac:dyDescent="0.2">
      <c r="A94" s="753">
        <f>+IF(ABRIL!A94=0,"",ABRIL!A94)</f>
        <v>11303</v>
      </c>
      <c r="B94" s="626" t="str">
        <f>+IF(ABRIL!B94=0,"",ABRIL!B94)</f>
        <v>Aportes (No ligados a la venta de servicios de salud)</v>
      </c>
      <c r="C94" s="625">
        <f>SUM(C95:C102)</f>
        <v>0</v>
      </c>
      <c r="D94" s="623">
        <f t="shared" ref="D94:N94" si="97">SUM(D95:D102)</f>
        <v>0</v>
      </c>
      <c r="E94" s="623">
        <f t="shared" si="97"/>
        <v>74713971</v>
      </c>
      <c r="F94" s="623">
        <f t="shared" si="97"/>
        <v>74713971</v>
      </c>
      <c r="G94" s="623">
        <f t="shared" si="97"/>
        <v>0</v>
      </c>
      <c r="H94" s="623">
        <f t="shared" si="97"/>
        <v>61305130</v>
      </c>
      <c r="I94" s="623">
        <f t="shared" si="97"/>
        <v>61305130</v>
      </c>
      <c r="J94" s="623">
        <f t="shared" si="97"/>
        <v>0</v>
      </c>
      <c r="K94" s="623">
        <f t="shared" si="97"/>
        <v>61305130</v>
      </c>
      <c r="L94" s="623">
        <f t="shared" si="97"/>
        <v>61305130</v>
      </c>
      <c r="M94" s="623">
        <f t="shared" si="97"/>
        <v>13408841</v>
      </c>
      <c r="N94" s="624">
        <f t="shared" si="97"/>
        <v>13408841</v>
      </c>
      <c r="O94" s="385"/>
      <c r="P94" s="43">
        <f>SUM(P95:P102)</f>
        <v>0</v>
      </c>
      <c r="Q94" s="45">
        <f>SUM(Q95:Q102)</f>
        <v>74713971</v>
      </c>
      <c r="R94" s="30"/>
      <c r="S94" s="720" t="str">
        <f>+IF(ABRIL!S94=0,"",ABRIL!S94)</f>
        <v>1020301-3</v>
      </c>
      <c r="T94" s="694" t="str">
        <f>+IF(ABRIL!T94=0,"",ABRIL!T94)</f>
        <v xml:space="preserve">Aportes a Fondos de Cesantia - Sin Sit. de Fondos </v>
      </c>
      <c r="U94" s="27">
        <f>+ENERO!U94</f>
        <v>71793333</v>
      </c>
      <c r="V94" s="15">
        <f>ABRIL!V94+MAYO!AL94</f>
        <v>0</v>
      </c>
      <c r="W94" s="15">
        <f>ABRIL!W94+MAYO!AM94</f>
        <v>0</v>
      </c>
      <c r="X94" s="18">
        <f>SUM(U94:W94)</f>
        <v>71793333</v>
      </c>
      <c r="Y94" s="19">
        <f>ABRIL!AA94</f>
        <v>0</v>
      </c>
      <c r="Z94" s="377">
        <v>18813624</v>
      </c>
      <c r="AA94" s="18">
        <f>SUM(Y94:Z94)</f>
        <v>18813624</v>
      </c>
      <c r="AB94" s="19">
        <f>ABRIL!AD94</f>
        <v>0</v>
      </c>
      <c r="AC94" s="377">
        <v>18813624</v>
      </c>
      <c r="AD94" s="18">
        <f>SUM(AB94:AC94)</f>
        <v>18813624</v>
      </c>
      <c r="AE94" s="19">
        <f>ABRIL!AG94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+IF(ABRIL!A95=0,"",ABRIL!A95)</f>
        <v>11303-1</v>
      </c>
      <c r="B95" s="627" t="str">
        <f>+IF(ABRIL!B95=0,"",ABRIL!B95)</f>
        <v>NACION</v>
      </c>
      <c r="C95" s="401">
        <f>+ENERO!C95</f>
        <v>0</v>
      </c>
      <c r="D95" s="376">
        <f>ABRIL!D95+MAYO!P95</f>
        <v>0</v>
      </c>
      <c r="E95" s="376">
        <f>ABRIL!E95+MAYO!Q95</f>
        <v>0</v>
      </c>
      <c r="F95" s="376">
        <f t="shared" ref="F95:F102" si="98">SUM(C95:E95)</f>
        <v>0</v>
      </c>
      <c r="G95" s="376">
        <f>ABRIL!I95</f>
        <v>0</v>
      </c>
      <c r="H95" s="377">
        <v>0</v>
      </c>
      <c r="I95" s="376">
        <f t="shared" ref="I95:I102" si="99">SUM(G95:H95)</f>
        <v>0</v>
      </c>
      <c r="J95" s="376">
        <f>ABRIL!L95</f>
        <v>0</v>
      </c>
      <c r="K95" s="377">
        <v>0</v>
      </c>
      <c r="L95" s="376">
        <f t="shared" ref="L95:L102" si="100">SUM(J95:K95)</f>
        <v>0</v>
      </c>
      <c r="M95" s="376">
        <f t="shared" ref="M95:M102" si="101">F95-I95</f>
        <v>0</v>
      </c>
      <c r="N95" s="146">
        <f t="shared" ref="N95:N102" si="102">F95-L95</f>
        <v>0</v>
      </c>
      <c r="O95" s="385"/>
      <c r="P95" s="375">
        <v>0</v>
      </c>
      <c r="Q95" s="378">
        <v>0</v>
      </c>
      <c r="R95" s="30"/>
      <c r="S95" s="720" t="str">
        <f>+IF(ABRIL!S95=0,"",ABRIL!S95)</f>
        <v>1020301-4</v>
      </c>
      <c r="T95" s="694" t="str">
        <f>+IF(ABRIL!T95=0,"",ABRIL!T95)</f>
        <v>Aporte a ARL. - Sin Sit. de Fondos</v>
      </c>
      <c r="U95" s="27">
        <f>+ENERO!U95</f>
        <v>17028007</v>
      </c>
      <c r="V95" s="15">
        <f>ABRIL!V95+MAYO!AL95</f>
        <v>0</v>
      </c>
      <c r="W95" s="15">
        <f>ABRIL!W95+MAYO!AM95</f>
        <v>0</v>
      </c>
      <c r="X95" s="18">
        <f>SUM(U95:W95)</f>
        <v>17028007</v>
      </c>
      <c r="Y95" s="19">
        <f>ABRIL!AA95</f>
        <v>6064749</v>
      </c>
      <c r="Z95" s="377">
        <v>1525806</v>
      </c>
      <c r="AA95" s="18">
        <f>SUM(Y95:Z95)</f>
        <v>7590555</v>
      </c>
      <c r="AB95" s="19">
        <f>ABRIL!AD95</f>
        <v>6064749</v>
      </c>
      <c r="AC95" s="377">
        <v>1525806</v>
      </c>
      <c r="AD95" s="18">
        <f>SUM(AB95:AC95)</f>
        <v>7590555</v>
      </c>
      <c r="AE95" s="19">
        <f>ABRIL!AG95</f>
        <v>6064749</v>
      </c>
      <c r="AF95" s="377">
        <v>1525806</v>
      </c>
      <c r="AG95" s="18">
        <f>SUM(AE95:AF95)</f>
        <v>7590555</v>
      </c>
      <c r="AH95" s="19">
        <f>X95-AA95</f>
        <v>9437452</v>
      </c>
      <c r="AI95" s="15">
        <f>X95-AD95</f>
        <v>9437452</v>
      </c>
      <c r="AJ95" s="16">
        <f>X95-AG95</f>
        <v>9437452</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+IF(ABRIL!A96=0,"",ABRIL!A96)</f>
        <v>11303-2</v>
      </c>
      <c r="B96" s="627" t="str">
        <f>+IF(ABRIL!B96=0,"",ABRIL!B96)</f>
        <v>DEPARTAMENTO</v>
      </c>
      <c r="C96" s="401">
        <f>+ENERO!C96</f>
        <v>0</v>
      </c>
      <c r="D96" s="376">
        <f>ABRIL!D96+MAYO!P96</f>
        <v>0</v>
      </c>
      <c r="E96" s="376">
        <f>ABRIL!E96+MAYO!Q96</f>
        <v>61305130</v>
      </c>
      <c r="F96" s="376">
        <f t="shared" si="98"/>
        <v>61305130</v>
      </c>
      <c r="G96" s="376">
        <f>ABRIL!I96</f>
        <v>0</v>
      </c>
      <c r="H96" s="377">
        <v>61305130</v>
      </c>
      <c r="I96" s="376">
        <f t="shared" si="99"/>
        <v>61305130</v>
      </c>
      <c r="J96" s="376">
        <f>ABRIL!L96</f>
        <v>0</v>
      </c>
      <c r="K96" s="377">
        <v>61305130</v>
      </c>
      <c r="L96" s="376">
        <f t="shared" si="100"/>
        <v>61305130</v>
      </c>
      <c r="M96" s="376">
        <f t="shared" si="101"/>
        <v>0</v>
      </c>
      <c r="N96" s="146">
        <f t="shared" si="102"/>
        <v>0</v>
      </c>
      <c r="O96" s="385"/>
      <c r="P96" s="375">
        <v>0</v>
      </c>
      <c r="Q96" s="378">
        <v>61305130</v>
      </c>
      <c r="S96" s="719">
        <f>+IF(ABRIL!S96=0,"",ABRIL!S96)</f>
        <v>1020302</v>
      </c>
      <c r="T96" s="693" t="str">
        <f>+IF(ABRIL!T96=0,"",ABRIL!T96)</f>
        <v>Contribuciones - Otros</v>
      </c>
      <c r="U96" s="27">
        <f t="shared" ref="U96:AJ96" si="103">SUM(U97:U101)</f>
        <v>39606111</v>
      </c>
      <c r="V96" s="15">
        <f t="shared" si="103"/>
        <v>0</v>
      </c>
      <c r="W96" s="15">
        <f t="shared" si="103"/>
        <v>0</v>
      </c>
      <c r="X96" s="18">
        <f t="shared" si="103"/>
        <v>39606111</v>
      </c>
      <c r="Y96" s="19">
        <f t="shared" si="103"/>
        <v>10148700</v>
      </c>
      <c r="Z96" s="145">
        <f t="shared" si="103"/>
        <v>2539100</v>
      </c>
      <c r="AA96" s="18">
        <f t="shared" si="103"/>
        <v>12687800</v>
      </c>
      <c r="AB96" s="19">
        <f t="shared" si="103"/>
        <v>10148700</v>
      </c>
      <c r="AC96" s="145">
        <f t="shared" si="103"/>
        <v>2539100</v>
      </c>
      <c r="AD96" s="18">
        <f t="shared" si="103"/>
        <v>12687800</v>
      </c>
      <c r="AE96" s="19">
        <f t="shared" si="103"/>
        <v>7631200</v>
      </c>
      <c r="AF96" s="145">
        <f t="shared" si="103"/>
        <v>2517500</v>
      </c>
      <c r="AG96" s="18">
        <f t="shared" si="103"/>
        <v>10148700</v>
      </c>
      <c r="AH96" s="19">
        <f t="shared" si="103"/>
        <v>26918311</v>
      </c>
      <c r="AI96" s="15">
        <f t="shared" si="103"/>
        <v>26918311</v>
      </c>
      <c r="AJ96" s="16">
        <f t="shared" si="103"/>
        <v>29457411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+IF(ABRIL!A97=0,"",ABRIL!A97)</f>
        <v>11303-3</v>
      </c>
      <c r="B97" s="627" t="str">
        <f>+IF(ABRIL!B97=0,"",ABRIL!B97)</f>
        <v>MUNICIPIO</v>
      </c>
      <c r="C97" s="401">
        <f>+ENERO!C97</f>
        <v>0</v>
      </c>
      <c r="D97" s="376">
        <f>ABRIL!D97+MAYO!P97</f>
        <v>0</v>
      </c>
      <c r="E97" s="376">
        <f>ABRIL!E97+MAYO!Q97</f>
        <v>0</v>
      </c>
      <c r="F97" s="376">
        <f t="shared" si="98"/>
        <v>0</v>
      </c>
      <c r="G97" s="376">
        <f>ABRIL!I97</f>
        <v>0</v>
      </c>
      <c r="H97" s="377">
        <v>0</v>
      </c>
      <c r="I97" s="376">
        <f t="shared" si="99"/>
        <v>0</v>
      </c>
      <c r="J97" s="376">
        <f>ABRIL!L97</f>
        <v>0</v>
      </c>
      <c r="K97" s="377">
        <v>0</v>
      </c>
      <c r="L97" s="376">
        <f t="shared" si="100"/>
        <v>0</v>
      </c>
      <c r="M97" s="376">
        <f t="shared" si="101"/>
        <v>0</v>
      </c>
      <c r="N97" s="146">
        <f t="shared" si="102"/>
        <v>0</v>
      </c>
      <c r="O97" s="385"/>
      <c r="P97" s="375">
        <v>0</v>
      </c>
      <c r="Q97" s="378">
        <v>0</v>
      </c>
      <c r="R97" s="30"/>
      <c r="S97" s="720" t="str">
        <f>+IF(ABRIL!S97=0,"",ABRIL!S97)</f>
        <v>1020302-1</v>
      </c>
      <c r="T97" s="694" t="str">
        <f>+IF(ABRIL!T97=0,"",ABRIL!T97)</f>
        <v>Aportes a E.P.S.- Con sit. Fondos</v>
      </c>
      <c r="U97" s="27">
        <f>+ENERO!U97</f>
        <v>1005165</v>
      </c>
      <c r="V97" s="15">
        <f>ABRIL!V97+MAYO!AL97</f>
        <v>0</v>
      </c>
      <c r="W97" s="15">
        <f>ABRIL!W97+MAYO!AM97</f>
        <v>0</v>
      </c>
      <c r="X97" s="18">
        <f t="shared" ref="X97:X102" si="104">SUM(U97:W97)</f>
        <v>1005165</v>
      </c>
      <c r="Y97" s="19">
        <f>ABRIL!AA97</f>
        <v>0</v>
      </c>
      <c r="Z97" s="377">
        <v>0</v>
      </c>
      <c r="AA97" s="18">
        <f t="shared" ref="AA97:AA102" si="105">SUM(Y97:Z97)</f>
        <v>0</v>
      </c>
      <c r="AB97" s="19">
        <f>ABRIL!AD97</f>
        <v>0</v>
      </c>
      <c r="AC97" s="377">
        <v>0</v>
      </c>
      <c r="AD97" s="18">
        <f t="shared" ref="AD97:AD102" si="106">SUM(AB97:AC97)</f>
        <v>0</v>
      </c>
      <c r="AE97" s="19">
        <f>ABRIL!AG97</f>
        <v>0</v>
      </c>
      <c r="AF97" s="377">
        <v>0</v>
      </c>
      <c r="AG97" s="18">
        <f t="shared" ref="AG97:AG102" si="107">SUM(AE97:AF97)</f>
        <v>0</v>
      </c>
      <c r="AH97" s="19">
        <f t="shared" ref="AH97:AH102" si="108">X97-AA97</f>
        <v>1005165</v>
      </c>
      <c r="AI97" s="15">
        <f t="shared" ref="AI97:AI102" si="109">X97-AD97</f>
        <v>1005165</v>
      </c>
      <c r="AJ97" s="16">
        <f t="shared" ref="AJ97:AJ102" si="110">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+IF(ABRIL!A98=0,"",ABRIL!A98)</f>
        <v>11303-4</v>
      </c>
      <c r="B98" s="627" t="str">
        <f>+IF(ABRIL!B98=0,"",ABRIL!B98)</f>
        <v>CONVENIOS (EMPRESTITO)</v>
      </c>
      <c r="C98" s="401">
        <f>+ENERO!C98</f>
        <v>0</v>
      </c>
      <c r="D98" s="376">
        <f>ABRIL!D98+MAYO!P98</f>
        <v>0</v>
      </c>
      <c r="E98" s="376">
        <f>ABRIL!E98+MAYO!Q98</f>
        <v>0</v>
      </c>
      <c r="F98" s="376">
        <f t="shared" si="98"/>
        <v>0</v>
      </c>
      <c r="G98" s="376">
        <f>ABRIL!I98</f>
        <v>0</v>
      </c>
      <c r="H98" s="377">
        <v>0</v>
      </c>
      <c r="I98" s="376">
        <f t="shared" si="99"/>
        <v>0</v>
      </c>
      <c r="J98" s="376">
        <f>ABRIL!L98</f>
        <v>0</v>
      </c>
      <c r="K98" s="377">
        <v>0</v>
      </c>
      <c r="L98" s="376">
        <f t="shared" si="100"/>
        <v>0</v>
      </c>
      <c r="M98" s="376">
        <f t="shared" si="101"/>
        <v>0</v>
      </c>
      <c r="N98" s="146">
        <f t="shared" si="102"/>
        <v>0</v>
      </c>
      <c r="O98" s="385"/>
      <c r="P98" s="375">
        <v>0</v>
      </c>
      <c r="Q98" s="378">
        <v>0</v>
      </c>
      <c r="R98" s="30"/>
      <c r="S98" s="720" t="str">
        <f>+IF(ABRIL!S98=0,"",ABRIL!S98)</f>
        <v>1020302-2</v>
      </c>
      <c r="T98" s="694" t="str">
        <f>+IF(ABRIL!T98=0,"",ABRIL!T98)</f>
        <v>Aportes Fondos Pensionales - Con Sit. Fondos</v>
      </c>
      <c r="U98" s="27">
        <f>+ENERO!U98</f>
        <v>3635130</v>
      </c>
      <c r="V98" s="15">
        <f>ABRIL!V98+MAYO!AL98</f>
        <v>0</v>
      </c>
      <c r="W98" s="15">
        <f>ABRIL!W98+MAYO!AM98</f>
        <v>0</v>
      </c>
      <c r="X98" s="18">
        <f t="shared" si="104"/>
        <v>3635130</v>
      </c>
      <c r="Y98" s="19">
        <f>ABRIL!AA98</f>
        <v>0</v>
      </c>
      <c r="Z98" s="377">
        <v>0</v>
      </c>
      <c r="AA98" s="18">
        <f t="shared" si="105"/>
        <v>0</v>
      </c>
      <c r="AB98" s="19">
        <f>ABRIL!AD98</f>
        <v>0</v>
      </c>
      <c r="AC98" s="377">
        <v>0</v>
      </c>
      <c r="AD98" s="18">
        <f t="shared" si="106"/>
        <v>0</v>
      </c>
      <c r="AE98" s="19">
        <f>ABRIL!AG98</f>
        <v>0</v>
      </c>
      <c r="AF98" s="377">
        <v>0</v>
      </c>
      <c r="AG98" s="18">
        <f t="shared" si="107"/>
        <v>0</v>
      </c>
      <c r="AH98" s="19">
        <f t="shared" si="108"/>
        <v>3635130</v>
      </c>
      <c r="AI98" s="15">
        <f t="shared" si="109"/>
        <v>3635130</v>
      </c>
      <c r="AJ98" s="16">
        <f t="shared" si="110"/>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+IF(ABRIL!A99=0,"",ABRIL!A99)</f>
        <v>11303-5</v>
      </c>
      <c r="B99" s="627" t="str">
        <f>+IF(ABRIL!B99=0,"",ABRIL!B99)</f>
        <v>APORTES PATRONALES - MUNICIPIO / DEPARTAMENTO</v>
      </c>
      <c r="C99" s="681">
        <f>+ENERO!C99</f>
        <v>0</v>
      </c>
      <c r="D99" s="376">
        <f>ABRIL!D99+MAYO!P99</f>
        <v>0</v>
      </c>
      <c r="E99" s="376">
        <f>ABRIL!E99+MAYO!Q99</f>
        <v>0</v>
      </c>
      <c r="F99" s="376">
        <f t="shared" si="98"/>
        <v>0</v>
      </c>
      <c r="G99" s="376">
        <f>ABRIL!I99</f>
        <v>0</v>
      </c>
      <c r="H99" s="682">
        <v>0</v>
      </c>
      <c r="I99" s="376">
        <f t="shared" si="99"/>
        <v>0</v>
      </c>
      <c r="J99" s="376">
        <f>ABRIL!L99</f>
        <v>0</v>
      </c>
      <c r="K99" s="682">
        <v>0</v>
      </c>
      <c r="L99" s="376">
        <f t="shared" si="100"/>
        <v>0</v>
      </c>
      <c r="M99" s="376">
        <f t="shared" si="101"/>
        <v>0</v>
      </c>
      <c r="N99" s="146">
        <f t="shared" si="102"/>
        <v>0</v>
      </c>
      <c r="O99" s="385"/>
      <c r="P99" s="683">
        <v>0</v>
      </c>
      <c r="Q99" s="684">
        <v>0</v>
      </c>
      <c r="R99" s="30"/>
      <c r="S99" s="720" t="str">
        <f>+IF(ABRIL!S99=0,"",ABRIL!S99)</f>
        <v>1020302-3</v>
      </c>
      <c r="T99" s="694" t="str">
        <f>+IF(ABRIL!T99=0,"",ABRIL!T99)</f>
        <v xml:space="preserve">Aportes a Fondos de Cesantia - Con Sit. de Fondos </v>
      </c>
      <c r="U99" s="27">
        <f>+ENERO!U99</f>
        <v>2469908</v>
      </c>
      <c r="V99" s="15">
        <f>ABRIL!V99+MAYO!AL99</f>
        <v>0</v>
      </c>
      <c r="W99" s="15">
        <f>ABRIL!W99+MAYO!AM99</f>
        <v>0</v>
      </c>
      <c r="X99" s="18">
        <f t="shared" si="104"/>
        <v>2469908</v>
      </c>
      <c r="Y99" s="19">
        <f>ABRIL!AA99</f>
        <v>0</v>
      </c>
      <c r="Z99" s="377">
        <v>0</v>
      </c>
      <c r="AA99" s="18">
        <f t="shared" si="105"/>
        <v>0</v>
      </c>
      <c r="AB99" s="19">
        <f>ABRIL!AD99</f>
        <v>0</v>
      </c>
      <c r="AC99" s="377">
        <v>0</v>
      </c>
      <c r="AD99" s="18">
        <f t="shared" si="106"/>
        <v>0</v>
      </c>
      <c r="AE99" s="19">
        <f>ABRIL!AG99</f>
        <v>0</v>
      </c>
      <c r="AF99" s="377">
        <v>0</v>
      </c>
      <c r="AG99" s="18">
        <f t="shared" si="107"/>
        <v>0</v>
      </c>
      <c r="AH99" s="19">
        <f t="shared" si="108"/>
        <v>2469908</v>
      </c>
      <c r="AI99" s="15">
        <f t="shared" si="109"/>
        <v>2469908</v>
      </c>
      <c r="AJ99" s="16">
        <f t="shared" si="110"/>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+IF(ABRIL!A100=0,"",ABRIL!A100)</f>
        <v>11303-6</v>
      </c>
      <c r="B100" s="627" t="str">
        <f>+IF(ABRIL!B100=0,"",ABRIL!B100)</f>
        <v>RECURSOS PARA PROGRAMA DE SANEAMIENTO FINANCIERO</v>
      </c>
      <c r="C100" s="401">
        <f>+ENERO!C100</f>
        <v>0</v>
      </c>
      <c r="D100" s="376">
        <f>ABRIL!D100+MAYO!P100</f>
        <v>0</v>
      </c>
      <c r="E100" s="376">
        <f>ABRIL!E100+MAYO!Q100</f>
        <v>0</v>
      </c>
      <c r="F100" s="376">
        <f t="shared" si="98"/>
        <v>0</v>
      </c>
      <c r="G100" s="376">
        <f>ABRIL!I100</f>
        <v>0</v>
      </c>
      <c r="H100" s="377">
        <v>0</v>
      </c>
      <c r="I100" s="376">
        <f t="shared" si="99"/>
        <v>0</v>
      </c>
      <c r="J100" s="376">
        <f>ABRIL!L100</f>
        <v>0</v>
      </c>
      <c r="K100" s="377">
        <v>0</v>
      </c>
      <c r="L100" s="376">
        <f t="shared" si="100"/>
        <v>0</v>
      </c>
      <c r="M100" s="376">
        <f t="shared" si="101"/>
        <v>0</v>
      </c>
      <c r="N100" s="146">
        <f t="shared" si="102"/>
        <v>0</v>
      </c>
      <c r="P100" s="375">
        <v>0</v>
      </c>
      <c r="Q100" s="378">
        <v>0</v>
      </c>
      <c r="R100" s="9"/>
      <c r="S100" s="720" t="str">
        <f>+IF(ABRIL!S100=0,"",ABRIL!S100)</f>
        <v>1020302-4</v>
      </c>
      <c r="T100" s="694" t="str">
        <f>+IF(ABRIL!T100=0,"",ABRIL!T100)</f>
        <v>Aporte a ARL. - Con Sit. de Fondos</v>
      </c>
      <c r="U100" s="27">
        <f>+ENERO!U100</f>
        <v>0</v>
      </c>
      <c r="V100" s="15">
        <f>ABRIL!V100+MAYO!AL100</f>
        <v>0</v>
      </c>
      <c r="W100" s="15">
        <f>ABRIL!W100+MAYO!AM100</f>
        <v>0</v>
      </c>
      <c r="X100" s="18">
        <f t="shared" si="104"/>
        <v>0</v>
      </c>
      <c r="Y100" s="19">
        <f>ABRIL!AA100</f>
        <v>0</v>
      </c>
      <c r="Z100" s="377">
        <v>0</v>
      </c>
      <c r="AA100" s="18">
        <f t="shared" si="105"/>
        <v>0</v>
      </c>
      <c r="AB100" s="19">
        <f>ABRIL!AD100</f>
        <v>0</v>
      </c>
      <c r="AC100" s="377">
        <v>0</v>
      </c>
      <c r="AD100" s="18">
        <f t="shared" si="106"/>
        <v>0</v>
      </c>
      <c r="AE100" s="19">
        <f>ABRIL!AG100</f>
        <v>0</v>
      </c>
      <c r="AF100" s="377">
        <v>0</v>
      </c>
      <c r="AG100" s="18">
        <f t="shared" si="107"/>
        <v>0</v>
      </c>
      <c r="AH100" s="19">
        <f t="shared" si="108"/>
        <v>0</v>
      </c>
      <c r="AI100" s="15">
        <f t="shared" si="109"/>
        <v>0</v>
      </c>
      <c r="AJ100" s="16">
        <f t="shared" si="110"/>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+IF(ABRIL!A101=0,"",ABRIL!A101)</f>
        <v>11303-7</v>
      </c>
      <c r="B101" s="627" t="str">
        <f>+IF(ABRIL!B101=0,"",ABRIL!B101)</f>
        <v xml:space="preserve">SANEAMIENTO APORTES PATRONALES </v>
      </c>
      <c r="C101" s="401">
        <f>+ENERO!C101</f>
        <v>0</v>
      </c>
      <c r="D101" s="376">
        <f>ABRIL!D101+MAYO!P101</f>
        <v>0</v>
      </c>
      <c r="E101" s="376">
        <f>ABRIL!E101+MAYO!Q101</f>
        <v>13408841</v>
      </c>
      <c r="F101" s="376">
        <f t="shared" si="98"/>
        <v>13408841</v>
      </c>
      <c r="G101" s="376">
        <f>ABRIL!I101</f>
        <v>0</v>
      </c>
      <c r="H101" s="377">
        <v>0</v>
      </c>
      <c r="I101" s="376">
        <f t="shared" si="99"/>
        <v>0</v>
      </c>
      <c r="J101" s="376">
        <f>ABRIL!L101</f>
        <v>0</v>
      </c>
      <c r="K101" s="377">
        <v>0</v>
      </c>
      <c r="L101" s="376">
        <f t="shared" si="100"/>
        <v>0</v>
      </c>
      <c r="M101" s="376">
        <f t="shared" si="101"/>
        <v>13408841</v>
      </c>
      <c r="N101" s="146">
        <f t="shared" si="102"/>
        <v>13408841</v>
      </c>
      <c r="P101" s="375">
        <v>0</v>
      </c>
      <c r="Q101" s="378">
        <v>13408841</v>
      </c>
      <c r="R101" s="9"/>
      <c r="S101" s="720" t="str">
        <f>+IF(ABRIL!S101=0,"",ABRIL!S101)</f>
        <v>1020302-5</v>
      </c>
      <c r="T101" s="694" t="str">
        <f>+IF(ABRIL!T101=0,"",ABRIL!T101)</f>
        <v>Aporte a Caja Compensación Familiar</v>
      </c>
      <c r="U101" s="27">
        <f>+ENERO!U101</f>
        <v>32495908</v>
      </c>
      <c r="V101" s="15">
        <f>ABRIL!V101+MAYO!AL101</f>
        <v>0</v>
      </c>
      <c r="W101" s="15">
        <f>ABRIL!W101+MAYO!AM101</f>
        <v>0</v>
      </c>
      <c r="X101" s="18">
        <f t="shared" si="104"/>
        <v>32495908</v>
      </c>
      <c r="Y101" s="19">
        <f>ABRIL!AA101</f>
        <v>10148700</v>
      </c>
      <c r="Z101" s="377">
        <v>2539100</v>
      </c>
      <c r="AA101" s="18">
        <f t="shared" si="105"/>
        <v>12687800</v>
      </c>
      <c r="AB101" s="19">
        <f>ABRIL!AD101</f>
        <v>10148700</v>
      </c>
      <c r="AC101" s="377">
        <v>2539100</v>
      </c>
      <c r="AD101" s="18">
        <f t="shared" si="106"/>
        <v>12687800</v>
      </c>
      <c r="AE101" s="19">
        <f>ABRIL!AG101</f>
        <v>7631200</v>
      </c>
      <c r="AF101" s="377">
        <v>2517500</v>
      </c>
      <c r="AG101" s="18">
        <f t="shared" si="107"/>
        <v>10148700</v>
      </c>
      <c r="AH101" s="19">
        <f t="shared" si="108"/>
        <v>19808108</v>
      </c>
      <c r="AI101" s="15">
        <f t="shared" si="109"/>
        <v>19808108</v>
      </c>
      <c r="AJ101" s="16">
        <f t="shared" si="110"/>
        <v>22347208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+IF(ABRIL!A102=0,"",ABRIL!A102)</f>
        <v>11303-8</v>
      </c>
      <c r="B102" s="636" t="str">
        <f>+IF(ABRIL!B102=0,"",ABRIL!B102)</f>
        <v>Vigencia Anterior</v>
      </c>
      <c r="C102" s="491">
        <f>+ENERO!C102</f>
        <v>0</v>
      </c>
      <c r="D102" s="388">
        <f>ABRIL!D102+MAYO!P102</f>
        <v>0</v>
      </c>
      <c r="E102" s="388">
        <f>ABRIL!E102+MAYO!Q102</f>
        <v>0</v>
      </c>
      <c r="F102" s="388">
        <f t="shared" si="98"/>
        <v>0</v>
      </c>
      <c r="G102" s="388">
        <f>ABRIL!I102</f>
        <v>0</v>
      </c>
      <c r="H102" s="391">
        <v>0</v>
      </c>
      <c r="I102" s="388">
        <f t="shared" si="99"/>
        <v>0</v>
      </c>
      <c r="J102" s="388">
        <f>ABRIL!L102</f>
        <v>0</v>
      </c>
      <c r="K102" s="391">
        <v>0</v>
      </c>
      <c r="L102" s="388">
        <f t="shared" si="100"/>
        <v>0</v>
      </c>
      <c r="M102" s="388">
        <f t="shared" si="101"/>
        <v>0</v>
      </c>
      <c r="N102" s="389">
        <f t="shared" si="102"/>
        <v>0</v>
      </c>
      <c r="P102" s="375">
        <v>0</v>
      </c>
      <c r="Q102" s="378">
        <v>0</v>
      </c>
      <c r="R102" s="9"/>
      <c r="S102" s="719">
        <f>+IF(ABRIL!S102=0,"",ABRIL!S102)</f>
        <v>1020399</v>
      </c>
      <c r="T102" s="693" t="str">
        <f>+IF(ABRIL!T102=0,"",ABRIL!T102)</f>
        <v>Vigencias Anteriores</v>
      </c>
      <c r="U102" s="27">
        <f>+ENERO!U102</f>
        <v>0</v>
      </c>
      <c r="V102" s="15">
        <f>ABRIL!V102+MAYO!AL102</f>
        <v>0</v>
      </c>
      <c r="W102" s="15">
        <f>ABRIL!W102+MAYO!AM102</f>
        <v>54740941</v>
      </c>
      <c r="X102" s="18">
        <f t="shared" si="104"/>
        <v>54740941</v>
      </c>
      <c r="Y102" s="19">
        <f>ABRIL!AA102</f>
        <v>54740941</v>
      </c>
      <c r="Z102" s="377">
        <v>0</v>
      </c>
      <c r="AA102" s="18">
        <f t="shared" si="105"/>
        <v>54740941</v>
      </c>
      <c r="AB102" s="19">
        <f>ABRIL!AD102</f>
        <v>54740941</v>
      </c>
      <c r="AC102" s="377">
        <v>0</v>
      </c>
      <c r="AD102" s="18">
        <f t="shared" si="106"/>
        <v>54740941</v>
      </c>
      <c r="AE102" s="19">
        <f>ABRIL!AG102</f>
        <v>52961136</v>
      </c>
      <c r="AF102" s="377">
        <v>0</v>
      </c>
      <c r="AG102" s="18">
        <f t="shared" si="107"/>
        <v>52961136</v>
      </c>
      <c r="AH102" s="19">
        <f t="shared" si="108"/>
        <v>0</v>
      </c>
      <c r="AI102" s="15">
        <f t="shared" si="109"/>
        <v>0</v>
      </c>
      <c r="AJ102" s="16">
        <f t="shared" si="110"/>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+IF(ABRIL!A103=0,"",ABRIL!A103)</f>
        <v/>
      </c>
      <c r="B103" s="661" t="str">
        <f>+IF(ABRIL!B103=0,"",ABRIL!B103)</f>
        <v/>
      </c>
      <c r="C103" s="483"/>
      <c r="D103" s="483"/>
      <c r="E103" s="483"/>
      <c r="F103" s="483"/>
      <c r="G103" s="483"/>
      <c r="H103" s="483"/>
      <c r="I103" s="483"/>
      <c r="J103" s="483"/>
      <c r="K103" s="483"/>
      <c r="L103" s="483"/>
      <c r="M103" s="483"/>
      <c r="N103" s="484"/>
      <c r="P103" s="485"/>
      <c r="Q103" s="484"/>
      <c r="R103" s="9"/>
      <c r="S103" s="369" t="str">
        <f>+IF(ABRIL!S103=0,"",ABRIL!S103)</f>
        <v/>
      </c>
      <c r="T103" s="708" t="str">
        <f>+IF(ABRIL!T103=0,"",ABRIL!T103)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+IF(ABRIL!A104=0,"",ABRIL!A104)</f>
        <v>11304</v>
      </c>
      <c r="B104" s="626" t="str">
        <f>+IF(ABRIL!B104=0,"",ABRIL!B104)</f>
        <v>Otros ingresos corrientes</v>
      </c>
      <c r="C104" s="625">
        <f>SUM(C105:C111)</f>
        <v>107181679</v>
      </c>
      <c r="D104" s="623">
        <f t="shared" ref="D104:N104" si="111">SUM(D105:D111)</f>
        <v>0</v>
      </c>
      <c r="E104" s="623">
        <f t="shared" si="111"/>
        <v>0</v>
      </c>
      <c r="F104" s="623">
        <f t="shared" si="111"/>
        <v>107181679</v>
      </c>
      <c r="G104" s="623">
        <f t="shared" si="111"/>
        <v>36279636</v>
      </c>
      <c r="H104" s="623">
        <f t="shared" si="111"/>
        <v>7854950</v>
      </c>
      <c r="I104" s="623">
        <f t="shared" si="111"/>
        <v>44134586</v>
      </c>
      <c r="J104" s="623">
        <f t="shared" si="111"/>
        <v>36279636</v>
      </c>
      <c r="K104" s="623">
        <f t="shared" si="111"/>
        <v>7854950</v>
      </c>
      <c r="L104" s="623">
        <f t="shared" si="111"/>
        <v>44134586</v>
      </c>
      <c r="M104" s="623">
        <f t="shared" si="111"/>
        <v>63047093</v>
      </c>
      <c r="N104" s="624">
        <f t="shared" si="111"/>
        <v>63047093</v>
      </c>
      <c r="P104" s="43">
        <f>SUM(P105:P111)</f>
        <v>0</v>
      </c>
      <c r="Q104" s="45">
        <f>SUM(Q105:Q111)</f>
        <v>0</v>
      </c>
      <c r="R104" s="9"/>
      <c r="S104" s="718">
        <f>+IF(ABRIL!S104=0,"",ABRIL!S104)</f>
        <v>1020400</v>
      </c>
      <c r="T104" s="692" t="str">
        <f>+IF(ABRIL!T104=0,"",ABRIL!T104)</f>
        <v>Contribuciones Inherentes nómina del Sector Publico</v>
      </c>
      <c r="U104" s="135">
        <f t="shared" ref="U104:AJ104" si="112">U105+U108</f>
        <v>40619885</v>
      </c>
      <c r="V104" s="124">
        <f t="shared" si="112"/>
        <v>0</v>
      </c>
      <c r="W104" s="124">
        <f t="shared" si="112"/>
        <v>3013800</v>
      </c>
      <c r="X104" s="132">
        <f t="shared" si="112"/>
        <v>43633685</v>
      </c>
      <c r="Y104" s="131">
        <f t="shared" si="112"/>
        <v>15699200</v>
      </c>
      <c r="Z104" s="124">
        <f t="shared" si="112"/>
        <v>3173700</v>
      </c>
      <c r="AA104" s="132">
        <f t="shared" si="112"/>
        <v>18872900</v>
      </c>
      <c r="AB104" s="131">
        <f t="shared" si="112"/>
        <v>15699200</v>
      </c>
      <c r="AC104" s="124">
        <f t="shared" si="112"/>
        <v>3173700</v>
      </c>
      <c r="AD104" s="132">
        <f t="shared" si="112"/>
        <v>18872900</v>
      </c>
      <c r="AE104" s="131">
        <f t="shared" si="112"/>
        <v>12552300</v>
      </c>
      <c r="AF104" s="124">
        <f t="shared" si="112"/>
        <v>3146900</v>
      </c>
      <c r="AG104" s="132">
        <f t="shared" si="112"/>
        <v>15699200</v>
      </c>
      <c r="AH104" s="131">
        <f t="shared" si="112"/>
        <v>24760785</v>
      </c>
      <c r="AI104" s="124">
        <f t="shared" si="112"/>
        <v>24760785</v>
      </c>
      <c r="AJ104" s="133">
        <f t="shared" si="112"/>
        <v>27934485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+IF(ABRIL!A105=0,"",ABRIL!A105)</f>
        <v>11304-1</v>
      </c>
      <c r="B105" s="627" t="str">
        <f>+IF(ABRIL!B105=0,"",ABRIL!B105)</f>
        <v>ARRENDAMIENTO Y ALQUILER DE BIENES MUEBLES E INMUEBLES</v>
      </c>
      <c r="C105" s="401">
        <f>+ENERO!C105</f>
        <v>916364</v>
      </c>
      <c r="D105" s="376">
        <f>ABRIL!D105+MAYO!P105</f>
        <v>0</v>
      </c>
      <c r="E105" s="376">
        <f>ABRIL!E105+MAYO!Q105</f>
        <v>0</v>
      </c>
      <c r="F105" s="376">
        <f t="shared" ref="F105:F111" si="113">SUM(C105:E105)</f>
        <v>916364</v>
      </c>
      <c r="G105" s="376">
        <f>ABRIL!I105</f>
        <v>240000</v>
      </c>
      <c r="H105" s="798">
        <v>80000</v>
      </c>
      <c r="I105" s="376">
        <f t="shared" ref="I105:I111" si="114">SUM(G105:H105)</f>
        <v>320000</v>
      </c>
      <c r="J105" s="376">
        <f>ABRIL!L105</f>
        <v>240000</v>
      </c>
      <c r="K105" s="377">
        <v>80000</v>
      </c>
      <c r="L105" s="376">
        <f t="shared" ref="L105:L111" si="115">SUM(J105:K105)</f>
        <v>320000</v>
      </c>
      <c r="M105" s="376">
        <f t="shared" ref="M105:M111" si="116">F105-I105</f>
        <v>596364</v>
      </c>
      <c r="N105" s="146">
        <f t="shared" ref="N105:N111" si="117">F105-L105</f>
        <v>596364</v>
      </c>
      <c r="P105" s="375">
        <v>0</v>
      </c>
      <c r="Q105" s="378">
        <v>0</v>
      </c>
      <c r="R105" s="9"/>
      <c r="S105" s="719">
        <f>+IF(ABRIL!S105=0,"",ABRIL!S105)</f>
        <v>1020402</v>
      </c>
      <c r="T105" s="693" t="str">
        <f>+IF(ABRIL!T105=0,"",ABRIL!T105)</f>
        <v>Contribuciones - Otros</v>
      </c>
      <c r="U105" s="27">
        <f t="shared" ref="U105:AJ105" si="118">SUM(U106:U107)</f>
        <v>40619885</v>
      </c>
      <c r="V105" s="15">
        <f t="shared" si="118"/>
        <v>0</v>
      </c>
      <c r="W105" s="15">
        <f t="shared" si="118"/>
        <v>0</v>
      </c>
      <c r="X105" s="18">
        <f t="shared" si="118"/>
        <v>40619885</v>
      </c>
      <c r="Y105" s="19">
        <f t="shared" si="118"/>
        <v>12685400</v>
      </c>
      <c r="Z105" s="145">
        <f t="shared" si="118"/>
        <v>3173700</v>
      </c>
      <c r="AA105" s="18">
        <f t="shared" si="118"/>
        <v>15859100</v>
      </c>
      <c r="AB105" s="19">
        <f t="shared" si="118"/>
        <v>12685400</v>
      </c>
      <c r="AC105" s="145">
        <f t="shared" si="118"/>
        <v>3173700</v>
      </c>
      <c r="AD105" s="18">
        <f t="shared" si="118"/>
        <v>15859100</v>
      </c>
      <c r="AE105" s="19">
        <f t="shared" si="118"/>
        <v>9538500</v>
      </c>
      <c r="AF105" s="145">
        <f t="shared" si="118"/>
        <v>3146900</v>
      </c>
      <c r="AG105" s="18">
        <f t="shared" si="118"/>
        <v>12685400</v>
      </c>
      <c r="AH105" s="19">
        <f t="shared" si="118"/>
        <v>24760785</v>
      </c>
      <c r="AI105" s="15">
        <f t="shared" si="118"/>
        <v>24760785</v>
      </c>
      <c r="AJ105" s="16">
        <f t="shared" si="118"/>
        <v>27934485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+IF(ABRIL!A106=0,"",ABRIL!A106)</f>
        <v>11304-2</v>
      </c>
      <c r="B106" s="628" t="str">
        <f>+IF(ABRIL!B106=0,"",ABRIL!B106)</f>
        <v>COMERCIALIZACIÓN DE MERCANCÍAS</v>
      </c>
      <c r="C106" s="401">
        <f>+ENERO!C106</f>
        <v>105119431</v>
      </c>
      <c r="D106" s="376">
        <f>ABRIL!D106+MAYO!P106</f>
        <v>0</v>
      </c>
      <c r="E106" s="376">
        <f>ABRIL!E106+MAYO!Q106</f>
        <v>0</v>
      </c>
      <c r="F106" s="376">
        <f t="shared" si="113"/>
        <v>105119431</v>
      </c>
      <c r="G106" s="376">
        <f>ABRIL!I106</f>
        <v>33728597</v>
      </c>
      <c r="H106" s="377">
        <v>7683300</v>
      </c>
      <c r="I106" s="376">
        <f t="shared" si="114"/>
        <v>41411897</v>
      </c>
      <c r="J106" s="376">
        <f>ABRIL!L106</f>
        <v>33728597</v>
      </c>
      <c r="K106" s="377">
        <v>7683300</v>
      </c>
      <c r="L106" s="376">
        <f t="shared" si="115"/>
        <v>41411897</v>
      </c>
      <c r="M106" s="376">
        <f t="shared" si="116"/>
        <v>63707534</v>
      </c>
      <c r="N106" s="146">
        <f t="shared" si="117"/>
        <v>63707534</v>
      </c>
      <c r="P106" s="375">
        <v>0</v>
      </c>
      <c r="Q106" s="378">
        <v>0</v>
      </c>
      <c r="R106" s="9"/>
      <c r="S106" s="720" t="str">
        <f>+IF(ABRIL!S106=0,"",ABRIL!S106)</f>
        <v>1020402-1</v>
      </c>
      <c r="T106" s="693" t="str">
        <f>+IF(ABRIL!T106=0,"",ABRIL!T106)</f>
        <v>S.E.N.A.</v>
      </c>
      <c r="U106" s="27">
        <f>+ENERO!U106</f>
        <v>16247954</v>
      </c>
      <c r="V106" s="15">
        <f>ABRIL!V106+MAYO!AL106</f>
        <v>0</v>
      </c>
      <c r="W106" s="15">
        <f>ABRIL!W106+MAYO!AM106</f>
        <v>0</v>
      </c>
      <c r="X106" s="18">
        <f>SUM(U106:W106)</f>
        <v>16247954</v>
      </c>
      <c r="Y106" s="19">
        <f>ABRIL!AA106</f>
        <v>5074400</v>
      </c>
      <c r="Z106" s="377">
        <v>1269500</v>
      </c>
      <c r="AA106" s="18">
        <f>SUM(Y106:Z106)</f>
        <v>6343900</v>
      </c>
      <c r="AB106" s="19">
        <f>ABRIL!AD106</f>
        <v>5074400</v>
      </c>
      <c r="AC106" s="377">
        <v>1269500</v>
      </c>
      <c r="AD106" s="18">
        <f>SUM(AB106:AC106)</f>
        <v>6343900</v>
      </c>
      <c r="AE106" s="19">
        <f>ABRIL!AG106</f>
        <v>3815600</v>
      </c>
      <c r="AF106" s="377">
        <v>1258800</v>
      </c>
      <c r="AG106" s="18">
        <f>SUM(AE106:AF106)</f>
        <v>5074400</v>
      </c>
      <c r="AH106" s="19">
        <f>X106-AA106</f>
        <v>9904054</v>
      </c>
      <c r="AI106" s="15">
        <f>X106-AD106</f>
        <v>9904054</v>
      </c>
      <c r="AJ106" s="16">
        <f>X106-AG106</f>
        <v>11173554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+IF(ABRIL!A107=0,"",ABRIL!A107)</f>
        <v>11304-3</v>
      </c>
      <c r="B107" s="627" t="str">
        <f>+IF(ABRIL!B107=0,"",ABRIL!B107)</f>
        <v>Bienestar Social</v>
      </c>
      <c r="C107" s="401">
        <f>+ENERO!C107</f>
        <v>0</v>
      </c>
      <c r="D107" s="376">
        <f>ABRIL!D107+MAYO!P107</f>
        <v>0</v>
      </c>
      <c r="E107" s="376">
        <f>ABRIL!E107+MAYO!Q107</f>
        <v>0</v>
      </c>
      <c r="F107" s="376">
        <f t="shared" si="113"/>
        <v>0</v>
      </c>
      <c r="G107" s="376">
        <f>ABRIL!I107</f>
        <v>0</v>
      </c>
      <c r="H107" s="377">
        <v>0</v>
      </c>
      <c r="I107" s="376">
        <f t="shared" si="114"/>
        <v>0</v>
      </c>
      <c r="J107" s="376">
        <f>ABRIL!L107</f>
        <v>0</v>
      </c>
      <c r="K107" s="377">
        <v>0</v>
      </c>
      <c r="L107" s="376">
        <f t="shared" si="115"/>
        <v>0</v>
      </c>
      <c r="M107" s="376">
        <f t="shared" si="116"/>
        <v>0</v>
      </c>
      <c r="N107" s="146">
        <f t="shared" si="117"/>
        <v>0</v>
      </c>
      <c r="P107" s="375">
        <v>0</v>
      </c>
      <c r="Q107" s="378">
        <v>0</v>
      </c>
      <c r="R107" s="9"/>
      <c r="S107" s="720" t="str">
        <f>+IF(ABRIL!S107=0,"",ABRIL!S107)</f>
        <v>1020402-2</v>
      </c>
      <c r="T107" s="693" t="str">
        <f>+IF(ABRIL!T107=0,"",ABRIL!T107)</f>
        <v>I.C.B.F.</v>
      </c>
      <c r="U107" s="27">
        <f>+ENERO!U107</f>
        <v>24371931</v>
      </c>
      <c r="V107" s="15">
        <f>ABRIL!V107+MAYO!AL107</f>
        <v>0</v>
      </c>
      <c r="W107" s="15">
        <f>ABRIL!W107+MAYO!AM107</f>
        <v>0</v>
      </c>
      <c r="X107" s="18">
        <f>SUM(U107:W107)</f>
        <v>24371931</v>
      </c>
      <c r="Y107" s="19">
        <f>ABRIL!AA107</f>
        <v>7611000</v>
      </c>
      <c r="Z107" s="377">
        <v>1904200</v>
      </c>
      <c r="AA107" s="18">
        <f>SUM(Y107:Z107)</f>
        <v>9515200</v>
      </c>
      <c r="AB107" s="19">
        <f>ABRIL!AD107</f>
        <v>7611000</v>
      </c>
      <c r="AC107" s="377">
        <v>1904200</v>
      </c>
      <c r="AD107" s="18">
        <f>SUM(AB107:AC107)</f>
        <v>9515200</v>
      </c>
      <c r="AE107" s="19">
        <f>ABRIL!AG107</f>
        <v>5722900</v>
      </c>
      <c r="AF107" s="377">
        <v>1888100</v>
      </c>
      <c r="AG107" s="18">
        <f>SUM(AE107:AF107)</f>
        <v>7611000</v>
      </c>
      <c r="AH107" s="19">
        <f>X107-AA107</f>
        <v>14856731</v>
      </c>
      <c r="AI107" s="15">
        <f>X107-AD107</f>
        <v>14856731</v>
      </c>
      <c r="AJ107" s="16">
        <f>X107-AG107</f>
        <v>16760931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+IF(ABRIL!A108=0,"",ABRIL!A108)</f>
        <v>11304-4</v>
      </c>
      <c r="B108" s="627" t="str">
        <f>+IF(ABRIL!B108=0,"",ABRIL!B108)</f>
        <v>Fondo de la Vivienda</v>
      </c>
      <c r="C108" s="401">
        <f>+ENERO!C108</f>
        <v>0</v>
      </c>
      <c r="D108" s="376">
        <f>ABRIL!D108+MAYO!P108</f>
        <v>0</v>
      </c>
      <c r="E108" s="376">
        <f>ABRIL!E108+MAYO!Q108</f>
        <v>0</v>
      </c>
      <c r="F108" s="376">
        <f t="shared" si="113"/>
        <v>0</v>
      </c>
      <c r="G108" s="376">
        <f>ABRIL!I108</f>
        <v>0</v>
      </c>
      <c r="H108" s="377">
        <v>0</v>
      </c>
      <c r="I108" s="376">
        <f t="shared" si="114"/>
        <v>0</v>
      </c>
      <c r="J108" s="376">
        <f>ABRIL!L108</f>
        <v>0</v>
      </c>
      <c r="K108" s="377">
        <v>0</v>
      </c>
      <c r="L108" s="376">
        <f t="shared" si="115"/>
        <v>0</v>
      </c>
      <c r="M108" s="376">
        <f t="shared" si="116"/>
        <v>0</v>
      </c>
      <c r="N108" s="146">
        <f t="shared" si="117"/>
        <v>0</v>
      </c>
      <c r="P108" s="375">
        <v>0</v>
      </c>
      <c r="Q108" s="378">
        <v>0</v>
      </c>
      <c r="R108" s="9"/>
      <c r="S108" s="719">
        <f>+IF(ABRIL!S108=0,"",ABRIL!S108)</f>
        <v>1020499</v>
      </c>
      <c r="T108" s="693" t="str">
        <f>+IF(ABRIL!T108=0,"",ABRIL!T108)</f>
        <v>Vigencias Anteriores</v>
      </c>
      <c r="U108" s="27">
        <f>+ENERO!U108</f>
        <v>0</v>
      </c>
      <c r="V108" s="15">
        <f>ABRIL!V108+MAYO!AL108</f>
        <v>0</v>
      </c>
      <c r="W108" s="15">
        <f>ABRIL!W108+MAYO!AM108</f>
        <v>3013800</v>
      </c>
      <c r="X108" s="18">
        <f>SUM(U108:W108)</f>
        <v>3013800</v>
      </c>
      <c r="Y108" s="19">
        <f>ABRIL!AA108</f>
        <v>3013800</v>
      </c>
      <c r="Z108" s="377">
        <v>0</v>
      </c>
      <c r="AA108" s="18">
        <f>SUM(Y108:Z108)</f>
        <v>3013800</v>
      </c>
      <c r="AB108" s="19">
        <f>ABRIL!AD108</f>
        <v>3013800</v>
      </c>
      <c r="AC108" s="377">
        <v>0</v>
      </c>
      <c r="AD108" s="18">
        <f>SUM(AB108:AC108)</f>
        <v>3013800</v>
      </c>
      <c r="AE108" s="19">
        <f>ABRIL!AG108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+IF(ABRIL!A109=0,"",ABRIL!A109)</f>
        <v>11304-5</v>
      </c>
      <c r="B109" s="627" t="str">
        <f>+IF(ABRIL!B109=0,"",ABRIL!B109)</f>
        <v xml:space="preserve">Aprovechamientos </v>
      </c>
      <c r="C109" s="401">
        <f>+ENERO!C109</f>
        <v>1145884</v>
      </c>
      <c r="D109" s="376">
        <f>ABRIL!D109+MAYO!P109</f>
        <v>0</v>
      </c>
      <c r="E109" s="376">
        <f>ABRIL!E109+MAYO!Q109</f>
        <v>0</v>
      </c>
      <c r="F109" s="376">
        <f t="shared" si="113"/>
        <v>1145884</v>
      </c>
      <c r="G109" s="376">
        <f>ABRIL!I109</f>
        <v>2202704</v>
      </c>
      <c r="H109" s="377">
        <v>91650</v>
      </c>
      <c r="I109" s="376">
        <f t="shared" si="114"/>
        <v>2294354</v>
      </c>
      <c r="J109" s="376">
        <f>ABRIL!L109</f>
        <v>2202704</v>
      </c>
      <c r="K109" s="377">
        <v>91650</v>
      </c>
      <c r="L109" s="376">
        <f t="shared" si="115"/>
        <v>2294354</v>
      </c>
      <c r="M109" s="376">
        <f t="shared" si="116"/>
        <v>-1148470</v>
      </c>
      <c r="N109" s="146">
        <f t="shared" si="117"/>
        <v>-1148470</v>
      </c>
      <c r="P109" s="375">
        <v>0</v>
      </c>
      <c r="Q109" s="378">
        <v>0</v>
      </c>
      <c r="R109" s="9"/>
      <c r="S109" s="369" t="str">
        <f>+IF(ABRIL!S109=0,"",ABRIL!S109)</f>
        <v/>
      </c>
      <c r="T109" s="708" t="str">
        <f>+IF(ABRIL!T109=0,"",ABRIL!T109)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+IF(ABRIL!A110=0,"",ABRIL!A110)</f>
        <v>11304-6</v>
      </c>
      <c r="B110" s="627" t="str">
        <f>+IF(ABRIL!B110=0,"",ABRIL!B110)</f>
        <v>Otros</v>
      </c>
      <c r="C110" s="401">
        <f>+ENERO!C110</f>
        <v>0</v>
      </c>
      <c r="D110" s="376">
        <f>ABRIL!D110+MAYO!P110</f>
        <v>0</v>
      </c>
      <c r="E110" s="376">
        <f>ABRIL!E110+MAYO!Q110</f>
        <v>0</v>
      </c>
      <c r="F110" s="376">
        <f t="shared" si="113"/>
        <v>0</v>
      </c>
      <c r="G110" s="376">
        <f>ABRIL!I110</f>
        <v>28335</v>
      </c>
      <c r="H110" s="377">
        <v>0</v>
      </c>
      <c r="I110" s="376">
        <f t="shared" si="114"/>
        <v>28335</v>
      </c>
      <c r="J110" s="376">
        <f>ABRIL!L110</f>
        <v>28335</v>
      </c>
      <c r="K110" s="377">
        <v>0</v>
      </c>
      <c r="L110" s="376">
        <f t="shared" si="115"/>
        <v>28335</v>
      </c>
      <c r="M110" s="376">
        <f t="shared" si="116"/>
        <v>-28335</v>
      </c>
      <c r="N110" s="146">
        <f t="shared" si="117"/>
        <v>-28335</v>
      </c>
      <c r="P110" s="375">
        <v>0</v>
      </c>
      <c r="Q110" s="378">
        <v>0</v>
      </c>
      <c r="R110" s="9"/>
      <c r="S110" s="717">
        <f>+IF(ABRIL!S110=0,"",ABRIL!S110)</f>
        <v>2000000</v>
      </c>
      <c r="T110" s="697" t="str">
        <f>+IF(ABRIL!T110=0,"",ABRIL!T110)</f>
        <v>GASTOS GENERALES</v>
      </c>
      <c r="U110" s="473">
        <f t="shared" ref="U110:AJ110" si="119">U112+U145</f>
        <v>505626661</v>
      </c>
      <c r="V110" s="474">
        <f t="shared" si="119"/>
        <v>25000000</v>
      </c>
      <c r="W110" s="474">
        <f t="shared" si="119"/>
        <v>213332840</v>
      </c>
      <c r="X110" s="475">
        <f t="shared" si="119"/>
        <v>743959501</v>
      </c>
      <c r="Y110" s="382">
        <f t="shared" si="119"/>
        <v>357983420</v>
      </c>
      <c r="Z110" s="474">
        <f t="shared" si="119"/>
        <v>45568875</v>
      </c>
      <c r="AA110" s="475">
        <f t="shared" si="119"/>
        <v>403552295</v>
      </c>
      <c r="AB110" s="382">
        <f t="shared" si="119"/>
        <v>290384110</v>
      </c>
      <c r="AC110" s="474">
        <f t="shared" si="119"/>
        <v>58841442</v>
      </c>
      <c r="AD110" s="475">
        <f t="shared" si="119"/>
        <v>349225552</v>
      </c>
      <c r="AE110" s="382">
        <f t="shared" si="119"/>
        <v>144808122</v>
      </c>
      <c r="AF110" s="474">
        <f t="shared" si="119"/>
        <v>93187739</v>
      </c>
      <c r="AG110" s="475">
        <f t="shared" si="119"/>
        <v>237995861</v>
      </c>
      <c r="AH110" s="382">
        <f t="shared" si="119"/>
        <v>340407206</v>
      </c>
      <c r="AI110" s="474">
        <f t="shared" si="119"/>
        <v>394733949</v>
      </c>
      <c r="AJ110" s="383">
        <f t="shared" si="119"/>
        <v>505963640</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+IF(ABRIL!A111=0,"",ABRIL!A111)</f>
        <v>11304-7</v>
      </c>
      <c r="B111" s="662" t="str">
        <f>+IF(ABRIL!B111=0,"",ABRIL!B111)</f>
        <v>Vigencia Anterior</v>
      </c>
      <c r="C111" s="491">
        <f>+ENERO!C111</f>
        <v>0</v>
      </c>
      <c r="D111" s="388">
        <f>ABRIL!D111+MAYO!P111</f>
        <v>0</v>
      </c>
      <c r="E111" s="388">
        <f>ABRIL!E111+MAYO!Q111</f>
        <v>0</v>
      </c>
      <c r="F111" s="388">
        <f t="shared" si="113"/>
        <v>0</v>
      </c>
      <c r="G111" s="388">
        <f>ABRIL!I111</f>
        <v>80000</v>
      </c>
      <c r="H111" s="391"/>
      <c r="I111" s="388">
        <f t="shared" si="114"/>
        <v>80000</v>
      </c>
      <c r="J111" s="388">
        <f>ABRIL!L111</f>
        <v>80000</v>
      </c>
      <c r="K111" s="391"/>
      <c r="L111" s="388">
        <f t="shared" si="115"/>
        <v>80000</v>
      </c>
      <c r="M111" s="388">
        <f t="shared" si="116"/>
        <v>-80000</v>
      </c>
      <c r="N111" s="389">
        <f t="shared" si="117"/>
        <v>-80000</v>
      </c>
      <c r="P111" s="375">
        <v>0</v>
      </c>
      <c r="Q111" s="378">
        <v>0</v>
      </c>
      <c r="R111" s="9"/>
      <c r="S111" s="369" t="str">
        <f>+IF(ABRIL!S111=0,"",ABRIL!S111)</f>
        <v/>
      </c>
      <c r="T111" s="708" t="str">
        <f>+IF(ABRIL!T111=0,"",ABRIL!T111)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+IF(ABRIL!A112=0,"",ABRIL!A112)</f>
        <v/>
      </c>
      <c r="B112" s="661" t="str">
        <f>+IF(ABRIL!B112=0,"",ABRIL!B112)</f>
        <v/>
      </c>
      <c r="C112" s="483"/>
      <c r="D112" s="483"/>
      <c r="E112" s="483"/>
      <c r="F112" s="483"/>
      <c r="G112" s="483"/>
      <c r="H112" s="483"/>
      <c r="I112" s="483"/>
      <c r="J112" s="483"/>
      <c r="K112" s="483"/>
      <c r="L112" s="483"/>
      <c r="M112" s="483"/>
      <c r="N112" s="484"/>
      <c r="P112" s="485"/>
      <c r="Q112" s="484"/>
      <c r="R112" s="9"/>
      <c r="S112" s="717">
        <f>+IF(ABRIL!S112=0,"",ABRIL!S112)</f>
        <v>2010000</v>
      </c>
      <c r="T112" s="691" t="str">
        <f>+IF(ABRIL!T112=0,"",ABRIL!T112)</f>
        <v>Gastos de Administración</v>
      </c>
      <c r="U112" s="135">
        <f t="shared" ref="U112:AJ112" si="120">U114+U123+U141</f>
        <v>181650786</v>
      </c>
      <c r="V112" s="124">
        <f t="shared" si="120"/>
        <v>0</v>
      </c>
      <c r="W112" s="124">
        <f t="shared" si="120"/>
        <v>102233652</v>
      </c>
      <c r="X112" s="132">
        <f t="shared" si="120"/>
        <v>283884438</v>
      </c>
      <c r="Y112" s="131">
        <f t="shared" si="120"/>
        <v>106456434</v>
      </c>
      <c r="Z112" s="124">
        <f t="shared" si="120"/>
        <v>33706669</v>
      </c>
      <c r="AA112" s="132">
        <f t="shared" si="120"/>
        <v>140163103</v>
      </c>
      <c r="AB112" s="131">
        <f t="shared" si="120"/>
        <v>103831434</v>
      </c>
      <c r="AC112" s="124">
        <f t="shared" si="120"/>
        <v>34056669</v>
      </c>
      <c r="AD112" s="132">
        <f t="shared" si="120"/>
        <v>137888103</v>
      </c>
      <c r="AE112" s="131">
        <f t="shared" si="120"/>
        <v>51866344</v>
      </c>
      <c r="AF112" s="124">
        <f t="shared" si="120"/>
        <v>43791069</v>
      </c>
      <c r="AG112" s="132">
        <f t="shared" si="120"/>
        <v>95657413</v>
      </c>
      <c r="AH112" s="131">
        <f t="shared" si="120"/>
        <v>143721335</v>
      </c>
      <c r="AI112" s="124">
        <f t="shared" si="120"/>
        <v>145996335</v>
      </c>
      <c r="AJ112" s="133">
        <f t="shared" si="120"/>
        <v>188227025</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+IF(ABRIL!A113=0,"",ABRIL!A113)</f>
        <v>2000</v>
      </c>
      <c r="B113" s="648" t="str">
        <f>+IF(ABRIL!B113=0,"",ABRIL!B113)</f>
        <v>INGRESOS DE CAPITAL</v>
      </c>
      <c r="C113" s="631">
        <f>SUM(C115:C124)</f>
        <v>32659146</v>
      </c>
      <c r="D113" s="632">
        <f>SUM(D115:D124)</f>
        <v>0</v>
      </c>
      <c r="E113" s="632">
        <f t="shared" ref="E113:N113" si="121">SUM(E115:E124)</f>
        <v>27176600</v>
      </c>
      <c r="F113" s="632">
        <f t="shared" si="121"/>
        <v>59835746</v>
      </c>
      <c r="G113" s="632">
        <f t="shared" si="121"/>
        <v>7512427</v>
      </c>
      <c r="H113" s="632">
        <f t="shared" si="121"/>
        <v>14664672</v>
      </c>
      <c r="I113" s="632">
        <f t="shared" si="121"/>
        <v>22177099</v>
      </c>
      <c r="J113" s="632">
        <f t="shared" si="121"/>
        <v>7512427</v>
      </c>
      <c r="K113" s="632">
        <f t="shared" si="121"/>
        <v>14664672</v>
      </c>
      <c r="L113" s="632">
        <f t="shared" si="121"/>
        <v>22177099</v>
      </c>
      <c r="M113" s="632">
        <f t="shared" si="121"/>
        <v>37658647</v>
      </c>
      <c r="N113" s="633">
        <f t="shared" si="121"/>
        <v>37658647</v>
      </c>
      <c r="O113" s="464"/>
      <c r="P113" s="177">
        <f>SUM(P115:P124)</f>
        <v>0</v>
      </c>
      <c r="Q113" s="178">
        <f>SUM(Q115:Q124)</f>
        <v>0</v>
      </c>
      <c r="R113" s="9"/>
      <c r="S113" s="369" t="str">
        <f>+IF(ABRIL!S113=0,"",ABRIL!S113)</f>
        <v/>
      </c>
      <c r="T113" s="708" t="str">
        <f>+IF(ABRIL!T113=0,"",ABRIL!T113)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+IF(ABRIL!A114=0,"",ABRIL!A114)</f>
        <v/>
      </c>
      <c r="B114" s="661" t="str">
        <f>+IF(ABRIL!B114=0,"",ABRIL!B114)</f>
        <v/>
      </c>
      <c r="C114" s="483"/>
      <c r="D114" s="483"/>
      <c r="E114" s="483"/>
      <c r="F114" s="483"/>
      <c r="G114" s="483"/>
      <c r="H114" s="483"/>
      <c r="I114" s="483"/>
      <c r="J114" s="483"/>
      <c r="K114" s="483"/>
      <c r="L114" s="483"/>
      <c r="M114" s="483"/>
      <c r="N114" s="484"/>
      <c r="P114" s="485"/>
      <c r="Q114" s="484"/>
      <c r="R114" s="9"/>
      <c r="S114" s="718">
        <f>+IF(ABRIL!S114=0,"",ABRIL!S114)</f>
        <v>2010100</v>
      </c>
      <c r="T114" s="692" t="str">
        <f>+IF(ABRIL!T114=0,"",ABRIL!T114)</f>
        <v>Adquisición de bienes</v>
      </c>
      <c r="U114" s="135">
        <f t="shared" ref="U114:AJ114" si="122">SUM(U115:U121)</f>
        <v>29771433</v>
      </c>
      <c r="V114" s="124">
        <f t="shared" si="122"/>
        <v>0</v>
      </c>
      <c r="W114" s="124">
        <f t="shared" si="122"/>
        <v>69356464</v>
      </c>
      <c r="X114" s="132">
        <f t="shared" si="122"/>
        <v>99127897</v>
      </c>
      <c r="Y114" s="131">
        <f t="shared" si="122"/>
        <v>27956407</v>
      </c>
      <c r="Z114" s="124">
        <f t="shared" si="122"/>
        <v>24637706</v>
      </c>
      <c r="AA114" s="132">
        <f t="shared" si="122"/>
        <v>52594113</v>
      </c>
      <c r="AB114" s="131">
        <f t="shared" si="122"/>
        <v>27956407</v>
      </c>
      <c r="AC114" s="124">
        <f t="shared" si="122"/>
        <v>24637706</v>
      </c>
      <c r="AD114" s="132">
        <f t="shared" si="122"/>
        <v>52594113</v>
      </c>
      <c r="AE114" s="131">
        <f t="shared" si="122"/>
        <v>13979585</v>
      </c>
      <c r="AF114" s="124">
        <f t="shared" si="122"/>
        <v>28365925</v>
      </c>
      <c r="AG114" s="132">
        <f t="shared" si="122"/>
        <v>42345510</v>
      </c>
      <c r="AH114" s="131">
        <f t="shared" si="122"/>
        <v>46533784</v>
      </c>
      <c r="AI114" s="124">
        <f t="shared" si="122"/>
        <v>46533784</v>
      </c>
      <c r="AJ114" s="133">
        <f t="shared" si="122"/>
        <v>56782387</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+IF(ABRIL!A115=0,"",ABRIL!A115)</f>
        <v>2100</v>
      </c>
      <c r="B115" s="634" t="str">
        <f>+IF(ABRIL!B115=0,"",ABRIL!B115)</f>
        <v>CREDITO INTERNO</v>
      </c>
      <c r="C115" s="375">
        <f>+ENERO!C115</f>
        <v>0</v>
      </c>
      <c r="D115" s="467">
        <f>ABRIL!D115+MAYO!P115</f>
        <v>0</v>
      </c>
      <c r="E115" s="467">
        <f>ABRIL!E115+MAYO!Q115</f>
        <v>0</v>
      </c>
      <c r="F115" s="471">
        <f t="shared" ref="F115:F124" si="123">SUM(C115:E115)</f>
        <v>0</v>
      </c>
      <c r="G115" s="469">
        <f>ABRIL!I115</f>
        <v>0</v>
      </c>
      <c r="H115" s="377">
        <v>0</v>
      </c>
      <c r="I115" s="471">
        <f t="shared" ref="I115:I124" si="124">SUM(G115:H115)</f>
        <v>0</v>
      </c>
      <c r="J115" s="469">
        <f>ABRIL!L115</f>
        <v>0</v>
      </c>
      <c r="K115" s="377">
        <v>0</v>
      </c>
      <c r="L115" s="468">
        <f t="shared" ref="L115:L124" si="125">SUM(J115:K115)</f>
        <v>0</v>
      </c>
      <c r="M115" s="472">
        <f t="shared" ref="M115:M124" si="126">F115-I115</f>
        <v>0</v>
      </c>
      <c r="N115" s="468">
        <f t="shared" ref="N115:N124" si="127">F115-L115</f>
        <v>0</v>
      </c>
      <c r="O115" s="464"/>
      <c r="P115" s="375">
        <v>0</v>
      </c>
      <c r="Q115" s="378">
        <v>0</v>
      </c>
      <c r="R115" s="9"/>
      <c r="S115" s="719" t="str">
        <f>+IF(ABRIL!S115=0,"",ABRIL!S115)</f>
        <v>2010100-1</v>
      </c>
      <c r="T115" s="693" t="str">
        <f>+IF(ABRIL!T115=0,"",ABRIL!T115)</f>
        <v>Compra de Equipos</v>
      </c>
      <c r="U115" s="27">
        <f>+ENERO!U115</f>
        <v>0</v>
      </c>
      <c r="V115" s="15">
        <f>ABRIL!V115+MAYO!AL115</f>
        <v>0</v>
      </c>
      <c r="W115" s="15">
        <f>ABRIL!W115+MAYO!AM115</f>
        <v>57176600</v>
      </c>
      <c r="X115" s="18">
        <f t="shared" ref="X115:X121" si="128">SUM(U115:W115)</f>
        <v>57176600</v>
      </c>
      <c r="Y115" s="19">
        <f>ABRIL!AA115</f>
        <v>2513720</v>
      </c>
      <c r="Z115" s="377">
        <v>22272000</v>
      </c>
      <c r="AA115" s="18">
        <f t="shared" ref="AA115:AA121" si="129">SUM(Y115:Z115)</f>
        <v>24785720</v>
      </c>
      <c r="AB115" s="19">
        <f>ABRIL!AD115</f>
        <v>2513720</v>
      </c>
      <c r="AC115" s="377">
        <v>22272000</v>
      </c>
      <c r="AD115" s="18">
        <f t="shared" ref="AD115:AD121" si="130">SUM(AB115:AC115)</f>
        <v>24785720</v>
      </c>
      <c r="AE115" s="19">
        <f>ABRIL!AG115</f>
        <v>0</v>
      </c>
      <c r="AF115" s="377">
        <v>24785720</v>
      </c>
      <c r="AG115" s="18">
        <f t="shared" ref="AG115:AG121" si="131">SUM(AE115:AF115)</f>
        <v>24785720</v>
      </c>
      <c r="AH115" s="19">
        <f t="shared" ref="AH115:AH121" si="132">X115-AA115</f>
        <v>32390880</v>
      </c>
      <c r="AI115" s="15">
        <f t="shared" ref="AI115:AI121" si="133">X115-AD115</f>
        <v>32390880</v>
      </c>
      <c r="AJ115" s="16">
        <f t="shared" ref="AJ115:AJ121" si="134">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+IF(ABRIL!A116=0,"",ABRIL!A116)</f>
        <v>2100-1</v>
      </c>
      <c r="B116" s="635" t="str">
        <f>+IF(ABRIL!B116=0,"",ABRIL!B116)</f>
        <v>Vigencia Anterior</v>
      </c>
      <c r="C116" s="375">
        <f>+ENERO!C116</f>
        <v>0</v>
      </c>
      <c r="D116" s="467">
        <f>ABRIL!D116+MAYO!P116</f>
        <v>0</v>
      </c>
      <c r="E116" s="467">
        <f>ABRIL!E116+MAYO!Q116</f>
        <v>0</v>
      </c>
      <c r="F116" s="471">
        <f t="shared" si="123"/>
        <v>0</v>
      </c>
      <c r="G116" s="469">
        <f>ABRIL!I116</f>
        <v>0</v>
      </c>
      <c r="H116" s="377">
        <v>0</v>
      </c>
      <c r="I116" s="471">
        <f t="shared" si="124"/>
        <v>0</v>
      </c>
      <c r="J116" s="469">
        <f>ABRIL!L116</f>
        <v>0</v>
      </c>
      <c r="K116" s="377">
        <v>0</v>
      </c>
      <c r="L116" s="468">
        <f t="shared" si="125"/>
        <v>0</v>
      </c>
      <c r="M116" s="472">
        <f t="shared" si="126"/>
        <v>0</v>
      </c>
      <c r="N116" s="468">
        <f t="shared" si="127"/>
        <v>0</v>
      </c>
      <c r="O116" s="464"/>
      <c r="P116" s="375">
        <v>0</v>
      </c>
      <c r="Q116" s="378">
        <v>0</v>
      </c>
      <c r="R116" s="9"/>
      <c r="S116" s="719" t="str">
        <f>+IF(ABRIL!S116=0,"",ABRIL!S116)</f>
        <v>2010100-2</v>
      </c>
      <c r="T116" s="693" t="str">
        <f>+IF(ABRIL!T116=0,"",ABRIL!T116)</f>
        <v>Materiales</v>
      </c>
      <c r="U116" s="27">
        <f>+ENERO!U116</f>
        <v>29771433</v>
      </c>
      <c r="V116" s="15">
        <f>ABRIL!V116+MAYO!AL116</f>
        <v>0</v>
      </c>
      <c r="W116" s="15">
        <f>ABRIL!W116+MAYO!AM116</f>
        <v>0</v>
      </c>
      <c r="X116" s="18">
        <f t="shared" si="128"/>
        <v>29771433</v>
      </c>
      <c r="Y116" s="19">
        <f>ABRIL!AA116</f>
        <v>13262823</v>
      </c>
      <c r="Z116" s="377">
        <v>2365706</v>
      </c>
      <c r="AA116" s="18">
        <f t="shared" si="129"/>
        <v>15628529</v>
      </c>
      <c r="AB116" s="19">
        <f>ABRIL!AD116</f>
        <v>13262823</v>
      </c>
      <c r="AC116" s="377">
        <v>2365706</v>
      </c>
      <c r="AD116" s="18">
        <f t="shared" si="130"/>
        <v>15628529</v>
      </c>
      <c r="AE116" s="19">
        <f>ABRIL!AG116</f>
        <v>2112921</v>
      </c>
      <c r="AF116" s="377">
        <v>3267005</v>
      </c>
      <c r="AG116" s="18">
        <f t="shared" si="131"/>
        <v>5379926</v>
      </c>
      <c r="AH116" s="19">
        <f t="shared" si="132"/>
        <v>14142904</v>
      </c>
      <c r="AI116" s="15">
        <f t="shared" si="133"/>
        <v>14142904</v>
      </c>
      <c r="AJ116" s="16">
        <f t="shared" si="134"/>
        <v>24391507</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+IF(ABRIL!A117=0,"",ABRIL!A117)</f>
        <v>2200</v>
      </c>
      <c r="B117" s="634" t="str">
        <f>+IF(ABRIL!B117=0,"",ABRIL!B117)</f>
        <v>CREDITO EXTERNO</v>
      </c>
      <c r="C117" s="375">
        <f>+ENERO!C117</f>
        <v>0</v>
      </c>
      <c r="D117" s="467">
        <f>ABRIL!D117+MAYO!P117</f>
        <v>0</v>
      </c>
      <c r="E117" s="467">
        <f>ABRIL!E117+MAYO!Q117</f>
        <v>0</v>
      </c>
      <c r="F117" s="471">
        <f t="shared" si="123"/>
        <v>0</v>
      </c>
      <c r="G117" s="469">
        <f>ABRIL!I117</f>
        <v>0</v>
      </c>
      <c r="H117" s="377">
        <v>0</v>
      </c>
      <c r="I117" s="471">
        <f t="shared" si="124"/>
        <v>0</v>
      </c>
      <c r="J117" s="469">
        <f>ABRIL!L117</f>
        <v>0</v>
      </c>
      <c r="K117" s="377">
        <v>0</v>
      </c>
      <c r="L117" s="468">
        <f t="shared" si="125"/>
        <v>0</v>
      </c>
      <c r="M117" s="472">
        <f t="shared" si="126"/>
        <v>0</v>
      </c>
      <c r="N117" s="468">
        <f t="shared" si="127"/>
        <v>0</v>
      </c>
      <c r="O117" s="464"/>
      <c r="P117" s="375">
        <v>0</v>
      </c>
      <c r="Q117" s="378">
        <v>0</v>
      </c>
      <c r="R117" s="9"/>
      <c r="S117" s="719" t="str">
        <f>+IF(ABRIL!S117=0,"",ABRIL!S117)</f>
        <v>2010100-3</v>
      </c>
      <c r="T117" s="693" t="str">
        <f>+IF(ABRIL!T117=0,"",ABRIL!T117)</f>
        <v>Salud Ocupacional</v>
      </c>
      <c r="U117" s="27">
        <f>+ENERO!U117</f>
        <v>0</v>
      </c>
      <c r="V117" s="15">
        <f>ABRIL!V117+MAYO!AL117</f>
        <v>0</v>
      </c>
      <c r="W117" s="15">
        <f>ABRIL!W117+MAYO!AM117</f>
        <v>0</v>
      </c>
      <c r="X117" s="18">
        <f t="shared" si="128"/>
        <v>0</v>
      </c>
      <c r="Y117" s="19">
        <f>ABRIL!AA117</f>
        <v>0</v>
      </c>
      <c r="Z117" s="377">
        <v>0</v>
      </c>
      <c r="AA117" s="18">
        <f t="shared" si="129"/>
        <v>0</v>
      </c>
      <c r="AB117" s="19">
        <f>ABRIL!AD117</f>
        <v>0</v>
      </c>
      <c r="AC117" s="377">
        <v>0</v>
      </c>
      <c r="AD117" s="18">
        <f t="shared" si="130"/>
        <v>0</v>
      </c>
      <c r="AE117" s="19">
        <f>ABRIL!AG117</f>
        <v>0</v>
      </c>
      <c r="AF117" s="377">
        <v>0</v>
      </c>
      <c r="AG117" s="18">
        <f t="shared" si="131"/>
        <v>0</v>
      </c>
      <c r="AH117" s="19">
        <f t="shared" si="132"/>
        <v>0</v>
      </c>
      <c r="AI117" s="15">
        <f t="shared" si="133"/>
        <v>0</v>
      </c>
      <c r="AJ117" s="16">
        <f t="shared" si="134"/>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+IF(ABRIL!A118=0,"",ABRIL!A118)</f>
        <v>2200-1</v>
      </c>
      <c r="B118" s="635" t="str">
        <f>+IF(ABRIL!B118=0,"",ABRIL!B118)</f>
        <v>Vigencia Anterior</v>
      </c>
      <c r="C118" s="375">
        <f>+ENERO!C118</f>
        <v>0</v>
      </c>
      <c r="D118" s="467">
        <f>ABRIL!D118+MAYO!P118</f>
        <v>0</v>
      </c>
      <c r="E118" s="467">
        <f>ABRIL!E118+MAYO!Q118</f>
        <v>0</v>
      </c>
      <c r="F118" s="471">
        <f t="shared" si="123"/>
        <v>0</v>
      </c>
      <c r="G118" s="469">
        <f>ABRIL!I118</f>
        <v>0</v>
      </c>
      <c r="H118" s="377">
        <v>0</v>
      </c>
      <c r="I118" s="471">
        <f t="shared" si="124"/>
        <v>0</v>
      </c>
      <c r="J118" s="469">
        <f>ABRIL!L118</f>
        <v>0</v>
      </c>
      <c r="K118" s="377">
        <v>0</v>
      </c>
      <c r="L118" s="468">
        <f t="shared" si="125"/>
        <v>0</v>
      </c>
      <c r="M118" s="472">
        <f t="shared" si="126"/>
        <v>0</v>
      </c>
      <c r="N118" s="468">
        <f t="shared" si="127"/>
        <v>0</v>
      </c>
      <c r="O118" s="464"/>
      <c r="P118" s="375">
        <v>0</v>
      </c>
      <c r="Q118" s="378">
        <v>0</v>
      </c>
      <c r="R118" s="9"/>
      <c r="S118" s="719" t="str">
        <f>+IF(ABRIL!S118=0,"",ABRIL!S118)</f>
        <v>2010100-4</v>
      </c>
      <c r="T118" s="693" t="str">
        <f>+IF(ABRIL!T118=0,"",ABRIL!T118)</f>
        <v/>
      </c>
      <c r="U118" s="27">
        <f>+ENERO!U118</f>
        <v>0</v>
      </c>
      <c r="V118" s="15">
        <f>ABRIL!V118+MAYO!AL118</f>
        <v>0</v>
      </c>
      <c r="W118" s="15">
        <f>ABRIL!W118+MAYO!AM118</f>
        <v>0</v>
      </c>
      <c r="X118" s="18">
        <f t="shared" si="128"/>
        <v>0</v>
      </c>
      <c r="Y118" s="19">
        <f>ABRIL!AA118</f>
        <v>0</v>
      </c>
      <c r="Z118" s="377">
        <v>0</v>
      </c>
      <c r="AA118" s="18">
        <f t="shared" si="129"/>
        <v>0</v>
      </c>
      <c r="AB118" s="19">
        <f>ABRIL!AD118</f>
        <v>0</v>
      </c>
      <c r="AC118" s="377">
        <v>0</v>
      </c>
      <c r="AD118" s="18">
        <f t="shared" si="130"/>
        <v>0</v>
      </c>
      <c r="AE118" s="19">
        <f>ABRIL!AG118</f>
        <v>0</v>
      </c>
      <c r="AF118" s="377">
        <v>0</v>
      </c>
      <c r="AG118" s="18">
        <f t="shared" si="131"/>
        <v>0</v>
      </c>
      <c r="AH118" s="19">
        <f t="shared" si="132"/>
        <v>0</v>
      </c>
      <c r="AI118" s="15">
        <f t="shared" si="133"/>
        <v>0</v>
      </c>
      <c r="AJ118" s="16">
        <f t="shared" si="134"/>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+IF(ABRIL!A119=0,"",ABRIL!A119)</f>
        <v>2300</v>
      </c>
      <c r="B119" s="634" t="str">
        <f>+IF(ABRIL!B119=0,"",ABRIL!B119)</f>
        <v>RENDIMIENTOS FINANCIEROS</v>
      </c>
      <c r="C119" s="375">
        <f>+ENERO!C119</f>
        <v>594347</v>
      </c>
      <c r="D119" s="467">
        <f>ABRIL!D119+MAYO!P119</f>
        <v>0</v>
      </c>
      <c r="E119" s="467">
        <f>ABRIL!E119+MAYO!Q119</f>
        <v>0</v>
      </c>
      <c r="F119" s="471">
        <f t="shared" si="123"/>
        <v>594347</v>
      </c>
      <c r="G119" s="222">
        <f>ABRIL!I119</f>
        <v>58929</v>
      </c>
      <c r="H119" s="377">
        <v>26992</v>
      </c>
      <c r="I119" s="476">
        <f t="shared" si="124"/>
        <v>85921</v>
      </c>
      <c r="J119" s="222">
        <f>ABRIL!L119</f>
        <v>58929</v>
      </c>
      <c r="K119" s="377">
        <v>26992</v>
      </c>
      <c r="L119" s="146">
        <f t="shared" si="125"/>
        <v>85921</v>
      </c>
      <c r="M119" s="441">
        <f t="shared" si="126"/>
        <v>508426</v>
      </c>
      <c r="N119" s="146">
        <f t="shared" si="127"/>
        <v>508426</v>
      </c>
      <c r="O119" s="464"/>
      <c r="P119" s="375">
        <v>0</v>
      </c>
      <c r="Q119" s="378">
        <v>0</v>
      </c>
      <c r="R119" s="9"/>
      <c r="S119" s="719" t="str">
        <f>+IF(ABRIL!S119=0,"",ABRIL!S119)</f>
        <v>2010100-5</v>
      </c>
      <c r="T119" s="693" t="str">
        <f>+IF(ABRIL!T119=0,"",ABRIL!T119)</f>
        <v/>
      </c>
      <c r="U119" s="27">
        <f>+ENERO!U119</f>
        <v>0</v>
      </c>
      <c r="V119" s="15">
        <f>ABRIL!V119+MAYO!AL119</f>
        <v>0</v>
      </c>
      <c r="W119" s="15">
        <f>ABRIL!W119+MAYO!AM119</f>
        <v>0</v>
      </c>
      <c r="X119" s="18">
        <f t="shared" si="128"/>
        <v>0</v>
      </c>
      <c r="Y119" s="19">
        <f>ABRIL!AA119</f>
        <v>0</v>
      </c>
      <c r="Z119" s="377">
        <v>0</v>
      </c>
      <c r="AA119" s="18">
        <f t="shared" si="129"/>
        <v>0</v>
      </c>
      <c r="AB119" s="19">
        <f>ABRIL!AD119</f>
        <v>0</v>
      </c>
      <c r="AC119" s="377">
        <v>0</v>
      </c>
      <c r="AD119" s="18">
        <f t="shared" si="130"/>
        <v>0</v>
      </c>
      <c r="AE119" s="19">
        <f>ABRIL!AG119</f>
        <v>0</v>
      </c>
      <c r="AF119" s="377">
        <v>0</v>
      </c>
      <c r="AG119" s="18">
        <f t="shared" si="131"/>
        <v>0</v>
      </c>
      <c r="AH119" s="19">
        <f t="shared" si="132"/>
        <v>0</v>
      </c>
      <c r="AI119" s="15">
        <f t="shared" si="133"/>
        <v>0</v>
      </c>
      <c r="AJ119" s="16">
        <f t="shared" si="134"/>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+IF(ABRIL!A120=0,"",ABRIL!A120)</f>
        <v>2400</v>
      </c>
      <c r="B120" s="635" t="str">
        <f>+IF(ABRIL!B120=0,"",ABRIL!B120)</f>
        <v>VENTA DE ACTIVOS</v>
      </c>
      <c r="C120" s="375">
        <f>+ENERO!C120</f>
        <v>0</v>
      </c>
      <c r="D120" s="467">
        <f>ABRIL!D120+MAYO!P120</f>
        <v>0</v>
      </c>
      <c r="E120" s="467">
        <f>ABRIL!E120+MAYO!Q120</f>
        <v>0</v>
      </c>
      <c r="F120" s="471">
        <f t="shared" si="123"/>
        <v>0</v>
      </c>
      <c r="G120" s="222">
        <f>ABRIL!I120</f>
        <v>0</v>
      </c>
      <c r="H120" s="377">
        <v>0</v>
      </c>
      <c r="I120" s="476">
        <f t="shared" si="124"/>
        <v>0</v>
      </c>
      <c r="J120" s="222">
        <f>ABRIL!L120</f>
        <v>0</v>
      </c>
      <c r="K120" s="377">
        <v>0</v>
      </c>
      <c r="L120" s="146">
        <f t="shared" si="125"/>
        <v>0</v>
      </c>
      <c r="M120" s="441">
        <f t="shared" si="126"/>
        <v>0</v>
      </c>
      <c r="N120" s="146">
        <f t="shared" si="127"/>
        <v>0</v>
      </c>
      <c r="P120" s="375">
        <v>0</v>
      </c>
      <c r="Q120" s="378">
        <v>0</v>
      </c>
      <c r="R120" s="9"/>
      <c r="S120" s="719" t="str">
        <f>+IF(ABRIL!S120=0,"",ABRIL!S120)</f>
        <v>2010100-6</v>
      </c>
      <c r="T120" s="693" t="str">
        <f>+IF(ABRIL!T120=0,"",ABRIL!T120)</f>
        <v/>
      </c>
      <c r="U120" s="27">
        <f>+ENERO!U120</f>
        <v>0</v>
      </c>
      <c r="V120" s="15">
        <f>ABRIL!V120+MAYO!AL120</f>
        <v>0</v>
      </c>
      <c r="W120" s="15">
        <f>ABRIL!W120+MAYO!AM120</f>
        <v>0</v>
      </c>
      <c r="X120" s="18">
        <f t="shared" si="128"/>
        <v>0</v>
      </c>
      <c r="Y120" s="19">
        <f>ABRIL!AA120</f>
        <v>0</v>
      </c>
      <c r="Z120" s="377">
        <v>0</v>
      </c>
      <c r="AA120" s="18">
        <f t="shared" si="129"/>
        <v>0</v>
      </c>
      <c r="AB120" s="19">
        <f>ABRIL!AD120</f>
        <v>0</v>
      </c>
      <c r="AC120" s="377">
        <v>0</v>
      </c>
      <c r="AD120" s="18">
        <f t="shared" si="130"/>
        <v>0</v>
      </c>
      <c r="AE120" s="19">
        <f>ABRIL!AG120</f>
        <v>0</v>
      </c>
      <c r="AF120" s="377">
        <v>0</v>
      </c>
      <c r="AG120" s="18">
        <f t="shared" si="131"/>
        <v>0</v>
      </c>
      <c r="AH120" s="19">
        <f t="shared" si="132"/>
        <v>0</v>
      </c>
      <c r="AI120" s="15">
        <f t="shared" si="133"/>
        <v>0</v>
      </c>
      <c r="AJ120" s="16">
        <f t="shared" si="134"/>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+IF(ABRIL!A121=0,"",ABRIL!A121)</f>
        <v>2500</v>
      </c>
      <c r="B121" s="635" t="str">
        <f>+IF(ABRIL!B121=0,"",ABRIL!B121)</f>
        <v>DONACIONES</v>
      </c>
      <c r="C121" s="375">
        <f>+ENERO!C121</f>
        <v>0</v>
      </c>
      <c r="D121" s="467">
        <f>ABRIL!D121+MAYO!P121</f>
        <v>0</v>
      </c>
      <c r="E121" s="467">
        <f>ABRIL!E121+MAYO!Q121</f>
        <v>0</v>
      </c>
      <c r="F121" s="471">
        <f t="shared" si="123"/>
        <v>0</v>
      </c>
      <c r="G121" s="222">
        <f>ABRIL!I121</f>
        <v>0</v>
      </c>
      <c r="H121" s="377">
        <v>0</v>
      </c>
      <c r="I121" s="476">
        <f t="shared" si="124"/>
        <v>0</v>
      </c>
      <c r="J121" s="222">
        <f>ABRIL!L121</f>
        <v>0</v>
      </c>
      <c r="K121" s="377">
        <v>0</v>
      </c>
      <c r="L121" s="146">
        <f t="shared" si="125"/>
        <v>0</v>
      </c>
      <c r="M121" s="441">
        <f t="shared" si="126"/>
        <v>0</v>
      </c>
      <c r="N121" s="146">
        <f t="shared" si="127"/>
        <v>0</v>
      </c>
      <c r="P121" s="375">
        <v>0</v>
      </c>
      <c r="Q121" s="378">
        <v>0</v>
      </c>
      <c r="R121" s="9"/>
      <c r="S121" s="719">
        <f>+IF(ABRIL!S121=0,"",ABRIL!S121)</f>
        <v>2010199</v>
      </c>
      <c r="T121" s="693" t="str">
        <f>+IF(ABRIL!T121=0,"",ABRIL!T121)</f>
        <v>Vigencias Anteriores</v>
      </c>
      <c r="U121" s="27">
        <f>+ENERO!U121</f>
        <v>0</v>
      </c>
      <c r="V121" s="15">
        <f>ABRIL!V121+MAYO!AL121</f>
        <v>0</v>
      </c>
      <c r="W121" s="15">
        <f>ABRIL!W121+MAYO!AM121</f>
        <v>12179864</v>
      </c>
      <c r="X121" s="18">
        <f t="shared" si="128"/>
        <v>12179864</v>
      </c>
      <c r="Y121" s="19">
        <f>ABRIL!AA121</f>
        <v>12179864</v>
      </c>
      <c r="Z121" s="377">
        <v>0</v>
      </c>
      <c r="AA121" s="18">
        <f t="shared" si="129"/>
        <v>12179864</v>
      </c>
      <c r="AB121" s="19">
        <f>ABRIL!AD121</f>
        <v>12179864</v>
      </c>
      <c r="AC121" s="377">
        <v>0</v>
      </c>
      <c r="AD121" s="18">
        <f t="shared" si="130"/>
        <v>12179864</v>
      </c>
      <c r="AE121" s="19">
        <f>ABRIL!AG121</f>
        <v>11866664</v>
      </c>
      <c r="AF121" s="377">
        <v>313200</v>
      </c>
      <c r="AG121" s="18">
        <f t="shared" si="131"/>
        <v>12179864</v>
      </c>
      <c r="AH121" s="19">
        <f t="shared" si="132"/>
        <v>0</v>
      </c>
      <c r="AI121" s="15">
        <f t="shared" si="133"/>
        <v>0</v>
      </c>
      <c r="AJ121" s="16">
        <f t="shared" si="134"/>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+IF(ABRIL!A122=0,"",ABRIL!A122)</f>
        <v>2600</v>
      </c>
      <c r="B122" s="635" t="str">
        <f>+IF(ABRIL!B122=0,"",ABRIL!B122)</f>
        <v>RECUPERACIÓN DE CARTERA (AÑO 2013 Y ANTERIORES)</v>
      </c>
      <c r="C122" s="375">
        <f>+ENERO!C122</f>
        <v>32064799</v>
      </c>
      <c r="D122" s="467">
        <f>ABRIL!D122+MAYO!P122</f>
        <v>0</v>
      </c>
      <c r="E122" s="467">
        <f>ABRIL!E122+MAYO!Q122</f>
        <v>0</v>
      </c>
      <c r="F122" s="471">
        <f t="shared" si="123"/>
        <v>32064799</v>
      </c>
      <c r="G122" s="222">
        <f>ABRIL!I122</f>
        <v>319141</v>
      </c>
      <c r="H122" s="377">
        <v>1228839</v>
      </c>
      <c r="I122" s="476">
        <f t="shared" si="124"/>
        <v>1547980</v>
      </c>
      <c r="J122" s="222">
        <f>ABRIL!L122</f>
        <v>319141</v>
      </c>
      <c r="K122" s="377">
        <v>1228839</v>
      </c>
      <c r="L122" s="146">
        <f t="shared" si="125"/>
        <v>1547980</v>
      </c>
      <c r="M122" s="441">
        <f t="shared" si="126"/>
        <v>30516819</v>
      </c>
      <c r="N122" s="146">
        <f t="shared" si="127"/>
        <v>30516819</v>
      </c>
      <c r="P122" s="375">
        <v>0</v>
      </c>
      <c r="Q122" s="378">
        <v>0</v>
      </c>
      <c r="R122" s="9"/>
      <c r="S122" s="369" t="str">
        <f>+IF(ABRIL!S122=0,"",ABRIL!S122)</f>
        <v/>
      </c>
      <c r="T122" s="708" t="str">
        <f>+IF(ABRIL!T122=0,"",ABRIL!T122)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+IF(ABRIL!A123=0,"",ABRIL!A123)</f>
        <v>2700</v>
      </c>
      <c r="B123" s="635" t="str">
        <f>+IF(ABRIL!B123=0,"",ABRIL!B123)</f>
        <v>OTROS INGRESOS DE CAPITAL</v>
      </c>
      <c r="C123" s="375">
        <f>+ENERO!C123</f>
        <v>0</v>
      </c>
      <c r="D123" s="467">
        <f>ABRIL!D123+MAYO!P123</f>
        <v>0</v>
      </c>
      <c r="E123" s="467">
        <f>ABRIL!E123+MAYO!Q123</f>
        <v>27176600</v>
      </c>
      <c r="F123" s="471">
        <f t="shared" si="123"/>
        <v>27176600</v>
      </c>
      <c r="G123" s="222">
        <f>ABRIL!I123</f>
        <v>7134357</v>
      </c>
      <c r="H123" s="377">
        <v>13408841</v>
      </c>
      <c r="I123" s="476">
        <f t="shared" si="124"/>
        <v>20543198</v>
      </c>
      <c r="J123" s="222">
        <f>ABRIL!L123</f>
        <v>7134357</v>
      </c>
      <c r="K123" s="377">
        <v>13408841</v>
      </c>
      <c r="L123" s="146">
        <f t="shared" si="125"/>
        <v>20543198</v>
      </c>
      <c r="M123" s="441">
        <f t="shared" si="126"/>
        <v>6633402</v>
      </c>
      <c r="N123" s="146">
        <f t="shared" si="127"/>
        <v>6633402</v>
      </c>
      <c r="P123" s="375">
        <v>0</v>
      </c>
      <c r="Q123" s="378">
        <v>0</v>
      </c>
      <c r="R123" s="9"/>
      <c r="S123" s="718">
        <f>+IF(ABRIL!S123=0,"",ABRIL!S123)</f>
        <v>2010200</v>
      </c>
      <c r="T123" s="692" t="str">
        <f>+IF(ABRIL!T123=0,"",ABRIL!T123)</f>
        <v>Adquisición de Servicios</v>
      </c>
      <c r="U123" s="135">
        <f t="shared" ref="U123:AJ123" si="135">SUM(U124:U139)</f>
        <v>141098390</v>
      </c>
      <c r="V123" s="124">
        <f t="shared" si="135"/>
        <v>0</v>
      </c>
      <c r="W123" s="124">
        <f t="shared" si="135"/>
        <v>31389245</v>
      </c>
      <c r="X123" s="132">
        <f t="shared" si="135"/>
        <v>172487635</v>
      </c>
      <c r="Y123" s="131">
        <f t="shared" si="135"/>
        <v>75196555</v>
      </c>
      <c r="Z123" s="124">
        <f t="shared" si="135"/>
        <v>9068963</v>
      </c>
      <c r="AA123" s="132">
        <f t="shared" si="135"/>
        <v>84265518</v>
      </c>
      <c r="AB123" s="131">
        <f t="shared" si="135"/>
        <v>72571555</v>
      </c>
      <c r="AC123" s="124">
        <f t="shared" si="135"/>
        <v>9418963</v>
      </c>
      <c r="AD123" s="132">
        <f t="shared" si="135"/>
        <v>81990518</v>
      </c>
      <c r="AE123" s="131">
        <f t="shared" si="135"/>
        <v>37886759</v>
      </c>
      <c r="AF123" s="124">
        <f t="shared" si="135"/>
        <v>15425144</v>
      </c>
      <c r="AG123" s="132">
        <f t="shared" si="135"/>
        <v>53311903</v>
      </c>
      <c r="AH123" s="131">
        <f t="shared" si="135"/>
        <v>88222117</v>
      </c>
      <c r="AI123" s="124">
        <f t="shared" si="135"/>
        <v>90497117</v>
      </c>
      <c r="AJ123" s="133">
        <f t="shared" si="135"/>
        <v>119175732</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+IF(ABRIL!A124=0,"",ABRIL!A124)</f>
        <v>2800</v>
      </c>
      <c r="B124" s="663" t="str">
        <f>+IF(ABRIL!B124=0,"",ABRIL!B124)</f>
        <v/>
      </c>
      <c r="C124" s="387">
        <f>+ENERO!C124</f>
        <v>0</v>
      </c>
      <c r="D124" s="465">
        <f>ABRIL!D124+MAYO!P124</f>
        <v>0</v>
      </c>
      <c r="E124" s="465">
        <f>ABRIL!E124+MAYO!Q124</f>
        <v>0</v>
      </c>
      <c r="F124" s="477">
        <f t="shared" si="123"/>
        <v>0</v>
      </c>
      <c r="G124" s="390">
        <f>ABRIL!I124</f>
        <v>0</v>
      </c>
      <c r="H124" s="391">
        <v>0</v>
      </c>
      <c r="I124" s="478">
        <f t="shared" si="124"/>
        <v>0</v>
      </c>
      <c r="J124" s="390">
        <f>ABRIL!L124</f>
        <v>0</v>
      </c>
      <c r="K124" s="391">
        <v>0</v>
      </c>
      <c r="L124" s="389">
        <f t="shared" si="125"/>
        <v>0</v>
      </c>
      <c r="M124" s="479">
        <f t="shared" si="126"/>
        <v>0</v>
      </c>
      <c r="N124" s="389">
        <f t="shared" si="127"/>
        <v>0</v>
      </c>
      <c r="P124" s="387">
        <v>0</v>
      </c>
      <c r="Q124" s="392">
        <v>0</v>
      </c>
      <c r="R124" s="9"/>
      <c r="S124" s="719" t="str">
        <f>+IF(ABRIL!S124=0,"",ABRIL!S124)</f>
        <v>2010200-1</v>
      </c>
      <c r="T124" s="693" t="str">
        <f>+IF(ABRIL!T124=0,"",ABRIL!T124)</f>
        <v>Seguros</v>
      </c>
      <c r="U124" s="27">
        <f>+ENERO!U124</f>
        <v>17953987</v>
      </c>
      <c r="V124" s="15">
        <f>ABRIL!V124+MAYO!AL124</f>
        <v>0</v>
      </c>
      <c r="W124" s="15">
        <f>ABRIL!W124+MAYO!AM124</f>
        <v>5000000</v>
      </c>
      <c r="X124" s="18">
        <f t="shared" ref="X124:X139" si="136">SUM(U124:W124)</f>
        <v>22953987</v>
      </c>
      <c r="Y124" s="19">
        <f>ABRIL!AA124</f>
        <v>18059144</v>
      </c>
      <c r="Z124" s="377">
        <v>0</v>
      </c>
      <c r="AA124" s="18">
        <f t="shared" ref="AA124:AA139" si="137">SUM(Y124:Z124)</f>
        <v>18059144</v>
      </c>
      <c r="AB124" s="19">
        <f>ABRIL!AD124</f>
        <v>18059144</v>
      </c>
      <c r="AC124" s="377">
        <v>0</v>
      </c>
      <c r="AD124" s="18">
        <f t="shared" ref="AD124:AD139" si="138">SUM(AB124:AC124)</f>
        <v>18059144</v>
      </c>
      <c r="AE124" s="19">
        <f>ABRIL!AG124</f>
        <v>7836274</v>
      </c>
      <c r="AF124" s="377">
        <v>4488498</v>
      </c>
      <c r="AG124" s="18">
        <f t="shared" ref="AG124:AG139" si="139">SUM(AE124:AF124)</f>
        <v>12324772</v>
      </c>
      <c r="AH124" s="19">
        <f t="shared" ref="AH124:AH139" si="140">X124-AA124</f>
        <v>4894843</v>
      </c>
      <c r="AI124" s="15">
        <f t="shared" ref="AI124:AI139" si="141">X124-AD124</f>
        <v>4894843</v>
      </c>
      <c r="AJ124" s="16">
        <f t="shared" ref="AJ124:AJ139" si="142">X124-AG124</f>
        <v>10629215</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+IF(ABRIL!S125=0,"",ABRIL!S125)</f>
        <v>2010200-2</v>
      </c>
      <c r="T125" s="693" t="str">
        <f>+IF(ABRIL!T125=0,"",ABRIL!T125)</f>
        <v>Impresos y Publicaciones</v>
      </c>
      <c r="U125" s="27">
        <f>+ENERO!U125</f>
        <v>3151827</v>
      </c>
      <c r="V125" s="15">
        <f>ABRIL!V125+MAYO!AL125</f>
        <v>0</v>
      </c>
      <c r="W125" s="15">
        <f>ABRIL!W125+MAYO!AM125</f>
        <v>0</v>
      </c>
      <c r="X125" s="18">
        <f t="shared" si="136"/>
        <v>3151827</v>
      </c>
      <c r="Y125" s="19">
        <f>ABRIL!AA125</f>
        <v>65000</v>
      </c>
      <c r="Z125" s="377">
        <v>3480</v>
      </c>
      <c r="AA125" s="18">
        <f t="shared" si="137"/>
        <v>68480</v>
      </c>
      <c r="AB125" s="19">
        <f>ABRIL!AD125</f>
        <v>65000</v>
      </c>
      <c r="AC125" s="377">
        <v>3480</v>
      </c>
      <c r="AD125" s="18">
        <f t="shared" si="138"/>
        <v>68480</v>
      </c>
      <c r="AE125" s="19">
        <f>ABRIL!AG125</f>
        <v>65000</v>
      </c>
      <c r="AF125" s="377">
        <v>3480</v>
      </c>
      <c r="AG125" s="18">
        <f t="shared" si="139"/>
        <v>68480</v>
      </c>
      <c r="AH125" s="19">
        <f t="shared" si="140"/>
        <v>3083347</v>
      </c>
      <c r="AI125" s="15">
        <f t="shared" si="141"/>
        <v>3083347</v>
      </c>
      <c r="AJ125" s="16">
        <f t="shared" si="142"/>
        <v>3083347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3">C8-C128</f>
        <v>3103636215</v>
      </c>
      <c r="D126" s="480">
        <f t="shared" si="143"/>
        <v>0</v>
      </c>
      <c r="E126" s="480">
        <f t="shared" si="143"/>
        <v>209513305</v>
      </c>
      <c r="F126" s="480">
        <f t="shared" si="143"/>
        <v>3313149520</v>
      </c>
      <c r="G126" s="480">
        <f t="shared" si="143"/>
        <v>1058905894</v>
      </c>
      <c r="H126" s="480">
        <f t="shared" si="143"/>
        <v>344951642</v>
      </c>
      <c r="I126" s="480">
        <f t="shared" si="143"/>
        <v>1403857536</v>
      </c>
      <c r="J126" s="480">
        <f t="shared" si="143"/>
        <v>462697995</v>
      </c>
      <c r="K126" s="480">
        <f t="shared" si="143"/>
        <v>249434289</v>
      </c>
      <c r="L126" s="480">
        <f t="shared" si="143"/>
        <v>711813143</v>
      </c>
      <c r="M126" s="480">
        <f t="shared" si="143"/>
        <v>1939808803</v>
      </c>
      <c r="N126" s="621">
        <f t="shared" si="143"/>
        <v>2601336377</v>
      </c>
      <c r="P126" s="481">
        <f>P8-P128</f>
        <v>0</v>
      </c>
      <c r="Q126" s="482">
        <f>Q8-Q128</f>
        <v>74713971</v>
      </c>
      <c r="R126" s="9"/>
      <c r="S126" s="719" t="str">
        <f>+IF(ABRIL!S126=0,"",ABRIL!S126)</f>
        <v>2010200-3</v>
      </c>
      <c r="T126" s="693" t="str">
        <f>+IF(ABRIL!T126=0,"",ABRIL!T126)</f>
        <v xml:space="preserve">Servicios Públicos </v>
      </c>
      <c r="U126" s="27">
        <f>+ENERO!U126</f>
        <v>55492147</v>
      </c>
      <c r="V126" s="15">
        <f>ABRIL!V126+MAYO!AL126</f>
        <v>0</v>
      </c>
      <c r="W126" s="15">
        <f>ABRIL!W126+MAYO!AM126</f>
        <v>0</v>
      </c>
      <c r="X126" s="18">
        <f t="shared" si="136"/>
        <v>55492147</v>
      </c>
      <c r="Y126" s="19">
        <f>ABRIL!AA126</f>
        <v>16729545</v>
      </c>
      <c r="Z126" s="377">
        <v>4857730</v>
      </c>
      <c r="AA126" s="18">
        <f t="shared" si="137"/>
        <v>21587275</v>
      </c>
      <c r="AB126" s="19">
        <f>ABRIL!AD126</f>
        <v>16729545</v>
      </c>
      <c r="AC126" s="377">
        <v>4857730</v>
      </c>
      <c r="AD126" s="18">
        <f t="shared" si="138"/>
        <v>21587275</v>
      </c>
      <c r="AE126" s="19">
        <f>ABRIL!AG126</f>
        <v>13697029</v>
      </c>
      <c r="AF126" s="377">
        <v>4773313</v>
      </c>
      <c r="AG126" s="18">
        <f t="shared" si="139"/>
        <v>18470342</v>
      </c>
      <c r="AH126" s="19">
        <f t="shared" si="140"/>
        <v>33904872</v>
      </c>
      <c r="AI126" s="15">
        <f t="shared" si="141"/>
        <v>33904872</v>
      </c>
      <c r="AJ126" s="16">
        <f t="shared" si="142"/>
        <v>37021805</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+IF(ABRIL!S127=0,"",ABRIL!S127)</f>
        <v>2010200-4</v>
      </c>
      <c r="T127" s="693" t="str">
        <f>+IF(ABRIL!T127=0,"",ABRIL!T127)</f>
        <v>Comunicaciones y Transportes</v>
      </c>
      <c r="U127" s="27">
        <f>+ENERO!U127</f>
        <v>14481572</v>
      </c>
      <c r="V127" s="15">
        <f>ABRIL!V127+MAYO!AL127</f>
        <v>0</v>
      </c>
      <c r="W127" s="15">
        <f>ABRIL!W127+MAYO!AM127</f>
        <v>0</v>
      </c>
      <c r="X127" s="18">
        <f t="shared" si="136"/>
        <v>14481572</v>
      </c>
      <c r="Y127" s="19">
        <f>ABRIL!AA127</f>
        <v>5341718</v>
      </c>
      <c r="Z127" s="377">
        <v>76500</v>
      </c>
      <c r="AA127" s="18">
        <f t="shared" si="137"/>
        <v>5418218</v>
      </c>
      <c r="AB127" s="19">
        <f>ABRIL!AD127</f>
        <v>2716718</v>
      </c>
      <c r="AC127" s="377">
        <v>426500</v>
      </c>
      <c r="AD127" s="18">
        <f t="shared" si="138"/>
        <v>3143218</v>
      </c>
      <c r="AE127" s="19">
        <f>ABRIL!AG127</f>
        <v>732700</v>
      </c>
      <c r="AF127" s="377">
        <v>1216500</v>
      </c>
      <c r="AG127" s="18">
        <f t="shared" si="139"/>
        <v>1949200</v>
      </c>
      <c r="AH127" s="19">
        <f t="shared" si="140"/>
        <v>9063354</v>
      </c>
      <c r="AI127" s="15">
        <f t="shared" si="141"/>
        <v>11338354</v>
      </c>
      <c r="AJ127" s="16">
        <f t="shared" si="142"/>
        <v>12532372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375592837</v>
      </c>
      <c r="H128" s="486">
        <f>SUMIF($B8:$B$122,$B$24,H8:H122)+H122</f>
        <v>91318961</v>
      </c>
      <c r="I128" s="486">
        <f>SUMIF($B8:$B$122,$B$24,I8:I122)+I122</f>
        <v>466911798</v>
      </c>
      <c r="J128" s="486">
        <f>SUMIF($B8:$B$122,$B$24,J8:J122)+J1212</f>
        <v>375273696</v>
      </c>
      <c r="K128" s="486">
        <f>SUMIF($B8:$B$122,$B$24,K8:K122)+K122</f>
        <v>91318961</v>
      </c>
      <c r="L128" s="486">
        <f>SUMIF($B8:$B$122,$B$24,L8:L122)+L122</f>
        <v>466911798</v>
      </c>
      <c r="M128" s="486">
        <f>SUMIF($B8:$B$122,$B$24,M8:M122)+M12</f>
        <v>80022610</v>
      </c>
      <c r="N128" s="622">
        <f>SUMIF($B8:$B$122,$B$24,N8:N122)+N122</f>
        <v>110539429</v>
      </c>
      <c r="O128" s="464"/>
      <c r="P128" s="486">
        <f>SUMIF($B8:$B$122,$B$24,P8:P122)+P122</f>
        <v>0</v>
      </c>
      <c r="Q128" s="487">
        <f>SUMIF($B8:$B$122,$B$24,Q8:Q122)+Q122</f>
        <v>0</v>
      </c>
      <c r="R128" s="9"/>
      <c r="S128" s="719" t="str">
        <f>+IF(ABRIL!S128=0,"",ABRIL!S128)</f>
        <v>2010200-5</v>
      </c>
      <c r="T128" s="693" t="str">
        <f>+IF(ABRIL!T128=0,"",ABRIL!T128)</f>
        <v>Viáticos y Gastos de Viaje</v>
      </c>
      <c r="U128" s="27">
        <f>+ENERO!U128</f>
        <v>12695514</v>
      </c>
      <c r="V128" s="15">
        <f>ABRIL!V128+MAYO!AL128</f>
        <v>0</v>
      </c>
      <c r="W128" s="15">
        <f>ABRIL!W128+MAYO!AM128</f>
        <v>0</v>
      </c>
      <c r="X128" s="18">
        <f t="shared" si="136"/>
        <v>12695514</v>
      </c>
      <c r="Y128" s="19">
        <f>ABRIL!AA128</f>
        <v>4603558</v>
      </c>
      <c r="Z128" s="377">
        <v>1365035</v>
      </c>
      <c r="AA128" s="18">
        <f t="shared" si="137"/>
        <v>5968593</v>
      </c>
      <c r="AB128" s="19">
        <f>ABRIL!AD128</f>
        <v>4603558</v>
      </c>
      <c r="AC128" s="377">
        <v>1365035</v>
      </c>
      <c r="AD128" s="18">
        <f t="shared" si="138"/>
        <v>5968593</v>
      </c>
      <c r="AE128" s="19">
        <f>ABRIL!AG128</f>
        <v>4603557</v>
      </c>
      <c r="AF128" s="377">
        <v>1365035</v>
      </c>
      <c r="AG128" s="18">
        <f t="shared" si="139"/>
        <v>5968592</v>
      </c>
      <c r="AH128" s="19">
        <f t="shared" si="140"/>
        <v>6726921</v>
      </c>
      <c r="AI128" s="15">
        <f t="shared" si="141"/>
        <v>6726921</v>
      </c>
      <c r="AJ128" s="16">
        <f t="shared" si="142"/>
        <v>6726922</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+IF(ABRIL!S129=0,"",ABRIL!S129)</f>
        <v>2010200-6</v>
      </c>
      <c r="T129" s="693" t="str">
        <f>+IF(ABRIL!T129=0,"",ABRIL!T129)</f>
        <v>Arrendamientos</v>
      </c>
      <c r="U129" s="27">
        <f>+ENERO!U129</f>
        <v>0</v>
      </c>
      <c r="V129" s="15">
        <f>ABRIL!V129+MAYO!AL129</f>
        <v>0</v>
      </c>
      <c r="W129" s="15">
        <f>ABRIL!W129+MAYO!AM129</f>
        <v>0</v>
      </c>
      <c r="X129" s="18">
        <f t="shared" si="136"/>
        <v>0</v>
      </c>
      <c r="Y129" s="19">
        <f>ABRIL!AA129</f>
        <v>0</v>
      </c>
      <c r="Z129" s="377">
        <v>0</v>
      </c>
      <c r="AA129" s="18">
        <f t="shared" si="137"/>
        <v>0</v>
      </c>
      <c r="AB129" s="19">
        <f>ABRIL!AD129</f>
        <v>0</v>
      </c>
      <c r="AC129" s="377">
        <v>0</v>
      </c>
      <c r="AD129" s="18">
        <f t="shared" si="138"/>
        <v>0</v>
      </c>
      <c r="AE129" s="19">
        <f>ABRIL!AG129</f>
        <v>0</v>
      </c>
      <c r="AF129" s="377">
        <v>0</v>
      </c>
      <c r="AG129" s="18">
        <f t="shared" si="139"/>
        <v>0</v>
      </c>
      <c r="AH129" s="19">
        <f t="shared" si="140"/>
        <v>0</v>
      </c>
      <c r="AI129" s="15">
        <f t="shared" si="141"/>
        <v>0</v>
      </c>
      <c r="AJ129" s="16">
        <f t="shared" si="142"/>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4">C128+C126</f>
        <v>3135701014</v>
      </c>
      <c r="D130" s="489">
        <f t="shared" si="144"/>
        <v>0</v>
      </c>
      <c r="E130" s="489">
        <f t="shared" si="144"/>
        <v>754899733</v>
      </c>
      <c r="F130" s="490">
        <f t="shared" si="144"/>
        <v>3890600747</v>
      </c>
      <c r="G130" s="488">
        <f t="shared" si="144"/>
        <v>1434498731</v>
      </c>
      <c r="H130" s="489">
        <f t="shared" si="144"/>
        <v>436270603</v>
      </c>
      <c r="I130" s="490">
        <f t="shared" si="144"/>
        <v>1870769334</v>
      </c>
      <c r="J130" s="488">
        <f t="shared" si="144"/>
        <v>837971691</v>
      </c>
      <c r="K130" s="489">
        <f t="shared" si="144"/>
        <v>340753250</v>
      </c>
      <c r="L130" s="490">
        <f t="shared" si="144"/>
        <v>1178724941</v>
      </c>
      <c r="M130" s="488">
        <f t="shared" si="144"/>
        <v>2019831413</v>
      </c>
      <c r="N130" s="490">
        <f t="shared" si="144"/>
        <v>2711875806</v>
      </c>
      <c r="P130" s="481">
        <f>P128+P126</f>
        <v>0</v>
      </c>
      <c r="Q130" s="482">
        <f>Q128+Q126</f>
        <v>74713971</v>
      </c>
      <c r="R130" s="9"/>
      <c r="S130" s="719" t="str">
        <f>+IF(ABRIL!S130=0,"",ABRIL!S130)</f>
        <v>2010200-7</v>
      </c>
      <c r="T130" s="693" t="str">
        <f>+IF(ABRIL!T130=0,"",ABRIL!T130)</f>
        <v>Vigilancia y Aseo</v>
      </c>
      <c r="U130" s="27">
        <f>+ENERO!U130</f>
        <v>0</v>
      </c>
      <c r="V130" s="15">
        <f>ABRIL!V130+MAYO!AL130</f>
        <v>0</v>
      </c>
      <c r="W130" s="15">
        <f>ABRIL!W130+MAYO!AM130</f>
        <v>0</v>
      </c>
      <c r="X130" s="18">
        <f t="shared" si="136"/>
        <v>0</v>
      </c>
      <c r="Y130" s="19">
        <f>ABRIL!AA130</f>
        <v>0</v>
      </c>
      <c r="Z130" s="377">
        <v>0</v>
      </c>
      <c r="AA130" s="18">
        <f t="shared" si="137"/>
        <v>0</v>
      </c>
      <c r="AB130" s="19">
        <f>ABRIL!AD130</f>
        <v>0</v>
      </c>
      <c r="AC130" s="377">
        <v>0</v>
      </c>
      <c r="AD130" s="18">
        <f t="shared" si="138"/>
        <v>0</v>
      </c>
      <c r="AE130" s="19">
        <f>ABRIL!AG130</f>
        <v>0</v>
      </c>
      <c r="AF130" s="377">
        <v>0</v>
      </c>
      <c r="AG130" s="18">
        <f t="shared" si="139"/>
        <v>0</v>
      </c>
      <c r="AH130" s="19">
        <f t="shared" si="140"/>
        <v>0</v>
      </c>
      <c r="AI130" s="15">
        <f t="shared" si="141"/>
        <v>0</v>
      </c>
      <c r="AJ130" s="16">
        <f t="shared" si="142"/>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+IF(ABRIL!S131=0,"",ABRIL!S131)</f>
        <v>2010200-8</v>
      </c>
      <c r="T131" s="693" t="str">
        <f>+IF(ABRIL!T131=0,"",ABRIL!T131)</f>
        <v>Bienestar Social</v>
      </c>
      <c r="U131" s="27">
        <f>+ENERO!U131</f>
        <v>28364135</v>
      </c>
      <c r="V131" s="15">
        <f>ABRIL!V131+MAYO!AL131</f>
        <v>0</v>
      </c>
      <c r="W131" s="15">
        <f>ABRIL!W131+MAYO!AM131</f>
        <v>81553</v>
      </c>
      <c r="X131" s="18">
        <f t="shared" si="136"/>
        <v>28445688</v>
      </c>
      <c r="Y131" s="19">
        <f>ABRIL!AA131</f>
        <v>2127650</v>
      </c>
      <c r="Z131" s="377">
        <v>1642900</v>
      </c>
      <c r="AA131" s="18">
        <f t="shared" si="137"/>
        <v>3770550</v>
      </c>
      <c r="AB131" s="19">
        <f>ABRIL!AD131</f>
        <v>2127650</v>
      </c>
      <c r="AC131" s="377">
        <v>1642900</v>
      </c>
      <c r="AD131" s="18">
        <f t="shared" si="138"/>
        <v>3770550</v>
      </c>
      <c r="AE131" s="19">
        <f>ABRIL!AG131</f>
        <v>0</v>
      </c>
      <c r="AF131" s="377">
        <v>1642900</v>
      </c>
      <c r="AG131" s="18">
        <f t="shared" si="139"/>
        <v>1642900</v>
      </c>
      <c r="AH131" s="19">
        <f t="shared" si="140"/>
        <v>24675138</v>
      </c>
      <c r="AI131" s="15">
        <f t="shared" si="141"/>
        <v>24675138</v>
      </c>
      <c r="AJ131" s="16">
        <f t="shared" si="142"/>
        <v>26802788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+IF(ABRIL!S132=0,"",ABRIL!S132)</f>
        <v>2010200-9</v>
      </c>
      <c r="T132" s="693" t="str">
        <f>+IF(ABRIL!T132=0,"",ABRIL!T132)</f>
        <v>Capacitación, estimulos, incentivos, programa de calidad</v>
      </c>
      <c r="U132" s="27">
        <f>+ENERO!U132</f>
        <v>3982443</v>
      </c>
      <c r="V132" s="15">
        <f>ABRIL!V132+MAYO!AL132</f>
        <v>0</v>
      </c>
      <c r="W132" s="15">
        <f>ABRIL!W132+MAYO!AM132</f>
        <v>0</v>
      </c>
      <c r="X132" s="18">
        <f t="shared" si="136"/>
        <v>3982443</v>
      </c>
      <c r="Y132" s="19">
        <f>ABRIL!AA132</f>
        <v>0</v>
      </c>
      <c r="Z132" s="377">
        <v>0</v>
      </c>
      <c r="AA132" s="18">
        <f t="shared" si="137"/>
        <v>0</v>
      </c>
      <c r="AB132" s="19">
        <f>ABRIL!AD132</f>
        <v>0</v>
      </c>
      <c r="AC132" s="377">
        <v>0</v>
      </c>
      <c r="AD132" s="18">
        <f t="shared" si="138"/>
        <v>0</v>
      </c>
      <c r="AE132" s="19">
        <f>ABRIL!AG132</f>
        <v>0</v>
      </c>
      <c r="AF132" s="377">
        <v>0</v>
      </c>
      <c r="AG132" s="18">
        <f t="shared" si="139"/>
        <v>0</v>
      </c>
      <c r="AH132" s="19">
        <f t="shared" si="140"/>
        <v>3982443</v>
      </c>
      <c r="AI132" s="15">
        <f t="shared" si="141"/>
        <v>3982443</v>
      </c>
      <c r="AJ132" s="16">
        <f t="shared" si="142"/>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+IF(ABRIL!S133=0,"",ABRIL!S133)</f>
        <v>2010200-10</v>
      </c>
      <c r="T133" s="693" t="str">
        <f>+IF(ABRIL!T133=0,"",ABRIL!T133)</f>
        <v>Pagos otras IPS</v>
      </c>
      <c r="U133" s="27">
        <f>+ENERO!U133</f>
        <v>0</v>
      </c>
      <c r="V133" s="15">
        <f>ABRIL!V133+MAYO!AL133</f>
        <v>0</v>
      </c>
      <c r="W133" s="15">
        <f>ABRIL!W133+MAYO!AM133</f>
        <v>0</v>
      </c>
      <c r="X133" s="18">
        <f t="shared" si="136"/>
        <v>0</v>
      </c>
      <c r="Y133" s="19">
        <f>ABRIL!AA133</f>
        <v>0</v>
      </c>
      <c r="Z133" s="377">
        <v>0</v>
      </c>
      <c r="AA133" s="18">
        <f t="shared" si="137"/>
        <v>0</v>
      </c>
      <c r="AB133" s="19">
        <f>ABRIL!AD133</f>
        <v>0</v>
      </c>
      <c r="AC133" s="377">
        <v>0</v>
      </c>
      <c r="AD133" s="18">
        <f t="shared" si="138"/>
        <v>0</v>
      </c>
      <c r="AE133" s="19">
        <f>ABRIL!AG133</f>
        <v>0</v>
      </c>
      <c r="AF133" s="377">
        <v>0</v>
      </c>
      <c r="AG133" s="18">
        <f t="shared" si="139"/>
        <v>0</v>
      </c>
      <c r="AH133" s="19">
        <f t="shared" si="140"/>
        <v>0</v>
      </c>
      <c r="AI133" s="15">
        <f t="shared" si="141"/>
        <v>0</v>
      </c>
      <c r="AJ133" s="16">
        <f t="shared" si="142"/>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+IF(ABRIL!S134=0,"",ABRIL!S134)</f>
        <v>2010200-11</v>
      </c>
      <c r="T134" s="693" t="str">
        <f>+IF(ABRIL!T134=0,"",ABRIL!T134)</f>
        <v>Gastos financieros</v>
      </c>
      <c r="U134" s="27">
        <f>+ENERO!U134</f>
        <v>4976765</v>
      </c>
      <c r="V134" s="15">
        <f>ABRIL!V134+MAYO!AL134</f>
        <v>0</v>
      </c>
      <c r="W134" s="15">
        <f>ABRIL!W134+MAYO!AM134</f>
        <v>0</v>
      </c>
      <c r="X134" s="18">
        <f t="shared" si="136"/>
        <v>4976765</v>
      </c>
      <c r="Y134" s="19">
        <f>ABRIL!AA134</f>
        <v>1962248</v>
      </c>
      <c r="Z134" s="377">
        <v>1123318</v>
      </c>
      <c r="AA134" s="18">
        <f t="shared" si="137"/>
        <v>3085566</v>
      </c>
      <c r="AB134" s="19">
        <f>ABRIL!AD134</f>
        <v>1962248</v>
      </c>
      <c r="AC134" s="377">
        <v>1123318</v>
      </c>
      <c r="AD134" s="18">
        <f t="shared" si="138"/>
        <v>3085566</v>
      </c>
      <c r="AE134" s="19">
        <f>ABRIL!AG134</f>
        <v>1962248</v>
      </c>
      <c r="AF134" s="377">
        <v>1123318</v>
      </c>
      <c r="AG134" s="18">
        <f t="shared" si="139"/>
        <v>3085566</v>
      </c>
      <c r="AH134" s="19">
        <f t="shared" si="140"/>
        <v>1891199</v>
      </c>
      <c r="AI134" s="15">
        <f t="shared" si="141"/>
        <v>1891199</v>
      </c>
      <c r="AJ134" s="16">
        <f t="shared" si="142"/>
        <v>1891199</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+IF(ABRIL!S135=0,"",ABRIL!S135)</f>
        <v>2010200-12</v>
      </c>
      <c r="T135" s="693" t="str">
        <f>+IF(ABRIL!T135=0,"",ABRIL!T135)</f>
        <v/>
      </c>
      <c r="U135" s="27">
        <f>+ENERO!U135</f>
        <v>0</v>
      </c>
      <c r="V135" s="15">
        <f>ABRIL!V135+MAYO!AL135</f>
        <v>0</v>
      </c>
      <c r="W135" s="15">
        <f>ABRIL!W135+MAYO!AM135</f>
        <v>0</v>
      </c>
      <c r="X135" s="18">
        <f t="shared" si="136"/>
        <v>0</v>
      </c>
      <c r="Y135" s="19">
        <f>ABRIL!AA135</f>
        <v>0</v>
      </c>
      <c r="Z135" s="377">
        <v>0</v>
      </c>
      <c r="AA135" s="18">
        <f t="shared" si="137"/>
        <v>0</v>
      </c>
      <c r="AB135" s="19">
        <f>ABRIL!AD135</f>
        <v>0</v>
      </c>
      <c r="AC135" s="377">
        <v>0</v>
      </c>
      <c r="AD135" s="18">
        <f t="shared" si="138"/>
        <v>0</v>
      </c>
      <c r="AE135" s="19">
        <f>ABRIL!AG135</f>
        <v>0</v>
      </c>
      <c r="AF135" s="377">
        <v>0</v>
      </c>
      <c r="AG135" s="18">
        <f t="shared" si="139"/>
        <v>0</v>
      </c>
      <c r="AH135" s="19">
        <f t="shared" si="140"/>
        <v>0</v>
      </c>
      <c r="AI135" s="15">
        <f t="shared" si="141"/>
        <v>0</v>
      </c>
      <c r="AJ135" s="16">
        <f t="shared" si="142"/>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+IF(ABRIL!S136=0,"",ABRIL!S136)</f>
        <v>2010200-13</v>
      </c>
      <c r="T136" s="693" t="str">
        <f>+IF(ABRIL!T136=0,"",ABRIL!T136)</f>
        <v/>
      </c>
      <c r="U136" s="27">
        <f>+ENERO!U136</f>
        <v>0</v>
      </c>
      <c r="V136" s="15">
        <f>ABRIL!V136+MAYO!AL136</f>
        <v>0</v>
      </c>
      <c r="W136" s="15">
        <f>ABRIL!W136+MAYO!AM136</f>
        <v>0</v>
      </c>
      <c r="X136" s="18">
        <f t="shared" si="136"/>
        <v>0</v>
      </c>
      <c r="Y136" s="19">
        <f>ABRIL!AA136</f>
        <v>0</v>
      </c>
      <c r="Z136" s="377">
        <v>0</v>
      </c>
      <c r="AA136" s="18">
        <f t="shared" si="137"/>
        <v>0</v>
      </c>
      <c r="AB136" s="19">
        <f>ABRIL!AD136</f>
        <v>0</v>
      </c>
      <c r="AC136" s="377">
        <v>0</v>
      </c>
      <c r="AD136" s="18">
        <f t="shared" si="138"/>
        <v>0</v>
      </c>
      <c r="AE136" s="19">
        <f>ABRIL!AG136</f>
        <v>0</v>
      </c>
      <c r="AF136" s="377">
        <v>0</v>
      </c>
      <c r="AG136" s="18">
        <f t="shared" si="139"/>
        <v>0</v>
      </c>
      <c r="AH136" s="19">
        <f t="shared" si="140"/>
        <v>0</v>
      </c>
      <c r="AI136" s="15">
        <f t="shared" si="141"/>
        <v>0</v>
      </c>
      <c r="AJ136" s="16">
        <f t="shared" si="142"/>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+IF(ABRIL!S137=0,"",ABRIL!S137)</f>
        <v>2010020-14</v>
      </c>
      <c r="T137" s="693" t="str">
        <f>+IF(ABRIL!T137=0,"",ABRIL!T137)</f>
        <v/>
      </c>
      <c r="U137" s="27">
        <f>+ENERO!U137</f>
        <v>0</v>
      </c>
      <c r="V137" s="15">
        <f>ABRIL!V137+MAYO!AL137</f>
        <v>0</v>
      </c>
      <c r="W137" s="15">
        <f>ABRIL!W137+MAYO!AM137</f>
        <v>0</v>
      </c>
      <c r="X137" s="18">
        <f t="shared" si="136"/>
        <v>0</v>
      </c>
      <c r="Y137" s="19">
        <f>ABRIL!AA137</f>
        <v>0</v>
      </c>
      <c r="Z137" s="377">
        <v>0</v>
      </c>
      <c r="AA137" s="18">
        <f t="shared" si="137"/>
        <v>0</v>
      </c>
      <c r="AB137" s="19">
        <f>ABRIL!AD137</f>
        <v>0</v>
      </c>
      <c r="AC137" s="377">
        <v>0</v>
      </c>
      <c r="AD137" s="18">
        <f t="shared" si="138"/>
        <v>0</v>
      </c>
      <c r="AE137" s="19">
        <f>ABRIL!AG137</f>
        <v>0</v>
      </c>
      <c r="AF137" s="377">
        <v>0</v>
      </c>
      <c r="AG137" s="18">
        <f t="shared" si="139"/>
        <v>0</v>
      </c>
      <c r="AH137" s="19">
        <f t="shared" si="140"/>
        <v>0</v>
      </c>
      <c r="AI137" s="15">
        <f t="shared" si="141"/>
        <v>0</v>
      </c>
      <c r="AJ137" s="16">
        <f t="shared" si="142"/>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+IF(ABRIL!S138=0,"",ABRIL!S138)</f>
        <v>2010200-15</v>
      </c>
      <c r="T138" s="693" t="str">
        <f>+IF(ABRIL!T138=0,"",ABRIL!T138)</f>
        <v/>
      </c>
      <c r="U138" s="27">
        <f>+ENERO!U138</f>
        <v>0</v>
      </c>
      <c r="V138" s="15">
        <f>ABRIL!V138+MAYO!AL138</f>
        <v>0</v>
      </c>
      <c r="W138" s="15">
        <f>ABRIL!W138+MAYO!AM138</f>
        <v>0</v>
      </c>
      <c r="X138" s="18">
        <f t="shared" si="136"/>
        <v>0</v>
      </c>
      <c r="Y138" s="19">
        <f>ABRIL!AA138</f>
        <v>0</v>
      </c>
      <c r="Z138" s="377">
        <v>0</v>
      </c>
      <c r="AA138" s="18">
        <f t="shared" si="137"/>
        <v>0</v>
      </c>
      <c r="AB138" s="19">
        <f>ABRIL!AD138</f>
        <v>0</v>
      </c>
      <c r="AC138" s="377">
        <v>0</v>
      </c>
      <c r="AD138" s="18">
        <f t="shared" si="138"/>
        <v>0</v>
      </c>
      <c r="AE138" s="19">
        <f>ABRIL!AG138</f>
        <v>0</v>
      </c>
      <c r="AF138" s="377">
        <v>0</v>
      </c>
      <c r="AG138" s="18">
        <f t="shared" si="139"/>
        <v>0</v>
      </c>
      <c r="AH138" s="19">
        <f t="shared" si="140"/>
        <v>0</v>
      </c>
      <c r="AI138" s="15">
        <f t="shared" si="141"/>
        <v>0</v>
      </c>
      <c r="AJ138" s="16">
        <f t="shared" si="142"/>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+IF(ABRIL!S139=0,"",ABRIL!S139)</f>
        <v>2010299</v>
      </c>
      <c r="T139" s="693" t="str">
        <f>+IF(ABRIL!T139=0,"",ABRIL!T139)</f>
        <v>Vigencias Anteriores</v>
      </c>
      <c r="U139" s="27">
        <f>+ENERO!U139</f>
        <v>0</v>
      </c>
      <c r="V139" s="15">
        <f>ABRIL!V139+MAYO!AL139</f>
        <v>0</v>
      </c>
      <c r="W139" s="15">
        <f>ABRIL!W139+MAYO!AM139</f>
        <v>26307692</v>
      </c>
      <c r="X139" s="18">
        <f t="shared" si="136"/>
        <v>26307692</v>
      </c>
      <c r="Y139" s="19">
        <f>ABRIL!AA139</f>
        <v>26307692</v>
      </c>
      <c r="Z139" s="377">
        <v>0</v>
      </c>
      <c r="AA139" s="18">
        <f t="shared" si="137"/>
        <v>26307692</v>
      </c>
      <c r="AB139" s="19">
        <f>ABRIL!AD139</f>
        <v>26307692</v>
      </c>
      <c r="AC139" s="377">
        <v>0</v>
      </c>
      <c r="AD139" s="18">
        <f t="shared" si="138"/>
        <v>26307692</v>
      </c>
      <c r="AE139" s="19">
        <f>ABRIL!AG139</f>
        <v>8989951</v>
      </c>
      <c r="AF139" s="377">
        <v>812100</v>
      </c>
      <c r="AG139" s="18">
        <f t="shared" si="139"/>
        <v>9802051</v>
      </c>
      <c r="AH139" s="19">
        <f t="shared" si="140"/>
        <v>0</v>
      </c>
      <c r="AI139" s="15">
        <f t="shared" si="141"/>
        <v>0</v>
      </c>
      <c r="AJ139" s="16">
        <f t="shared" si="142"/>
        <v>16505641</v>
      </c>
      <c r="AK139" s="9"/>
      <c r="AL139" s="375">
        <v>0</v>
      </c>
      <c r="AM139" s="378">
        <v>0</v>
      </c>
      <c r="AN139" s="9"/>
      <c r="AO139" s="297"/>
      <c r="AP139" s="297"/>
      <c r="AQ139" s="297"/>
    </row>
    <row r="140" spans="1:52" s="385" customFormat="1" ht="24.95" customHeight="1" x14ac:dyDescent="0.2">
      <c r="A140" s="767"/>
      <c r="B140" s="668"/>
      <c r="N140" s="9"/>
      <c r="R140" s="9"/>
      <c r="S140" s="369" t="str">
        <f>+IF(ABRIL!S140=0,"",ABRIL!S140)</f>
        <v/>
      </c>
      <c r="T140" s="708" t="str">
        <f>+IF(ABRIL!T140=0,"",ABRIL!T140)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+IF(ABRIL!S141=0,"",ABRIL!S141)</f>
        <v>2010300</v>
      </c>
      <c r="T141" s="692" t="str">
        <f>+IF(ABRIL!T141=0,"",ABRIL!T141)</f>
        <v>Impuestos y Multas</v>
      </c>
      <c r="U141" s="135">
        <f t="shared" ref="U141:AJ141" si="145">U142+U143</f>
        <v>10780963</v>
      </c>
      <c r="V141" s="124">
        <f t="shared" si="145"/>
        <v>0</v>
      </c>
      <c r="W141" s="124">
        <f t="shared" si="145"/>
        <v>1487943</v>
      </c>
      <c r="X141" s="132">
        <f t="shared" si="145"/>
        <v>12268906</v>
      </c>
      <c r="Y141" s="131">
        <f t="shared" si="145"/>
        <v>3303472</v>
      </c>
      <c r="Z141" s="124">
        <f t="shared" si="145"/>
        <v>0</v>
      </c>
      <c r="AA141" s="132">
        <f t="shared" si="145"/>
        <v>3303472</v>
      </c>
      <c r="AB141" s="131">
        <f t="shared" si="145"/>
        <v>3303472</v>
      </c>
      <c r="AC141" s="124">
        <f t="shared" si="145"/>
        <v>0</v>
      </c>
      <c r="AD141" s="132">
        <f t="shared" si="145"/>
        <v>3303472</v>
      </c>
      <c r="AE141" s="131">
        <f t="shared" si="145"/>
        <v>0</v>
      </c>
      <c r="AF141" s="124">
        <f t="shared" si="145"/>
        <v>0</v>
      </c>
      <c r="AG141" s="132">
        <f t="shared" si="145"/>
        <v>0</v>
      </c>
      <c r="AH141" s="131">
        <f t="shared" si="145"/>
        <v>8965434</v>
      </c>
      <c r="AI141" s="124">
        <f t="shared" si="145"/>
        <v>8965434</v>
      </c>
      <c r="AJ141" s="133">
        <f t="shared" si="145"/>
        <v>12268906</v>
      </c>
      <c r="AK141" s="10"/>
      <c r="AL141" s="131">
        <f>AL142+AL143</f>
        <v>0</v>
      </c>
      <c r="AM141" s="133">
        <f>AM142+AM143</f>
        <v>0</v>
      </c>
      <c r="AN141" s="9"/>
    </row>
    <row r="142" spans="1:52" s="385" customFormat="1" ht="24.95" customHeight="1" x14ac:dyDescent="0.2">
      <c r="A142" s="767"/>
      <c r="B142" s="668"/>
      <c r="N142" s="9"/>
      <c r="R142" s="9"/>
      <c r="S142" s="719" t="str">
        <f>+IF(ABRIL!S142=0,"",ABRIL!S142)</f>
        <v>2010300-1</v>
      </c>
      <c r="T142" s="693" t="str">
        <f>+IF(ABRIL!T142=0,"",ABRIL!T142)</f>
        <v>Impuestos (Predial, Vehiculos, Otros)</v>
      </c>
      <c r="U142" s="27">
        <f>+ENERO!U142</f>
        <v>10780963</v>
      </c>
      <c r="V142" s="15">
        <f>ABRIL!V142+MAYO!AL142</f>
        <v>0</v>
      </c>
      <c r="W142" s="15">
        <f>ABRIL!W142+MAYO!AM142</f>
        <v>0</v>
      </c>
      <c r="X142" s="18">
        <f>SUM(U142:W142)</f>
        <v>10780963</v>
      </c>
      <c r="Y142" s="19">
        <f>ABRIL!AA142</f>
        <v>1815529</v>
      </c>
      <c r="Z142" s="377">
        <v>0</v>
      </c>
      <c r="AA142" s="18">
        <f>SUM(Y142:Z142)</f>
        <v>1815529</v>
      </c>
      <c r="AB142" s="19">
        <f>ABRIL!AD142</f>
        <v>1815529</v>
      </c>
      <c r="AC142" s="377">
        <v>0</v>
      </c>
      <c r="AD142" s="18">
        <f>SUM(AB142:AC142)</f>
        <v>1815529</v>
      </c>
      <c r="AE142" s="19">
        <f>ABRIL!AG142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+IF(ABRIL!S143=0,"",ABRIL!S143)</f>
        <v>2010399</v>
      </c>
      <c r="T143" s="693" t="str">
        <f>+IF(ABRIL!T143=0,"",ABRIL!T143)</f>
        <v>Vigencias Anteriores</v>
      </c>
      <c r="U143" s="27">
        <f>+ENERO!U143</f>
        <v>0</v>
      </c>
      <c r="V143" s="15">
        <f>ABRIL!V143+MAYO!AL143</f>
        <v>0</v>
      </c>
      <c r="W143" s="15">
        <f>ABRIL!W143+MAYO!AM143</f>
        <v>1487943</v>
      </c>
      <c r="X143" s="18">
        <f>SUM(U143:W143)</f>
        <v>1487943</v>
      </c>
      <c r="Y143" s="19">
        <f>ABRIL!AA143</f>
        <v>1487943</v>
      </c>
      <c r="Z143" s="377">
        <v>0</v>
      </c>
      <c r="AA143" s="18">
        <f>SUM(Y143:Z143)</f>
        <v>1487943</v>
      </c>
      <c r="AB143" s="19">
        <f>ABRIL!AD143</f>
        <v>1487943</v>
      </c>
      <c r="AC143" s="377">
        <v>0</v>
      </c>
      <c r="AD143" s="18">
        <f>SUM(AB143:AC143)</f>
        <v>1487943</v>
      </c>
      <c r="AE143" s="19">
        <f>ABRIL!AG143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+IF(ABRIL!S144=0,"",ABRIL!S144)</f>
        <v/>
      </c>
      <c r="T144" s="708" t="str">
        <f>+IF(ABRIL!T144=0,"",ABRIL!T144)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+IF(ABRIL!S145=0,"",ABRIL!S145)</f>
        <v>2020010</v>
      </c>
      <c r="T145" s="691" t="str">
        <f>+IF(ABRIL!T145=0,"",ABRIL!T145)</f>
        <v>Gastos de Operación</v>
      </c>
      <c r="U145" s="135">
        <f t="shared" ref="U145:AJ145" si="146">U147+U155</f>
        <v>323975875</v>
      </c>
      <c r="V145" s="124">
        <f t="shared" si="146"/>
        <v>25000000</v>
      </c>
      <c r="W145" s="124">
        <f t="shared" si="146"/>
        <v>111099188</v>
      </c>
      <c r="X145" s="132">
        <f t="shared" si="146"/>
        <v>460075063</v>
      </c>
      <c r="Y145" s="131">
        <f t="shared" si="146"/>
        <v>251526986</v>
      </c>
      <c r="Z145" s="124">
        <f t="shared" si="146"/>
        <v>11862206</v>
      </c>
      <c r="AA145" s="132">
        <f t="shared" si="146"/>
        <v>263389192</v>
      </c>
      <c r="AB145" s="131">
        <f t="shared" si="146"/>
        <v>186552676</v>
      </c>
      <c r="AC145" s="124">
        <f t="shared" si="146"/>
        <v>24784773</v>
      </c>
      <c r="AD145" s="132">
        <f t="shared" si="146"/>
        <v>211337449</v>
      </c>
      <c r="AE145" s="131">
        <f t="shared" si="146"/>
        <v>92941778</v>
      </c>
      <c r="AF145" s="124">
        <f t="shared" si="146"/>
        <v>49396670</v>
      </c>
      <c r="AG145" s="132">
        <f t="shared" si="146"/>
        <v>142338448</v>
      </c>
      <c r="AH145" s="131">
        <f t="shared" si="146"/>
        <v>196685871</v>
      </c>
      <c r="AI145" s="124">
        <f t="shared" si="146"/>
        <v>248737614</v>
      </c>
      <c r="AJ145" s="133">
        <f t="shared" si="146"/>
        <v>317736615</v>
      </c>
      <c r="AK145" s="10"/>
      <c r="AL145" s="131">
        <f>AL147+AL155</f>
        <v>0</v>
      </c>
      <c r="AM145" s="133">
        <f>AM147+AM155</f>
        <v>0</v>
      </c>
      <c r="AN145" s="9"/>
    </row>
    <row r="146" spans="1:40" s="385" customFormat="1" ht="24.95" customHeight="1" x14ac:dyDescent="0.2">
      <c r="A146" s="767"/>
      <c r="B146" s="668"/>
      <c r="N146" s="9"/>
      <c r="R146" s="9"/>
      <c r="S146" s="720" t="str">
        <f>+IF(ABRIL!S146=0,"",ABRIL!S146)</f>
        <v/>
      </c>
      <c r="T146" s="694" t="str">
        <f>+IF(ABRIL!T146=0,"",ABRIL!T146)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+IF(ABRIL!S147=0,"",ABRIL!S147)</f>
        <v>2020100</v>
      </c>
      <c r="T147" s="692" t="str">
        <f>+IF(ABRIL!T147=0,"",ABRIL!T147)</f>
        <v>Adquisición de bienes</v>
      </c>
      <c r="U147" s="135">
        <f t="shared" ref="U147:AJ147" si="147">SUM(U148:U149)+U153</f>
        <v>113248636</v>
      </c>
      <c r="V147" s="124">
        <f t="shared" si="147"/>
        <v>2000000</v>
      </c>
      <c r="W147" s="124">
        <f t="shared" si="147"/>
        <v>75561517</v>
      </c>
      <c r="X147" s="132">
        <f t="shared" si="147"/>
        <v>190810153</v>
      </c>
      <c r="Y147" s="131">
        <f t="shared" si="147"/>
        <v>70591636</v>
      </c>
      <c r="Z147" s="124">
        <f t="shared" si="147"/>
        <v>6982297</v>
      </c>
      <c r="AA147" s="132">
        <f t="shared" si="147"/>
        <v>77573933</v>
      </c>
      <c r="AB147" s="131">
        <f t="shared" si="147"/>
        <v>70591636</v>
      </c>
      <c r="AC147" s="124">
        <f t="shared" si="147"/>
        <v>6982297</v>
      </c>
      <c r="AD147" s="132">
        <f t="shared" si="147"/>
        <v>77573933</v>
      </c>
      <c r="AE147" s="131">
        <f t="shared" si="147"/>
        <v>27839064</v>
      </c>
      <c r="AF147" s="124">
        <f t="shared" si="147"/>
        <v>21594790</v>
      </c>
      <c r="AG147" s="132">
        <f t="shared" si="147"/>
        <v>49433854</v>
      </c>
      <c r="AH147" s="131">
        <f t="shared" si="147"/>
        <v>113236220</v>
      </c>
      <c r="AI147" s="124">
        <f t="shared" si="147"/>
        <v>113236220</v>
      </c>
      <c r="AJ147" s="133">
        <f t="shared" si="147"/>
        <v>141376299</v>
      </c>
      <c r="AK147" s="9"/>
      <c r="AL147" s="131">
        <f>SUM(AL148:AL149)+AL153</f>
        <v>0</v>
      </c>
      <c r="AM147" s="133">
        <f>SUM(AM148:AM149)+AM153</f>
        <v>0</v>
      </c>
      <c r="AN147" s="9"/>
    </row>
    <row r="148" spans="1:40" s="385" customFormat="1" ht="24.95" customHeight="1" x14ac:dyDescent="0.2">
      <c r="A148" s="767"/>
      <c r="B148" s="668"/>
      <c r="N148" s="9"/>
      <c r="R148" s="9"/>
      <c r="S148" s="719">
        <f>+IF(ABRIL!S148=0,"",ABRIL!S148)</f>
        <v>2020101</v>
      </c>
      <c r="T148" s="693" t="str">
        <f>+IF(ABRIL!T148=0,"",ABRIL!T148)</f>
        <v>Mantenimiento Hospitalario</v>
      </c>
      <c r="U148" s="27">
        <f>+ENERO!U148</f>
        <v>74533223</v>
      </c>
      <c r="V148" s="15">
        <f>ABRIL!V148+MAYO!AL148</f>
        <v>0</v>
      </c>
      <c r="W148" s="15">
        <f>ABRIL!W148+MAYO!AM148</f>
        <v>0</v>
      </c>
      <c r="X148" s="18">
        <f>SUM(U148:W148)</f>
        <v>74533223</v>
      </c>
      <c r="Y148" s="19">
        <f>ABRIL!AA148</f>
        <v>25752441</v>
      </c>
      <c r="Z148" s="377">
        <v>1859952</v>
      </c>
      <c r="AA148" s="18">
        <f>SUM(Y148:Z148)</f>
        <v>27612393</v>
      </c>
      <c r="AB148" s="19">
        <f>ABRIL!AD148</f>
        <v>25752441</v>
      </c>
      <c r="AC148" s="377">
        <v>1859952</v>
      </c>
      <c r="AD148" s="18">
        <f>SUM(AB148:AC148)</f>
        <v>27612393</v>
      </c>
      <c r="AE148" s="19">
        <f>ABRIL!AG148</f>
        <v>7948556</v>
      </c>
      <c r="AF148" s="377">
        <v>8206235</v>
      </c>
      <c r="AG148" s="18">
        <f>SUM(AE148:AF148)</f>
        <v>16154791</v>
      </c>
      <c r="AH148" s="19">
        <f>X148-AA148</f>
        <v>46920830</v>
      </c>
      <c r="AI148" s="15">
        <f>X148-AD148</f>
        <v>46920830</v>
      </c>
      <c r="AJ148" s="16">
        <f>X148-AG148</f>
        <v>58378432</v>
      </c>
      <c r="AK148" s="9"/>
      <c r="AL148" s="375">
        <v>0</v>
      </c>
      <c r="AM148" s="378">
        <v>0</v>
      </c>
      <c r="AN148" s="9"/>
    </row>
    <row r="149" spans="1:40" s="385" customFormat="1" ht="24.95" customHeight="1" x14ac:dyDescent="0.2">
      <c r="A149" s="767"/>
      <c r="B149" s="668"/>
      <c r="N149" s="9"/>
      <c r="R149" s="9"/>
      <c r="S149" s="719">
        <f>+IF(ABRIL!S149=0,"",ABRIL!S149)</f>
        <v>2020102</v>
      </c>
      <c r="T149" s="693" t="str">
        <f>+IF(ABRIL!T149=0,"",ABRIL!T149)</f>
        <v>Otros</v>
      </c>
      <c r="U149" s="27">
        <f t="shared" ref="U149:AJ149" si="148">SUM(U150:U152)</f>
        <v>38715413</v>
      </c>
      <c r="V149" s="15">
        <f t="shared" si="148"/>
        <v>2000000</v>
      </c>
      <c r="W149" s="15">
        <f t="shared" si="148"/>
        <v>41780673</v>
      </c>
      <c r="X149" s="18">
        <f t="shared" si="148"/>
        <v>82496086</v>
      </c>
      <c r="Y149" s="19">
        <f t="shared" si="148"/>
        <v>11058351</v>
      </c>
      <c r="Z149" s="145">
        <f t="shared" si="148"/>
        <v>5122345</v>
      </c>
      <c r="AA149" s="18">
        <f t="shared" si="148"/>
        <v>16180696</v>
      </c>
      <c r="AB149" s="19">
        <f t="shared" si="148"/>
        <v>11058351</v>
      </c>
      <c r="AC149" s="145">
        <f t="shared" si="148"/>
        <v>5122345</v>
      </c>
      <c r="AD149" s="18">
        <f t="shared" si="148"/>
        <v>16180696</v>
      </c>
      <c r="AE149" s="19">
        <f t="shared" si="148"/>
        <v>0</v>
      </c>
      <c r="AF149" s="145">
        <f t="shared" si="148"/>
        <v>1894600</v>
      </c>
      <c r="AG149" s="18">
        <f t="shared" si="148"/>
        <v>1894600</v>
      </c>
      <c r="AH149" s="19">
        <f t="shared" si="148"/>
        <v>66315390</v>
      </c>
      <c r="AI149" s="15">
        <f t="shared" si="148"/>
        <v>66315390</v>
      </c>
      <c r="AJ149" s="16">
        <f t="shared" si="148"/>
        <v>80601486</v>
      </c>
      <c r="AK149" s="9"/>
      <c r="AL149" s="29">
        <f>SUM(AL150:AL152)</f>
        <v>0</v>
      </c>
      <c r="AM149" s="26">
        <f>SUM(AM150:AM152)</f>
        <v>0</v>
      </c>
      <c r="AN149" s="9"/>
    </row>
    <row r="150" spans="1:40" s="385" customFormat="1" ht="24.95" customHeight="1" x14ac:dyDescent="0.2">
      <c r="A150" s="767"/>
      <c r="B150" s="668"/>
      <c r="N150" s="9"/>
      <c r="R150" s="9"/>
      <c r="S150" s="720" t="str">
        <f>+IF(ABRIL!S150=0,"",ABRIL!S150)</f>
        <v>2020102-1</v>
      </c>
      <c r="T150" s="693" t="str">
        <f>+IF(ABRIL!T150=0,"",ABRIL!T150)</f>
        <v>Compra de Equipo e Instr. Mco. y Laborat.</v>
      </c>
      <c r="U150" s="27">
        <f>+ENERO!U150</f>
        <v>0</v>
      </c>
      <c r="V150" s="15">
        <f>ABRIL!V150+MAYO!AL150</f>
        <v>0</v>
      </c>
      <c r="W150" s="15">
        <f>ABRIL!W150+MAYO!AM150</f>
        <v>40000000</v>
      </c>
      <c r="X150" s="18">
        <f>SUM(U150:W150)</f>
        <v>40000000</v>
      </c>
      <c r="Y150" s="19">
        <f>ABRIL!AA150</f>
        <v>0</v>
      </c>
      <c r="Z150" s="377">
        <v>1809600</v>
      </c>
      <c r="AA150" s="18">
        <f>SUM(Y150:Z150)</f>
        <v>1809600</v>
      </c>
      <c r="AB150" s="19">
        <f>ABRIL!AD150</f>
        <v>0</v>
      </c>
      <c r="AC150" s="377">
        <v>1809600</v>
      </c>
      <c r="AD150" s="18">
        <f>SUM(AB150:AC150)</f>
        <v>1809600</v>
      </c>
      <c r="AE150" s="19">
        <f>ABRIL!AG150</f>
        <v>0</v>
      </c>
      <c r="AF150" s="377">
        <v>1809600</v>
      </c>
      <c r="AG150" s="18">
        <f>SUM(AE150:AF150)</f>
        <v>1809600</v>
      </c>
      <c r="AH150" s="19">
        <f>X150-AA150</f>
        <v>38190400</v>
      </c>
      <c r="AI150" s="15">
        <f>X150-AD150</f>
        <v>38190400</v>
      </c>
      <c r="AJ150" s="16">
        <f>X150-AG150</f>
        <v>38190400</v>
      </c>
      <c r="AK150" s="9"/>
      <c r="AL150" s="375">
        <v>0</v>
      </c>
      <c r="AM150" s="378">
        <v>0</v>
      </c>
      <c r="AN150" s="9"/>
    </row>
    <row r="151" spans="1:40" s="385" customFormat="1" ht="24.95" customHeight="1" x14ac:dyDescent="0.2">
      <c r="A151" s="767"/>
      <c r="B151" s="668"/>
      <c r="N151" s="9"/>
      <c r="R151" s="9"/>
      <c r="S151" s="720" t="str">
        <f>+IF(ABRIL!S151=0,"",ABRIL!S151)</f>
        <v>2020102-2</v>
      </c>
      <c r="T151" s="693" t="str">
        <f>+IF(ABRIL!T151=0,"",ABRIL!T151)</f>
        <v>Materiales</v>
      </c>
      <c r="U151" s="27">
        <f>+ENERO!U151</f>
        <v>15288294</v>
      </c>
      <c r="V151" s="15">
        <f>ABRIL!V151+MAYO!AL151</f>
        <v>2000000</v>
      </c>
      <c r="W151" s="15">
        <f>ABRIL!W151+MAYO!AM151</f>
        <v>1780673</v>
      </c>
      <c r="X151" s="18">
        <f>SUM(U151:W151)</f>
        <v>19068967</v>
      </c>
      <c r="Y151" s="19">
        <f>ABRIL!AA151</f>
        <v>3826067</v>
      </c>
      <c r="Z151" s="377">
        <v>1591520</v>
      </c>
      <c r="AA151" s="18">
        <f>SUM(Y151:Z151)</f>
        <v>5417587</v>
      </c>
      <c r="AB151" s="19">
        <f>ABRIL!AD151</f>
        <v>3826067</v>
      </c>
      <c r="AC151" s="377">
        <v>1591520</v>
      </c>
      <c r="AD151" s="18">
        <f>SUM(AB151:AC151)</f>
        <v>5417587</v>
      </c>
      <c r="AE151" s="19">
        <f>ABRIL!AG151</f>
        <v>0</v>
      </c>
      <c r="AF151" s="377">
        <v>0</v>
      </c>
      <c r="AG151" s="18">
        <f>SUM(AE151:AF151)</f>
        <v>0</v>
      </c>
      <c r="AH151" s="19">
        <f>X151-AA151</f>
        <v>13651380</v>
      </c>
      <c r="AI151" s="15">
        <f>X151-AD151</f>
        <v>13651380</v>
      </c>
      <c r="AJ151" s="16">
        <f>X151-AG151</f>
        <v>19068967</v>
      </c>
      <c r="AK151" s="9"/>
      <c r="AL151" s="375">
        <v>0</v>
      </c>
      <c r="AM151" s="378">
        <v>0</v>
      </c>
      <c r="AN151" s="9"/>
    </row>
    <row r="152" spans="1:40" s="385" customFormat="1" ht="24.95" customHeight="1" x14ac:dyDescent="0.2">
      <c r="A152" s="767"/>
      <c r="B152" s="668"/>
      <c r="N152" s="9"/>
      <c r="R152" s="9"/>
      <c r="S152" s="720" t="str">
        <f>+IF(ABRIL!S152=0,"",ABRIL!S152)</f>
        <v>2020102-3</v>
      </c>
      <c r="T152" s="693" t="str">
        <f>+IF(ABRIL!T152=0,"",ABRIL!T152)</f>
        <v>Combustible</v>
      </c>
      <c r="U152" s="27">
        <f>+ENERO!U152</f>
        <v>23427119</v>
      </c>
      <c r="V152" s="15">
        <f>ABRIL!V152+MAYO!AL152</f>
        <v>0</v>
      </c>
      <c r="W152" s="15">
        <f>ABRIL!W152+MAYO!AM152</f>
        <v>0</v>
      </c>
      <c r="X152" s="18">
        <f>SUM(U152:W152)</f>
        <v>23427119</v>
      </c>
      <c r="Y152" s="19">
        <f>ABRIL!AA152</f>
        <v>7232284</v>
      </c>
      <c r="Z152" s="377">
        <v>1721225</v>
      </c>
      <c r="AA152" s="18">
        <f>SUM(Y152:Z152)</f>
        <v>8953509</v>
      </c>
      <c r="AB152" s="19">
        <f>ABRIL!AD152</f>
        <v>7232284</v>
      </c>
      <c r="AC152" s="377">
        <v>1721225</v>
      </c>
      <c r="AD152" s="18">
        <f>SUM(AB152:AC152)</f>
        <v>8953509</v>
      </c>
      <c r="AE152" s="19">
        <f>ABRIL!AG152</f>
        <v>0</v>
      </c>
      <c r="AF152" s="377">
        <v>85000</v>
      </c>
      <c r="AG152" s="18">
        <f>SUM(AE152:AF152)</f>
        <v>85000</v>
      </c>
      <c r="AH152" s="19">
        <f>X152-AA152</f>
        <v>14473610</v>
      </c>
      <c r="AI152" s="15">
        <f>X152-AD152</f>
        <v>14473610</v>
      </c>
      <c r="AJ152" s="16">
        <f>X152-AG152</f>
        <v>23342119</v>
      </c>
      <c r="AK152" s="9"/>
      <c r="AL152" s="375">
        <v>0</v>
      </c>
      <c r="AM152" s="378">
        <v>0</v>
      </c>
      <c r="AN152" s="9"/>
    </row>
    <row r="153" spans="1:40" s="385" customFormat="1" ht="24.95" customHeight="1" x14ac:dyDescent="0.2">
      <c r="A153" s="767"/>
      <c r="B153" s="668"/>
      <c r="N153" s="9"/>
      <c r="R153" s="9"/>
      <c r="S153" s="719">
        <f>+IF(ABRIL!S153=0,"",ABRIL!S153)</f>
        <v>2020199</v>
      </c>
      <c r="T153" s="693" t="str">
        <f>+IF(ABRIL!T153=0,"",ABRIL!T153)</f>
        <v>Vigencias Anteriores</v>
      </c>
      <c r="U153" s="27">
        <f>+ENERO!U153</f>
        <v>0</v>
      </c>
      <c r="V153" s="15">
        <f>ABRIL!V153+MAYO!AL153</f>
        <v>0</v>
      </c>
      <c r="W153" s="15">
        <f>ABRIL!W153+MAYO!AM153</f>
        <v>33780844</v>
      </c>
      <c r="X153" s="18">
        <f>SUM(U153:W153)</f>
        <v>33780844</v>
      </c>
      <c r="Y153" s="19">
        <f>ABRIL!AA153</f>
        <v>33780844</v>
      </c>
      <c r="Z153" s="377">
        <v>0</v>
      </c>
      <c r="AA153" s="18">
        <f>SUM(Y153:Z153)</f>
        <v>33780844</v>
      </c>
      <c r="AB153" s="19">
        <f>ABRIL!AD153</f>
        <v>33780844</v>
      </c>
      <c r="AC153" s="377">
        <v>0</v>
      </c>
      <c r="AD153" s="18">
        <f>SUM(AB153:AC153)</f>
        <v>33780844</v>
      </c>
      <c r="AE153" s="19">
        <f>ABRIL!AG153</f>
        <v>19890508</v>
      </c>
      <c r="AF153" s="377">
        <v>11493955</v>
      </c>
      <c r="AG153" s="18">
        <f>SUM(AE153:AF153)</f>
        <v>31384463</v>
      </c>
      <c r="AH153" s="19">
        <f>X153-AA153</f>
        <v>0</v>
      </c>
      <c r="AI153" s="15">
        <f>X153-AD153</f>
        <v>0</v>
      </c>
      <c r="AJ153" s="16">
        <f>X153-AG153</f>
        <v>2396381</v>
      </c>
      <c r="AK153" s="9"/>
      <c r="AL153" s="375">
        <v>0</v>
      </c>
      <c r="AM153" s="378">
        <v>0</v>
      </c>
      <c r="AN153" s="9"/>
    </row>
    <row r="154" spans="1:40" s="385" customFormat="1" ht="24.95" customHeight="1" x14ac:dyDescent="0.2">
      <c r="A154" s="767"/>
      <c r="B154" s="668"/>
      <c r="N154" s="9"/>
      <c r="R154" s="9"/>
      <c r="S154" s="369" t="str">
        <f>+IF(ABRIL!S154=0,"",ABRIL!S154)</f>
        <v/>
      </c>
      <c r="T154" s="708" t="str">
        <f>+IF(ABRIL!T154=0,"",ABRIL!T154)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+IF(ABRIL!S155=0,"",ABRIL!S155)</f>
        <v>2020200</v>
      </c>
      <c r="T155" s="692" t="str">
        <f>+IF(ABRIL!T155=0,"",ABRIL!T155)</f>
        <v>Adquisición de Servicios</v>
      </c>
      <c r="U155" s="135">
        <f t="shared" ref="U155:AJ155" si="149">SUM(U156:U157)+U168</f>
        <v>210727239</v>
      </c>
      <c r="V155" s="124">
        <f t="shared" si="149"/>
        <v>23000000</v>
      </c>
      <c r="W155" s="124">
        <f t="shared" si="149"/>
        <v>35537671</v>
      </c>
      <c r="X155" s="132">
        <f t="shared" si="149"/>
        <v>269264910</v>
      </c>
      <c r="Y155" s="131">
        <f t="shared" si="149"/>
        <v>180935350</v>
      </c>
      <c r="Z155" s="124">
        <f t="shared" si="149"/>
        <v>4879909</v>
      </c>
      <c r="AA155" s="132">
        <f t="shared" si="149"/>
        <v>185815259</v>
      </c>
      <c r="AB155" s="131">
        <f t="shared" si="149"/>
        <v>115961040</v>
      </c>
      <c r="AC155" s="124">
        <f t="shared" si="149"/>
        <v>17802476</v>
      </c>
      <c r="AD155" s="132">
        <f t="shared" si="149"/>
        <v>133763516</v>
      </c>
      <c r="AE155" s="131">
        <f t="shared" si="149"/>
        <v>65102714</v>
      </c>
      <c r="AF155" s="124">
        <f t="shared" si="149"/>
        <v>27801880</v>
      </c>
      <c r="AG155" s="132">
        <f t="shared" si="149"/>
        <v>92904594</v>
      </c>
      <c r="AH155" s="131">
        <f t="shared" si="149"/>
        <v>83449651</v>
      </c>
      <c r="AI155" s="124">
        <f t="shared" si="149"/>
        <v>135501394</v>
      </c>
      <c r="AJ155" s="133">
        <f t="shared" si="149"/>
        <v>176360316</v>
      </c>
      <c r="AK155" s="9"/>
      <c r="AL155" s="131">
        <f>SUM(AL156:AL157)+AL168</f>
        <v>0</v>
      </c>
      <c r="AM155" s="133">
        <f>SUM(AM156:AM157)+AM168</f>
        <v>0</v>
      </c>
      <c r="AN155" s="9"/>
    </row>
    <row r="156" spans="1:40" s="385" customFormat="1" ht="24.95" customHeight="1" x14ac:dyDescent="0.2">
      <c r="A156" s="767"/>
      <c r="B156" s="668"/>
      <c r="N156" s="9"/>
      <c r="P156" s="9"/>
      <c r="Q156" s="9"/>
      <c r="R156" s="9"/>
      <c r="S156" s="719">
        <f>+IF(ABRIL!S156=0,"",ABRIL!S156)</f>
        <v>2020201</v>
      </c>
      <c r="T156" s="693" t="str">
        <f>+IF(ABRIL!T156=0,"",ABRIL!T156)</f>
        <v>Mantenimiento Hospitalario</v>
      </c>
      <c r="U156" s="27">
        <f>+ENERO!U156</f>
        <v>82251828</v>
      </c>
      <c r="V156" s="15">
        <f>ABRIL!V156+MAYO!AL156</f>
        <v>0</v>
      </c>
      <c r="W156" s="15">
        <f>ABRIL!W156+MAYO!AM156</f>
        <v>0</v>
      </c>
      <c r="X156" s="18">
        <f>SUM(U156:W156)</f>
        <v>82251828</v>
      </c>
      <c r="Y156" s="19">
        <f>ABRIL!AA156</f>
        <v>46839970</v>
      </c>
      <c r="Z156" s="377">
        <v>865122</v>
      </c>
      <c r="AA156" s="18">
        <f>SUM(Y156:Z156)</f>
        <v>47705092</v>
      </c>
      <c r="AB156" s="19">
        <f>ABRIL!AD156</f>
        <v>38013125</v>
      </c>
      <c r="AC156" s="377">
        <v>2965121</v>
      </c>
      <c r="AD156" s="18">
        <f>SUM(AB156:AC156)</f>
        <v>40978246</v>
      </c>
      <c r="AE156" s="19">
        <f>ABRIL!AG156</f>
        <v>33562925</v>
      </c>
      <c r="AF156" s="377">
        <v>2689800</v>
      </c>
      <c r="AG156" s="18">
        <f>SUM(AE156:AF156)</f>
        <v>36252725</v>
      </c>
      <c r="AH156" s="19">
        <f>X156-AA156</f>
        <v>34546736</v>
      </c>
      <c r="AI156" s="15">
        <f>X156-AD156</f>
        <v>41273582</v>
      </c>
      <c r="AJ156" s="16">
        <f>X156-AG156</f>
        <v>45999103</v>
      </c>
      <c r="AK156" s="9"/>
      <c r="AL156" s="375">
        <v>0</v>
      </c>
      <c r="AM156" s="378">
        <v>0</v>
      </c>
      <c r="AN156" s="9"/>
    </row>
    <row r="157" spans="1:40" s="385" customFormat="1" ht="24.95" customHeight="1" x14ac:dyDescent="0.2">
      <c r="A157" s="767"/>
      <c r="B157" s="668"/>
      <c r="N157" s="9"/>
      <c r="P157" s="9"/>
      <c r="Q157" s="9"/>
      <c r="R157" s="9"/>
      <c r="S157" s="719">
        <f>+IF(ABRIL!S157=0,"",ABRIL!S157)</f>
        <v>2020202</v>
      </c>
      <c r="T157" s="693" t="str">
        <f>+IF(ABRIL!T157=0,"",ABRIL!T157)</f>
        <v>Otros</v>
      </c>
      <c r="U157" s="27">
        <f t="shared" ref="U157:AJ157" si="150">SUM(U158:U167)</f>
        <v>128475411</v>
      </c>
      <c r="V157" s="15">
        <f t="shared" si="150"/>
        <v>23000000</v>
      </c>
      <c r="W157" s="15">
        <f t="shared" si="150"/>
        <v>7000000</v>
      </c>
      <c r="X157" s="18">
        <f t="shared" si="150"/>
        <v>158475411</v>
      </c>
      <c r="Y157" s="19">
        <f t="shared" si="150"/>
        <v>105557709</v>
      </c>
      <c r="Z157" s="145">
        <f t="shared" si="150"/>
        <v>4014787</v>
      </c>
      <c r="AA157" s="18">
        <f t="shared" si="150"/>
        <v>109572496</v>
      </c>
      <c r="AB157" s="19">
        <f t="shared" si="150"/>
        <v>49410244</v>
      </c>
      <c r="AC157" s="145">
        <f t="shared" si="150"/>
        <v>14837355</v>
      </c>
      <c r="AD157" s="18">
        <f t="shared" si="150"/>
        <v>64247599</v>
      </c>
      <c r="AE157" s="19">
        <f t="shared" si="150"/>
        <v>16502872</v>
      </c>
      <c r="AF157" s="145">
        <f t="shared" si="150"/>
        <v>18781360</v>
      </c>
      <c r="AG157" s="18">
        <f t="shared" si="150"/>
        <v>35284232</v>
      </c>
      <c r="AH157" s="19">
        <f t="shared" si="150"/>
        <v>48902915</v>
      </c>
      <c r="AI157" s="15">
        <f t="shared" si="150"/>
        <v>94227812</v>
      </c>
      <c r="AJ157" s="16">
        <f t="shared" si="150"/>
        <v>123191179</v>
      </c>
      <c r="AK157" s="10"/>
      <c r="AL157" s="29">
        <f>SUM(AL158:AL167)</f>
        <v>0</v>
      </c>
      <c r="AM157" s="26">
        <f>SUM(AM158:AM167)</f>
        <v>0</v>
      </c>
      <c r="AN157" s="9"/>
    </row>
    <row r="158" spans="1:40" s="385" customFormat="1" ht="24.95" customHeight="1" x14ac:dyDescent="0.2">
      <c r="A158" s="767"/>
      <c r="B158" s="668"/>
      <c r="N158" s="9"/>
      <c r="P158" s="9"/>
      <c r="Q158" s="9"/>
      <c r="R158" s="9"/>
      <c r="S158" s="720" t="str">
        <f>+IF(ABRIL!S158=0,"",ABRIL!S158)</f>
        <v>2020202-1</v>
      </c>
      <c r="T158" s="694" t="str">
        <f>+IF(ABRIL!T158=0,"",ABRIL!T158)</f>
        <v>Seguros</v>
      </c>
      <c r="U158" s="27">
        <f>+ENERO!U158</f>
        <v>15745455</v>
      </c>
      <c r="V158" s="15">
        <f>ABRIL!V158+MAYO!AL158</f>
        <v>0</v>
      </c>
      <c r="W158" s="15">
        <f>ABRIL!W158+MAYO!AM158</f>
        <v>5000000</v>
      </c>
      <c r="X158" s="18">
        <f t="shared" ref="X158:X168" si="151">SUM(U158:W158)</f>
        <v>20745455</v>
      </c>
      <c r="Y158" s="19">
        <f>ABRIL!AA158</f>
        <v>18029036</v>
      </c>
      <c r="Z158" s="377">
        <v>0</v>
      </c>
      <c r="AA158" s="18">
        <f t="shared" ref="AA158:AA168" si="152">SUM(Y158:Z158)</f>
        <v>18029036</v>
      </c>
      <c r="AB158" s="19">
        <f>ABRIL!AD158</f>
        <v>18029036</v>
      </c>
      <c r="AC158" s="377">
        <v>0</v>
      </c>
      <c r="AD158" s="18">
        <f t="shared" ref="AD158:AD168" si="153">SUM(AB158:AC158)</f>
        <v>18029036</v>
      </c>
      <c r="AE158" s="19">
        <f>ABRIL!AG158</f>
        <v>7593614</v>
      </c>
      <c r="AF158" s="377">
        <v>4132034</v>
      </c>
      <c r="AG158" s="18">
        <f t="shared" ref="AG158:AG168" si="154">SUM(AE158:AF158)</f>
        <v>11725648</v>
      </c>
      <c r="AH158" s="19">
        <f t="shared" ref="AH158:AH168" si="155">X158-AA158</f>
        <v>2716419</v>
      </c>
      <c r="AI158" s="15">
        <f t="shared" ref="AI158:AI168" si="156">X158-AD158</f>
        <v>2716419</v>
      </c>
      <c r="AJ158" s="16">
        <f t="shared" ref="AJ158:AJ168" si="157">X158-AG158</f>
        <v>9019807</v>
      </c>
      <c r="AK158" s="9"/>
      <c r="AL158" s="375">
        <v>0</v>
      </c>
      <c r="AM158" s="378">
        <v>0</v>
      </c>
      <c r="AN158" s="9"/>
    </row>
    <row r="159" spans="1:40" s="385" customFormat="1" ht="24.95" customHeight="1" x14ac:dyDescent="0.2">
      <c r="A159" s="767"/>
      <c r="B159" s="668"/>
      <c r="N159" s="9"/>
      <c r="P159" s="9"/>
      <c r="Q159" s="9"/>
      <c r="R159" s="9"/>
      <c r="S159" s="720" t="str">
        <f>+IF(ABRIL!S159=0,"",ABRIL!S159)</f>
        <v>2020202-2</v>
      </c>
      <c r="T159" s="694" t="str">
        <f>+IF(ABRIL!T159=0,"",ABRIL!T159)</f>
        <v>Impresos y Publicaciones</v>
      </c>
      <c r="U159" s="27">
        <f>+ENERO!U159</f>
        <v>0</v>
      </c>
      <c r="V159" s="15">
        <f>ABRIL!V159+MAYO!AL159</f>
        <v>0</v>
      </c>
      <c r="W159" s="15">
        <f>ABRIL!W159+MAYO!AM159</f>
        <v>0</v>
      </c>
      <c r="X159" s="18">
        <f t="shared" si="151"/>
        <v>0</v>
      </c>
      <c r="Y159" s="19">
        <f>ABRIL!AA159</f>
        <v>0</v>
      </c>
      <c r="Z159" s="377">
        <v>0</v>
      </c>
      <c r="AA159" s="18">
        <f t="shared" si="152"/>
        <v>0</v>
      </c>
      <c r="AB159" s="19">
        <f>ABRIL!AD159</f>
        <v>0</v>
      </c>
      <c r="AC159" s="377">
        <v>0</v>
      </c>
      <c r="AD159" s="18">
        <f t="shared" si="153"/>
        <v>0</v>
      </c>
      <c r="AE159" s="19">
        <f>ABRIL!AG159</f>
        <v>0</v>
      </c>
      <c r="AF159" s="377">
        <v>0</v>
      </c>
      <c r="AG159" s="18">
        <f t="shared" si="154"/>
        <v>0</v>
      </c>
      <c r="AH159" s="19">
        <f t="shared" si="155"/>
        <v>0</v>
      </c>
      <c r="AI159" s="15">
        <f t="shared" si="156"/>
        <v>0</v>
      </c>
      <c r="AJ159" s="16">
        <f t="shared" si="157"/>
        <v>0</v>
      </c>
      <c r="AK159" s="9"/>
      <c r="AL159" s="375">
        <v>0</v>
      </c>
      <c r="AM159" s="378">
        <v>0</v>
      </c>
      <c r="AN159" s="9"/>
    </row>
    <row r="160" spans="1:40" s="385" customFormat="1" ht="24.95" customHeight="1" x14ac:dyDescent="0.2">
      <c r="A160" s="767"/>
      <c r="B160" s="668"/>
      <c r="N160" s="9"/>
      <c r="P160" s="9"/>
      <c r="Q160" s="9"/>
      <c r="R160" s="9"/>
      <c r="S160" s="720" t="str">
        <f>+IF(ABRIL!S160=0,"",ABRIL!S160)</f>
        <v>2020202-3</v>
      </c>
      <c r="T160" s="694" t="str">
        <f>+IF(ABRIL!T160=0,"",ABRIL!T160)</f>
        <v>Pago a otras IPS</v>
      </c>
      <c r="U160" s="27">
        <f>+ENERO!U160</f>
        <v>893693</v>
      </c>
      <c r="V160" s="15">
        <f>ABRIL!V160+MAYO!AL160</f>
        <v>23000000</v>
      </c>
      <c r="W160" s="15">
        <f>ABRIL!W160+MAYO!AM160</f>
        <v>2000000</v>
      </c>
      <c r="X160" s="18">
        <f t="shared" si="151"/>
        <v>25893693</v>
      </c>
      <c r="Y160" s="19">
        <f>ABRIL!AA160</f>
        <v>2893693</v>
      </c>
      <c r="Z160" s="377">
        <v>75900</v>
      </c>
      <c r="AA160" s="18">
        <f t="shared" si="152"/>
        <v>2969593</v>
      </c>
      <c r="AB160" s="19">
        <f>ABRIL!AD160</f>
        <v>2893693</v>
      </c>
      <c r="AC160" s="377">
        <v>75900</v>
      </c>
      <c r="AD160" s="18">
        <f t="shared" si="153"/>
        <v>2969593</v>
      </c>
      <c r="AE160" s="19">
        <f>ABRIL!AG160</f>
        <v>55000</v>
      </c>
      <c r="AF160" s="377">
        <v>0</v>
      </c>
      <c r="AG160" s="18">
        <f t="shared" si="154"/>
        <v>55000</v>
      </c>
      <c r="AH160" s="19">
        <f t="shared" si="155"/>
        <v>22924100</v>
      </c>
      <c r="AI160" s="15">
        <f t="shared" si="156"/>
        <v>22924100</v>
      </c>
      <c r="AJ160" s="16">
        <f t="shared" si="157"/>
        <v>25838693</v>
      </c>
      <c r="AK160" s="9"/>
      <c r="AL160" s="375">
        <v>0</v>
      </c>
      <c r="AM160" s="378">
        <v>0</v>
      </c>
      <c r="AN160" s="9"/>
    </row>
    <row r="161" spans="1:40" s="385" customFormat="1" ht="24.95" customHeight="1" x14ac:dyDescent="0.2">
      <c r="A161" s="767"/>
      <c r="B161" s="668"/>
      <c r="N161" s="9"/>
      <c r="P161" s="9"/>
      <c r="Q161" s="9"/>
      <c r="R161" s="9"/>
      <c r="S161" s="720" t="str">
        <f>+IF(ABRIL!S161=0,"",ABRIL!S161)</f>
        <v>2020202-4</v>
      </c>
      <c r="T161" s="694" t="str">
        <f>+IF(ABRIL!T161=0,"",ABRIL!T161)</f>
        <v>Comunicaciones y Transportes</v>
      </c>
      <c r="U161" s="27">
        <f>+ENERO!U161</f>
        <v>9528246</v>
      </c>
      <c r="V161" s="15">
        <f>ABRIL!V161+MAYO!AL161</f>
        <v>0</v>
      </c>
      <c r="W161" s="15">
        <f>ABRIL!W161+MAYO!AM161</f>
        <v>0</v>
      </c>
      <c r="X161" s="18">
        <f t="shared" si="151"/>
        <v>9528246</v>
      </c>
      <c r="Y161" s="19">
        <f>ABRIL!AA161</f>
        <v>1600357</v>
      </c>
      <c r="Z161" s="377">
        <v>760587</v>
      </c>
      <c r="AA161" s="18">
        <f t="shared" si="152"/>
        <v>2360944</v>
      </c>
      <c r="AB161" s="19">
        <f>ABRIL!AD161</f>
        <v>1600357</v>
      </c>
      <c r="AC161" s="377">
        <v>760587</v>
      </c>
      <c r="AD161" s="18">
        <f t="shared" si="153"/>
        <v>2360944</v>
      </c>
      <c r="AE161" s="19">
        <f>ABRIL!AG161</f>
        <v>1251145</v>
      </c>
      <c r="AF161" s="377">
        <v>282000</v>
      </c>
      <c r="AG161" s="18">
        <f t="shared" si="154"/>
        <v>1533145</v>
      </c>
      <c r="AH161" s="19">
        <f t="shared" si="155"/>
        <v>7167302</v>
      </c>
      <c r="AI161" s="15">
        <f t="shared" si="156"/>
        <v>7167302</v>
      </c>
      <c r="AJ161" s="16">
        <f t="shared" si="157"/>
        <v>7995101</v>
      </c>
      <c r="AK161" s="9"/>
      <c r="AL161" s="375">
        <v>0</v>
      </c>
      <c r="AM161" s="378">
        <v>0</v>
      </c>
      <c r="AN161" s="9"/>
    </row>
    <row r="162" spans="1:40" s="385" customFormat="1" ht="24.95" customHeight="1" x14ac:dyDescent="0.2">
      <c r="A162" s="767"/>
      <c r="B162" s="668"/>
      <c r="N162" s="9"/>
      <c r="P162" s="9"/>
      <c r="Q162" s="9"/>
      <c r="R162" s="9"/>
      <c r="S162" s="720" t="str">
        <f>+IF(ABRIL!S162=0,"",ABRIL!S162)</f>
        <v>2020202-5</v>
      </c>
      <c r="T162" s="694" t="str">
        <f>+IF(ABRIL!T162=0,"",ABRIL!T162)</f>
        <v>Viáticos y Gastos de Viaje</v>
      </c>
      <c r="U162" s="27">
        <f>+ENERO!U162</f>
        <v>3326745</v>
      </c>
      <c r="V162" s="15">
        <f>ABRIL!V162+MAYO!AL162</f>
        <v>0</v>
      </c>
      <c r="W162" s="15">
        <f>ABRIL!W162+MAYO!AM162</f>
        <v>0</v>
      </c>
      <c r="X162" s="18">
        <f t="shared" si="151"/>
        <v>3326745</v>
      </c>
      <c r="Y162" s="19">
        <f>ABRIL!AA162</f>
        <v>403653</v>
      </c>
      <c r="Z162" s="377">
        <v>0</v>
      </c>
      <c r="AA162" s="18">
        <f t="shared" si="152"/>
        <v>403653</v>
      </c>
      <c r="AB162" s="19">
        <f>ABRIL!AD162</f>
        <v>403653</v>
      </c>
      <c r="AC162" s="377">
        <v>0</v>
      </c>
      <c r="AD162" s="18">
        <f t="shared" si="153"/>
        <v>403653</v>
      </c>
      <c r="AE162" s="19">
        <f>ABRIL!AG162</f>
        <v>369013</v>
      </c>
      <c r="AF162" s="377">
        <v>5401</v>
      </c>
      <c r="AG162" s="18">
        <f t="shared" si="154"/>
        <v>374414</v>
      </c>
      <c r="AH162" s="19">
        <f t="shared" si="155"/>
        <v>2923092</v>
      </c>
      <c r="AI162" s="15">
        <f t="shared" si="156"/>
        <v>2923092</v>
      </c>
      <c r="AJ162" s="16">
        <f t="shared" si="157"/>
        <v>2952331</v>
      </c>
      <c r="AK162" s="9"/>
      <c r="AL162" s="375">
        <v>0</v>
      </c>
      <c r="AM162" s="378">
        <v>0</v>
      </c>
      <c r="AN162" s="9"/>
    </row>
    <row r="163" spans="1:40" s="385" customFormat="1" ht="24.95" customHeight="1" x14ac:dyDescent="0.2">
      <c r="A163" s="767"/>
      <c r="B163" s="668"/>
      <c r="N163" s="9"/>
      <c r="P163" s="9"/>
      <c r="Q163" s="9"/>
      <c r="R163" s="9"/>
      <c r="S163" s="720" t="str">
        <f>+IF(ABRIL!S163=0,"",ABRIL!S163)</f>
        <v>2020202-6</v>
      </c>
      <c r="T163" s="694" t="str">
        <f>+IF(ABRIL!T163=0,"",ABRIL!T163)</f>
        <v>Plan Integral de Manejo de Residuos Sólidos Hospitalarios</v>
      </c>
      <c r="U163" s="27">
        <f>+ENERO!U163</f>
        <v>10511470</v>
      </c>
      <c r="V163" s="15">
        <f>ABRIL!V163+MAYO!AL163</f>
        <v>0</v>
      </c>
      <c r="W163" s="15">
        <f>ABRIL!W163+MAYO!AM163</f>
        <v>0</v>
      </c>
      <c r="X163" s="18">
        <f t="shared" si="151"/>
        <v>10511470</v>
      </c>
      <c r="Y163" s="19">
        <f>ABRIL!AA163</f>
        <v>10511470</v>
      </c>
      <c r="Z163" s="377">
        <v>0</v>
      </c>
      <c r="AA163" s="18">
        <f t="shared" si="152"/>
        <v>10511470</v>
      </c>
      <c r="AB163" s="19">
        <f>ABRIL!AD163</f>
        <v>1759305</v>
      </c>
      <c r="AC163" s="377">
        <v>631730</v>
      </c>
      <c r="AD163" s="18">
        <f t="shared" si="153"/>
        <v>2391035</v>
      </c>
      <c r="AE163" s="19">
        <f>ABRIL!AG163</f>
        <v>0</v>
      </c>
      <c r="AF163" s="377">
        <v>878225</v>
      </c>
      <c r="AG163" s="18">
        <f t="shared" si="154"/>
        <v>878225</v>
      </c>
      <c r="AH163" s="19">
        <f t="shared" si="155"/>
        <v>0</v>
      </c>
      <c r="AI163" s="15">
        <f t="shared" si="156"/>
        <v>8120435</v>
      </c>
      <c r="AJ163" s="16">
        <f t="shared" si="157"/>
        <v>9633245</v>
      </c>
      <c r="AK163" s="9"/>
      <c r="AL163" s="375">
        <v>0</v>
      </c>
      <c r="AM163" s="378">
        <v>0</v>
      </c>
      <c r="AN163" s="9"/>
    </row>
    <row r="164" spans="1:40" s="385" customFormat="1" ht="24.95" customHeight="1" x14ac:dyDescent="0.2">
      <c r="A164" s="767"/>
      <c r="B164" s="668"/>
      <c r="N164" s="9"/>
      <c r="P164" s="9"/>
      <c r="Q164" s="9"/>
      <c r="R164" s="9"/>
      <c r="S164" s="720" t="str">
        <f>+IF(ABRIL!S164=0,"",ABRIL!S164)</f>
        <v>2020202-7</v>
      </c>
      <c r="T164" s="694" t="str">
        <f>+IF(ABRIL!T164=0,"",ABRIL!T164)</f>
        <v>Servicios de Laboratorio contratados con terceros</v>
      </c>
      <c r="U164" s="27">
        <f>+ENERO!U164</f>
        <v>21580478</v>
      </c>
      <c r="V164" s="15">
        <f>ABRIL!V164+MAYO!AL164</f>
        <v>0</v>
      </c>
      <c r="W164" s="15">
        <f>ABRIL!W164+MAYO!AM164</f>
        <v>0</v>
      </c>
      <c r="X164" s="18">
        <f t="shared" si="151"/>
        <v>21580478</v>
      </c>
      <c r="Y164" s="19">
        <f>ABRIL!AA164</f>
        <v>8499800</v>
      </c>
      <c r="Z164" s="377">
        <v>3178300</v>
      </c>
      <c r="AA164" s="18">
        <f t="shared" si="152"/>
        <v>11678100</v>
      </c>
      <c r="AB164" s="19">
        <f>ABRIL!AD164</f>
        <v>8499800</v>
      </c>
      <c r="AC164" s="377">
        <v>3178300</v>
      </c>
      <c r="AD164" s="18">
        <f t="shared" si="153"/>
        <v>11678100</v>
      </c>
      <c r="AE164" s="19">
        <f>ABRIL!AG164</f>
        <v>1614400</v>
      </c>
      <c r="AF164" s="377">
        <v>2879000</v>
      </c>
      <c r="AG164" s="18">
        <f t="shared" si="154"/>
        <v>4493400</v>
      </c>
      <c r="AH164" s="19">
        <f t="shared" si="155"/>
        <v>9902378</v>
      </c>
      <c r="AI164" s="15">
        <f t="shared" si="156"/>
        <v>9902378</v>
      </c>
      <c r="AJ164" s="16">
        <f t="shared" si="157"/>
        <v>17087078</v>
      </c>
      <c r="AK164" s="9"/>
      <c r="AL164" s="375">
        <v>0</v>
      </c>
      <c r="AM164" s="378">
        <v>0</v>
      </c>
      <c r="AN164" s="9"/>
    </row>
    <row r="165" spans="1:40" s="385" customFormat="1" ht="24.95" customHeight="1" x14ac:dyDescent="0.2">
      <c r="A165" s="767"/>
      <c r="B165" s="668"/>
      <c r="N165" s="9"/>
      <c r="P165" s="9"/>
      <c r="Q165" s="9"/>
      <c r="R165" s="9"/>
      <c r="S165" s="720" t="str">
        <f>+IF(ABRIL!S165=0,"",ABRIL!S165)</f>
        <v>2020202-8</v>
      </c>
      <c r="T165" s="694" t="str">
        <f>+IF(ABRIL!T165=0,"",ABRIL!T165)</f>
        <v>Servicios de Rayos X e Imaginología contratado con terceros</v>
      </c>
      <c r="U165" s="27">
        <f>+ENERO!U165</f>
        <v>0</v>
      </c>
      <c r="V165" s="15">
        <f>ABRIL!V165+MAYO!AL165</f>
        <v>0</v>
      </c>
      <c r="W165" s="15">
        <f>ABRIL!W165+MAYO!AM165</f>
        <v>0</v>
      </c>
      <c r="X165" s="18">
        <f t="shared" si="151"/>
        <v>0</v>
      </c>
      <c r="Y165" s="19">
        <f>ABRIL!AA165</f>
        <v>0</v>
      </c>
      <c r="Z165" s="377">
        <v>0</v>
      </c>
      <c r="AA165" s="18">
        <f t="shared" si="152"/>
        <v>0</v>
      </c>
      <c r="AB165" s="19">
        <f>ABRIL!AD165</f>
        <v>0</v>
      </c>
      <c r="AC165" s="377">
        <v>0</v>
      </c>
      <c r="AD165" s="18">
        <f t="shared" si="153"/>
        <v>0</v>
      </c>
      <c r="AE165" s="19">
        <f>ABRIL!AG165</f>
        <v>0</v>
      </c>
      <c r="AF165" s="377">
        <v>0</v>
      </c>
      <c r="AG165" s="18">
        <f t="shared" si="154"/>
        <v>0</v>
      </c>
      <c r="AH165" s="19">
        <f t="shared" si="155"/>
        <v>0</v>
      </c>
      <c r="AI165" s="15">
        <f t="shared" si="156"/>
        <v>0</v>
      </c>
      <c r="AJ165" s="16">
        <f t="shared" si="157"/>
        <v>0</v>
      </c>
      <c r="AK165" s="9"/>
      <c r="AL165" s="375">
        <v>0</v>
      </c>
      <c r="AM165" s="378">
        <v>0</v>
      </c>
      <c r="AN165" s="9"/>
    </row>
    <row r="166" spans="1:40" s="385" customFormat="1" ht="24.95" customHeight="1" x14ac:dyDescent="0.2">
      <c r="A166" s="767"/>
      <c r="B166" s="668"/>
      <c r="N166" s="9"/>
      <c r="P166" s="9"/>
      <c r="Q166" s="9"/>
      <c r="R166" s="9"/>
      <c r="S166" s="720" t="str">
        <f>+IF(ABRIL!S166=0,"",ABRIL!S166)</f>
        <v>2020202-9</v>
      </c>
      <c r="T166" s="694" t="str">
        <f>+IF(ABRIL!T166=0,"",ABRIL!T166)</f>
        <v>Arrendamientos</v>
      </c>
      <c r="U166" s="27">
        <f>+ENERO!U166</f>
        <v>66889324</v>
      </c>
      <c r="V166" s="15">
        <f>ABRIL!V166+MAYO!AL166</f>
        <v>0</v>
      </c>
      <c r="W166" s="15">
        <f>ABRIL!W166+MAYO!AM166</f>
        <v>0</v>
      </c>
      <c r="X166" s="18">
        <f t="shared" si="151"/>
        <v>66889324</v>
      </c>
      <c r="Y166" s="19">
        <f>ABRIL!AA166</f>
        <v>63619700</v>
      </c>
      <c r="Z166" s="377">
        <v>0</v>
      </c>
      <c r="AA166" s="18">
        <f t="shared" si="152"/>
        <v>63619700</v>
      </c>
      <c r="AB166" s="19">
        <f>ABRIL!AD166</f>
        <v>16224400</v>
      </c>
      <c r="AC166" s="377">
        <v>10190838</v>
      </c>
      <c r="AD166" s="18">
        <f t="shared" si="153"/>
        <v>26415238</v>
      </c>
      <c r="AE166" s="19">
        <f>ABRIL!AG166</f>
        <v>5619700</v>
      </c>
      <c r="AF166" s="377">
        <v>10604700</v>
      </c>
      <c r="AG166" s="18">
        <f t="shared" si="154"/>
        <v>16224400</v>
      </c>
      <c r="AH166" s="19">
        <f t="shared" si="155"/>
        <v>3269624</v>
      </c>
      <c r="AI166" s="15">
        <f t="shared" si="156"/>
        <v>40474086</v>
      </c>
      <c r="AJ166" s="16">
        <f t="shared" si="157"/>
        <v>50664924</v>
      </c>
      <c r="AK166" s="9"/>
      <c r="AL166" s="375">
        <v>0</v>
      </c>
      <c r="AM166" s="378">
        <v>0</v>
      </c>
      <c r="AN166" s="9"/>
    </row>
    <row r="167" spans="1:40" s="385" customFormat="1" ht="24.95" customHeight="1" x14ac:dyDescent="0.2">
      <c r="A167" s="767"/>
      <c r="B167" s="668"/>
      <c r="N167" s="9"/>
      <c r="P167" s="9"/>
      <c r="Q167" s="9"/>
      <c r="R167" s="9"/>
      <c r="S167" s="720" t="str">
        <f>+IF(ABRIL!S167=0,"",ABRIL!S167)</f>
        <v>2020202-10</v>
      </c>
      <c r="T167" s="694" t="str">
        <f>+IF(ABRIL!T167=0,"",ABRIL!T167)</f>
        <v>Servicios Públicos</v>
      </c>
      <c r="U167" s="27">
        <f>+ENERO!U167</f>
        <v>0</v>
      </c>
      <c r="V167" s="15">
        <f>ABRIL!V167+MAYO!AL167</f>
        <v>0</v>
      </c>
      <c r="W167" s="15">
        <f>ABRIL!W167+MAYO!AM167</f>
        <v>0</v>
      </c>
      <c r="X167" s="18">
        <f>SUM(U167:W167)</f>
        <v>0</v>
      </c>
      <c r="Y167" s="19">
        <f>ABRIL!AA167</f>
        <v>0</v>
      </c>
      <c r="Z167" s="377">
        <v>0</v>
      </c>
      <c r="AA167" s="18">
        <f>SUM(Y167:Z167)</f>
        <v>0</v>
      </c>
      <c r="AB167" s="19">
        <f>ABRIL!AD167</f>
        <v>0</v>
      </c>
      <c r="AC167" s="377">
        <v>0</v>
      </c>
      <c r="AD167" s="18">
        <f>SUM(AB167:AC167)</f>
        <v>0</v>
      </c>
      <c r="AE167" s="19">
        <f>ABRIL!AG167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+IF(ABRIL!S168=0,"",ABRIL!S168)</f>
        <v>2020299</v>
      </c>
      <c r="T168" s="693" t="str">
        <f>+IF(ABRIL!T168=0,"",ABRIL!T168)</f>
        <v>Vigencias Anteriores</v>
      </c>
      <c r="U168" s="27">
        <f>+ENERO!U168</f>
        <v>0</v>
      </c>
      <c r="V168" s="15">
        <f>ABRIL!V168+MAYO!AL168</f>
        <v>0</v>
      </c>
      <c r="W168" s="15">
        <f>ABRIL!W168+MAYO!AM168</f>
        <v>28537671</v>
      </c>
      <c r="X168" s="18">
        <f t="shared" si="151"/>
        <v>28537671</v>
      </c>
      <c r="Y168" s="19">
        <f>ABRIL!AA168</f>
        <v>28537671</v>
      </c>
      <c r="Z168" s="377">
        <v>0</v>
      </c>
      <c r="AA168" s="18">
        <f t="shared" si="152"/>
        <v>28537671</v>
      </c>
      <c r="AB168" s="19">
        <f>ABRIL!AD168</f>
        <v>28537671</v>
      </c>
      <c r="AC168" s="377">
        <v>0</v>
      </c>
      <c r="AD168" s="18">
        <f t="shared" si="153"/>
        <v>28537671</v>
      </c>
      <c r="AE168" s="19">
        <f>ABRIL!AG168</f>
        <v>15036917</v>
      </c>
      <c r="AF168" s="377">
        <v>6330720</v>
      </c>
      <c r="AG168" s="18">
        <f t="shared" si="154"/>
        <v>21367637</v>
      </c>
      <c r="AH168" s="19">
        <f t="shared" si="155"/>
        <v>0</v>
      </c>
      <c r="AI168" s="15">
        <f t="shared" si="156"/>
        <v>0</v>
      </c>
      <c r="AJ168" s="16">
        <f t="shared" si="157"/>
        <v>7170034</v>
      </c>
      <c r="AK168" s="9"/>
      <c r="AL168" s="375">
        <v>0</v>
      </c>
      <c r="AM168" s="378">
        <v>0</v>
      </c>
      <c r="AN168" s="9"/>
    </row>
    <row r="169" spans="1:40" s="385" customFormat="1" ht="24.95" customHeight="1" x14ac:dyDescent="0.2">
      <c r="A169" s="767"/>
      <c r="B169" s="668"/>
      <c r="N169" s="9"/>
      <c r="P169" s="9"/>
      <c r="Q169" s="9"/>
      <c r="R169" s="9"/>
      <c r="S169" s="369" t="str">
        <f>+IF(ABRIL!S169=0,"",ABRIL!S169)</f>
        <v/>
      </c>
      <c r="T169" s="708" t="str">
        <f>+IF(ABRIL!T169=0,"",ABRIL!T169)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+IF(ABRIL!S170=0,"",ABRIL!S170)</f>
        <v>3000000</v>
      </c>
      <c r="T170" s="697" t="str">
        <f>+IF(ABRIL!T170=0,"",ABRIL!T170)</f>
        <v>TRANSFERENCIAS CORRIENTES</v>
      </c>
      <c r="U170" s="473">
        <f t="shared" ref="U170:AJ170" si="158">U172+U176+U185</f>
        <v>60072284</v>
      </c>
      <c r="V170" s="474">
        <f t="shared" si="158"/>
        <v>0</v>
      </c>
      <c r="W170" s="474">
        <f t="shared" si="158"/>
        <v>14421810</v>
      </c>
      <c r="X170" s="475">
        <f t="shared" si="158"/>
        <v>74494094</v>
      </c>
      <c r="Y170" s="382">
        <f t="shared" si="158"/>
        <v>25759606</v>
      </c>
      <c r="Z170" s="474">
        <f t="shared" si="158"/>
        <v>2870028</v>
      </c>
      <c r="AA170" s="475">
        <f t="shared" si="158"/>
        <v>28629634</v>
      </c>
      <c r="AB170" s="382">
        <f t="shared" si="158"/>
        <v>25759606</v>
      </c>
      <c r="AC170" s="474">
        <f t="shared" si="158"/>
        <v>2870028</v>
      </c>
      <c r="AD170" s="475">
        <f t="shared" si="158"/>
        <v>28629634</v>
      </c>
      <c r="AE170" s="382">
        <f t="shared" si="158"/>
        <v>19086921</v>
      </c>
      <c r="AF170" s="474">
        <f t="shared" si="158"/>
        <v>4161690</v>
      </c>
      <c r="AG170" s="475">
        <f t="shared" si="158"/>
        <v>23248611</v>
      </c>
      <c r="AH170" s="382">
        <f t="shared" si="158"/>
        <v>45864460</v>
      </c>
      <c r="AI170" s="474">
        <f t="shared" si="158"/>
        <v>45864460</v>
      </c>
      <c r="AJ170" s="383">
        <f t="shared" si="158"/>
        <v>51245483</v>
      </c>
      <c r="AK170" s="9"/>
      <c r="AL170" s="131">
        <f>AL172+AL176+AL185</f>
        <v>0</v>
      </c>
      <c r="AM170" s="133">
        <f>AM172+AM176+AM185</f>
        <v>0</v>
      </c>
      <c r="AN170" s="9"/>
    </row>
    <row r="171" spans="1:40" s="385" customFormat="1" ht="24.95" customHeight="1" x14ac:dyDescent="0.2">
      <c r="A171" s="767"/>
      <c r="B171" s="668"/>
      <c r="N171" s="9"/>
      <c r="P171" s="9"/>
      <c r="Q171" s="9"/>
      <c r="R171" s="9"/>
      <c r="S171" s="369" t="str">
        <f>+IF(ABRIL!S171=0,"",ABRIL!S171)</f>
        <v/>
      </c>
      <c r="T171" s="708" t="str">
        <f>+IF(ABRIL!T171=0,"",ABRIL!T171)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+IF(ABRIL!S172=0,"",ABRIL!S172)</f>
        <v>3100000</v>
      </c>
      <c r="T172" s="692" t="str">
        <f>+IF(ABRIL!T172=0,"",ABRIL!T172)</f>
        <v>Transferencias al Sector Público</v>
      </c>
      <c r="U172" s="135">
        <f t="shared" ref="U172:AJ172" si="159">SUM(U173:U174)</f>
        <v>5285000</v>
      </c>
      <c r="V172" s="124">
        <f t="shared" si="159"/>
        <v>0</v>
      </c>
      <c r="W172" s="124">
        <f t="shared" si="159"/>
        <v>243136</v>
      </c>
      <c r="X172" s="132">
        <f t="shared" si="159"/>
        <v>5528136</v>
      </c>
      <c r="Y172" s="131">
        <f t="shared" si="159"/>
        <v>1537264</v>
      </c>
      <c r="Z172" s="124">
        <f t="shared" si="159"/>
        <v>323532</v>
      </c>
      <c r="AA172" s="132">
        <f t="shared" si="159"/>
        <v>1860796</v>
      </c>
      <c r="AB172" s="131">
        <f t="shared" si="159"/>
        <v>1537264</v>
      </c>
      <c r="AC172" s="124">
        <f t="shared" si="159"/>
        <v>323532</v>
      </c>
      <c r="AD172" s="132">
        <f t="shared" si="159"/>
        <v>1860796</v>
      </c>
      <c r="AE172" s="131">
        <f t="shared" si="159"/>
        <v>243136</v>
      </c>
      <c r="AF172" s="124">
        <f t="shared" si="159"/>
        <v>1617660</v>
      </c>
      <c r="AG172" s="132">
        <f t="shared" si="159"/>
        <v>1860796</v>
      </c>
      <c r="AH172" s="131">
        <f t="shared" si="159"/>
        <v>3667340</v>
      </c>
      <c r="AI172" s="124">
        <f t="shared" si="159"/>
        <v>3667340</v>
      </c>
      <c r="AJ172" s="133">
        <f t="shared" si="159"/>
        <v>3667340</v>
      </c>
      <c r="AK172" s="9"/>
      <c r="AL172" s="131">
        <f>SUM(AL173:AL174)</f>
        <v>0</v>
      </c>
      <c r="AM172" s="133">
        <f>SUM(AM173:AM174)</f>
        <v>0</v>
      </c>
      <c r="AN172" s="9"/>
    </row>
    <row r="173" spans="1:40" s="385" customFormat="1" ht="24.95" customHeight="1" x14ac:dyDescent="0.2">
      <c r="A173" s="767"/>
      <c r="B173" s="668"/>
      <c r="N173" s="9"/>
      <c r="P173" s="9"/>
      <c r="Q173" s="9"/>
      <c r="R173" s="9"/>
      <c r="S173" s="719">
        <f>+IF(ABRIL!S173=0,"",ABRIL!S173)</f>
        <v>3100003</v>
      </c>
      <c r="T173" s="693" t="str">
        <f>+IF(ABRIL!T173=0,"",ABRIL!T173)</f>
        <v>Entidades Públicas (Contraloria, Supersalud,…)</v>
      </c>
      <c r="U173" s="27">
        <f>+ENERO!U173</f>
        <v>5285000</v>
      </c>
      <c r="V173" s="15">
        <f>ABRIL!V173+MAYO!AL173</f>
        <v>0</v>
      </c>
      <c r="W173" s="15">
        <f>ABRIL!W173+MAYO!AM173</f>
        <v>0</v>
      </c>
      <c r="X173" s="18">
        <f>SUM(U173:W173)</f>
        <v>5285000</v>
      </c>
      <c r="Y173" s="19">
        <f>ABRIL!AA173</f>
        <v>1294128</v>
      </c>
      <c r="Z173" s="377">
        <v>323532</v>
      </c>
      <c r="AA173" s="18">
        <f>SUM(Y173:Z173)</f>
        <v>1617660</v>
      </c>
      <c r="AB173" s="19">
        <f>ABRIL!AD173</f>
        <v>1294128</v>
      </c>
      <c r="AC173" s="377">
        <v>323532</v>
      </c>
      <c r="AD173" s="18">
        <f>SUM(AB173:AC173)</f>
        <v>1617660</v>
      </c>
      <c r="AE173" s="19">
        <f>ABRIL!AG173</f>
        <v>0</v>
      </c>
      <c r="AF173" s="377">
        <v>1617660</v>
      </c>
      <c r="AG173" s="18">
        <f>SUM(AE173:AF173)</f>
        <v>1617660</v>
      </c>
      <c r="AH173" s="19">
        <f>X173-AA173</f>
        <v>3667340</v>
      </c>
      <c r="AI173" s="15">
        <f>X173-AD173</f>
        <v>3667340</v>
      </c>
      <c r="AJ173" s="16">
        <f>X173-AG173</f>
        <v>3667340</v>
      </c>
      <c r="AK173" s="9"/>
      <c r="AL173" s="375">
        <v>0</v>
      </c>
      <c r="AM173" s="378">
        <v>0</v>
      </c>
      <c r="AN173" s="9"/>
    </row>
    <row r="174" spans="1:40" s="385" customFormat="1" ht="24.95" customHeight="1" x14ac:dyDescent="0.2">
      <c r="A174" s="767"/>
      <c r="B174" s="668"/>
      <c r="N174" s="9"/>
      <c r="P174" s="9"/>
      <c r="Q174" s="9"/>
      <c r="R174" s="9"/>
      <c r="S174" s="719">
        <f>+IF(ABRIL!S174=0,"",ABRIL!S174)</f>
        <v>3199999</v>
      </c>
      <c r="T174" s="693" t="str">
        <f>+IF(ABRIL!T174=0,"",ABRIL!T174)</f>
        <v>Vigencias Anteriores</v>
      </c>
      <c r="U174" s="27">
        <f>+ENERO!U174</f>
        <v>0</v>
      </c>
      <c r="V174" s="15">
        <f>ABRIL!V174+MAYO!AL174</f>
        <v>0</v>
      </c>
      <c r="W174" s="15">
        <f>ABRIL!W174+MAYO!AM174</f>
        <v>243136</v>
      </c>
      <c r="X174" s="18">
        <f>SUM(U174:W174)</f>
        <v>243136</v>
      </c>
      <c r="Y174" s="19">
        <f>ABRIL!AA174</f>
        <v>243136</v>
      </c>
      <c r="Z174" s="377">
        <v>0</v>
      </c>
      <c r="AA174" s="18">
        <f>SUM(Y174:Z174)</f>
        <v>243136</v>
      </c>
      <c r="AB174" s="19">
        <f>ABRIL!AD174</f>
        <v>243136</v>
      </c>
      <c r="AC174" s="377">
        <v>0</v>
      </c>
      <c r="AD174" s="18">
        <f>SUM(AB174:AC174)</f>
        <v>243136</v>
      </c>
      <c r="AE174" s="19">
        <f>ABRIL!AG174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+IF(ABRIL!S175=0,"",ABRIL!S175)</f>
        <v/>
      </c>
      <c r="T175" s="708" t="str">
        <f>+IF(ABRIL!T175=0,"",ABRIL!T175)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+IF(ABRIL!S176=0,"",ABRIL!S176)</f>
        <v>320000</v>
      </c>
      <c r="T176" s="692" t="str">
        <f>+IF(ABRIL!T176=0,"",ABRIL!T176)</f>
        <v>Transf. Previsión y Seguridad Social</v>
      </c>
      <c r="U176" s="135">
        <f t="shared" ref="U176:AJ176" si="160">SUM(U177:U183)</f>
        <v>51170820</v>
      </c>
      <c r="V176" s="124">
        <f t="shared" si="160"/>
        <v>0</v>
      </c>
      <c r="W176" s="124">
        <f t="shared" si="160"/>
        <v>8290292</v>
      </c>
      <c r="X176" s="132">
        <f t="shared" si="160"/>
        <v>59461112</v>
      </c>
      <c r="Y176" s="131">
        <f t="shared" si="160"/>
        <v>18467504</v>
      </c>
      <c r="Z176" s="124">
        <f t="shared" si="160"/>
        <v>2544030</v>
      </c>
      <c r="AA176" s="132">
        <f t="shared" si="160"/>
        <v>21011534</v>
      </c>
      <c r="AB176" s="131">
        <f t="shared" si="160"/>
        <v>18467504</v>
      </c>
      <c r="AC176" s="124">
        <f t="shared" si="160"/>
        <v>2544030</v>
      </c>
      <c r="AD176" s="132">
        <f t="shared" si="160"/>
        <v>21011534</v>
      </c>
      <c r="AE176" s="131">
        <f t="shared" si="160"/>
        <v>18455403</v>
      </c>
      <c r="AF176" s="124">
        <f t="shared" si="160"/>
        <v>2544030</v>
      </c>
      <c r="AG176" s="132">
        <f t="shared" si="160"/>
        <v>20999433</v>
      </c>
      <c r="AH176" s="131">
        <f t="shared" si="160"/>
        <v>38449578</v>
      </c>
      <c r="AI176" s="124">
        <f t="shared" si="160"/>
        <v>38449578</v>
      </c>
      <c r="AJ176" s="133">
        <f t="shared" si="160"/>
        <v>38461679</v>
      </c>
      <c r="AK176" s="9"/>
      <c r="AL176" s="131">
        <f>SUM(AL177:AL183)</f>
        <v>0</v>
      </c>
      <c r="AM176" s="133">
        <f>SUM(AM177:AM183)</f>
        <v>0</v>
      </c>
      <c r="AN176" s="9"/>
    </row>
    <row r="177" spans="1:40" s="385" customFormat="1" ht="24.95" customHeight="1" x14ac:dyDescent="0.2">
      <c r="A177" s="767"/>
      <c r="B177" s="668"/>
      <c r="N177" s="9"/>
      <c r="P177" s="9"/>
      <c r="Q177" s="9"/>
      <c r="R177" s="9"/>
      <c r="S177" s="719">
        <f>+IF(ABRIL!S177=0,"",ABRIL!S177)</f>
        <v>3200100</v>
      </c>
      <c r="T177" s="693" t="str">
        <f>+IF(ABRIL!T177=0,"",ABRIL!T177)</f>
        <v>Pensiones y Jubilaciones (Pago Directo)</v>
      </c>
      <c r="U177" s="27">
        <f>+ENERO!U177</f>
        <v>39279816</v>
      </c>
      <c r="V177" s="15">
        <f>ABRIL!V177+MAYO!AL177</f>
        <v>0</v>
      </c>
      <c r="W177" s="15">
        <f>ABRIL!W177+MAYO!AM177</f>
        <v>0</v>
      </c>
      <c r="X177" s="18">
        <f t="shared" ref="X177:X183" si="161">SUM(U177:W177)</f>
        <v>39279816</v>
      </c>
      <c r="Y177" s="19">
        <f>ABRIL!AA177</f>
        <v>10177212</v>
      </c>
      <c r="Z177" s="377">
        <v>2544030</v>
      </c>
      <c r="AA177" s="18">
        <f t="shared" ref="AA177:AA183" si="162">SUM(Y177:Z177)</f>
        <v>12721242</v>
      </c>
      <c r="AB177" s="19">
        <f>ABRIL!AD177</f>
        <v>10177212</v>
      </c>
      <c r="AC177" s="377">
        <v>2544030</v>
      </c>
      <c r="AD177" s="18">
        <f t="shared" ref="AD177:AD183" si="163">SUM(AB177:AC177)</f>
        <v>12721242</v>
      </c>
      <c r="AE177" s="19">
        <f>ABRIL!AG177</f>
        <v>10177212</v>
      </c>
      <c r="AF177" s="377">
        <v>2544030</v>
      </c>
      <c r="AG177" s="18">
        <f t="shared" ref="AG177:AG183" si="164">SUM(AE177:AF177)</f>
        <v>12721242</v>
      </c>
      <c r="AH177" s="19">
        <f t="shared" ref="AH177:AH183" si="165">X177-AA177</f>
        <v>26558574</v>
      </c>
      <c r="AI177" s="15">
        <f t="shared" ref="AI177:AI183" si="166">X177-AD177</f>
        <v>26558574</v>
      </c>
      <c r="AJ177" s="16">
        <f t="shared" ref="AJ177:AJ183" si="167">X177-AG177</f>
        <v>26558574</v>
      </c>
      <c r="AK177" s="9"/>
      <c r="AL177" s="375">
        <v>0</v>
      </c>
      <c r="AM177" s="378">
        <v>0</v>
      </c>
      <c r="AN177" s="9"/>
    </row>
    <row r="178" spans="1:40" s="385" customFormat="1" ht="24.95" customHeight="1" x14ac:dyDescent="0.2">
      <c r="A178" s="767"/>
      <c r="B178" s="668"/>
      <c r="N178" s="9"/>
      <c r="P178" s="9"/>
      <c r="Q178" s="9"/>
      <c r="R178" s="9"/>
      <c r="S178" s="719">
        <f>+IF(ABRIL!S178=0,"",ABRIL!S178)</f>
        <v>3200200</v>
      </c>
      <c r="T178" s="693" t="str">
        <f>+IF(ABRIL!T178=0,"",ABRIL!T178)</f>
        <v>Cesantías Pago Directo (Pago Directo)</v>
      </c>
      <c r="U178" s="27">
        <f>+ENERO!U178</f>
        <v>11891004</v>
      </c>
      <c r="V178" s="15">
        <f>ABRIL!V178+MAYO!AL178</f>
        <v>0</v>
      </c>
      <c r="W178" s="15">
        <f>ABRIL!W178+MAYO!AM178</f>
        <v>0</v>
      </c>
      <c r="X178" s="18">
        <f t="shared" si="161"/>
        <v>11891004</v>
      </c>
      <c r="Y178" s="19">
        <f>ABRIL!AA178</f>
        <v>0</v>
      </c>
      <c r="Z178" s="377">
        <v>0</v>
      </c>
      <c r="AA178" s="18">
        <f t="shared" si="162"/>
        <v>0</v>
      </c>
      <c r="AB178" s="19">
        <f>ABRIL!AD178</f>
        <v>0</v>
      </c>
      <c r="AC178" s="377">
        <v>0</v>
      </c>
      <c r="AD178" s="18">
        <f t="shared" si="163"/>
        <v>0</v>
      </c>
      <c r="AE178" s="19">
        <f>ABRIL!AG178</f>
        <v>0</v>
      </c>
      <c r="AF178" s="377">
        <v>0</v>
      </c>
      <c r="AG178" s="18">
        <f t="shared" si="164"/>
        <v>0</v>
      </c>
      <c r="AH178" s="19">
        <f t="shared" si="165"/>
        <v>11891004</v>
      </c>
      <c r="AI178" s="15">
        <f t="shared" si="166"/>
        <v>11891004</v>
      </c>
      <c r="AJ178" s="16">
        <f t="shared" si="167"/>
        <v>11891004</v>
      </c>
      <c r="AK178" s="9"/>
      <c r="AL178" s="375">
        <v>0</v>
      </c>
      <c r="AM178" s="378">
        <v>0</v>
      </c>
      <c r="AN178" s="9"/>
    </row>
    <row r="179" spans="1:40" s="385" customFormat="1" ht="24.95" customHeight="1" x14ac:dyDescent="0.2">
      <c r="A179" s="767"/>
      <c r="B179" s="668"/>
      <c r="N179" s="9"/>
      <c r="P179" s="9"/>
      <c r="Q179" s="9"/>
      <c r="R179" s="9"/>
      <c r="S179" s="719">
        <f>+IF(ABRIL!S179=0,"",ABRIL!S179)</f>
        <v>3200300</v>
      </c>
      <c r="T179" s="693" t="str">
        <f>+IF(ABRIL!T179=0,"",ABRIL!T179)</f>
        <v>Bonos, Cuotas de Bonos y cuotas partes jubilatorias</v>
      </c>
      <c r="U179" s="27">
        <f>+ENERO!U179</f>
        <v>0</v>
      </c>
      <c r="V179" s="15">
        <f>ABRIL!V179+MAYO!AL179</f>
        <v>0</v>
      </c>
      <c r="W179" s="15">
        <f>ABRIL!W179+MAYO!AM179</f>
        <v>0</v>
      </c>
      <c r="X179" s="18">
        <f t="shared" si="161"/>
        <v>0</v>
      </c>
      <c r="Y179" s="19">
        <f>ABRIL!AA179</f>
        <v>0</v>
      </c>
      <c r="Z179" s="377">
        <v>0</v>
      </c>
      <c r="AA179" s="18">
        <f t="shared" si="162"/>
        <v>0</v>
      </c>
      <c r="AB179" s="19">
        <f>ABRIL!AD179</f>
        <v>0</v>
      </c>
      <c r="AC179" s="377">
        <v>0</v>
      </c>
      <c r="AD179" s="18">
        <f t="shared" si="163"/>
        <v>0</v>
      </c>
      <c r="AE179" s="19">
        <f>ABRIL!AG179</f>
        <v>0</v>
      </c>
      <c r="AF179" s="377">
        <v>0</v>
      </c>
      <c r="AG179" s="18">
        <f t="shared" si="164"/>
        <v>0</v>
      </c>
      <c r="AH179" s="19">
        <f t="shared" si="165"/>
        <v>0</v>
      </c>
      <c r="AI179" s="15">
        <f t="shared" si="166"/>
        <v>0</v>
      </c>
      <c r="AJ179" s="16">
        <f t="shared" si="167"/>
        <v>0</v>
      </c>
      <c r="AK179" s="9"/>
      <c r="AL179" s="375">
        <v>0</v>
      </c>
      <c r="AM179" s="378">
        <v>0</v>
      </c>
      <c r="AN179" s="9"/>
    </row>
    <row r="180" spans="1:40" s="385" customFormat="1" ht="24.95" customHeight="1" x14ac:dyDescent="0.2">
      <c r="A180" s="767"/>
      <c r="B180" s="668"/>
      <c r="N180" s="9"/>
      <c r="P180" s="9"/>
      <c r="Q180" s="9"/>
      <c r="R180" s="9"/>
      <c r="S180" s="719">
        <f>+IF(ABRIL!S180=0,"",ABRIL!S180)</f>
        <v>3200400</v>
      </c>
      <c r="T180" s="693" t="str">
        <f>+IF(ABRIL!T180=0,"",ABRIL!T180)</f>
        <v>Intereses a las cesantias</v>
      </c>
      <c r="U180" s="27">
        <f>+ENERO!U180</f>
        <v>0</v>
      </c>
      <c r="V180" s="15">
        <f>ABRIL!V180+MAYO!AL180</f>
        <v>0</v>
      </c>
      <c r="W180" s="15">
        <f>ABRIL!W180+MAYO!AM180</f>
        <v>0</v>
      </c>
      <c r="X180" s="18">
        <f t="shared" si="161"/>
        <v>0</v>
      </c>
      <c r="Y180" s="19">
        <f>ABRIL!AA180</f>
        <v>0</v>
      </c>
      <c r="Z180" s="377">
        <v>0</v>
      </c>
      <c r="AA180" s="18">
        <f t="shared" si="162"/>
        <v>0</v>
      </c>
      <c r="AB180" s="19">
        <f>ABRIL!AD180</f>
        <v>0</v>
      </c>
      <c r="AC180" s="377">
        <v>0</v>
      </c>
      <c r="AD180" s="18">
        <f t="shared" si="163"/>
        <v>0</v>
      </c>
      <c r="AE180" s="19">
        <f>ABRIL!AG180</f>
        <v>0</v>
      </c>
      <c r="AF180" s="377">
        <v>0</v>
      </c>
      <c r="AG180" s="18">
        <f t="shared" si="164"/>
        <v>0</v>
      </c>
      <c r="AH180" s="19">
        <f t="shared" si="165"/>
        <v>0</v>
      </c>
      <c r="AI180" s="15">
        <f t="shared" si="166"/>
        <v>0</v>
      </c>
      <c r="AJ180" s="16">
        <f t="shared" si="167"/>
        <v>0</v>
      </c>
      <c r="AK180" s="9"/>
      <c r="AL180" s="375">
        <v>0</v>
      </c>
      <c r="AM180" s="378">
        <v>0</v>
      </c>
      <c r="AN180" s="9"/>
    </row>
    <row r="181" spans="1:40" s="385" customFormat="1" ht="24.95" customHeight="1" x14ac:dyDescent="0.2">
      <c r="A181" s="767"/>
      <c r="B181" s="668"/>
      <c r="N181" s="9"/>
      <c r="P181" s="9"/>
      <c r="Q181" s="9"/>
      <c r="R181" s="9"/>
      <c r="S181" s="719" t="str">
        <f>+IF(ABRIL!S181=0,"",ABRIL!S181)</f>
        <v/>
      </c>
      <c r="T181" s="693" t="str">
        <f>+IF(ABRIL!T181=0,"",ABRIL!T181)</f>
        <v/>
      </c>
      <c r="U181" s="27">
        <f>+ENERO!U181</f>
        <v>0</v>
      </c>
      <c r="V181" s="15">
        <f>ABRIL!V181+MAYO!AL181</f>
        <v>0</v>
      </c>
      <c r="W181" s="15">
        <f>ABRIL!W181+MAYO!AM181</f>
        <v>0</v>
      </c>
      <c r="X181" s="18">
        <f t="shared" si="161"/>
        <v>0</v>
      </c>
      <c r="Y181" s="19">
        <f>ABRIL!AA181</f>
        <v>0</v>
      </c>
      <c r="Z181" s="377">
        <v>0</v>
      </c>
      <c r="AA181" s="18">
        <f t="shared" si="162"/>
        <v>0</v>
      </c>
      <c r="AB181" s="19">
        <f>ABRIL!AD181</f>
        <v>0</v>
      </c>
      <c r="AC181" s="377">
        <v>0</v>
      </c>
      <c r="AD181" s="18">
        <f t="shared" si="163"/>
        <v>0</v>
      </c>
      <c r="AE181" s="19">
        <f>ABRIL!AG181</f>
        <v>0</v>
      </c>
      <c r="AF181" s="377">
        <v>0</v>
      </c>
      <c r="AG181" s="18">
        <f t="shared" si="164"/>
        <v>0</v>
      </c>
      <c r="AH181" s="19">
        <f t="shared" si="165"/>
        <v>0</v>
      </c>
      <c r="AI181" s="15">
        <f t="shared" si="166"/>
        <v>0</v>
      </c>
      <c r="AJ181" s="16">
        <f t="shared" si="167"/>
        <v>0</v>
      </c>
      <c r="AK181" s="9"/>
      <c r="AL181" s="375">
        <v>0</v>
      </c>
      <c r="AM181" s="378">
        <v>0</v>
      </c>
      <c r="AN181" s="9"/>
    </row>
    <row r="182" spans="1:40" s="385" customFormat="1" ht="24.95" customHeight="1" x14ac:dyDescent="0.2">
      <c r="A182" s="767"/>
      <c r="B182" s="668"/>
      <c r="N182" s="9"/>
      <c r="P182" s="9"/>
      <c r="Q182" s="9"/>
      <c r="R182" s="9"/>
      <c r="S182" s="719" t="str">
        <f>+IF(ABRIL!S182=0,"",ABRIL!S182)</f>
        <v/>
      </c>
      <c r="T182" s="693" t="str">
        <f>+IF(ABRIL!T182=0,"",ABRIL!T182)</f>
        <v/>
      </c>
      <c r="U182" s="27">
        <f>+ENERO!U182</f>
        <v>0</v>
      </c>
      <c r="V182" s="15">
        <f>ABRIL!V182+MAYO!AL182</f>
        <v>0</v>
      </c>
      <c r="W182" s="15">
        <f>ABRIL!W182+MAYO!AM182</f>
        <v>0</v>
      </c>
      <c r="X182" s="18">
        <f t="shared" si="161"/>
        <v>0</v>
      </c>
      <c r="Y182" s="19">
        <f>ABRIL!AA182</f>
        <v>0</v>
      </c>
      <c r="Z182" s="377">
        <v>0</v>
      </c>
      <c r="AA182" s="18">
        <f t="shared" si="162"/>
        <v>0</v>
      </c>
      <c r="AB182" s="19">
        <f>ABRIL!AD182</f>
        <v>0</v>
      </c>
      <c r="AC182" s="377">
        <v>0</v>
      </c>
      <c r="AD182" s="18">
        <f t="shared" si="163"/>
        <v>0</v>
      </c>
      <c r="AE182" s="19">
        <f>ABRIL!AG182</f>
        <v>0</v>
      </c>
      <c r="AF182" s="377">
        <v>0</v>
      </c>
      <c r="AG182" s="18">
        <f t="shared" si="164"/>
        <v>0</v>
      </c>
      <c r="AH182" s="19">
        <f t="shared" si="165"/>
        <v>0</v>
      </c>
      <c r="AI182" s="15">
        <f t="shared" si="166"/>
        <v>0</v>
      </c>
      <c r="AJ182" s="16">
        <f t="shared" si="167"/>
        <v>0</v>
      </c>
      <c r="AK182" s="9"/>
      <c r="AL182" s="375">
        <v>0</v>
      </c>
      <c r="AM182" s="378">
        <v>0</v>
      </c>
      <c r="AN182" s="9"/>
    </row>
    <row r="183" spans="1:40" s="385" customFormat="1" ht="24.95" customHeight="1" x14ac:dyDescent="0.2">
      <c r="A183" s="767"/>
      <c r="B183" s="668"/>
      <c r="N183" s="9"/>
      <c r="P183" s="9"/>
      <c r="Q183" s="9"/>
      <c r="R183" s="9"/>
      <c r="S183" s="719">
        <f>+IF(ABRIL!S183=0,"",ABRIL!S183)</f>
        <v>3299999</v>
      </c>
      <c r="T183" s="693" t="str">
        <f>+IF(ABRIL!T183=0,"",ABRIL!T183)</f>
        <v>Vigencias Anteriores</v>
      </c>
      <c r="U183" s="27">
        <f>+ENERO!U183</f>
        <v>0</v>
      </c>
      <c r="V183" s="15">
        <f>ABRIL!V183+MAYO!AL183</f>
        <v>0</v>
      </c>
      <c r="W183" s="15">
        <f>ABRIL!W183+MAYO!AM183</f>
        <v>8290292</v>
      </c>
      <c r="X183" s="18">
        <f t="shared" si="161"/>
        <v>8290292</v>
      </c>
      <c r="Y183" s="19">
        <f>ABRIL!AA183</f>
        <v>8290292</v>
      </c>
      <c r="Z183" s="377">
        <v>0</v>
      </c>
      <c r="AA183" s="18">
        <f t="shared" si="162"/>
        <v>8290292</v>
      </c>
      <c r="AB183" s="19">
        <f>ABRIL!AD183</f>
        <v>8290292</v>
      </c>
      <c r="AC183" s="377">
        <v>0</v>
      </c>
      <c r="AD183" s="18">
        <f t="shared" si="163"/>
        <v>8290292</v>
      </c>
      <c r="AE183" s="19">
        <f>ABRIL!AG183</f>
        <v>8278191</v>
      </c>
      <c r="AF183" s="377">
        <v>0</v>
      </c>
      <c r="AG183" s="18">
        <f t="shared" si="164"/>
        <v>8278191</v>
      </c>
      <c r="AH183" s="19">
        <f t="shared" si="165"/>
        <v>0</v>
      </c>
      <c r="AI183" s="15">
        <f t="shared" si="166"/>
        <v>0</v>
      </c>
      <c r="AJ183" s="16">
        <f t="shared" si="167"/>
        <v>12101</v>
      </c>
      <c r="AK183" s="9"/>
      <c r="AL183" s="375">
        <v>0</v>
      </c>
      <c r="AM183" s="378">
        <v>0</v>
      </c>
      <c r="AN183" s="9"/>
    </row>
    <row r="184" spans="1:40" s="385" customFormat="1" ht="24.95" customHeight="1" x14ac:dyDescent="0.2">
      <c r="A184" s="767"/>
      <c r="B184" s="668"/>
      <c r="N184" s="9"/>
      <c r="P184" s="9"/>
      <c r="Q184" s="9"/>
      <c r="R184" s="9"/>
      <c r="S184" s="369" t="str">
        <f>+IF(ABRIL!S184=0,"",ABRIL!S184)</f>
        <v/>
      </c>
      <c r="T184" s="708" t="str">
        <f>+IF(ABRIL!T184=0,"",ABRIL!T184)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+IF(ABRIL!S185=0,"",ABRIL!S185)</f>
        <v>3300000</v>
      </c>
      <c r="T185" s="692" t="str">
        <f>+IF(ABRIL!T185=0,"",ABRIL!T185)</f>
        <v>Otras Transferencias</v>
      </c>
      <c r="U185" s="135">
        <f t="shared" ref="U185:AJ185" si="168">U186+U187+U191</f>
        <v>3616464</v>
      </c>
      <c r="V185" s="124">
        <f t="shared" si="168"/>
        <v>0</v>
      </c>
      <c r="W185" s="124">
        <f t="shared" si="168"/>
        <v>5888382</v>
      </c>
      <c r="X185" s="132">
        <f t="shared" si="168"/>
        <v>9504846</v>
      </c>
      <c r="Y185" s="131">
        <f t="shared" si="168"/>
        <v>5754838</v>
      </c>
      <c r="Z185" s="124">
        <f t="shared" si="168"/>
        <v>2466</v>
      </c>
      <c r="AA185" s="132">
        <f t="shared" si="168"/>
        <v>5757304</v>
      </c>
      <c r="AB185" s="131">
        <f t="shared" si="168"/>
        <v>5754838</v>
      </c>
      <c r="AC185" s="124">
        <f t="shared" si="168"/>
        <v>2466</v>
      </c>
      <c r="AD185" s="132">
        <f t="shared" si="168"/>
        <v>5757304</v>
      </c>
      <c r="AE185" s="131">
        <f t="shared" si="168"/>
        <v>388382</v>
      </c>
      <c r="AF185" s="124">
        <f t="shared" si="168"/>
        <v>0</v>
      </c>
      <c r="AG185" s="132">
        <f t="shared" si="168"/>
        <v>388382</v>
      </c>
      <c r="AH185" s="131">
        <f t="shared" si="168"/>
        <v>3747542</v>
      </c>
      <c r="AI185" s="124">
        <f t="shared" si="168"/>
        <v>3747542</v>
      </c>
      <c r="AJ185" s="133">
        <f t="shared" si="168"/>
        <v>9116464</v>
      </c>
      <c r="AK185" s="9"/>
      <c r="AL185" s="131">
        <f>AL186+AL187+AL191</f>
        <v>0</v>
      </c>
      <c r="AM185" s="133">
        <f>AM186+AM187+AM191</f>
        <v>0</v>
      </c>
      <c r="AN185" s="9"/>
    </row>
    <row r="186" spans="1:40" s="385" customFormat="1" ht="24.95" customHeight="1" x14ac:dyDescent="0.2">
      <c r="A186" s="767"/>
      <c r="B186" s="668"/>
      <c r="N186" s="9"/>
      <c r="P186" s="9"/>
      <c r="Q186" s="9"/>
      <c r="R186" s="9"/>
      <c r="S186" s="719">
        <f>+IF(ABRIL!S186=0,"",ABRIL!S186)</f>
        <v>3300100</v>
      </c>
      <c r="T186" s="693" t="str">
        <f>+IF(ABRIL!T186=0,"",ABRIL!T186)</f>
        <v>Sentencias y Conciliaciones</v>
      </c>
      <c r="U186" s="27">
        <f>+ENERO!U186</f>
        <v>0</v>
      </c>
      <c r="V186" s="15">
        <f>ABRIL!V186+MAYO!AL186</f>
        <v>0</v>
      </c>
      <c r="W186" s="15">
        <f>ABRIL!W186+MAYO!AM186</f>
        <v>0</v>
      </c>
      <c r="X186" s="18">
        <f>SUM(U186:W186)</f>
        <v>0</v>
      </c>
      <c r="Y186" s="19">
        <f>ABRIL!AA186</f>
        <v>0</v>
      </c>
      <c r="Z186" s="377">
        <v>0</v>
      </c>
      <c r="AA186" s="18">
        <f>SUM(Y186:Z186)</f>
        <v>0</v>
      </c>
      <c r="AB186" s="19">
        <f>ABRIL!AD186</f>
        <v>0</v>
      </c>
      <c r="AC186" s="377">
        <v>0</v>
      </c>
      <c r="AD186" s="18">
        <f>SUM(AB186:AC186)</f>
        <v>0</v>
      </c>
      <c r="AE186" s="19">
        <f>ABRIL!AG186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+IF(ABRIL!S187=0,"",ABRIL!S187)</f>
        <v>3300200</v>
      </c>
      <c r="T187" s="693" t="str">
        <f>+IF(ABRIL!T187=0,"",ABRIL!T187)</f>
        <v>Destinatarios de otras transferencias</v>
      </c>
      <c r="U187" s="27">
        <f t="shared" ref="U187:AM187" si="169">SUM(U188:U190)</f>
        <v>3616464</v>
      </c>
      <c r="V187" s="15">
        <f t="shared" si="169"/>
        <v>0</v>
      </c>
      <c r="W187" s="15">
        <f t="shared" si="169"/>
        <v>5500000</v>
      </c>
      <c r="X187" s="18">
        <f t="shared" si="169"/>
        <v>9116464</v>
      </c>
      <c r="Y187" s="19">
        <f t="shared" si="169"/>
        <v>5366456</v>
      </c>
      <c r="Z187" s="145">
        <f t="shared" si="169"/>
        <v>2466</v>
      </c>
      <c r="AA187" s="18">
        <f t="shared" si="169"/>
        <v>5368922</v>
      </c>
      <c r="AB187" s="19">
        <f t="shared" si="169"/>
        <v>5366456</v>
      </c>
      <c r="AC187" s="145">
        <f t="shared" si="169"/>
        <v>2466</v>
      </c>
      <c r="AD187" s="18">
        <f t="shared" si="169"/>
        <v>5368922</v>
      </c>
      <c r="AE187" s="19">
        <f t="shared" si="169"/>
        <v>0</v>
      </c>
      <c r="AF187" s="145">
        <f t="shared" si="169"/>
        <v>0</v>
      </c>
      <c r="AG187" s="18">
        <f t="shared" si="169"/>
        <v>0</v>
      </c>
      <c r="AH187" s="19">
        <f t="shared" si="169"/>
        <v>3747542</v>
      </c>
      <c r="AI187" s="15">
        <f t="shared" si="169"/>
        <v>3747542</v>
      </c>
      <c r="AJ187" s="16">
        <f t="shared" si="169"/>
        <v>9116464</v>
      </c>
      <c r="AK187" s="9"/>
      <c r="AL187" s="29">
        <f t="shared" si="169"/>
        <v>0</v>
      </c>
      <c r="AM187" s="26">
        <f t="shared" si="169"/>
        <v>0</v>
      </c>
      <c r="AN187" s="9"/>
    </row>
    <row r="188" spans="1:40" s="385" customFormat="1" ht="24.95" customHeight="1" x14ac:dyDescent="0.2">
      <c r="A188" s="767"/>
      <c r="B188" s="669"/>
      <c r="N188" s="9"/>
      <c r="P188" s="9"/>
      <c r="Q188" s="9"/>
      <c r="R188" s="9"/>
      <c r="S188" s="720" t="str">
        <f>+IF(ABRIL!S188=0,"",ABRIL!S188)</f>
        <v>3300200-1</v>
      </c>
      <c r="T188" s="693" t="str">
        <f>+IF(ABRIL!T188=0,"",ABRIL!T188)</f>
        <v>COHAN</v>
      </c>
      <c r="U188" s="27">
        <f>+ENERO!U188</f>
        <v>793940</v>
      </c>
      <c r="V188" s="15">
        <f>ABRIL!V188+MAYO!AL188</f>
        <v>0</v>
      </c>
      <c r="W188" s="15">
        <f>ABRIL!W188+MAYO!AM188</f>
        <v>5500000</v>
      </c>
      <c r="X188" s="18">
        <f>SUM(U188:W188)</f>
        <v>6293940</v>
      </c>
      <c r="Y188" s="19">
        <f>ABRIL!AA188</f>
        <v>2789056</v>
      </c>
      <c r="Z188" s="377">
        <v>2466</v>
      </c>
      <c r="AA188" s="18">
        <f>SUM(Y188:Z188)</f>
        <v>2791522</v>
      </c>
      <c r="AB188" s="19">
        <f>ABRIL!AD188</f>
        <v>2789056</v>
      </c>
      <c r="AC188" s="377">
        <v>2466</v>
      </c>
      <c r="AD188" s="18">
        <f>SUM(AB188:AC188)</f>
        <v>2791522</v>
      </c>
      <c r="AE188" s="19">
        <f>ABRIL!AG188</f>
        <v>0</v>
      </c>
      <c r="AF188" s="377">
        <v>0</v>
      </c>
      <c r="AG188" s="18">
        <f>SUM(AE188:AF188)</f>
        <v>0</v>
      </c>
      <c r="AH188" s="19">
        <f>X188-AA188</f>
        <v>3502418</v>
      </c>
      <c r="AI188" s="15">
        <f>X188-AD188</f>
        <v>3502418</v>
      </c>
      <c r="AJ188" s="16">
        <f>X188-AG188</f>
        <v>6293940</v>
      </c>
      <c r="AK188" s="9"/>
      <c r="AL188" s="375">
        <v>0</v>
      </c>
      <c r="AM188" s="378">
        <v>0</v>
      </c>
      <c r="AN188" s="9"/>
    </row>
    <row r="189" spans="1:40" s="385" customFormat="1" ht="24.95" customHeight="1" x14ac:dyDescent="0.2">
      <c r="A189" s="767"/>
      <c r="B189" s="669"/>
      <c r="N189" s="9"/>
      <c r="P189" s="9"/>
      <c r="Q189" s="9"/>
      <c r="R189" s="9"/>
      <c r="S189" s="720" t="str">
        <f>+IF(ABRIL!S189=0,"",ABRIL!S189)</f>
        <v>3300200-2</v>
      </c>
      <c r="T189" s="693" t="str">
        <f>+IF(ABRIL!T189=0,"",ABRIL!T189)</f>
        <v>AESA</v>
      </c>
      <c r="U189" s="27">
        <f>+ENERO!U189</f>
        <v>2822524</v>
      </c>
      <c r="V189" s="15">
        <f>ABRIL!V189+MAYO!AL189</f>
        <v>0</v>
      </c>
      <c r="W189" s="15">
        <f>ABRIL!W189+MAYO!AM189</f>
        <v>0</v>
      </c>
      <c r="X189" s="18">
        <f>SUM(U189:W189)</f>
        <v>2822524</v>
      </c>
      <c r="Y189" s="19">
        <f>ABRIL!AA189</f>
        <v>2577400</v>
      </c>
      <c r="Z189" s="377">
        <v>0</v>
      </c>
      <c r="AA189" s="18">
        <f>SUM(Y189:Z189)</f>
        <v>2577400</v>
      </c>
      <c r="AB189" s="19">
        <f>ABRIL!AD189</f>
        <v>2577400</v>
      </c>
      <c r="AC189" s="377">
        <v>0</v>
      </c>
      <c r="AD189" s="18">
        <f>SUM(AB189:AC189)</f>
        <v>2577400</v>
      </c>
      <c r="AE189" s="19">
        <f>ABRIL!AG189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+IF(ABRIL!S190=0,"",ABRIL!S190)</f>
        <v>3300200-3</v>
      </c>
      <c r="T190" s="693" t="str">
        <f>+IF(ABRIL!T190=0,"",ABRIL!T190)</f>
        <v xml:space="preserve">OTRAS </v>
      </c>
      <c r="U190" s="27">
        <f>+ENERO!U190</f>
        <v>0</v>
      </c>
      <c r="V190" s="15">
        <f>ABRIL!V190+MAYO!AL190</f>
        <v>0</v>
      </c>
      <c r="W190" s="15">
        <f>ABRIL!W190+MAYO!AM190</f>
        <v>0</v>
      </c>
      <c r="X190" s="18">
        <f>SUM(U190:W190)</f>
        <v>0</v>
      </c>
      <c r="Y190" s="19">
        <f>ABRIL!AA190</f>
        <v>0</v>
      </c>
      <c r="Z190" s="377">
        <v>0</v>
      </c>
      <c r="AA190" s="18">
        <f>SUM(Y190:Z190)</f>
        <v>0</v>
      </c>
      <c r="AB190" s="19">
        <f>ABRIL!AD190</f>
        <v>0</v>
      </c>
      <c r="AC190" s="377">
        <v>0</v>
      </c>
      <c r="AD190" s="18">
        <f>SUM(AB190:AC190)</f>
        <v>0</v>
      </c>
      <c r="AE190" s="19">
        <f>ABRIL!AG190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+IF(ABRIL!S191=0,"",ABRIL!S191)</f>
        <v>3399999</v>
      </c>
      <c r="T191" s="693" t="str">
        <f>+IF(ABRIL!T191=0,"",ABRIL!T191)</f>
        <v>Vigencias Anteriores</v>
      </c>
      <c r="U191" s="27">
        <f>+ENERO!U191</f>
        <v>0</v>
      </c>
      <c r="V191" s="15">
        <f>ABRIL!V191+MAYO!AL191</f>
        <v>0</v>
      </c>
      <c r="W191" s="15">
        <f>ABRIL!W191+MAYO!AM191</f>
        <v>388382</v>
      </c>
      <c r="X191" s="18">
        <f>SUM(U191:W191)</f>
        <v>388382</v>
      </c>
      <c r="Y191" s="19">
        <f>ABRIL!AA191</f>
        <v>388382</v>
      </c>
      <c r="Z191" s="377">
        <v>0</v>
      </c>
      <c r="AA191" s="18">
        <f>SUM(Y191:Z191)</f>
        <v>388382</v>
      </c>
      <c r="AB191" s="19">
        <f>ABRIL!AD191</f>
        <v>388382</v>
      </c>
      <c r="AC191" s="377">
        <v>0</v>
      </c>
      <c r="AD191" s="18">
        <f>SUM(AB191:AC191)</f>
        <v>388382</v>
      </c>
      <c r="AE191" s="19">
        <f>ABRIL!AG191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+IF(ABRIL!S192=0,"",ABRIL!S192)</f>
        <v/>
      </c>
      <c r="T192" s="708" t="str">
        <f>+IF(ABRIL!T192=0,"",ABRIL!T192)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+IF(ABRIL!S193=0,"",ABRIL!S193)</f>
        <v>4000000</v>
      </c>
      <c r="T193" s="697" t="str">
        <f>+IF(ABRIL!T193=0,"",ABRIL!T193)</f>
        <v>GASTOS  DE PRESTACION DE SERVICIOS</v>
      </c>
      <c r="U193" s="473">
        <f t="shared" ref="U193:AJ193" si="170">U194</f>
        <v>272529328</v>
      </c>
      <c r="V193" s="474">
        <f t="shared" si="170"/>
        <v>0</v>
      </c>
      <c r="W193" s="474">
        <f t="shared" si="170"/>
        <v>196423942</v>
      </c>
      <c r="X193" s="475">
        <f t="shared" si="170"/>
        <v>468953270</v>
      </c>
      <c r="Y193" s="382">
        <f t="shared" si="170"/>
        <v>221009219</v>
      </c>
      <c r="Z193" s="474">
        <f t="shared" si="170"/>
        <v>26274202</v>
      </c>
      <c r="AA193" s="475">
        <f t="shared" si="170"/>
        <v>247283421</v>
      </c>
      <c r="AB193" s="382">
        <f t="shared" si="170"/>
        <v>197572626</v>
      </c>
      <c r="AC193" s="474">
        <f t="shared" si="170"/>
        <v>27962478</v>
      </c>
      <c r="AD193" s="475">
        <f t="shared" si="170"/>
        <v>225535104</v>
      </c>
      <c r="AE193" s="382">
        <f t="shared" si="170"/>
        <v>70511009</v>
      </c>
      <c r="AF193" s="474">
        <f t="shared" si="170"/>
        <v>49722513</v>
      </c>
      <c r="AG193" s="475">
        <f t="shared" si="170"/>
        <v>120233522</v>
      </c>
      <c r="AH193" s="382">
        <f t="shared" si="170"/>
        <v>221669849</v>
      </c>
      <c r="AI193" s="474">
        <f t="shared" si="170"/>
        <v>243418166</v>
      </c>
      <c r="AJ193" s="383">
        <f t="shared" si="170"/>
        <v>348719748</v>
      </c>
      <c r="AK193" s="9"/>
      <c r="AL193" s="131">
        <f>AL194</f>
        <v>0</v>
      </c>
      <c r="AM193" s="133">
        <f>AM194</f>
        <v>61305130</v>
      </c>
      <c r="AN193" s="9"/>
    </row>
    <row r="194" spans="1:40" s="385" customFormat="1" ht="24.95" customHeight="1" x14ac:dyDescent="0.2">
      <c r="A194" s="767"/>
      <c r="B194" s="669"/>
      <c r="N194" s="9"/>
      <c r="P194" s="9"/>
      <c r="Q194" s="9"/>
      <c r="R194" s="9"/>
      <c r="S194" s="718">
        <f>+IF(ABRIL!S194=0,"",ABRIL!S194)</f>
        <v>4100000</v>
      </c>
      <c r="T194" s="692" t="str">
        <f>+IF(ABRIL!T194=0,"",ABRIL!T194)</f>
        <v>Insumos y Suministros Hospitalarios</v>
      </c>
      <c r="U194" s="135">
        <f t="shared" ref="U194:AJ194" si="171">U195+U203+U205</f>
        <v>272529328</v>
      </c>
      <c r="V194" s="124">
        <f t="shared" si="171"/>
        <v>0</v>
      </c>
      <c r="W194" s="124">
        <f t="shared" si="171"/>
        <v>196423942</v>
      </c>
      <c r="X194" s="132">
        <f t="shared" si="171"/>
        <v>468953270</v>
      </c>
      <c r="Y194" s="131">
        <f t="shared" si="171"/>
        <v>221009219</v>
      </c>
      <c r="Z194" s="124">
        <f t="shared" si="171"/>
        <v>26274202</v>
      </c>
      <c r="AA194" s="132">
        <f t="shared" si="171"/>
        <v>247283421</v>
      </c>
      <c r="AB194" s="131">
        <f t="shared" si="171"/>
        <v>197572626</v>
      </c>
      <c r="AC194" s="124">
        <f t="shared" si="171"/>
        <v>27962478</v>
      </c>
      <c r="AD194" s="132">
        <f t="shared" si="171"/>
        <v>225535104</v>
      </c>
      <c r="AE194" s="131">
        <f t="shared" si="171"/>
        <v>70511009</v>
      </c>
      <c r="AF194" s="124">
        <f t="shared" si="171"/>
        <v>49722513</v>
      </c>
      <c r="AG194" s="132">
        <f t="shared" si="171"/>
        <v>120233522</v>
      </c>
      <c r="AH194" s="131">
        <f t="shared" si="171"/>
        <v>221669849</v>
      </c>
      <c r="AI194" s="124">
        <f t="shared" si="171"/>
        <v>243418166</v>
      </c>
      <c r="AJ194" s="133">
        <f t="shared" si="171"/>
        <v>348719748</v>
      </c>
      <c r="AK194" s="10"/>
      <c r="AL194" s="131">
        <f>AL195+AL203+AL205</f>
        <v>0</v>
      </c>
      <c r="AM194" s="133">
        <f>AM195+AM203+AM205</f>
        <v>61305130</v>
      </c>
      <c r="AN194" s="9"/>
    </row>
    <row r="195" spans="1:40" s="385" customFormat="1" ht="24.95" customHeight="1" x14ac:dyDescent="0.2">
      <c r="A195" s="767"/>
      <c r="B195" s="669"/>
      <c r="N195" s="9"/>
      <c r="P195" s="9"/>
      <c r="Q195" s="9"/>
      <c r="R195" s="9"/>
      <c r="S195" s="719">
        <f>+IF(ABRIL!S195=0,"",ABRIL!S195)</f>
        <v>4100100</v>
      </c>
      <c r="T195" s="693" t="str">
        <f>+IF(ABRIL!T195=0,"",ABRIL!T195)</f>
        <v>Compra de Bienes para la Prestacion de servicios</v>
      </c>
      <c r="U195" s="27">
        <f t="shared" ref="U195:AJ195" si="172">SUM(U196:U202)</f>
        <v>240561284</v>
      </c>
      <c r="V195" s="15">
        <f t="shared" si="172"/>
        <v>0</v>
      </c>
      <c r="W195" s="15">
        <f t="shared" si="172"/>
        <v>104588010</v>
      </c>
      <c r="X195" s="18">
        <f t="shared" si="172"/>
        <v>345149294</v>
      </c>
      <c r="Y195" s="19">
        <f t="shared" si="172"/>
        <v>117761321</v>
      </c>
      <c r="Z195" s="145">
        <f t="shared" si="172"/>
        <v>22864002</v>
      </c>
      <c r="AA195" s="18">
        <f t="shared" si="172"/>
        <v>140625323</v>
      </c>
      <c r="AB195" s="19">
        <f t="shared" si="172"/>
        <v>94324728</v>
      </c>
      <c r="AC195" s="145">
        <f t="shared" si="172"/>
        <v>24552278</v>
      </c>
      <c r="AD195" s="18">
        <f t="shared" si="172"/>
        <v>118877006</v>
      </c>
      <c r="AE195" s="19">
        <f t="shared" si="172"/>
        <v>6466546</v>
      </c>
      <c r="AF195" s="145">
        <f t="shared" si="172"/>
        <v>12104210</v>
      </c>
      <c r="AG195" s="18">
        <f t="shared" si="172"/>
        <v>18570756</v>
      </c>
      <c r="AH195" s="19">
        <f t="shared" si="172"/>
        <v>204523971</v>
      </c>
      <c r="AI195" s="15">
        <f t="shared" si="172"/>
        <v>226272288</v>
      </c>
      <c r="AJ195" s="16">
        <f t="shared" si="172"/>
        <v>326578538</v>
      </c>
      <c r="AK195" s="9"/>
      <c r="AL195" s="29">
        <f>SUM(AL196:AL202)</f>
        <v>0</v>
      </c>
      <c r="AM195" s="26">
        <f>SUM(AM196:AM202)</f>
        <v>61305130</v>
      </c>
      <c r="AN195" s="9"/>
    </row>
    <row r="196" spans="1:40" s="385" customFormat="1" ht="24.95" customHeight="1" x14ac:dyDescent="0.2">
      <c r="A196" s="767"/>
      <c r="B196" s="669"/>
      <c r="N196" s="9"/>
      <c r="P196" s="9"/>
      <c r="Q196" s="9"/>
      <c r="R196" s="9"/>
      <c r="S196" s="720" t="str">
        <f>+IF(ABRIL!S196=0,"",ABRIL!S196)</f>
        <v>4100100-1</v>
      </c>
      <c r="T196" s="694" t="str">
        <f>+IF(ABRIL!T196=0,"",ABRIL!T196)</f>
        <v>Productos Farmaceuticos</v>
      </c>
      <c r="U196" s="27">
        <f>+ENERO!U196</f>
        <v>145961721</v>
      </c>
      <c r="V196" s="15">
        <f>ABRIL!V196+MAYO!AL196</f>
        <v>0</v>
      </c>
      <c r="W196" s="15">
        <f>ABRIL!W196+MAYO!AM196</f>
        <v>102588010</v>
      </c>
      <c r="X196" s="18">
        <f t="shared" ref="X196:X202" si="173">SUM(U196:W196)</f>
        <v>248549731</v>
      </c>
      <c r="Y196" s="19">
        <f>ABRIL!AA196</f>
        <v>82501317</v>
      </c>
      <c r="Z196" s="377">
        <v>12937796</v>
      </c>
      <c r="AA196" s="18">
        <f t="shared" ref="AA196:AA202" si="174">SUM(Y196:Z196)</f>
        <v>95439113</v>
      </c>
      <c r="AB196" s="19">
        <f>ABRIL!AD196</f>
        <v>59064724</v>
      </c>
      <c r="AC196" s="377">
        <v>14626072</v>
      </c>
      <c r="AD196" s="18">
        <f t="shared" ref="AD196:AD202" si="175">SUM(AB196:AC196)</f>
        <v>73690796</v>
      </c>
      <c r="AE196" s="19">
        <f>ABRIL!AG196</f>
        <v>4133760</v>
      </c>
      <c r="AF196" s="377">
        <v>3546098</v>
      </c>
      <c r="AG196" s="18">
        <f t="shared" ref="AG196:AG202" si="176">SUM(AE196:AF196)</f>
        <v>7679858</v>
      </c>
      <c r="AH196" s="19">
        <f t="shared" ref="AH196:AH202" si="177">X196-AA196</f>
        <v>153110618</v>
      </c>
      <c r="AI196" s="15">
        <f t="shared" ref="AI196:AI202" si="178">X196-AD196</f>
        <v>174858935</v>
      </c>
      <c r="AJ196" s="16">
        <f t="shared" ref="AJ196:AJ202" si="179">X196-AG196</f>
        <v>240869873</v>
      </c>
      <c r="AK196" s="9"/>
      <c r="AL196" s="375">
        <v>0</v>
      </c>
      <c r="AM196" s="378">
        <v>61305130</v>
      </c>
      <c r="AN196" s="9"/>
    </row>
    <row r="197" spans="1:40" s="385" customFormat="1" ht="24.95" customHeight="1" x14ac:dyDescent="0.2">
      <c r="A197" s="767"/>
      <c r="B197" s="669"/>
      <c r="N197" s="9"/>
      <c r="P197" s="9"/>
      <c r="Q197" s="9"/>
      <c r="R197" s="9"/>
      <c r="S197" s="720" t="str">
        <f>+IF(ABRIL!S197=0,"",ABRIL!S197)</f>
        <v>4100100-2</v>
      </c>
      <c r="T197" s="694" t="str">
        <f>+IF(ABRIL!T197=0,"",ABRIL!T197)</f>
        <v>Material Médico Quirúrgico</v>
      </c>
      <c r="U197" s="27">
        <f>+ENERO!U197</f>
        <v>49263202</v>
      </c>
      <c r="V197" s="15">
        <f>ABRIL!V197+MAYO!AL197</f>
        <v>0</v>
      </c>
      <c r="W197" s="15">
        <f>ABRIL!W197+MAYO!AM197</f>
        <v>0</v>
      </c>
      <c r="X197" s="18">
        <f t="shared" si="173"/>
        <v>49263202</v>
      </c>
      <c r="Y197" s="19">
        <f>ABRIL!AA197</f>
        <v>19268616</v>
      </c>
      <c r="Z197" s="377">
        <v>5155951</v>
      </c>
      <c r="AA197" s="18">
        <f t="shared" si="174"/>
        <v>24424567</v>
      </c>
      <c r="AB197" s="19">
        <f>ABRIL!AD197</f>
        <v>19268616</v>
      </c>
      <c r="AC197" s="377">
        <v>5155951</v>
      </c>
      <c r="AD197" s="18">
        <f t="shared" si="175"/>
        <v>24424567</v>
      </c>
      <c r="AE197" s="19">
        <f>ABRIL!AG197</f>
        <v>2043022</v>
      </c>
      <c r="AF197" s="377">
        <v>3603334</v>
      </c>
      <c r="AG197" s="18">
        <f t="shared" si="176"/>
        <v>5646356</v>
      </c>
      <c r="AH197" s="19">
        <f t="shared" si="177"/>
        <v>24838635</v>
      </c>
      <c r="AI197" s="15">
        <f t="shared" si="178"/>
        <v>24838635</v>
      </c>
      <c r="AJ197" s="16">
        <f t="shared" si="179"/>
        <v>43616846</v>
      </c>
      <c r="AK197" s="9"/>
      <c r="AL197" s="375">
        <v>0</v>
      </c>
      <c r="AM197" s="378">
        <v>0</v>
      </c>
      <c r="AN197" s="9"/>
    </row>
    <row r="198" spans="1:40" s="385" customFormat="1" ht="24.95" customHeight="1" x14ac:dyDescent="0.2">
      <c r="A198" s="767"/>
      <c r="B198" s="669"/>
      <c r="N198" s="9"/>
      <c r="P198" s="9"/>
      <c r="Q198" s="9"/>
      <c r="R198" s="9"/>
      <c r="S198" s="720" t="str">
        <f>+IF(ABRIL!S198=0,"",ABRIL!S198)</f>
        <v>4100100-3</v>
      </c>
      <c r="T198" s="694" t="str">
        <f>+IF(ABRIL!T198=0,"",ABRIL!T198)</f>
        <v>Material de Laboratorio</v>
      </c>
      <c r="U198" s="27">
        <f>+ENERO!U198</f>
        <v>20729510</v>
      </c>
      <c r="V198" s="15">
        <f>ABRIL!V198+MAYO!AL198</f>
        <v>0</v>
      </c>
      <c r="W198" s="15">
        <f>ABRIL!W198+MAYO!AM198</f>
        <v>0</v>
      </c>
      <c r="X198" s="18">
        <f t="shared" si="173"/>
        <v>20729510</v>
      </c>
      <c r="Y198" s="19">
        <f>ABRIL!AA198</f>
        <v>9799098</v>
      </c>
      <c r="Z198" s="377">
        <v>2747056</v>
      </c>
      <c r="AA198" s="18">
        <f t="shared" si="174"/>
        <v>12546154</v>
      </c>
      <c r="AB198" s="19">
        <f>ABRIL!AD198</f>
        <v>9799098</v>
      </c>
      <c r="AC198" s="377">
        <v>2747056</v>
      </c>
      <c r="AD198" s="18">
        <f t="shared" si="175"/>
        <v>12546154</v>
      </c>
      <c r="AE198" s="19">
        <f>ABRIL!AG198</f>
        <v>0</v>
      </c>
      <c r="AF198" s="377">
        <v>2781715</v>
      </c>
      <c r="AG198" s="18">
        <f t="shared" si="176"/>
        <v>2781715</v>
      </c>
      <c r="AH198" s="19">
        <f t="shared" si="177"/>
        <v>8183356</v>
      </c>
      <c r="AI198" s="15">
        <f t="shared" si="178"/>
        <v>8183356</v>
      </c>
      <c r="AJ198" s="16">
        <f t="shared" si="179"/>
        <v>17947795</v>
      </c>
      <c r="AK198" s="9"/>
      <c r="AL198" s="375">
        <v>0</v>
      </c>
      <c r="AM198" s="378">
        <v>0</v>
      </c>
      <c r="AN198" s="9"/>
    </row>
    <row r="199" spans="1:40" s="385" customFormat="1" ht="24.95" customHeight="1" x14ac:dyDescent="0.2">
      <c r="A199" s="767"/>
      <c r="B199" s="669"/>
      <c r="N199" s="9"/>
      <c r="P199" s="9"/>
      <c r="Q199" s="9"/>
      <c r="R199" s="9"/>
      <c r="S199" s="720" t="str">
        <f>+IF(ABRIL!S199=0,"",ABRIL!S199)</f>
        <v>4100100-4</v>
      </c>
      <c r="T199" s="694" t="str">
        <f>+IF(ABRIL!T199=0,"",ABRIL!T199)</f>
        <v>Material para Odontologia</v>
      </c>
      <c r="U199" s="27">
        <f>+ENERO!U199</f>
        <v>22568185</v>
      </c>
      <c r="V199" s="15">
        <f>ABRIL!V199+MAYO!AL199</f>
        <v>0</v>
      </c>
      <c r="W199" s="15">
        <f>ABRIL!W199+MAYO!AM199</f>
        <v>0</v>
      </c>
      <c r="X199" s="18">
        <f t="shared" si="173"/>
        <v>22568185</v>
      </c>
      <c r="Y199" s="19">
        <f>ABRIL!AA199</f>
        <v>6192290</v>
      </c>
      <c r="Z199" s="377">
        <v>2023199</v>
      </c>
      <c r="AA199" s="18">
        <f t="shared" si="174"/>
        <v>8215489</v>
      </c>
      <c r="AB199" s="19">
        <f>ABRIL!AD199</f>
        <v>6192290</v>
      </c>
      <c r="AC199" s="377">
        <v>2023199</v>
      </c>
      <c r="AD199" s="18">
        <f t="shared" si="175"/>
        <v>8215489</v>
      </c>
      <c r="AE199" s="19">
        <f>ABRIL!AG199</f>
        <v>289764</v>
      </c>
      <c r="AF199" s="377">
        <v>2173063</v>
      </c>
      <c r="AG199" s="18">
        <f t="shared" si="176"/>
        <v>2462827</v>
      </c>
      <c r="AH199" s="19">
        <f t="shared" si="177"/>
        <v>14352696</v>
      </c>
      <c r="AI199" s="15">
        <f t="shared" si="178"/>
        <v>14352696</v>
      </c>
      <c r="AJ199" s="16">
        <f t="shared" si="179"/>
        <v>20105358</v>
      </c>
      <c r="AK199" s="9"/>
      <c r="AL199" s="375">
        <v>0</v>
      </c>
      <c r="AM199" s="378">
        <v>0</v>
      </c>
      <c r="AN199" s="9"/>
    </row>
    <row r="200" spans="1:40" s="385" customFormat="1" ht="24.95" customHeight="1" x14ac:dyDescent="0.2">
      <c r="A200" s="767"/>
      <c r="B200" s="669"/>
      <c r="N200" s="9"/>
      <c r="P200" s="9"/>
      <c r="Q200" s="9"/>
      <c r="R200" s="9"/>
      <c r="S200" s="720" t="str">
        <f>+IF(ABRIL!S200=0,"",ABRIL!S200)</f>
        <v>4100100-5</v>
      </c>
      <c r="T200" s="694" t="str">
        <f>+IF(ABRIL!T200=0,"",ABRIL!T200)</f>
        <v>Material para Rayos X</v>
      </c>
      <c r="U200" s="27">
        <f>+ENERO!U200</f>
        <v>2038666</v>
      </c>
      <c r="V200" s="15">
        <f>ABRIL!V200+MAYO!AL200</f>
        <v>0</v>
      </c>
      <c r="W200" s="15">
        <f>ABRIL!W200+MAYO!AM200</f>
        <v>2000000</v>
      </c>
      <c r="X200" s="18">
        <f t="shared" si="173"/>
        <v>4038666</v>
      </c>
      <c r="Y200" s="19">
        <f>ABRIL!AA200</f>
        <v>0</v>
      </c>
      <c r="Z200" s="377">
        <v>0</v>
      </c>
      <c r="AA200" s="18">
        <f t="shared" si="174"/>
        <v>0</v>
      </c>
      <c r="AB200" s="19">
        <f>ABRIL!AD200</f>
        <v>0</v>
      </c>
      <c r="AC200" s="377">
        <v>0</v>
      </c>
      <c r="AD200" s="18">
        <f t="shared" si="175"/>
        <v>0</v>
      </c>
      <c r="AE200" s="19">
        <f>ABRIL!AG200</f>
        <v>0</v>
      </c>
      <c r="AF200" s="377">
        <v>0</v>
      </c>
      <c r="AG200" s="18">
        <f t="shared" si="176"/>
        <v>0</v>
      </c>
      <c r="AH200" s="19">
        <f t="shared" si="177"/>
        <v>4038666</v>
      </c>
      <c r="AI200" s="15">
        <f t="shared" si="178"/>
        <v>4038666</v>
      </c>
      <c r="AJ200" s="16">
        <f t="shared" si="179"/>
        <v>4038666</v>
      </c>
      <c r="AK200" s="9"/>
      <c r="AL200" s="375">
        <v>0</v>
      </c>
      <c r="AM200" s="378">
        <v>0</v>
      </c>
      <c r="AN200" s="9"/>
    </row>
    <row r="201" spans="1:40" s="385" customFormat="1" ht="24.95" customHeight="1" x14ac:dyDescent="0.2">
      <c r="A201" s="767"/>
      <c r="B201" s="669"/>
      <c r="N201" s="9"/>
      <c r="P201" s="9"/>
      <c r="Q201" s="9"/>
      <c r="R201" s="9"/>
      <c r="S201" s="720" t="str">
        <f>+IF(ABRIL!S201=0,"",ABRIL!S201)</f>
        <v/>
      </c>
      <c r="T201" s="694" t="str">
        <f>+IF(ABRIL!T201=0,"",ABRIL!T201)</f>
        <v/>
      </c>
      <c r="U201" s="27">
        <f>+ENERO!U201</f>
        <v>0</v>
      </c>
      <c r="V201" s="15">
        <f>ABRIL!V201+MAYO!AL201</f>
        <v>0</v>
      </c>
      <c r="W201" s="15">
        <f>ABRIL!W201+MAYO!AM201</f>
        <v>0</v>
      </c>
      <c r="X201" s="18">
        <f t="shared" si="173"/>
        <v>0</v>
      </c>
      <c r="Y201" s="19">
        <f>ABRIL!AA201</f>
        <v>0</v>
      </c>
      <c r="Z201" s="377">
        <v>0</v>
      </c>
      <c r="AA201" s="18">
        <f t="shared" si="174"/>
        <v>0</v>
      </c>
      <c r="AB201" s="19">
        <f>ABRIL!AD201</f>
        <v>0</v>
      </c>
      <c r="AC201" s="377">
        <v>0</v>
      </c>
      <c r="AD201" s="18">
        <f t="shared" si="175"/>
        <v>0</v>
      </c>
      <c r="AE201" s="19">
        <f>ABRIL!AG201</f>
        <v>0</v>
      </c>
      <c r="AF201" s="377">
        <v>0</v>
      </c>
      <c r="AG201" s="18">
        <f t="shared" si="176"/>
        <v>0</v>
      </c>
      <c r="AH201" s="19">
        <f t="shared" si="177"/>
        <v>0</v>
      </c>
      <c r="AI201" s="15">
        <f t="shared" si="178"/>
        <v>0</v>
      </c>
      <c r="AJ201" s="16">
        <f t="shared" si="179"/>
        <v>0</v>
      </c>
      <c r="AK201" s="9"/>
      <c r="AL201" s="375">
        <v>0</v>
      </c>
      <c r="AM201" s="378">
        <v>0</v>
      </c>
      <c r="AN201" s="9"/>
    </row>
    <row r="202" spans="1:40" s="385" customFormat="1" ht="24.95" customHeight="1" x14ac:dyDescent="0.2">
      <c r="A202" s="767"/>
      <c r="B202" s="669"/>
      <c r="N202" s="9"/>
      <c r="P202" s="9"/>
      <c r="Q202" s="9"/>
      <c r="R202" s="9"/>
      <c r="S202" s="720" t="str">
        <f>+IF(ABRIL!S202=0,"",ABRIL!S202)</f>
        <v/>
      </c>
      <c r="T202" s="694" t="str">
        <f>+IF(ABRIL!T202=0,"",ABRIL!T202)</f>
        <v/>
      </c>
      <c r="U202" s="27">
        <f>+ENERO!U202</f>
        <v>0</v>
      </c>
      <c r="V202" s="15">
        <f>ABRIL!V202+MAYO!AL202</f>
        <v>0</v>
      </c>
      <c r="W202" s="15">
        <f>ABRIL!W202+MAYO!AM202</f>
        <v>0</v>
      </c>
      <c r="X202" s="18">
        <f t="shared" si="173"/>
        <v>0</v>
      </c>
      <c r="Y202" s="19">
        <f>ABRIL!AA202</f>
        <v>0</v>
      </c>
      <c r="Z202" s="377">
        <v>0</v>
      </c>
      <c r="AA202" s="18">
        <f t="shared" si="174"/>
        <v>0</v>
      </c>
      <c r="AB202" s="19">
        <f>ABRIL!AD202</f>
        <v>0</v>
      </c>
      <c r="AC202" s="377">
        <v>0</v>
      </c>
      <c r="AD202" s="18">
        <f t="shared" si="175"/>
        <v>0</v>
      </c>
      <c r="AE202" s="19">
        <f>ABRIL!AG202</f>
        <v>0</v>
      </c>
      <c r="AF202" s="377">
        <v>0</v>
      </c>
      <c r="AG202" s="18">
        <f t="shared" si="176"/>
        <v>0</v>
      </c>
      <c r="AH202" s="19">
        <f t="shared" si="177"/>
        <v>0</v>
      </c>
      <c r="AI202" s="15">
        <f t="shared" si="178"/>
        <v>0</v>
      </c>
      <c r="AJ202" s="16">
        <f t="shared" si="179"/>
        <v>0</v>
      </c>
      <c r="AK202" s="9"/>
      <c r="AL202" s="375">
        <v>0</v>
      </c>
      <c r="AM202" s="378">
        <v>0</v>
      </c>
      <c r="AN202" s="9"/>
    </row>
    <row r="203" spans="1:40" s="385" customFormat="1" ht="24.95" customHeight="1" x14ac:dyDescent="0.2">
      <c r="A203" s="767"/>
      <c r="B203" s="669"/>
      <c r="N203" s="9"/>
      <c r="P203" s="9"/>
      <c r="Q203" s="9"/>
      <c r="R203" s="9"/>
      <c r="S203" s="719">
        <f>+IF(ABRIL!S203=0,"",ABRIL!S203)</f>
        <v>4100200</v>
      </c>
      <c r="T203" s="693" t="str">
        <f>+IF(ABRIL!T203=0,"",ABRIL!T203)</f>
        <v>Gastos Complementarios e Intermedios</v>
      </c>
      <c r="U203" s="27">
        <f t="shared" ref="U203:AJ203" si="180">U204</f>
        <v>31968044</v>
      </c>
      <c r="V203" s="15">
        <f t="shared" si="180"/>
        <v>0</v>
      </c>
      <c r="W203" s="15">
        <f t="shared" si="180"/>
        <v>0</v>
      </c>
      <c r="X203" s="18">
        <f t="shared" si="180"/>
        <v>31968044</v>
      </c>
      <c r="Y203" s="19">
        <f t="shared" si="180"/>
        <v>11411966</v>
      </c>
      <c r="Z203" s="145">
        <f t="shared" si="180"/>
        <v>3410200</v>
      </c>
      <c r="AA203" s="18">
        <f t="shared" si="180"/>
        <v>14822166</v>
      </c>
      <c r="AB203" s="19">
        <f t="shared" si="180"/>
        <v>11411966</v>
      </c>
      <c r="AC203" s="145">
        <f t="shared" si="180"/>
        <v>3410200</v>
      </c>
      <c r="AD203" s="18">
        <f t="shared" si="180"/>
        <v>14822166</v>
      </c>
      <c r="AE203" s="19">
        <f t="shared" si="180"/>
        <v>7777316</v>
      </c>
      <c r="AF203" s="145">
        <f t="shared" si="180"/>
        <v>3056750</v>
      </c>
      <c r="AG203" s="18">
        <f t="shared" si="180"/>
        <v>10834066</v>
      </c>
      <c r="AH203" s="19">
        <f t="shared" si="180"/>
        <v>17145878</v>
      </c>
      <c r="AI203" s="15">
        <f t="shared" si="180"/>
        <v>17145878</v>
      </c>
      <c r="AJ203" s="16">
        <f t="shared" si="180"/>
        <v>21133978</v>
      </c>
      <c r="AK203" s="9"/>
      <c r="AL203" s="29">
        <f>AL204</f>
        <v>0</v>
      </c>
      <c r="AM203" s="26">
        <f>AM204</f>
        <v>0</v>
      </c>
      <c r="AN203" s="9"/>
    </row>
    <row r="204" spans="1:40" s="385" customFormat="1" ht="24.95" customHeight="1" x14ac:dyDescent="0.2">
      <c r="A204" s="767"/>
      <c r="B204" s="669"/>
      <c r="N204" s="9"/>
      <c r="P204" s="9"/>
      <c r="Q204" s="9"/>
      <c r="R204" s="9"/>
      <c r="S204" s="720" t="str">
        <f>+IF(ABRIL!S204=0,"",ABRIL!S204)</f>
        <v>4100200-1</v>
      </c>
      <c r="T204" s="694" t="str">
        <f>+IF(ABRIL!T204=0,"",ABRIL!T204)</f>
        <v>Alimentación</v>
      </c>
      <c r="U204" s="27">
        <f>+ENERO!U204</f>
        <v>31968044</v>
      </c>
      <c r="V204" s="15">
        <f>ABRIL!V204+MAYO!AL204</f>
        <v>0</v>
      </c>
      <c r="W204" s="15">
        <f>ABRIL!W204+MAYO!AM204</f>
        <v>0</v>
      </c>
      <c r="X204" s="18">
        <f>SUM(U204:W204)</f>
        <v>31968044</v>
      </c>
      <c r="Y204" s="19">
        <f>ABRIL!AA204</f>
        <v>11411966</v>
      </c>
      <c r="Z204" s="377">
        <v>3410200</v>
      </c>
      <c r="AA204" s="18">
        <f>SUM(Y204:Z204)</f>
        <v>14822166</v>
      </c>
      <c r="AB204" s="19">
        <f>ABRIL!AD204</f>
        <v>11411966</v>
      </c>
      <c r="AC204" s="377">
        <v>3410200</v>
      </c>
      <c r="AD204" s="18">
        <f>SUM(AB204:AC204)</f>
        <v>14822166</v>
      </c>
      <c r="AE204" s="19">
        <f>ABRIL!AG204</f>
        <v>7777316</v>
      </c>
      <c r="AF204" s="377">
        <v>3056750</v>
      </c>
      <c r="AG204" s="18">
        <f>SUM(AE204:AF204)</f>
        <v>10834066</v>
      </c>
      <c r="AH204" s="19">
        <f>X204-AA204</f>
        <v>17145878</v>
      </c>
      <c r="AI204" s="15">
        <f>X204-AD204</f>
        <v>17145878</v>
      </c>
      <c r="AJ204" s="16">
        <f>X204-AG204</f>
        <v>21133978</v>
      </c>
      <c r="AK204" s="9"/>
      <c r="AL204" s="375">
        <v>0</v>
      </c>
      <c r="AM204" s="378">
        <v>0</v>
      </c>
      <c r="AN204" s="9"/>
    </row>
    <row r="205" spans="1:40" s="385" customFormat="1" ht="24.95" customHeight="1" thickBot="1" x14ac:dyDescent="0.25">
      <c r="A205" s="767"/>
      <c r="B205" s="669"/>
      <c r="N205" s="9"/>
      <c r="P205" s="9"/>
      <c r="Q205" s="9"/>
      <c r="R205" s="9"/>
      <c r="S205" s="724">
        <f>+IF(ABRIL!S205=0,"",ABRIL!S205)</f>
        <v>4199999</v>
      </c>
      <c r="T205" s="699" t="str">
        <f>+IF(ABRIL!T205=0,"",ABRIL!T205)</f>
        <v>Vigencias Anteriores</v>
      </c>
      <c r="U205" s="136">
        <f>+ENERO!U205</f>
        <v>0</v>
      </c>
      <c r="V205" s="123">
        <f>ABRIL!V205+MAYO!AL205</f>
        <v>0</v>
      </c>
      <c r="W205" s="123">
        <f>ABRIL!W205+MAYO!AM205</f>
        <v>91835932</v>
      </c>
      <c r="X205" s="129">
        <f>SUM(U205:W205)</f>
        <v>91835932</v>
      </c>
      <c r="Y205" s="127">
        <f>ABRIL!AA205</f>
        <v>91835932</v>
      </c>
      <c r="Z205" s="391">
        <v>0</v>
      </c>
      <c r="AA205" s="129">
        <f>SUM(Y205:Z205)</f>
        <v>91835932</v>
      </c>
      <c r="AB205" s="127">
        <f>ABRIL!AD205</f>
        <v>91835932</v>
      </c>
      <c r="AC205" s="391">
        <v>0</v>
      </c>
      <c r="AD205" s="129">
        <f>SUM(AB205:AC205)</f>
        <v>91835932</v>
      </c>
      <c r="AE205" s="127">
        <f>ABRIL!AG205</f>
        <v>56267147</v>
      </c>
      <c r="AF205" s="391">
        <v>34561553</v>
      </c>
      <c r="AG205" s="129">
        <f>SUM(AE205:AF205)</f>
        <v>90828700</v>
      </c>
      <c r="AH205" s="127">
        <f>X205-AA205</f>
        <v>0</v>
      </c>
      <c r="AI205" s="123">
        <f>X205-AD205</f>
        <v>0</v>
      </c>
      <c r="AJ205" s="128">
        <f>X205-AG205</f>
        <v>1007232</v>
      </c>
      <c r="AK205" s="9"/>
      <c r="AL205" s="387">
        <v>0</v>
      </c>
      <c r="AM205" s="392">
        <v>0</v>
      </c>
      <c r="AN205" s="9"/>
    </row>
    <row r="206" spans="1:40" s="385" customFormat="1" ht="24.95" customHeight="1" x14ac:dyDescent="0.2">
      <c r="A206" s="767"/>
      <c r="B206" s="669"/>
      <c r="N206" s="9"/>
      <c r="P206" s="9"/>
      <c r="Q206" s="9"/>
      <c r="R206" s="9"/>
      <c r="S206" s="492" t="str">
        <f>+IF(ABRIL!S206=0,"",ABRIL!S206)</f>
        <v/>
      </c>
      <c r="T206" s="700" t="str">
        <f>+IF(ABRIL!T206=0,"",ABRIL!T206)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+IF(ABRIL!S207=0,"",ABRIL!S207)</f>
        <v>B</v>
      </c>
      <c r="T207" s="709" t="str">
        <f>+IF(ABRIL!T207=0,"",ABRIL!T207)</f>
        <v>GASTOS DE OPERACION COMERCIAL</v>
      </c>
      <c r="U207" s="473">
        <f t="shared" ref="U207:AJ207" si="181">U209</f>
        <v>0</v>
      </c>
      <c r="V207" s="474">
        <f t="shared" si="181"/>
        <v>0</v>
      </c>
      <c r="W207" s="474">
        <f t="shared" si="181"/>
        <v>0</v>
      </c>
      <c r="X207" s="475">
        <f t="shared" si="181"/>
        <v>0</v>
      </c>
      <c r="Y207" s="382">
        <f t="shared" si="181"/>
        <v>0</v>
      </c>
      <c r="Z207" s="474">
        <f t="shared" si="181"/>
        <v>0</v>
      </c>
      <c r="AA207" s="475">
        <f t="shared" si="181"/>
        <v>0</v>
      </c>
      <c r="AB207" s="382">
        <f t="shared" si="181"/>
        <v>0</v>
      </c>
      <c r="AC207" s="474">
        <f t="shared" si="181"/>
        <v>0</v>
      </c>
      <c r="AD207" s="475">
        <f t="shared" si="181"/>
        <v>0</v>
      </c>
      <c r="AE207" s="382">
        <f t="shared" si="181"/>
        <v>0</v>
      </c>
      <c r="AF207" s="474">
        <f t="shared" si="181"/>
        <v>0</v>
      </c>
      <c r="AG207" s="475">
        <f t="shared" si="181"/>
        <v>0</v>
      </c>
      <c r="AH207" s="382">
        <f t="shared" si="181"/>
        <v>0</v>
      </c>
      <c r="AI207" s="474">
        <f t="shared" si="181"/>
        <v>0</v>
      </c>
      <c r="AJ207" s="383">
        <f t="shared" si="181"/>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+IF(ABRIL!S209=0,"",ABRIL!S209)</f>
        <v>5000000</v>
      </c>
      <c r="T209" s="697" t="s">
        <v>460</v>
      </c>
      <c r="U209" s="473">
        <f t="shared" ref="U209:AJ209" si="182">U210</f>
        <v>0</v>
      </c>
      <c r="V209" s="474">
        <f t="shared" si="182"/>
        <v>0</v>
      </c>
      <c r="W209" s="474">
        <f t="shared" si="182"/>
        <v>0</v>
      </c>
      <c r="X209" s="475">
        <f t="shared" si="182"/>
        <v>0</v>
      </c>
      <c r="Y209" s="382">
        <f t="shared" si="182"/>
        <v>0</v>
      </c>
      <c r="Z209" s="474">
        <f t="shared" si="182"/>
        <v>0</v>
      </c>
      <c r="AA209" s="475">
        <f t="shared" si="182"/>
        <v>0</v>
      </c>
      <c r="AB209" s="382">
        <f t="shared" si="182"/>
        <v>0</v>
      </c>
      <c r="AC209" s="474">
        <f t="shared" si="182"/>
        <v>0</v>
      </c>
      <c r="AD209" s="475">
        <f t="shared" si="182"/>
        <v>0</v>
      </c>
      <c r="AE209" s="382">
        <f t="shared" si="182"/>
        <v>0</v>
      </c>
      <c r="AF209" s="474">
        <f t="shared" si="182"/>
        <v>0</v>
      </c>
      <c r="AG209" s="475">
        <f t="shared" si="182"/>
        <v>0</v>
      </c>
      <c r="AH209" s="382">
        <f t="shared" si="182"/>
        <v>0</v>
      </c>
      <c r="AI209" s="474">
        <f t="shared" si="182"/>
        <v>0</v>
      </c>
      <c r="AJ209" s="383">
        <f t="shared" si="182"/>
        <v>0</v>
      </c>
      <c r="AK209" s="9"/>
      <c r="AL209" s="131">
        <f>AL210</f>
        <v>0</v>
      </c>
      <c r="AM209" s="133">
        <f>AM210</f>
        <v>0</v>
      </c>
      <c r="AN209" s="9"/>
    </row>
    <row r="210" spans="1:40" s="385" customFormat="1" ht="24.95" customHeight="1" x14ac:dyDescent="0.2">
      <c r="A210" s="767"/>
      <c r="B210" s="669"/>
      <c r="N210" s="9"/>
      <c r="P210" s="9"/>
      <c r="Q210" s="9"/>
      <c r="R210" s="9"/>
      <c r="S210" s="718">
        <f>+IF(ABRIL!S210=0,"",ABRIL!S210)</f>
        <v>5100000</v>
      </c>
      <c r="T210" s="692" t="str">
        <f>+IF(ABRIL!T210=0,"",ABRIL!T210)</f>
        <v>Insumos y Suministros para Venta al Público</v>
      </c>
      <c r="U210" s="135">
        <f t="shared" ref="U210:AJ210" si="183">U211+U218</f>
        <v>0</v>
      </c>
      <c r="V210" s="124">
        <f t="shared" si="183"/>
        <v>0</v>
      </c>
      <c r="W210" s="124">
        <f t="shared" si="183"/>
        <v>0</v>
      </c>
      <c r="X210" s="132">
        <f t="shared" si="183"/>
        <v>0</v>
      </c>
      <c r="Y210" s="131">
        <f t="shared" si="183"/>
        <v>0</v>
      </c>
      <c r="Z210" s="124">
        <f t="shared" si="183"/>
        <v>0</v>
      </c>
      <c r="AA210" s="132">
        <f t="shared" si="183"/>
        <v>0</v>
      </c>
      <c r="AB210" s="131">
        <f t="shared" si="183"/>
        <v>0</v>
      </c>
      <c r="AC210" s="124">
        <f t="shared" si="183"/>
        <v>0</v>
      </c>
      <c r="AD210" s="132">
        <f t="shared" si="183"/>
        <v>0</v>
      </c>
      <c r="AE210" s="131">
        <f t="shared" si="183"/>
        <v>0</v>
      </c>
      <c r="AF210" s="124">
        <f t="shared" si="183"/>
        <v>0</v>
      </c>
      <c r="AG210" s="132">
        <f t="shared" si="183"/>
        <v>0</v>
      </c>
      <c r="AH210" s="131">
        <f t="shared" si="183"/>
        <v>0</v>
      </c>
      <c r="AI210" s="124">
        <f t="shared" si="183"/>
        <v>0</v>
      </c>
      <c r="AJ210" s="133">
        <f t="shared" si="183"/>
        <v>0</v>
      </c>
      <c r="AK210" s="9"/>
      <c r="AL210" s="131">
        <f>AL211+AL218</f>
        <v>0</v>
      </c>
      <c r="AM210" s="133">
        <f>AM211+AM218</f>
        <v>0</v>
      </c>
      <c r="AN210" s="9"/>
    </row>
    <row r="211" spans="1:40" s="385" customFormat="1" ht="24.95" customHeight="1" x14ac:dyDescent="0.2">
      <c r="A211" s="767"/>
      <c r="B211" s="669"/>
      <c r="N211" s="9"/>
      <c r="P211" s="9"/>
      <c r="Q211" s="9"/>
      <c r="R211" s="9"/>
      <c r="S211" s="719">
        <f>+IF(ABRIL!S211=0,"",ABRIL!S211)</f>
        <v>5100100</v>
      </c>
      <c r="T211" s="693" t="str">
        <f>+IF(ABRIL!T211=0,"",ABRIL!T211)</f>
        <v>Compra de Bienes para la venta</v>
      </c>
      <c r="U211" s="27">
        <f t="shared" ref="U211:AJ211" si="184">SUM(U212:U217)</f>
        <v>0</v>
      </c>
      <c r="V211" s="15">
        <f t="shared" si="184"/>
        <v>0</v>
      </c>
      <c r="W211" s="15">
        <f t="shared" si="184"/>
        <v>0</v>
      </c>
      <c r="X211" s="18">
        <f t="shared" si="184"/>
        <v>0</v>
      </c>
      <c r="Y211" s="19">
        <f t="shared" si="184"/>
        <v>0</v>
      </c>
      <c r="Z211" s="145">
        <f t="shared" si="184"/>
        <v>0</v>
      </c>
      <c r="AA211" s="18">
        <f t="shared" si="184"/>
        <v>0</v>
      </c>
      <c r="AB211" s="19">
        <f t="shared" si="184"/>
        <v>0</v>
      </c>
      <c r="AC211" s="145">
        <f t="shared" si="184"/>
        <v>0</v>
      </c>
      <c r="AD211" s="18">
        <f t="shared" si="184"/>
        <v>0</v>
      </c>
      <c r="AE211" s="19">
        <f t="shared" si="184"/>
        <v>0</v>
      </c>
      <c r="AF211" s="145">
        <f t="shared" si="184"/>
        <v>0</v>
      </c>
      <c r="AG211" s="18">
        <f t="shared" si="184"/>
        <v>0</v>
      </c>
      <c r="AH211" s="19">
        <f t="shared" si="184"/>
        <v>0</v>
      </c>
      <c r="AI211" s="15">
        <f t="shared" si="184"/>
        <v>0</v>
      </c>
      <c r="AJ211" s="16">
        <f t="shared" si="184"/>
        <v>0</v>
      </c>
      <c r="AK211" s="10"/>
      <c r="AL211" s="29">
        <f>SUM(AL212:AL217)</f>
        <v>0</v>
      </c>
      <c r="AM211" s="26">
        <f>SUM(AM212:AM217)</f>
        <v>0</v>
      </c>
      <c r="AN211" s="9"/>
    </row>
    <row r="212" spans="1:40" s="385" customFormat="1" ht="24.95" customHeight="1" x14ac:dyDescent="0.2">
      <c r="A212" s="767"/>
      <c r="B212" s="669"/>
      <c r="N212" s="9"/>
      <c r="P212" s="9"/>
      <c r="Q212" s="9"/>
      <c r="R212" s="9"/>
      <c r="S212" s="720" t="str">
        <f>+IF(ABRIL!S212=0,"",ABRIL!S212)</f>
        <v>5100100-1</v>
      </c>
      <c r="T212" s="694" t="str">
        <f>+IF(ABRIL!T212=0,"",ABRIL!T212)</f>
        <v>Productos Farmaceuticos</v>
      </c>
      <c r="U212" s="27">
        <f>+ENERO!U212</f>
        <v>0</v>
      </c>
      <c r="V212" s="15">
        <f>ABRIL!V212+MAYO!AL212</f>
        <v>0</v>
      </c>
      <c r="W212" s="15">
        <f>ABRIL!W212+MAYO!AM212</f>
        <v>0</v>
      </c>
      <c r="X212" s="18">
        <f t="shared" ref="X212:X218" si="185">SUM(U212:W212)</f>
        <v>0</v>
      </c>
      <c r="Y212" s="19">
        <f>ABRIL!AA212</f>
        <v>0</v>
      </c>
      <c r="Z212" s="377">
        <v>0</v>
      </c>
      <c r="AA212" s="18">
        <f t="shared" ref="AA212:AA218" si="186">SUM(Y212:Z212)</f>
        <v>0</v>
      </c>
      <c r="AB212" s="19">
        <f>ABRIL!AD212</f>
        <v>0</v>
      </c>
      <c r="AC212" s="377">
        <v>0</v>
      </c>
      <c r="AD212" s="18">
        <f t="shared" ref="AD212:AD218" si="187">SUM(AB212:AC212)</f>
        <v>0</v>
      </c>
      <c r="AE212" s="19">
        <f>ABRIL!AG212</f>
        <v>0</v>
      </c>
      <c r="AF212" s="377">
        <v>0</v>
      </c>
      <c r="AG212" s="18">
        <f t="shared" ref="AG212:AG218" si="188">SUM(AE212:AF212)</f>
        <v>0</v>
      </c>
      <c r="AH212" s="19">
        <f t="shared" ref="AH212:AH218" si="189">X212-AA212</f>
        <v>0</v>
      </c>
      <c r="AI212" s="15">
        <f t="shared" ref="AI212:AI218" si="190">X212-AD212</f>
        <v>0</v>
      </c>
      <c r="AJ212" s="16">
        <f t="shared" ref="AJ212:AJ218" si="191">X212-AG212</f>
        <v>0</v>
      </c>
      <c r="AK212" s="9"/>
      <c r="AL212" s="375">
        <v>0</v>
      </c>
      <c r="AM212" s="378">
        <v>0</v>
      </c>
      <c r="AN212" s="9"/>
    </row>
    <row r="213" spans="1:40" s="385" customFormat="1" ht="24.95" customHeight="1" x14ac:dyDescent="0.2">
      <c r="A213" s="767"/>
      <c r="B213" s="669"/>
      <c r="N213" s="9"/>
      <c r="P213" s="9"/>
      <c r="Q213" s="9"/>
      <c r="R213" s="9"/>
      <c r="S213" s="720" t="str">
        <f>+IF(ABRIL!S213=0,"",ABRIL!S213)</f>
        <v>5100100-2</v>
      </c>
      <c r="T213" s="694" t="str">
        <f>+IF(ABRIL!T213=0,"",ABRIL!T213)</f>
        <v>Material Médico Quirúrgico</v>
      </c>
      <c r="U213" s="27">
        <f>+ENERO!U213</f>
        <v>0</v>
      </c>
      <c r="V213" s="15">
        <f>ABRIL!V213+MAYO!AL213</f>
        <v>0</v>
      </c>
      <c r="W213" s="15">
        <f>ABRIL!W213+MAYO!AM213</f>
        <v>0</v>
      </c>
      <c r="X213" s="18">
        <f t="shared" si="185"/>
        <v>0</v>
      </c>
      <c r="Y213" s="19">
        <f>ABRIL!AA213</f>
        <v>0</v>
      </c>
      <c r="Z213" s="377">
        <v>0</v>
      </c>
      <c r="AA213" s="18">
        <f t="shared" si="186"/>
        <v>0</v>
      </c>
      <c r="AB213" s="19">
        <f>ABRIL!AD213</f>
        <v>0</v>
      </c>
      <c r="AC213" s="377">
        <v>0</v>
      </c>
      <c r="AD213" s="18">
        <f t="shared" si="187"/>
        <v>0</v>
      </c>
      <c r="AE213" s="19">
        <f>ABRIL!AG213</f>
        <v>0</v>
      </c>
      <c r="AF213" s="377">
        <v>0</v>
      </c>
      <c r="AG213" s="18">
        <f t="shared" si="188"/>
        <v>0</v>
      </c>
      <c r="AH213" s="19">
        <f t="shared" si="189"/>
        <v>0</v>
      </c>
      <c r="AI213" s="15">
        <f t="shared" si="190"/>
        <v>0</v>
      </c>
      <c r="AJ213" s="16">
        <f t="shared" si="191"/>
        <v>0</v>
      </c>
      <c r="AK213" s="9"/>
      <c r="AL213" s="375">
        <v>0</v>
      </c>
      <c r="AM213" s="378">
        <v>0</v>
      </c>
      <c r="AN213" s="9"/>
    </row>
    <row r="214" spans="1:40" s="385" customFormat="1" ht="24.95" customHeight="1" x14ac:dyDescent="0.2">
      <c r="A214" s="767"/>
      <c r="B214" s="669"/>
      <c r="N214" s="9"/>
      <c r="P214" s="9"/>
      <c r="Q214" s="9"/>
      <c r="R214" s="9"/>
      <c r="S214" s="720" t="str">
        <f>+IF(ABRIL!S214=0,"",ABRIL!S214)</f>
        <v>5100100-3</v>
      </c>
      <c r="T214" s="694" t="str">
        <f>+IF(ABRIL!T214=0,"",ABRIL!T214)</f>
        <v>Material de Laboratorio</v>
      </c>
      <c r="U214" s="27">
        <f>+ENERO!U214</f>
        <v>0</v>
      </c>
      <c r="V214" s="15">
        <f>ABRIL!V214+MAYO!AL214</f>
        <v>0</v>
      </c>
      <c r="W214" s="15">
        <f>ABRIL!W214+MAYO!AM214</f>
        <v>0</v>
      </c>
      <c r="X214" s="18">
        <f t="shared" si="185"/>
        <v>0</v>
      </c>
      <c r="Y214" s="19">
        <f>ABRIL!AA214</f>
        <v>0</v>
      </c>
      <c r="Z214" s="377">
        <v>0</v>
      </c>
      <c r="AA214" s="18">
        <f t="shared" si="186"/>
        <v>0</v>
      </c>
      <c r="AB214" s="19">
        <f>ABRIL!AD214</f>
        <v>0</v>
      </c>
      <c r="AC214" s="377">
        <v>0</v>
      </c>
      <c r="AD214" s="18">
        <f t="shared" si="187"/>
        <v>0</v>
      </c>
      <c r="AE214" s="19">
        <f>ABRIL!AG214</f>
        <v>0</v>
      </c>
      <c r="AF214" s="377">
        <v>0</v>
      </c>
      <c r="AG214" s="18">
        <f t="shared" si="188"/>
        <v>0</v>
      </c>
      <c r="AH214" s="19">
        <f t="shared" si="189"/>
        <v>0</v>
      </c>
      <c r="AI214" s="15">
        <f t="shared" si="190"/>
        <v>0</v>
      </c>
      <c r="AJ214" s="16">
        <f t="shared" si="191"/>
        <v>0</v>
      </c>
      <c r="AK214" s="9"/>
      <c r="AL214" s="375">
        <v>0</v>
      </c>
      <c r="AM214" s="378">
        <v>0</v>
      </c>
      <c r="AN214" s="9"/>
    </row>
    <row r="215" spans="1:40" s="385" customFormat="1" ht="24.95" customHeight="1" x14ac:dyDescent="0.2">
      <c r="A215" s="767"/>
      <c r="B215" s="669"/>
      <c r="N215" s="9"/>
      <c r="P215" s="9"/>
      <c r="Q215" s="9"/>
      <c r="R215" s="9"/>
      <c r="S215" s="720" t="str">
        <f>+IF(ABRIL!S215=0,"",ABRIL!S215)</f>
        <v>5100100-4</v>
      </c>
      <c r="T215" s="694" t="str">
        <f>+IF(ABRIL!T215=0,"",ABRIL!T215)</f>
        <v>Material para Odontologia</v>
      </c>
      <c r="U215" s="27">
        <f>+ENERO!U215</f>
        <v>0</v>
      </c>
      <c r="V215" s="15">
        <f>ABRIL!V215+MAYO!AL215</f>
        <v>0</v>
      </c>
      <c r="W215" s="15">
        <f>ABRIL!W215+MAYO!AM215</f>
        <v>0</v>
      </c>
      <c r="X215" s="18">
        <f t="shared" si="185"/>
        <v>0</v>
      </c>
      <c r="Y215" s="19">
        <f>ABRIL!AA215</f>
        <v>0</v>
      </c>
      <c r="Z215" s="377">
        <v>0</v>
      </c>
      <c r="AA215" s="18">
        <f t="shared" si="186"/>
        <v>0</v>
      </c>
      <c r="AB215" s="19">
        <f>ABRIL!AD215</f>
        <v>0</v>
      </c>
      <c r="AC215" s="377">
        <v>0</v>
      </c>
      <c r="AD215" s="18">
        <f t="shared" si="187"/>
        <v>0</v>
      </c>
      <c r="AE215" s="19">
        <f>ABRIL!AG215</f>
        <v>0</v>
      </c>
      <c r="AF215" s="377">
        <v>0</v>
      </c>
      <c r="AG215" s="18">
        <f t="shared" si="188"/>
        <v>0</v>
      </c>
      <c r="AH215" s="19">
        <f t="shared" si="189"/>
        <v>0</v>
      </c>
      <c r="AI215" s="15">
        <f t="shared" si="190"/>
        <v>0</v>
      </c>
      <c r="AJ215" s="16">
        <f t="shared" si="191"/>
        <v>0</v>
      </c>
      <c r="AK215" s="9"/>
      <c r="AL215" s="375">
        <v>0</v>
      </c>
      <c r="AM215" s="378">
        <v>0</v>
      </c>
      <c r="AN215" s="9"/>
    </row>
    <row r="216" spans="1:40" s="385" customFormat="1" ht="24.95" customHeight="1" x14ac:dyDescent="0.2">
      <c r="A216" s="767"/>
      <c r="B216" s="669"/>
      <c r="N216" s="9"/>
      <c r="P216" s="9"/>
      <c r="Q216" s="9"/>
      <c r="R216" s="9"/>
      <c r="S216" s="720" t="str">
        <f>+IF(ABRIL!S216=0,"",ABRIL!S216)</f>
        <v>5100100-5</v>
      </c>
      <c r="T216" s="694" t="str">
        <f>+IF(ABRIL!T216=0,"",ABRIL!T216)</f>
        <v>Material para Rayos X</v>
      </c>
      <c r="U216" s="27">
        <f>+ENERO!U216</f>
        <v>0</v>
      </c>
      <c r="V216" s="15">
        <f>ABRIL!V216+MAYO!AL216</f>
        <v>0</v>
      </c>
      <c r="W216" s="15">
        <f>ABRIL!W216+MAYO!AM216</f>
        <v>0</v>
      </c>
      <c r="X216" s="18">
        <f t="shared" si="185"/>
        <v>0</v>
      </c>
      <c r="Y216" s="19">
        <f>ABRIL!AA216</f>
        <v>0</v>
      </c>
      <c r="Z216" s="377">
        <v>0</v>
      </c>
      <c r="AA216" s="18">
        <f t="shared" si="186"/>
        <v>0</v>
      </c>
      <c r="AB216" s="19">
        <f>ABRIL!AD216</f>
        <v>0</v>
      </c>
      <c r="AC216" s="377">
        <v>0</v>
      </c>
      <c r="AD216" s="18">
        <f t="shared" si="187"/>
        <v>0</v>
      </c>
      <c r="AE216" s="19">
        <f>ABRIL!AG216</f>
        <v>0</v>
      </c>
      <c r="AF216" s="377">
        <v>0</v>
      </c>
      <c r="AG216" s="18">
        <f t="shared" si="188"/>
        <v>0</v>
      </c>
      <c r="AH216" s="19">
        <f t="shared" si="189"/>
        <v>0</v>
      </c>
      <c r="AI216" s="15">
        <f t="shared" si="190"/>
        <v>0</v>
      </c>
      <c r="AJ216" s="16">
        <f t="shared" si="191"/>
        <v>0</v>
      </c>
      <c r="AK216" s="9"/>
      <c r="AL216" s="375">
        <v>0</v>
      </c>
      <c r="AM216" s="378">
        <v>0</v>
      </c>
      <c r="AN216" s="9"/>
    </row>
    <row r="217" spans="1:40" s="385" customFormat="1" ht="24.95" customHeight="1" x14ac:dyDescent="0.2">
      <c r="A217" s="767"/>
      <c r="B217" s="669"/>
      <c r="N217" s="9"/>
      <c r="P217" s="9"/>
      <c r="Q217" s="9"/>
      <c r="R217" s="9"/>
      <c r="S217" s="720" t="str">
        <f>+IF(ABRIL!S217=0,"",ABRIL!S217)</f>
        <v>5100100-6</v>
      </c>
      <c r="T217" s="694" t="str">
        <f>+IF(ABRIL!T217=0,"",ABRIL!T217)</f>
        <v>Material aseo personal, etc.</v>
      </c>
      <c r="U217" s="27">
        <f>+ENERO!U217</f>
        <v>0</v>
      </c>
      <c r="V217" s="15">
        <f>ABRIL!V217+MAYO!AL217</f>
        <v>0</v>
      </c>
      <c r="W217" s="15">
        <f>ABRIL!W217+MAYO!AM217</f>
        <v>0</v>
      </c>
      <c r="X217" s="18">
        <f t="shared" si="185"/>
        <v>0</v>
      </c>
      <c r="Y217" s="19">
        <f>ABRIL!AA217</f>
        <v>0</v>
      </c>
      <c r="Z217" s="377">
        <v>0</v>
      </c>
      <c r="AA217" s="18">
        <f t="shared" si="186"/>
        <v>0</v>
      </c>
      <c r="AB217" s="19">
        <f>ABRIL!AD217</f>
        <v>0</v>
      </c>
      <c r="AC217" s="377">
        <v>0</v>
      </c>
      <c r="AD217" s="18">
        <f t="shared" si="187"/>
        <v>0</v>
      </c>
      <c r="AE217" s="19">
        <f>ABRIL!AG217</f>
        <v>0</v>
      </c>
      <c r="AF217" s="377">
        <v>0</v>
      </c>
      <c r="AG217" s="18">
        <f t="shared" si="188"/>
        <v>0</v>
      </c>
      <c r="AH217" s="19">
        <f t="shared" si="189"/>
        <v>0</v>
      </c>
      <c r="AI217" s="15">
        <f t="shared" si="190"/>
        <v>0</v>
      </c>
      <c r="AJ217" s="16">
        <f t="shared" si="191"/>
        <v>0</v>
      </c>
      <c r="AK217" s="9"/>
      <c r="AL217" s="375">
        <v>0</v>
      </c>
      <c r="AM217" s="378">
        <v>0</v>
      </c>
      <c r="AN217" s="9"/>
    </row>
    <row r="218" spans="1:40" s="385" customFormat="1" ht="24.95" customHeight="1" thickBot="1" x14ac:dyDescent="0.25">
      <c r="A218" s="767"/>
      <c r="B218" s="669"/>
      <c r="N218" s="9"/>
      <c r="P218" s="9"/>
      <c r="Q218" s="9"/>
      <c r="R218" s="9"/>
      <c r="S218" s="731">
        <f>+IF(ABRIL!S218=0,"",ABRIL!S218)</f>
        <v>5199999</v>
      </c>
      <c r="T218" s="710" t="str">
        <f>+IF(ABRIL!T218=0,"",ABRIL!T218)</f>
        <v>Vigencias Anteriores</v>
      </c>
      <c r="U218" s="136">
        <f>+ENERO!U218</f>
        <v>0</v>
      </c>
      <c r="V218" s="123">
        <f>ABRIL!V218+MAYO!AL218</f>
        <v>0</v>
      </c>
      <c r="W218" s="123">
        <f>ABRIL!W218+MAYO!AM218</f>
        <v>0</v>
      </c>
      <c r="X218" s="129">
        <f t="shared" si="185"/>
        <v>0</v>
      </c>
      <c r="Y218" s="127">
        <f>ABRIL!AA218</f>
        <v>0</v>
      </c>
      <c r="Z218" s="391">
        <v>0</v>
      </c>
      <c r="AA218" s="129">
        <f t="shared" si="186"/>
        <v>0</v>
      </c>
      <c r="AB218" s="127">
        <f>ABRIL!AD218</f>
        <v>0</v>
      </c>
      <c r="AC218" s="391">
        <v>0</v>
      </c>
      <c r="AD218" s="129">
        <f t="shared" si="187"/>
        <v>0</v>
      </c>
      <c r="AE218" s="127">
        <f>ABRIL!AG218</f>
        <v>0</v>
      </c>
      <c r="AF218" s="391">
        <v>0</v>
      </c>
      <c r="AG218" s="129">
        <f t="shared" si="188"/>
        <v>0</v>
      </c>
      <c r="AH218" s="127">
        <f t="shared" si="189"/>
        <v>0</v>
      </c>
      <c r="AI218" s="123">
        <f t="shared" si="190"/>
        <v>0</v>
      </c>
      <c r="AJ218" s="128">
        <f t="shared" si="191"/>
        <v>0</v>
      </c>
      <c r="AK218" s="9"/>
      <c r="AL218" s="507">
        <v>0</v>
      </c>
      <c r="AM218" s="508">
        <v>0</v>
      </c>
      <c r="AN218" s="9"/>
    </row>
    <row r="219" spans="1:40" s="385" customFormat="1" ht="24.95" customHeight="1" thickBot="1" x14ac:dyDescent="0.25">
      <c r="A219" s="767"/>
      <c r="B219" s="669"/>
      <c r="N219" s="9"/>
      <c r="P219" s="9"/>
      <c r="Q219" s="9"/>
      <c r="R219" s="9"/>
      <c r="S219" s="501" t="str">
        <f>+IF(ABRIL!S219=0,"",ABRIL!S219)</f>
        <v/>
      </c>
      <c r="T219" s="707" t="str">
        <f>+IF(ABRIL!T219=0,"",ABRIL!T219)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+IF(ABRIL!S220=0,"",ABRIL!S220)</f>
        <v>C</v>
      </c>
      <c r="T220" s="688" t="str">
        <f>+IF(ABRIL!T220=0,"",ABRIL!T220)</f>
        <v xml:space="preserve">SERVICIO DE LA DEUDA </v>
      </c>
      <c r="U220" s="361">
        <f t="shared" ref="U220:AJ220" si="192">U222+U227</f>
        <v>0</v>
      </c>
      <c r="V220" s="362">
        <f t="shared" si="192"/>
        <v>0</v>
      </c>
      <c r="W220" s="362">
        <f t="shared" si="192"/>
        <v>0</v>
      </c>
      <c r="X220" s="365">
        <f t="shared" si="192"/>
        <v>0</v>
      </c>
      <c r="Y220" s="364">
        <f t="shared" si="192"/>
        <v>0</v>
      </c>
      <c r="Z220" s="362">
        <f t="shared" si="192"/>
        <v>0</v>
      </c>
      <c r="AA220" s="365">
        <f t="shared" si="192"/>
        <v>0</v>
      </c>
      <c r="AB220" s="364">
        <f t="shared" si="192"/>
        <v>0</v>
      </c>
      <c r="AC220" s="362">
        <f t="shared" si="192"/>
        <v>0</v>
      </c>
      <c r="AD220" s="365">
        <f t="shared" si="192"/>
        <v>0</v>
      </c>
      <c r="AE220" s="364">
        <f t="shared" si="192"/>
        <v>0</v>
      </c>
      <c r="AF220" s="362">
        <f t="shared" si="192"/>
        <v>0</v>
      </c>
      <c r="AG220" s="365">
        <f t="shared" si="192"/>
        <v>0</v>
      </c>
      <c r="AH220" s="364">
        <f t="shared" si="192"/>
        <v>0</v>
      </c>
      <c r="AI220" s="362">
        <f t="shared" si="192"/>
        <v>0</v>
      </c>
      <c r="AJ220" s="363">
        <f t="shared" si="192"/>
        <v>0</v>
      </c>
      <c r="AK220" s="506"/>
      <c r="AL220" s="364">
        <f>AL222+AL227</f>
        <v>0</v>
      </c>
      <c r="AM220" s="363">
        <f>AM222+AM227</f>
        <v>0</v>
      </c>
      <c r="AN220" s="9"/>
    </row>
    <row r="221" spans="1:40" s="385" customFormat="1" ht="24.95" customHeight="1" x14ac:dyDescent="0.2">
      <c r="A221" s="767"/>
      <c r="B221" s="669"/>
      <c r="N221" s="9"/>
      <c r="P221" s="9"/>
      <c r="Q221" s="9"/>
      <c r="R221" s="9"/>
      <c r="S221" s="369" t="str">
        <f>+IF(ABRIL!S221=0,"",ABRIL!S221)</f>
        <v/>
      </c>
      <c r="T221" s="708" t="str">
        <f>+IF(ABRIL!T221=0,"",ABRIL!T221)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+IF(ABRIL!S222=0,"",ABRIL!S222)</f>
        <v>7001000</v>
      </c>
      <c r="T222" s="692" t="str">
        <f>+IF(ABRIL!T222=0,"",ABRIL!T222)</f>
        <v>SERVICIO DE LA DEUDA INTERNA</v>
      </c>
      <c r="U222" s="135">
        <f t="shared" ref="U222:AJ222" si="193">SUM(U223:U225)</f>
        <v>0</v>
      </c>
      <c r="V222" s="124">
        <f t="shared" si="193"/>
        <v>0</v>
      </c>
      <c r="W222" s="124">
        <f t="shared" si="193"/>
        <v>0</v>
      </c>
      <c r="X222" s="132">
        <f t="shared" si="193"/>
        <v>0</v>
      </c>
      <c r="Y222" s="131">
        <f t="shared" si="193"/>
        <v>0</v>
      </c>
      <c r="Z222" s="124">
        <f t="shared" si="193"/>
        <v>0</v>
      </c>
      <c r="AA222" s="132">
        <f t="shared" si="193"/>
        <v>0</v>
      </c>
      <c r="AB222" s="131">
        <f t="shared" si="193"/>
        <v>0</v>
      </c>
      <c r="AC222" s="124">
        <f t="shared" si="193"/>
        <v>0</v>
      </c>
      <c r="AD222" s="132">
        <f t="shared" si="193"/>
        <v>0</v>
      </c>
      <c r="AE222" s="131">
        <f t="shared" si="193"/>
        <v>0</v>
      </c>
      <c r="AF222" s="124">
        <f t="shared" si="193"/>
        <v>0</v>
      </c>
      <c r="AG222" s="132">
        <f t="shared" si="193"/>
        <v>0</v>
      </c>
      <c r="AH222" s="131">
        <f t="shared" si="193"/>
        <v>0</v>
      </c>
      <c r="AI222" s="124">
        <f t="shared" si="193"/>
        <v>0</v>
      </c>
      <c r="AJ222" s="133">
        <f t="shared" si="193"/>
        <v>0</v>
      </c>
      <c r="AK222" s="9"/>
      <c r="AL222" s="131">
        <f>SUM(AL223:AL225)</f>
        <v>0</v>
      </c>
      <c r="AM222" s="133">
        <f>SUM(AM223:AM225)</f>
        <v>0</v>
      </c>
      <c r="AN222" s="9"/>
    </row>
    <row r="223" spans="1:40" s="385" customFormat="1" ht="24.95" customHeight="1" x14ac:dyDescent="0.2">
      <c r="A223" s="767"/>
      <c r="B223" s="669"/>
      <c r="N223" s="9"/>
      <c r="P223" s="9"/>
      <c r="Q223" s="9"/>
      <c r="R223" s="9"/>
      <c r="S223" s="719">
        <f>+IF(ABRIL!S223=0,"",ABRIL!S223)</f>
        <v>7001100</v>
      </c>
      <c r="T223" s="693" t="str">
        <f>+IF(ABRIL!T223=0,"",ABRIL!T223)</f>
        <v>Amortización deuda Pública Interna</v>
      </c>
      <c r="U223" s="27">
        <f>+ENERO!U223</f>
        <v>0</v>
      </c>
      <c r="V223" s="15">
        <f>ABRIL!V223+MAYO!AL223</f>
        <v>0</v>
      </c>
      <c r="W223" s="15">
        <f>ABRIL!W223+MAYO!AM223</f>
        <v>0</v>
      </c>
      <c r="X223" s="18">
        <f>SUM(U223:W223)</f>
        <v>0</v>
      </c>
      <c r="Y223" s="19">
        <f>ABRIL!AA223</f>
        <v>0</v>
      </c>
      <c r="Z223" s="377">
        <v>0</v>
      </c>
      <c r="AA223" s="18">
        <f>SUM(Y223:Z223)</f>
        <v>0</v>
      </c>
      <c r="AB223" s="19">
        <f>ABRIL!AD223</f>
        <v>0</v>
      </c>
      <c r="AC223" s="377">
        <v>0</v>
      </c>
      <c r="AD223" s="18">
        <f>SUM(AB223:AC223)</f>
        <v>0</v>
      </c>
      <c r="AE223" s="19">
        <f>ABRIL!AG223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+IF(ABRIL!S224=0,"",ABRIL!S224)</f>
        <v>7001200</v>
      </c>
      <c r="T224" s="693" t="str">
        <f>+IF(ABRIL!T224=0,"",ABRIL!T224)</f>
        <v>Intereses Comisiones y gastos de la Deuda Pública</v>
      </c>
      <c r="U224" s="27">
        <f>+ENERO!U224</f>
        <v>0</v>
      </c>
      <c r="V224" s="15">
        <f>ABRIL!V224+MAYO!AL224</f>
        <v>0</v>
      </c>
      <c r="W224" s="15">
        <f>ABRIL!W224+MAYO!AM224</f>
        <v>0</v>
      </c>
      <c r="X224" s="18">
        <f>SUM(U224:W224)</f>
        <v>0</v>
      </c>
      <c r="Y224" s="19">
        <f>ABRIL!AA224</f>
        <v>0</v>
      </c>
      <c r="Z224" s="377">
        <v>0</v>
      </c>
      <c r="AA224" s="18">
        <f>SUM(Y224:Z224)</f>
        <v>0</v>
      </c>
      <c r="AB224" s="19">
        <f>ABRIL!AD224</f>
        <v>0</v>
      </c>
      <c r="AC224" s="377">
        <v>0</v>
      </c>
      <c r="AD224" s="18">
        <f>SUM(AB224:AC224)</f>
        <v>0</v>
      </c>
      <c r="AE224" s="19">
        <f>ABRIL!AG224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+IF(ABRIL!S225=0,"",ABRIL!S225)</f>
        <v>7001999</v>
      </c>
      <c r="T225" s="693" t="str">
        <f>+IF(ABRIL!T225=0,"",ABRIL!T225)</f>
        <v>Vigencias Anteriores</v>
      </c>
      <c r="U225" s="27">
        <f>+ENERO!U225</f>
        <v>0</v>
      </c>
      <c r="V225" s="15">
        <f>ABRIL!V225+MAYO!AL225</f>
        <v>0</v>
      </c>
      <c r="W225" s="15">
        <f>ABRIL!W225+MAYO!AM225</f>
        <v>0</v>
      </c>
      <c r="X225" s="18">
        <f>SUM(U225:W225)</f>
        <v>0</v>
      </c>
      <c r="Y225" s="19">
        <f>ABRIL!AA225</f>
        <v>0</v>
      </c>
      <c r="Z225" s="377">
        <v>0</v>
      </c>
      <c r="AA225" s="18">
        <f>SUM(Y225:Z225)</f>
        <v>0</v>
      </c>
      <c r="AB225" s="19">
        <f>ABRIL!AD225</f>
        <v>0</v>
      </c>
      <c r="AC225" s="377">
        <v>0</v>
      </c>
      <c r="AD225" s="18">
        <f>SUM(AB225:AC225)</f>
        <v>0</v>
      </c>
      <c r="AE225" s="19">
        <f>ABRIL!AG225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+IF(ABRIL!S226=0,"",ABRIL!S226)</f>
        <v/>
      </c>
      <c r="T226" s="708" t="str">
        <f>+IF(ABRIL!T226=0,"",ABRIL!T226)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+IF(ABRIL!S227=0,"",ABRIL!S227)</f>
        <v>7002001</v>
      </c>
      <c r="T227" s="692" t="str">
        <f>+IF(ABRIL!T227=0,"",ABRIL!T227)</f>
        <v>SERVICIO DE LA DEUDA EXTERNA</v>
      </c>
      <c r="U227" s="135">
        <f t="shared" ref="U227:AJ227" si="194">SUM(U228:U230)</f>
        <v>0</v>
      </c>
      <c r="V227" s="124">
        <f t="shared" si="194"/>
        <v>0</v>
      </c>
      <c r="W227" s="124">
        <f t="shared" si="194"/>
        <v>0</v>
      </c>
      <c r="X227" s="132">
        <f t="shared" si="194"/>
        <v>0</v>
      </c>
      <c r="Y227" s="131">
        <f t="shared" si="194"/>
        <v>0</v>
      </c>
      <c r="Z227" s="124">
        <f t="shared" si="194"/>
        <v>0</v>
      </c>
      <c r="AA227" s="132">
        <f t="shared" si="194"/>
        <v>0</v>
      </c>
      <c r="AB227" s="131">
        <f t="shared" si="194"/>
        <v>0</v>
      </c>
      <c r="AC227" s="124">
        <f t="shared" si="194"/>
        <v>0</v>
      </c>
      <c r="AD227" s="132">
        <f t="shared" si="194"/>
        <v>0</v>
      </c>
      <c r="AE227" s="131">
        <f t="shared" si="194"/>
        <v>0</v>
      </c>
      <c r="AF227" s="124">
        <f t="shared" si="194"/>
        <v>0</v>
      </c>
      <c r="AG227" s="132">
        <f t="shared" si="194"/>
        <v>0</v>
      </c>
      <c r="AH227" s="131">
        <f t="shared" si="194"/>
        <v>0</v>
      </c>
      <c r="AI227" s="124">
        <f t="shared" si="194"/>
        <v>0</v>
      </c>
      <c r="AJ227" s="133">
        <f t="shared" si="194"/>
        <v>0</v>
      </c>
      <c r="AK227" s="10"/>
      <c r="AL227" s="131">
        <f>SUM(AL228:AL230)</f>
        <v>0</v>
      </c>
      <c r="AM227" s="133">
        <f>SUM(AM228:AM230)</f>
        <v>0</v>
      </c>
      <c r="AN227" s="9"/>
    </row>
    <row r="228" spans="1:64" s="385" customFormat="1" ht="24.95" customHeight="1" x14ac:dyDescent="0.2">
      <c r="A228" s="767"/>
      <c r="B228" s="669"/>
      <c r="N228" s="9"/>
      <c r="P228" s="9"/>
      <c r="Q228" s="9"/>
      <c r="R228" s="9"/>
      <c r="S228" s="719">
        <f>+IF(ABRIL!S228=0,"",ABRIL!S228)</f>
        <v>7002100</v>
      </c>
      <c r="T228" s="693" t="str">
        <f>+IF(ABRIL!T228=0,"",ABRIL!T228)</f>
        <v>Amortización deuda Pública Externa</v>
      </c>
      <c r="U228" s="27">
        <f>+ENERO!U228</f>
        <v>0</v>
      </c>
      <c r="V228" s="15">
        <f>ABRIL!V228+MAYO!AL228</f>
        <v>0</v>
      </c>
      <c r="W228" s="15">
        <f>ABRIL!W228+MAYO!AM228</f>
        <v>0</v>
      </c>
      <c r="X228" s="18">
        <f>SUM(U228:W228)</f>
        <v>0</v>
      </c>
      <c r="Y228" s="19">
        <f>ABRIL!AA228</f>
        <v>0</v>
      </c>
      <c r="Z228" s="377">
        <v>0</v>
      </c>
      <c r="AA228" s="18">
        <f>SUM(Y228:Z228)</f>
        <v>0</v>
      </c>
      <c r="AB228" s="19">
        <f>ABRIL!AD228</f>
        <v>0</v>
      </c>
      <c r="AC228" s="377">
        <v>0</v>
      </c>
      <c r="AD228" s="18">
        <f>SUM(AB228:AC228)</f>
        <v>0</v>
      </c>
      <c r="AE228" s="19">
        <f>ABRIL!AG228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+IF(ABRIL!S229=0,"",ABRIL!S229)</f>
        <v>7002200</v>
      </c>
      <c r="T229" s="693" t="str">
        <f>+IF(ABRIL!T229=0,"",ABRIL!T229)</f>
        <v>Intereses Comisiones y gastos de la Deuda Pública</v>
      </c>
      <c r="U229" s="27">
        <f>+ENERO!U229</f>
        <v>0</v>
      </c>
      <c r="V229" s="15">
        <f>ABRIL!V229+MAYO!AL229</f>
        <v>0</v>
      </c>
      <c r="W229" s="15">
        <f>ABRIL!W229+MAYO!AM229</f>
        <v>0</v>
      </c>
      <c r="X229" s="18">
        <f>SUM(U229:W229)</f>
        <v>0</v>
      </c>
      <c r="Y229" s="19">
        <f>ABRIL!AA229</f>
        <v>0</v>
      </c>
      <c r="Z229" s="377">
        <v>0</v>
      </c>
      <c r="AA229" s="18">
        <f>SUM(Y229:Z229)</f>
        <v>0</v>
      </c>
      <c r="AB229" s="19">
        <f>ABRIL!AD229</f>
        <v>0</v>
      </c>
      <c r="AC229" s="377">
        <v>0</v>
      </c>
      <c r="AD229" s="18">
        <f>SUM(AB229:AC229)</f>
        <v>0</v>
      </c>
      <c r="AE229" s="19">
        <f>ABRIL!AG229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+IF(ABRIL!S230=0,"",ABRIL!S230)</f>
        <v>7002999</v>
      </c>
      <c r="T230" s="699" t="str">
        <f>+IF(ABRIL!T230=0,"",ABRIL!T230)</f>
        <v>Vigencias Anteriores</v>
      </c>
      <c r="U230" s="136">
        <f>+ENERO!U230</f>
        <v>0</v>
      </c>
      <c r="V230" s="123">
        <f>ABRIL!V230+MAYO!AL230</f>
        <v>0</v>
      </c>
      <c r="W230" s="123">
        <f>ABRIL!W230+MAYO!AM230</f>
        <v>0</v>
      </c>
      <c r="X230" s="129">
        <f>SUM(U230:W230)</f>
        <v>0</v>
      </c>
      <c r="Y230" s="127">
        <f>ABRIL!AA230</f>
        <v>0</v>
      </c>
      <c r="Z230" s="391">
        <v>0</v>
      </c>
      <c r="AA230" s="129">
        <f>SUM(Y230:Z230)</f>
        <v>0</v>
      </c>
      <c r="AB230" s="127">
        <f>ABRIL!AD230</f>
        <v>0</v>
      </c>
      <c r="AC230" s="391">
        <v>0</v>
      </c>
      <c r="AD230" s="129">
        <f>SUM(AB230:AC230)</f>
        <v>0</v>
      </c>
      <c r="AE230" s="127">
        <f>ABRIL!AG230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+IF(ABRIL!S231=0,"",ABRIL!S231)</f>
        <v/>
      </c>
      <c r="T231" s="700" t="str">
        <f>+IF(ABRIL!T231=0,"",ABRIL!T231)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+IF(ABRIL!S232=0,"",ABRIL!S232)</f>
        <v>D</v>
      </c>
      <c r="T232" s="709" t="str">
        <f>+IF(ABRIL!T232=0,"",ABRIL!T232)</f>
        <v>INVERSION</v>
      </c>
      <c r="U232" s="473">
        <f t="shared" ref="U232:AJ232" si="195">U234</f>
        <v>303000000</v>
      </c>
      <c r="V232" s="474">
        <f t="shared" si="195"/>
        <v>-45000000</v>
      </c>
      <c r="W232" s="474">
        <f t="shared" si="195"/>
        <v>178000000</v>
      </c>
      <c r="X232" s="475">
        <f t="shared" si="195"/>
        <v>436000000</v>
      </c>
      <c r="Y232" s="382">
        <f t="shared" si="195"/>
        <v>62050000</v>
      </c>
      <c r="Z232" s="474">
        <f t="shared" si="195"/>
        <v>18630000</v>
      </c>
      <c r="AA232" s="475">
        <f t="shared" si="195"/>
        <v>80680000</v>
      </c>
      <c r="AB232" s="382">
        <f t="shared" si="195"/>
        <v>5850000</v>
      </c>
      <c r="AC232" s="474">
        <f t="shared" si="195"/>
        <v>8430000</v>
      </c>
      <c r="AD232" s="475">
        <f t="shared" si="195"/>
        <v>14280000</v>
      </c>
      <c r="AE232" s="382">
        <f t="shared" si="195"/>
        <v>0</v>
      </c>
      <c r="AF232" s="474">
        <f t="shared" si="195"/>
        <v>12900000</v>
      </c>
      <c r="AG232" s="475">
        <f t="shared" si="195"/>
        <v>12900000</v>
      </c>
      <c r="AH232" s="382">
        <f t="shared" si="195"/>
        <v>355320000</v>
      </c>
      <c r="AI232" s="474">
        <f t="shared" si="195"/>
        <v>421720000</v>
      </c>
      <c r="AJ232" s="383">
        <f t="shared" si="195"/>
        <v>423100000</v>
      </c>
      <c r="AK232" s="506"/>
      <c r="AL232" s="382">
        <f>AL234</f>
        <v>0</v>
      </c>
      <c r="AM232" s="383">
        <f>AM234</f>
        <v>0</v>
      </c>
      <c r="AN232" s="9"/>
    </row>
    <row r="233" spans="1:64" s="385" customFormat="1" ht="24.95" customHeight="1" x14ac:dyDescent="0.2">
      <c r="A233" s="767"/>
      <c r="B233" s="669"/>
      <c r="N233" s="9"/>
      <c r="P233" s="9"/>
      <c r="Q233" s="9"/>
      <c r="R233" s="9"/>
      <c r="S233" s="369" t="str">
        <f>+IF(ABRIL!S233=0,"",ABRIL!S233)</f>
        <v/>
      </c>
      <c r="T233" s="708" t="str">
        <f>+IF(ABRIL!T233=0,"",ABRIL!T233)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+IF(ABRIL!S234=0,"",ABRIL!S234)</f>
        <v>8000000</v>
      </c>
      <c r="T234" s="692" t="str">
        <f>+IF(ABRIL!T234=0,"",ABRIL!T234)</f>
        <v>Programas de Inversión</v>
      </c>
      <c r="U234" s="135">
        <f t="shared" ref="U234:AJ234" si="196">U235+U243</f>
        <v>303000000</v>
      </c>
      <c r="V234" s="124">
        <f t="shared" si="196"/>
        <v>-45000000</v>
      </c>
      <c r="W234" s="124">
        <f t="shared" si="196"/>
        <v>178000000</v>
      </c>
      <c r="X234" s="132">
        <f t="shared" si="196"/>
        <v>436000000</v>
      </c>
      <c r="Y234" s="131">
        <f t="shared" si="196"/>
        <v>62050000</v>
      </c>
      <c r="Z234" s="124">
        <f t="shared" si="196"/>
        <v>18630000</v>
      </c>
      <c r="AA234" s="132">
        <f t="shared" si="196"/>
        <v>80680000</v>
      </c>
      <c r="AB234" s="131">
        <f t="shared" si="196"/>
        <v>5850000</v>
      </c>
      <c r="AC234" s="124">
        <f t="shared" si="196"/>
        <v>8430000</v>
      </c>
      <c r="AD234" s="132">
        <f t="shared" si="196"/>
        <v>14280000</v>
      </c>
      <c r="AE234" s="131">
        <f t="shared" si="196"/>
        <v>0</v>
      </c>
      <c r="AF234" s="124">
        <f t="shared" si="196"/>
        <v>12900000</v>
      </c>
      <c r="AG234" s="132">
        <f t="shared" si="196"/>
        <v>12900000</v>
      </c>
      <c r="AH234" s="131">
        <f t="shared" si="196"/>
        <v>355320000</v>
      </c>
      <c r="AI234" s="124">
        <f t="shared" si="196"/>
        <v>421720000</v>
      </c>
      <c r="AJ234" s="133">
        <f t="shared" si="196"/>
        <v>423100000</v>
      </c>
      <c r="AK234" s="9"/>
      <c r="AL234" s="131">
        <f>AL235+AL243</f>
        <v>0</v>
      </c>
      <c r="AM234" s="133">
        <f>AM235+AM243</f>
        <v>0</v>
      </c>
      <c r="AN234" s="9"/>
    </row>
    <row r="235" spans="1:64" s="385" customFormat="1" ht="24.95" customHeight="1" x14ac:dyDescent="0.2">
      <c r="A235" s="767"/>
      <c r="B235" s="669"/>
      <c r="N235" s="9"/>
      <c r="P235" s="9"/>
      <c r="Q235" s="9"/>
      <c r="R235" s="9"/>
      <c r="S235" s="719">
        <f>+IF(ABRIL!S235=0,"",ABRIL!S235)</f>
        <v>8001000</v>
      </c>
      <c r="T235" s="693" t="str">
        <f>+IF(ABRIL!T235=0,"",ABRIL!T235)</f>
        <v>Formación Bruta del Capital</v>
      </c>
      <c r="U235" s="27">
        <f t="shared" ref="U235:AJ235" si="197">SUM(U236:U241)</f>
        <v>185000000</v>
      </c>
      <c r="V235" s="15">
        <f t="shared" si="197"/>
        <v>23000000</v>
      </c>
      <c r="W235" s="15">
        <f t="shared" si="197"/>
        <v>0</v>
      </c>
      <c r="X235" s="18">
        <f t="shared" si="197"/>
        <v>208000000</v>
      </c>
      <c r="Y235" s="19">
        <f t="shared" si="197"/>
        <v>0</v>
      </c>
      <c r="Z235" s="145">
        <f t="shared" si="197"/>
        <v>0</v>
      </c>
      <c r="AA235" s="18">
        <f t="shared" si="197"/>
        <v>0</v>
      </c>
      <c r="AB235" s="19">
        <f t="shared" si="197"/>
        <v>0</v>
      </c>
      <c r="AC235" s="145">
        <f t="shared" si="197"/>
        <v>0</v>
      </c>
      <c r="AD235" s="18">
        <f t="shared" si="197"/>
        <v>0</v>
      </c>
      <c r="AE235" s="19">
        <f t="shared" si="197"/>
        <v>0</v>
      </c>
      <c r="AF235" s="145">
        <f t="shared" si="197"/>
        <v>0</v>
      </c>
      <c r="AG235" s="18">
        <f t="shared" si="197"/>
        <v>0</v>
      </c>
      <c r="AH235" s="19">
        <f t="shared" si="197"/>
        <v>208000000</v>
      </c>
      <c r="AI235" s="15">
        <f t="shared" si="197"/>
        <v>208000000</v>
      </c>
      <c r="AJ235" s="16">
        <f t="shared" si="197"/>
        <v>208000000</v>
      </c>
      <c r="AK235" s="9"/>
      <c r="AL235" s="29">
        <f>SUM(AL236:AL241)</f>
        <v>0</v>
      </c>
      <c r="AM235" s="26">
        <f>SUM(AM236:AM241)</f>
        <v>0</v>
      </c>
      <c r="AN235" s="9"/>
    </row>
    <row r="236" spans="1:64" s="385" customFormat="1" ht="24.95" customHeight="1" x14ac:dyDescent="0.2">
      <c r="A236" s="767"/>
      <c r="B236" s="669"/>
      <c r="N236" s="9"/>
      <c r="P236" s="9"/>
      <c r="Q236" s="9"/>
      <c r="R236" s="9"/>
      <c r="S236" s="720" t="str">
        <f>+IF(ABRIL!S236=0,"",ABRIL!S236)</f>
        <v>8001000-1</v>
      </c>
      <c r="T236" s="694" t="str">
        <f>+IF(ABRIL!T236=0,"",ABRIL!T236)</f>
        <v>Subprogr.Diseño Proyecto plan maestro, remodelacion y adec.primer piso</v>
      </c>
      <c r="U236" s="27">
        <f>+ENERO!U236</f>
        <v>60000000</v>
      </c>
      <c r="V236" s="15">
        <f>ABRIL!V236+MAYO!AL236</f>
        <v>0</v>
      </c>
      <c r="W236" s="15">
        <f>ABRIL!W236+MAYO!AM236</f>
        <v>0</v>
      </c>
      <c r="X236" s="18">
        <f t="shared" ref="X236:X241" si="198">SUM(U236:W236)</f>
        <v>60000000</v>
      </c>
      <c r="Y236" s="19">
        <f>ABRIL!AA236</f>
        <v>0</v>
      </c>
      <c r="Z236" s="377">
        <v>0</v>
      </c>
      <c r="AA236" s="18">
        <f t="shared" ref="AA236:AA241" si="199">SUM(Y236:Z236)</f>
        <v>0</v>
      </c>
      <c r="AB236" s="19">
        <f>ABRIL!AD236</f>
        <v>0</v>
      </c>
      <c r="AC236" s="377">
        <v>0</v>
      </c>
      <c r="AD236" s="18">
        <f t="shared" ref="AD236:AD241" si="200">SUM(AB236:AC236)</f>
        <v>0</v>
      </c>
      <c r="AE236" s="19">
        <f>ABRIL!AG236</f>
        <v>0</v>
      </c>
      <c r="AF236" s="377">
        <v>0</v>
      </c>
      <c r="AG236" s="18">
        <f t="shared" ref="AG236:AG241" si="201">SUM(AE236:AF236)</f>
        <v>0</v>
      </c>
      <c r="AH236" s="19">
        <f t="shared" ref="AH236:AH241" si="202">X236-AA236</f>
        <v>60000000</v>
      </c>
      <c r="AI236" s="15">
        <f t="shared" ref="AI236:AI241" si="203">X236-AD236</f>
        <v>60000000</v>
      </c>
      <c r="AJ236" s="16">
        <f t="shared" ref="AJ236:AJ241" si="204">X236-AG236</f>
        <v>60000000</v>
      </c>
      <c r="AK236" s="9"/>
      <c r="AL236" s="375">
        <v>0</v>
      </c>
      <c r="AM236" s="378">
        <v>0</v>
      </c>
      <c r="AN236" s="9"/>
    </row>
    <row r="237" spans="1:64" s="385" customFormat="1" ht="24.95" customHeight="1" x14ac:dyDescent="0.2">
      <c r="A237" s="767"/>
      <c r="B237" s="669"/>
      <c r="N237" s="9"/>
      <c r="P237" s="9"/>
      <c r="Q237" s="9"/>
      <c r="R237" s="9"/>
      <c r="S237" s="720" t="str">
        <f>+IF(ABRIL!S237=0,"",ABRIL!S237)</f>
        <v>8001000-2</v>
      </c>
      <c r="T237" s="694" t="str">
        <f>+IF(ABRIL!T237=0,"",ABRIL!T237)</f>
        <v>Subprogr.Adquisicion de ambulancia</v>
      </c>
      <c r="U237" s="27">
        <f>+ENERO!U237</f>
        <v>50000000</v>
      </c>
      <c r="V237" s="15">
        <f>ABRIL!V237+MAYO!AL237</f>
        <v>0</v>
      </c>
      <c r="W237" s="15">
        <f>ABRIL!W237+MAYO!AM237</f>
        <v>0</v>
      </c>
      <c r="X237" s="18">
        <f t="shared" si="198"/>
        <v>50000000</v>
      </c>
      <c r="Y237" s="19">
        <f>ABRIL!AA237</f>
        <v>0</v>
      </c>
      <c r="Z237" s="377">
        <v>0</v>
      </c>
      <c r="AA237" s="18">
        <f t="shared" si="199"/>
        <v>0</v>
      </c>
      <c r="AB237" s="19">
        <f>ABRIL!AD237</f>
        <v>0</v>
      </c>
      <c r="AC237" s="377">
        <v>0</v>
      </c>
      <c r="AD237" s="18">
        <f t="shared" si="200"/>
        <v>0</v>
      </c>
      <c r="AE237" s="19">
        <f>ABRIL!AG237</f>
        <v>0</v>
      </c>
      <c r="AF237" s="377">
        <v>0</v>
      </c>
      <c r="AG237" s="18">
        <f t="shared" si="201"/>
        <v>0</v>
      </c>
      <c r="AH237" s="19">
        <f t="shared" si="202"/>
        <v>50000000</v>
      </c>
      <c r="AI237" s="15">
        <f t="shared" si="203"/>
        <v>50000000</v>
      </c>
      <c r="AJ237" s="16">
        <f t="shared" si="204"/>
        <v>50000000</v>
      </c>
      <c r="AK237" s="9"/>
      <c r="AL237" s="375">
        <v>0</v>
      </c>
      <c r="AM237" s="378">
        <v>0</v>
      </c>
      <c r="AN237" s="9"/>
    </row>
    <row r="238" spans="1:64" s="385" customFormat="1" ht="24.95" customHeight="1" x14ac:dyDescent="0.2">
      <c r="A238" s="767"/>
      <c r="B238" s="669"/>
      <c r="N238" s="9"/>
      <c r="P238" s="9"/>
      <c r="Q238" s="9"/>
      <c r="R238" s="9"/>
      <c r="S238" s="720" t="str">
        <f>+IF(ABRIL!S238=0,"",ABRIL!S238)</f>
        <v>8001000-3</v>
      </c>
      <c r="T238" s="694" t="str">
        <f>+IF(ABRIL!T238=0,"",ABRIL!T238)</f>
        <v>Subprogr.Actualizacion software hacia NICSP y Adquisicion de Historias clinicas</v>
      </c>
      <c r="U238" s="27">
        <f>+ENERO!U238</f>
        <v>75000000</v>
      </c>
      <c r="V238" s="15">
        <f>ABRIL!V238+MAYO!AL238</f>
        <v>0</v>
      </c>
      <c r="W238" s="15">
        <f>ABRIL!W238+MAYO!AM238</f>
        <v>0</v>
      </c>
      <c r="X238" s="18">
        <f t="shared" si="198"/>
        <v>75000000</v>
      </c>
      <c r="Y238" s="19">
        <f>ABRIL!AA238</f>
        <v>0</v>
      </c>
      <c r="Z238" s="377">
        <v>0</v>
      </c>
      <c r="AA238" s="18">
        <f t="shared" si="199"/>
        <v>0</v>
      </c>
      <c r="AB238" s="19">
        <f>ABRIL!AD238</f>
        <v>0</v>
      </c>
      <c r="AC238" s="377">
        <v>0</v>
      </c>
      <c r="AD238" s="18">
        <f t="shared" si="200"/>
        <v>0</v>
      </c>
      <c r="AE238" s="19">
        <f>ABRIL!AG238</f>
        <v>0</v>
      </c>
      <c r="AF238" s="377">
        <v>0</v>
      </c>
      <c r="AG238" s="18">
        <f t="shared" si="201"/>
        <v>0</v>
      </c>
      <c r="AH238" s="19">
        <f t="shared" si="202"/>
        <v>75000000</v>
      </c>
      <c r="AI238" s="15">
        <f t="shared" si="203"/>
        <v>75000000</v>
      </c>
      <c r="AJ238" s="16">
        <f t="shared" si="204"/>
        <v>75000000</v>
      </c>
      <c r="AK238" s="9"/>
      <c r="AL238" s="375">
        <v>0</v>
      </c>
      <c r="AM238" s="378">
        <v>0</v>
      </c>
      <c r="AN238" s="9"/>
    </row>
    <row r="239" spans="1:64" s="385" customFormat="1" ht="24.95" customHeight="1" x14ac:dyDescent="0.2">
      <c r="A239" s="767"/>
      <c r="B239" s="669"/>
      <c r="N239" s="9"/>
      <c r="P239" s="9"/>
      <c r="Q239" s="9"/>
      <c r="S239" s="720" t="str">
        <f>+IF(ABRIL!S239=0,"",ABRIL!S239)</f>
        <v>8001000-4</v>
      </c>
      <c r="T239" s="694" t="str">
        <f>+IF(ABRIL!T239=0,"",ABRIL!T239)</f>
        <v>Subprogr.Construc. Remodelac. Adecuación y Apliac.4</v>
      </c>
      <c r="U239" s="27">
        <f>+ENERO!U239</f>
        <v>0</v>
      </c>
      <c r="V239" s="15">
        <f>ABRIL!V239+MAYO!AL239</f>
        <v>23000000</v>
      </c>
      <c r="W239" s="15">
        <f>ABRIL!W239+MAYO!AM239</f>
        <v>0</v>
      </c>
      <c r="X239" s="18">
        <f t="shared" si="198"/>
        <v>23000000</v>
      </c>
      <c r="Y239" s="19">
        <f>ABRIL!AA239</f>
        <v>0</v>
      </c>
      <c r="Z239" s="377">
        <v>0</v>
      </c>
      <c r="AA239" s="18">
        <f t="shared" si="199"/>
        <v>0</v>
      </c>
      <c r="AB239" s="19">
        <f>ABRIL!AD239</f>
        <v>0</v>
      </c>
      <c r="AC239" s="377">
        <v>0</v>
      </c>
      <c r="AD239" s="18">
        <f t="shared" si="200"/>
        <v>0</v>
      </c>
      <c r="AE239" s="19">
        <f>ABRIL!AG239</f>
        <v>0</v>
      </c>
      <c r="AF239" s="377">
        <v>0</v>
      </c>
      <c r="AG239" s="18">
        <f t="shared" si="201"/>
        <v>0</v>
      </c>
      <c r="AH239" s="19">
        <f t="shared" si="202"/>
        <v>23000000</v>
      </c>
      <c r="AI239" s="15">
        <f t="shared" si="203"/>
        <v>23000000</v>
      </c>
      <c r="AJ239" s="16">
        <f t="shared" si="204"/>
        <v>23000000</v>
      </c>
      <c r="AK239" s="9"/>
      <c r="AL239" s="375">
        <v>0</v>
      </c>
      <c r="AM239" s="378">
        <v>0</v>
      </c>
      <c r="AN239" s="9"/>
    </row>
    <row r="240" spans="1:64" s="385" customFormat="1" ht="24.95" customHeight="1" x14ac:dyDescent="0.2">
      <c r="A240" s="767"/>
      <c r="B240" s="669"/>
      <c r="N240" s="9"/>
      <c r="P240" s="9"/>
      <c r="Q240" s="9"/>
      <c r="S240" s="720" t="str">
        <f>+IF(ABRIL!S240=0,"",ABRIL!S240)</f>
        <v>8001000-7</v>
      </c>
      <c r="T240" s="694" t="str">
        <f>+IF(ABRIL!T240=0,"",ABRIL!T240)</f>
        <v>Subprogr.Construc. Remodelac. Adecuación y Apliac.5</v>
      </c>
      <c r="U240" s="27">
        <f>+ENERO!U240</f>
        <v>0</v>
      </c>
      <c r="V240" s="15">
        <f>ABRIL!V240+MAYO!AL240</f>
        <v>0</v>
      </c>
      <c r="W240" s="15">
        <f>ABRIL!W240+MAYO!AM240</f>
        <v>0</v>
      </c>
      <c r="X240" s="18">
        <f t="shared" si="198"/>
        <v>0</v>
      </c>
      <c r="Y240" s="19">
        <f>ABRIL!AA240</f>
        <v>0</v>
      </c>
      <c r="Z240" s="377">
        <v>0</v>
      </c>
      <c r="AA240" s="18">
        <f t="shared" si="199"/>
        <v>0</v>
      </c>
      <c r="AB240" s="19">
        <f>ABRIL!AD240</f>
        <v>0</v>
      </c>
      <c r="AC240" s="377">
        <v>0</v>
      </c>
      <c r="AD240" s="18">
        <f t="shared" si="200"/>
        <v>0</v>
      </c>
      <c r="AE240" s="19">
        <f>ABRIL!AG240</f>
        <v>0</v>
      </c>
      <c r="AF240" s="377">
        <v>0</v>
      </c>
      <c r="AG240" s="18">
        <f t="shared" si="201"/>
        <v>0</v>
      </c>
      <c r="AH240" s="19">
        <f t="shared" si="202"/>
        <v>0</v>
      </c>
      <c r="AI240" s="15">
        <f t="shared" si="203"/>
        <v>0</v>
      </c>
      <c r="AJ240" s="16">
        <f t="shared" si="204"/>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+IF(ABRIL!S241=0,"",ABRIL!S241)</f>
        <v>8001999</v>
      </c>
      <c r="T241" s="694" t="str">
        <f>+IF(ABRIL!T241=0,"",ABRIL!T241)</f>
        <v>Vigencias Anteriores</v>
      </c>
      <c r="U241" s="27">
        <f>+ENERO!U241</f>
        <v>0</v>
      </c>
      <c r="V241" s="15">
        <f>ABRIL!V241+MAYO!AL241</f>
        <v>0</v>
      </c>
      <c r="W241" s="15">
        <f>ABRIL!W241+MAYO!AM241</f>
        <v>0</v>
      </c>
      <c r="X241" s="18">
        <f t="shared" si="198"/>
        <v>0</v>
      </c>
      <c r="Y241" s="19">
        <f>ABRIL!AA241</f>
        <v>0</v>
      </c>
      <c r="Z241" s="377">
        <v>0</v>
      </c>
      <c r="AA241" s="18">
        <f t="shared" si="199"/>
        <v>0</v>
      </c>
      <c r="AB241" s="19">
        <f>ABRIL!AD241</f>
        <v>0</v>
      </c>
      <c r="AC241" s="377">
        <v>0</v>
      </c>
      <c r="AD241" s="18">
        <f t="shared" si="200"/>
        <v>0</v>
      </c>
      <c r="AE241" s="19">
        <f>ABRIL!AG241</f>
        <v>0</v>
      </c>
      <c r="AF241" s="377">
        <v>0</v>
      </c>
      <c r="AG241" s="18">
        <f t="shared" si="201"/>
        <v>0</v>
      </c>
      <c r="AH241" s="19">
        <f t="shared" si="202"/>
        <v>0</v>
      </c>
      <c r="AI241" s="15">
        <f t="shared" si="203"/>
        <v>0</v>
      </c>
      <c r="AJ241" s="16">
        <f t="shared" si="204"/>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+IF(ABRIL!S242=0,"",ABRIL!S242)</f>
        <v/>
      </c>
      <c r="T242" s="708" t="str">
        <f>+IF(ABRIL!T242=0,"",ABRIL!T242)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+IF(ABRIL!S243=0,"",ABRIL!S243)</f>
        <v>8002001</v>
      </c>
      <c r="T243" s="693" t="str">
        <f>+IF(ABRIL!T243=0,"",ABRIL!T243)</f>
        <v>Gastos Operativos de Inversion   (Programas Especiales)</v>
      </c>
      <c r="U243" s="27">
        <f t="shared" ref="U243:AJ243" si="205">SUM(U244:U256)</f>
        <v>118000000</v>
      </c>
      <c r="V243" s="15">
        <f t="shared" si="205"/>
        <v>-68000000</v>
      </c>
      <c r="W243" s="15">
        <f t="shared" si="205"/>
        <v>178000000</v>
      </c>
      <c r="X243" s="18">
        <f t="shared" si="205"/>
        <v>228000000</v>
      </c>
      <c r="Y243" s="19">
        <f t="shared" si="205"/>
        <v>62050000</v>
      </c>
      <c r="Z243" s="145">
        <f t="shared" si="205"/>
        <v>18630000</v>
      </c>
      <c r="AA243" s="18">
        <f t="shared" si="205"/>
        <v>80680000</v>
      </c>
      <c r="AB243" s="19">
        <f t="shared" si="205"/>
        <v>5850000</v>
      </c>
      <c r="AC243" s="145">
        <f t="shared" si="205"/>
        <v>8430000</v>
      </c>
      <c r="AD243" s="18">
        <f t="shared" si="205"/>
        <v>14280000</v>
      </c>
      <c r="AE243" s="19">
        <f t="shared" si="205"/>
        <v>0</v>
      </c>
      <c r="AF243" s="145">
        <f t="shared" si="205"/>
        <v>12900000</v>
      </c>
      <c r="AG243" s="18">
        <f t="shared" si="205"/>
        <v>12900000</v>
      </c>
      <c r="AH243" s="19">
        <f t="shared" si="205"/>
        <v>147320000</v>
      </c>
      <c r="AI243" s="15">
        <f t="shared" si="205"/>
        <v>213720000</v>
      </c>
      <c r="AJ243" s="16">
        <f t="shared" si="205"/>
        <v>215100000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+IF(ABRIL!S244=0,"",ABRIL!S244)</f>
        <v>8002100-1</v>
      </c>
      <c r="T244" s="694" t="str">
        <f>+IF(ABRIL!T244=0,"",ABRIL!T244)</f>
        <v>Fondo de la Vivienda</v>
      </c>
      <c r="U244" s="27">
        <f>+ENERO!U244</f>
        <v>0</v>
      </c>
      <c r="V244" s="15">
        <f>ABRIL!V244+MAYO!AL244</f>
        <v>0</v>
      </c>
      <c r="W244" s="15">
        <f>ABRIL!W244+MAYO!AM244</f>
        <v>0</v>
      </c>
      <c r="X244" s="18">
        <f t="shared" ref="X244:X256" si="206">SUM(U244:W244)</f>
        <v>0</v>
      </c>
      <c r="Y244" s="19">
        <f>ABRIL!AA244</f>
        <v>0</v>
      </c>
      <c r="Z244" s="377">
        <v>0</v>
      </c>
      <c r="AA244" s="18">
        <f t="shared" ref="AA244:AA256" si="207">SUM(Y244:Z244)</f>
        <v>0</v>
      </c>
      <c r="AB244" s="19">
        <f>ABRIL!AD244</f>
        <v>0</v>
      </c>
      <c r="AC244" s="377">
        <v>0</v>
      </c>
      <c r="AD244" s="18">
        <f t="shared" ref="AD244:AD256" si="208">SUM(AB244:AC244)</f>
        <v>0</v>
      </c>
      <c r="AE244" s="19">
        <f>ABRIL!AG244</f>
        <v>0</v>
      </c>
      <c r="AF244" s="377">
        <v>0</v>
      </c>
      <c r="AG244" s="18">
        <f t="shared" ref="AG244:AG256" si="209">SUM(AE244:AF244)</f>
        <v>0</v>
      </c>
      <c r="AH244" s="19">
        <f t="shared" ref="AH244:AH256" si="210">X244-AA244</f>
        <v>0</v>
      </c>
      <c r="AI244" s="15">
        <f t="shared" ref="AI244:AI256" si="211">X244-AD244</f>
        <v>0</v>
      </c>
      <c r="AJ244" s="16">
        <f t="shared" ref="AJ244:AJ256" si="212">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+IF(ABRIL!S245=0,"",ABRIL!S245)</f>
        <v>8002100-2</v>
      </c>
      <c r="T245" s="694" t="str">
        <f>+IF(ABRIL!T245=0,"",ABRIL!T245)</f>
        <v>Programas Especial 01 Convenio APS Municipio</v>
      </c>
      <c r="U245" s="27">
        <f>+ENERO!U245</f>
        <v>94000000</v>
      </c>
      <c r="V245" s="15">
        <f>ABRIL!V245+MAYO!AL245</f>
        <v>-68000000</v>
      </c>
      <c r="W245" s="15">
        <f>ABRIL!W245+MAYO!AM245</f>
        <v>94000000</v>
      </c>
      <c r="X245" s="18">
        <f t="shared" si="206"/>
        <v>120000000</v>
      </c>
      <c r="Y245" s="19">
        <f>ABRIL!AA245</f>
        <v>62050000</v>
      </c>
      <c r="Z245" s="377">
        <v>0</v>
      </c>
      <c r="AA245" s="18">
        <f t="shared" si="207"/>
        <v>62050000</v>
      </c>
      <c r="AB245" s="19">
        <f>ABRIL!AD245</f>
        <v>5850000</v>
      </c>
      <c r="AC245" s="377">
        <v>7050000</v>
      </c>
      <c r="AD245" s="18">
        <f t="shared" si="208"/>
        <v>12900000</v>
      </c>
      <c r="AE245" s="19">
        <f>ABRIL!AG245</f>
        <v>0</v>
      </c>
      <c r="AF245" s="377">
        <v>12900000</v>
      </c>
      <c r="AG245" s="18">
        <f t="shared" si="209"/>
        <v>12900000</v>
      </c>
      <c r="AH245" s="19">
        <f t="shared" si="210"/>
        <v>57950000</v>
      </c>
      <c r="AI245" s="15">
        <f t="shared" si="211"/>
        <v>107100000</v>
      </c>
      <c r="AJ245" s="16">
        <f t="shared" si="212"/>
        <v>107100000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+IF(ABRIL!S246=0,"",ABRIL!S246)</f>
        <v>8002100-3</v>
      </c>
      <c r="T246" s="694" t="str">
        <f>+IF(ABRIL!T246=0,"",ABRIL!T246)</f>
        <v>Programas Especial 02 Convenios APS  Departamento</v>
      </c>
      <c r="U246" s="27">
        <f>+ENERO!U246</f>
        <v>0</v>
      </c>
      <c r="V246" s="15">
        <f>ABRIL!V246+MAYO!AL246</f>
        <v>0</v>
      </c>
      <c r="W246" s="15">
        <f>ABRIL!W246+MAYO!AM246</f>
        <v>50000000</v>
      </c>
      <c r="X246" s="18">
        <f t="shared" si="206"/>
        <v>50000000</v>
      </c>
      <c r="Y246" s="19">
        <f>ABRIL!AA246</f>
        <v>0</v>
      </c>
      <c r="Z246" s="377">
        <v>18630000</v>
      </c>
      <c r="AA246" s="18">
        <f t="shared" si="207"/>
        <v>18630000</v>
      </c>
      <c r="AB246" s="19">
        <f>ABRIL!AD246</f>
        <v>0</v>
      </c>
      <c r="AC246" s="377">
        <v>1380000</v>
      </c>
      <c r="AD246" s="18">
        <f t="shared" si="208"/>
        <v>1380000</v>
      </c>
      <c r="AE246" s="19">
        <f>ABRIL!AG246</f>
        <v>0</v>
      </c>
      <c r="AF246" s="377">
        <v>0</v>
      </c>
      <c r="AG246" s="18">
        <f t="shared" si="209"/>
        <v>0</v>
      </c>
      <c r="AH246" s="19">
        <f t="shared" si="210"/>
        <v>31370000</v>
      </c>
      <c r="AI246" s="15">
        <f t="shared" si="211"/>
        <v>48620000</v>
      </c>
      <c r="AJ246" s="16">
        <f t="shared" si="212"/>
        <v>50000000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+IF(ABRIL!S247=0,"",ABRIL!S247)</f>
        <v>8002100-4</v>
      </c>
      <c r="T247" s="694" t="str">
        <f>+IF(ABRIL!T247=0,"",ABRIL!T247)</f>
        <v>Subprogr. Implementacion Normas Internacionales de Contabilidad Publica</v>
      </c>
      <c r="U247" s="27">
        <f>+ENERO!U247</f>
        <v>0</v>
      </c>
      <c r="V247" s="15">
        <f>ABRIL!V247+MAYO!AL247</f>
        <v>0</v>
      </c>
      <c r="W247" s="15">
        <f>ABRIL!W247+MAYO!AM247</f>
        <v>0</v>
      </c>
      <c r="X247" s="18">
        <f t="shared" si="206"/>
        <v>0</v>
      </c>
      <c r="Y247" s="19">
        <f>ABRIL!AA247</f>
        <v>0</v>
      </c>
      <c r="Z247" s="377">
        <v>0</v>
      </c>
      <c r="AA247" s="18">
        <f t="shared" si="207"/>
        <v>0</v>
      </c>
      <c r="AB247" s="19">
        <f>ABRIL!AD247</f>
        <v>0</v>
      </c>
      <c r="AC247" s="377">
        <v>0</v>
      </c>
      <c r="AD247" s="18">
        <f t="shared" si="208"/>
        <v>0</v>
      </c>
      <c r="AE247" s="19">
        <f>ABRIL!AG247</f>
        <v>0</v>
      </c>
      <c r="AF247" s="377">
        <v>0</v>
      </c>
      <c r="AG247" s="18">
        <f t="shared" si="209"/>
        <v>0</v>
      </c>
      <c r="AH247" s="19">
        <f t="shared" si="210"/>
        <v>0</v>
      </c>
      <c r="AI247" s="15">
        <f t="shared" si="211"/>
        <v>0</v>
      </c>
      <c r="AJ247" s="16">
        <f t="shared" si="212"/>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+IF(ABRIL!S248=0,"",ABRIL!S248)</f>
        <v>8002100-5</v>
      </c>
      <c r="T248" s="694" t="str">
        <f>+IF(ABRIL!T248=0,"",ABRIL!T248)</f>
        <v>Programas Especial 04 Convenio Puestos de Salud</v>
      </c>
      <c r="U248" s="27">
        <f>+ENERO!U248</f>
        <v>24000000</v>
      </c>
      <c r="V248" s="15">
        <f>ABRIL!V248+MAYO!AL248</f>
        <v>0</v>
      </c>
      <c r="W248" s="15">
        <f>ABRIL!W248+MAYO!AM248</f>
        <v>34000000</v>
      </c>
      <c r="X248" s="18">
        <f t="shared" si="206"/>
        <v>58000000</v>
      </c>
      <c r="Y248" s="19">
        <f>ABRIL!AA248</f>
        <v>0</v>
      </c>
      <c r="Z248" s="377">
        <v>0</v>
      </c>
      <c r="AA248" s="18">
        <f t="shared" si="207"/>
        <v>0</v>
      </c>
      <c r="AB248" s="19">
        <f>ABRIL!AD248</f>
        <v>0</v>
      </c>
      <c r="AC248" s="377">
        <v>0</v>
      </c>
      <c r="AD248" s="18">
        <f t="shared" si="208"/>
        <v>0</v>
      </c>
      <c r="AE248" s="19">
        <f>ABRIL!AG248</f>
        <v>0</v>
      </c>
      <c r="AF248" s="377">
        <v>0</v>
      </c>
      <c r="AG248" s="18">
        <f t="shared" si="209"/>
        <v>0</v>
      </c>
      <c r="AH248" s="19">
        <f t="shared" si="210"/>
        <v>58000000</v>
      </c>
      <c r="AI248" s="15">
        <f t="shared" si="211"/>
        <v>58000000</v>
      </c>
      <c r="AJ248" s="16">
        <f t="shared" si="212"/>
        <v>58000000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+IF(ABRIL!S249=0,"",ABRIL!S249)</f>
        <v>8002100-6</v>
      </c>
      <c r="T249" s="694" t="str">
        <f>+IF(ABRIL!T249=0,"",ABRIL!T249)</f>
        <v>Programas Especial 05</v>
      </c>
      <c r="U249" s="27">
        <f>+ENERO!U249</f>
        <v>0</v>
      </c>
      <c r="V249" s="15">
        <f>ABRIL!V249+MAYO!AL249</f>
        <v>0</v>
      </c>
      <c r="W249" s="15">
        <f>ABRIL!W249+MAYO!AM249</f>
        <v>0</v>
      </c>
      <c r="X249" s="18">
        <f t="shared" si="206"/>
        <v>0</v>
      </c>
      <c r="Y249" s="19">
        <f>ABRIL!AA249</f>
        <v>0</v>
      </c>
      <c r="Z249" s="377">
        <v>0</v>
      </c>
      <c r="AA249" s="18">
        <f t="shared" si="207"/>
        <v>0</v>
      </c>
      <c r="AB249" s="19">
        <f>ABRIL!AD249</f>
        <v>0</v>
      </c>
      <c r="AC249" s="377">
        <v>0</v>
      </c>
      <c r="AD249" s="18">
        <f t="shared" si="208"/>
        <v>0</v>
      </c>
      <c r="AE249" s="19">
        <f>ABRIL!AG249</f>
        <v>0</v>
      </c>
      <c r="AF249" s="377">
        <v>0</v>
      </c>
      <c r="AG249" s="18">
        <f t="shared" si="209"/>
        <v>0</v>
      </c>
      <c r="AH249" s="19">
        <f t="shared" si="210"/>
        <v>0</v>
      </c>
      <c r="AI249" s="15">
        <f t="shared" si="211"/>
        <v>0</v>
      </c>
      <c r="AJ249" s="16">
        <f t="shared" si="212"/>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+IF(ABRIL!S250=0,"",ABRIL!S250)</f>
        <v>8002100-7</v>
      </c>
      <c r="T250" s="694" t="str">
        <f>+IF(ABRIL!T250=0,"",ABRIL!T250)</f>
        <v>Programas Especial 06</v>
      </c>
      <c r="U250" s="27">
        <f>+ENERO!U250</f>
        <v>0</v>
      </c>
      <c r="V250" s="15">
        <f>ABRIL!V250+MAYO!AL250</f>
        <v>0</v>
      </c>
      <c r="W250" s="15">
        <f>ABRIL!W250+MAYO!AM250</f>
        <v>0</v>
      </c>
      <c r="X250" s="18">
        <f>SUM(U250:W250)</f>
        <v>0</v>
      </c>
      <c r="Y250" s="19">
        <f>ABRIL!AA250</f>
        <v>0</v>
      </c>
      <c r="Z250" s="377">
        <v>0</v>
      </c>
      <c r="AA250" s="18">
        <f>SUM(Y250:Z250)</f>
        <v>0</v>
      </c>
      <c r="AB250" s="19">
        <f>ABRIL!AD250</f>
        <v>0</v>
      </c>
      <c r="AC250" s="377">
        <v>0</v>
      </c>
      <c r="AD250" s="18">
        <f>SUM(AB250:AC250)</f>
        <v>0</v>
      </c>
      <c r="AE250" s="19">
        <f>ABRIL!AG250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+IF(ABRIL!S251=0,"",ABRIL!S251)</f>
        <v>8002100-8</v>
      </c>
      <c r="T251" s="694" t="str">
        <f>+IF(ABRIL!T251=0,"",ABRIL!T251)</f>
        <v>Programas Especial 07</v>
      </c>
      <c r="U251" s="27">
        <f>+ENERO!U251</f>
        <v>0</v>
      </c>
      <c r="V251" s="15">
        <f>ABRIL!V251+MAYO!AL251</f>
        <v>0</v>
      </c>
      <c r="W251" s="15">
        <f>ABRIL!W251+MAYO!AM251</f>
        <v>0</v>
      </c>
      <c r="X251" s="18">
        <f>SUM(U251:W251)</f>
        <v>0</v>
      </c>
      <c r="Y251" s="19">
        <f>ABRIL!AA251</f>
        <v>0</v>
      </c>
      <c r="Z251" s="377">
        <v>0</v>
      </c>
      <c r="AA251" s="18">
        <f>SUM(Y251:Z251)</f>
        <v>0</v>
      </c>
      <c r="AB251" s="19">
        <f>ABRIL!AD251</f>
        <v>0</v>
      </c>
      <c r="AC251" s="377">
        <v>0</v>
      </c>
      <c r="AD251" s="18">
        <f>SUM(AB251:AC251)</f>
        <v>0</v>
      </c>
      <c r="AE251" s="19">
        <f>ABRIL!AG251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+IF(ABRIL!S252=0,"",ABRIL!S252)</f>
        <v>8002100-9</v>
      </c>
      <c r="T252" s="694" t="str">
        <f>+IF(ABRIL!T252=0,"",ABRIL!T252)</f>
        <v>Programas Especial 08</v>
      </c>
      <c r="U252" s="27">
        <f>+ENERO!U252</f>
        <v>0</v>
      </c>
      <c r="V252" s="15">
        <f>ABRIL!V252+MAYO!AL252</f>
        <v>0</v>
      </c>
      <c r="W252" s="15">
        <f>ABRIL!W252+MAYO!AM252</f>
        <v>0</v>
      </c>
      <c r="X252" s="18">
        <f>SUM(U252:W252)</f>
        <v>0</v>
      </c>
      <c r="Y252" s="19">
        <f>ABRIL!AA252</f>
        <v>0</v>
      </c>
      <c r="Z252" s="377">
        <v>0</v>
      </c>
      <c r="AA252" s="18">
        <f>SUM(Y252:Z252)</f>
        <v>0</v>
      </c>
      <c r="AB252" s="19">
        <f>ABRIL!AD252</f>
        <v>0</v>
      </c>
      <c r="AC252" s="377">
        <v>0</v>
      </c>
      <c r="AD252" s="18">
        <f>SUM(AB252:AC252)</f>
        <v>0</v>
      </c>
      <c r="AE252" s="19">
        <f>ABRIL!AG252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+IF(ABRIL!S253=0,"",ABRIL!S253)</f>
        <v>8002100-10</v>
      </c>
      <c r="T253" s="694" t="str">
        <f>+IF(ABRIL!T253=0,"",ABRIL!T253)</f>
        <v>Programas Especial 09</v>
      </c>
      <c r="U253" s="27">
        <f>+ENERO!U253</f>
        <v>0</v>
      </c>
      <c r="V253" s="15">
        <f>ABRIL!V253+MAYO!AL253</f>
        <v>0</v>
      </c>
      <c r="W253" s="15">
        <f>ABRIL!W253+MAYO!AM253</f>
        <v>0</v>
      </c>
      <c r="X253" s="18">
        <f>SUM(U253:W253)</f>
        <v>0</v>
      </c>
      <c r="Y253" s="19">
        <f>ABRIL!AA253</f>
        <v>0</v>
      </c>
      <c r="Z253" s="377">
        <v>0</v>
      </c>
      <c r="AA253" s="18">
        <f>SUM(Y253:Z253)</f>
        <v>0</v>
      </c>
      <c r="AB253" s="19">
        <f>ABRIL!AD253</f>
        <v>0</v>
      </c>
      <c r="AC253" s="377">
        <v>0</v>
      </c>
      <c r="AD253" s="18">
        <f>SUM(AB253:AC253)</f>
        <v>0</v>
      </c>
      <c r="AE253" s="19">
        <f>ABRIL!AG253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+IF(ABRIL!S254=0,"",ABRIL!S254)</f>
        <v>8002100-11</v>
      </c>
      <c r="T254" s="694" t="str">
        <f>+IF(ABRIL!T254=0,"",ABRIL!T254)</f>
        <v>Programas Especial 10</v>
      </c>
      <c r="U254" s="27">
        <f>+ENERO!U254</f>
        <v>0</v>
      </c>
      <c r="V254" s="15">
        <f>ABRIL!V254+MAYO!AL254</f>
        <v>0</v>
      </c>
      <c r="W254" s="15">
        <f>ABRIL!W254+MAYO!AM254</f>
        <v>0</v>
      </c>
      <c r="X254" s="18">
        <f>SUM(U254:W254)</f>
        <v>0</v>
      </c>
      <c r="Y254" s="19">
        <f>ABRIL!AA254</f>
        <v>0</v>
      </c>
      <c r="Z254" s="377">
        <v>0</v>
      </c>
      <c r="AA254" s="18">
        <f>SUM(Y254:Z254)</f>
        <v>0</v>
      </c>
      <c r="AB254" s="19">
        <f>ABRIL!AD254</f>
        <v>0</v>
      </c>
      <c r="AC254" s="377">
        <v>0</v>
      </c>
      <c r="AD254" s="18">
        <f>SUM(AB254:AC254)</f>
        <v>0</v>
      </c>
      <c r="AE254" s="19">
        <f>ABRIL!AG254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+IF(ABRIL!S255=0,"",ABRIL!S255)</f>
        <v>8002100-12</v>
      </c>
      <c r="T255" s="694" t="str">
        <f>+IF(ABRIL!T255=0,"",ABRIL!T255)</f>
        <v>Programas Especial 11</v>
      </c>
      <c r="U255" s="27">
        <f>+ENERO!U255</f>
        <v>0</v>
      </c>
      <c r="V255" s="15">
        <f>ABRIL!V255+MAYO!AL255</f>
        <v>0</v>
      </c>
      <c r="W255" s="15">
        <f>ABRIL!W255+MAYO!AM255</f>
        <v>0</v>
      </c>
      <c r="X255" s="18">
        <f t="shared" si="206"/>
        <v>0</v>
      </c>
      <c r="Y255" s="19">
        <f>ABRIL!AA255</f>
        <v>0</v>
      </c>
      <c r="Z255" s="377">
        <v>0</v>
      </c>
      <c r="AA255" s="18">
        <f t="shared" si="207"/>
        <v>0</v>
      </c>
      <c r="AB255" s="19">
        <f>ABRIL!AD255</f>
        <v>0</v>
      </c>
      <c r="AC255" s="377">
        <v>0</v>
      </c>
      <c r="AD255" s="18">
        <f t="shared" si="208"/>
        <v>0</v>
      </c>
      <c r="AE255" s="19">
        <f>ABRIL!AG255</f>
        <v>0</v>
      </c>
      <c r="AF255" s="377">
        <v>0</v>
      </c>
      <c r="AG255" s="18">
        <f t="shared" si="209"/>
        <v>0</v>
      </c>
      <c r="AH255" s="19">
        <f t="shared" si="210"/>
        <v>0</v>
      </c>
      <c r="AI255" s="15">
        <f t="shared" si="211"/>
        <v>0</v>
      </c>
      <c r="AJ255" s="16">
        <f t="shared" si="212"/>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+IF(ABRIL!S256=0,"",ABRIL!S256)</f>
        <v>8002999</v>
      </c>
      <c r="T256" s="710" t="str">
        <f>+IF(ABRIL!T256=0,"",ABRIL!T256)</f>
        <v>Vigencias Anteriores</v>
      </c>
      <c r="U256" s="136">
        <f>+ENERO!U256</f>
        <v>0</v>
      </c>
      <c r="V256" s="123">
        <f>ABRIL!V256+MAYO!AL256</f>
        <v>0</v>
      </c>
      <c r="W256" s="123">
        <f>ABRIL!W256+MAYO!AM256</f>
        <v>0</v>
      </c>
      <c r="X256" s="129">
        <f t="shared" si="206"/>
        <v>0</v>
      </c>
      <c r="Y256" s="127">
        <f>ABRIL!AA256</f>
        <v>0</v>
      </c>
      <c r="Z256" s="391">
        <v>0</v>
      </c>
      <c r="AA256" s="129">
        <f t="shared" si="207"/>
        <v>0</v>
      </c>
      <c r="AB256" s="127">
        <f>ABRIL!AD256</f>
        <v>0</v>
      </c>
      <c r="AC256" s="391">
        <v>0</v>
      </c>
      <c r="AD256" s="129">
        <f t="shared" si="208"/>
        <v>0</v>
      </c>
      <c r="AE256" s="127">
        <f>ABRIL!AG256</f>
        <v>0</v>
      </c>
      <c r="AF256" s="391">
        <v>0</v>
      </c>
      <c r="AG256" s="129">
        <f t="shared" si="209"/>
        <v>0</v>
      </c>
      <c r="AH256" s="127">
        <f t="shared" si="210"/>
        <v>0</v>
      </c>
      <c r="AI256" s="123">
        <f t="shared" si="211"/>
        <v>0</v>
      </c>
      <c r="AJ256" s="128">
        <f t="shared" si="212"/>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+IF(ABRIL!S257=0,"",ABRIL!S257)</f>
        <v/>
      </c>
      <c r="T257" s="707" t="str">
        <f>+IF(ABRIL!T257=0,"",ABRIL!T257)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+IF(ABRIL!S258=0,"",ABRIL!S258)</f>
        <v>E</v>
      </c>
      <c r="T258" s="711" t="str">
        <f>+IF(ABRIL!T258=0,"",ABRIL!T258)</f>
        <v>DISPONIBILIDAD FINAL</v>
      </c>
      <c r="U258" s="341">
        <f t="shared" ref="U258:AJ258" si="213">+(C10+C17+C113)-(U10+U207+U220+U232)</f>
        <v>0</v>
      </c>
      <c r="V258" s="341">
        <f t="shared" si="213"/>
        <v>0</v>
      </c>
      <c r="W258" s="341">
        <f t="shared" si="213"/>
        <v>0</v>
      </c>
      <c r="X258" s="341">
        <f t="shared" si="213"/>
        <v>0</v>
      </c>
      <c r="Y258" s="341">
        <f t="shared" si="213"/>
        <v>-83695605</v>
      </c>
      <c r="Z258" s="341">
        <f t="shared" si="213"/>
        <v>187854691</v>
      </c>
      <c r="AA258" s="341">
        <f t="shared" si="213"/>
        <v>104159086</v>
      </c>
      <c r="AB258" s="341">
        <f t="shared" si="213"/>
        <v>-392805245</v>
      </c>
      <c r="AC258" s="341">
        <f t="shared" si="213"/>
        <v>66838495</v>
      </c>
      <c r="AD258" s="341">
        <f t="shared" si="213"/>
        <v>-325966750</v>
      </c>
      <c r="AE258" s="341">
        <f t="shared" si="213"/>
        <v>1162165130</v>
      </c>
      <c r="AF258" s="341">
        <f t="shared" si="213"/>
        <v>2398495601</v>
      </c>
      <c r="AG258" s="341">
        <f t="shared" si="213"/>
        <v>-1171046488</v>
      </c>
      <c r="AH258" s="341">
        <f t="shared" si="213"/>
        <v>-2123990499</v>
      </c>
      <c r="AI258" s="341">
        <f t="shared" si="213"/>
        <v>-2311195085</v>
      </c>
      <c r="AJ258" s="341">
        <f t="shared" si="213"/>
        <v>-2719554259</v>
      </c>
      <c r="AK258" s="9"/>
      <c r="AL258" s="341">
        <v>0</v>
      </c>
      <c r="AM258" s="342">
        <v>0</v>
      </c>
    </row>
    <row r="259" spans="1:39" ht="24.95" customHeight="1" thickBot="1" x14ac:dyDescent="0.25">
      <c r="S259" s="912" t="str">
        <f>+IF(ABRIL!S259=0,"",ABRIL!S259)</f>
        <v>TOTAL VIGENCIAS ANTERIORES</v>
      </c>
      <c r="T259" s="913"/>
      <c r="U259" s="125">
        <f t="shared" ref="U259:AJ259" si="214">+SUMIF($T$8:$T$256,$T$33,U8:U256)</f>
        <v>0</v>
      </c>
      <c r="V259" s="115">
        <f t="shared" si="214"/>
        <v>0</v>
      </c>
      <c r="W259" s="115">
        <f t="shared" si="214"/>
        <v>342364056</v>
      </c>
      <c r="X259" s="126">
        <f t="shared" si="214"/>
        <v>342364056</v>
      </c>
      <c r="Y259" s="125">
        <f t="shared" si="214"/>
        <v>342364056</v>
      </c>
      <c r="Z259" s="115">
        <f t="shared" si="214"/>
        <v>0</v>
      </c>
      <c r="AA259" s="126">
        <f t="shared" si="214"/>
        <v>342364056</v>
      </c>
      <c r="AB259" s="125">
        <f t="shared" si="214"/>
        <v>342364056</v>
      </c>
      <c r="AC259" s="115">
        <f t="shared" si="214"/>
        <v>0</v>
      </c>
      <c r="AD259" s="126">
        <f t="shared" si="214"/>
        <v>342364056</v>
      </c>
      <c r="AE259" s="125">
        <f t="shared" si="214"/>
        <v>242232893</v>
      </c>
      <c r="AF259" s="115">
        <f t="shared" si="214"/>
        <v>53511528</v>
      </c>
      <c r="AG259" s="126">
        <f t="shared" si="214"/>
        <v>295744421</v>
      </c>
      <c r="AH259" s="125">
        <f t="shared" si="214"/>
        <v>0</v>
      </c>
      <c r="AI259" s="115">
        <f t="shared" si="214"/>
        <v>0</v>
      </c>
      <c r="AJ259" s="116">
        <f t="shared" si="214"/>
        <v>46619635</v>
      </c>
      <c r="AK259" s="10"/>
      <c r="AL259" s="125">
        <f>+SUMIF(AK8:AK256,AK33,AL8:AL256)</f>
        <v>0</v>
      </c>
      <c r="AM259" s="116">
        <f>+SUMIF(AL8:AL256,AL33,AM8:AM256)</f>
        <v>461692667</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0F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7" priority="1" stopIfTrue="1">
      <formula>$B$5="OJO - RECUERDE RECAUDAR LA DISPONIBLIDAD INICIAL EN ESTE TRIMESTRE, haga clik en H9 para ampliar la información"</formula>
    </cfRule>
  </conditionalFormatting>
  <dataValidations count="4">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BS260"/>
  <sheetViews>
    <sheetView showGridLines="0" topLeftCell="A112" zoomScale="80" zoomScaleNormal="80" workbookViewId="0">
      <selection activeCell="H38" sqref="H38"/>
    </sheetView>
  </sheetViews>
  <sheetFormatPr baseColWidth="10" defaultColWidth="0" defaultRowHeight="24.95" customHeight="1" x14ac:dyDescent="0.2"/>
  <cols>
    <col min="1" max="1" width="14.42578125" style="768" customWidth="1"/>
    <col min="2" max="2" width="50.7109375" style="670" customWidth="1"/>
    <col min="3" max="3" width="14.425781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7109375" style="712" customWidth="1"/>
    <col min="20" max="20" width="60.140625" style="686" customWidth="1"/>
    <col min="21" max="21" width="16" style="275" customWidth="1"/>
    <col min="22" max="23" width="14.7109375" style="275" customWidth="1"/>
    <col min="24" max="24" width="16.85546875" style="275" customWidth="1"/>
    <col min="25" max="25" width="16.140625" style="275" customWidth="1"/>
    <col min="26" max="26" width="14.7109375" style="275" customWidth="1"/>
    <col min="27" max="27" width="15.85546875" style="275" customWidth="1"/>
    <col min="28" max="28" width="16.140625" style="275" customWidth="1"/>
    <col min="29" max="29" width="14.7109375" style="275" customWidth="1"/>
    <col min="30" max="30" width="15.42578125" style="275" customWidth="1"/>
    <col min="31" max="31" width="14.7109375" style="275" customWidth="1"/>
    <col min="32" max="32" width="16.85546875" style="275" customWidth="1"/>
    <col min="33" max="33" width="16.14062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0.28515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36.140625" style="275" customWidth="1"/>
    <col min="59" max="59" width="72.7109375" style="275" customWidth="1"/>
    <col min="60" max="63" width="17.5703125" style="275" customWidth="1"/>
    <col min="64" max="64" width="28.7109375" style="275" customWidth="1"/>
    <col min="65" max="65" width="76" style="275" customWidth="1"/>
    <col min="66" max="66" width="19" style="275" customWidth="1"/>
    <col min="67" max="67" width="16.42578125" style="275" customWidth="1"/>
    <col min="68" max="68" width="16.5703125" style="275" customWidth="1"/>
    <col min="69" max="69" width="17.5703125"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4.25"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6</v>
      </c>
      <c r="AP2" s="283" t="s">
        <v>8</v>
      </c>
      <c r="AQ2" s="284"/>
      <c r="AR2" s="3"/>
      <c r="AS2" s="3"/>
      <c r="AT2" s="3"/>
      <c r="AU2" s="3"/>
      <c r="AV2" s="3"/>
      <c r="AW2" s="3"/>
      <c r="AX2" s="3"/>
      <c r="AY2" s="3"/>
      <c r="AZ2" s="4"/>
      <c r="BB2" s="899" t="s">
        <v>404</v>
      </c>
      <c r="BC2" s="901"/>
      <c r="BD2" s="51" t="s">
        <v>392</v>
      </c>
      <c r="BE2" s="281" t="str">
        <f>+L3</f>
        <v>JUNIO</v>
      </c>
      <c r="BF2" s="276"/>
      <c r="BG2" s="899" t="s">
        <v>405</v>
      </c>
      <c r="BH2" s="901"/>
      <c r="BI2" s="901"/>
      <c r="BJ2" s="51" t="s">
        <v>392</v>
      </c>
      <c r="BK2" s="281" t="str">
        <f>+BE2</f>
        <v>JUNIO</v>
      </c>
      <c r="BM2" s="899" t="s">
        <v>405</v>
      </c>
      <c r="BN2" s="901"/>
      <c r="BO2" s="901"/>
      <c r="BP2" s="51" t="s">
        <v>392</v>
      </c>
      <c r="BQ2" s="281" t="str">
        <f>+BK2</f>
        <v>JUNIO</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374</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JUNIO</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298"/>
    </row>
    <row r="5" spans="1:69" ht="42.75" customHeight="1" thickTop="1" thickBot="1" x14ac:dyDescent="0.3">
      <c r="A5" s="935" t="s">
        <v>19</v>
      </c>
      <c r="B5" s="937" t="s">
        <v>20</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850" t="s">
        <v>549</v>
      </c>
      <c r="Z5" s="851"/>
      <c r="AA5" s="852"/>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943" t="s">
        <v>370</v>
      </c>
      <c r="BG5" s="520" t="s">
        <v>34</v>
      </c>
      <c r="BH5" s="875" t="str">
        <f>+CONCATENATE("ACUMULADO ",N3)</f>
        <v>ACUMULADO 2015</v>
      </c>
      <c r="BI5" s="876"/>
      <c r="BJ5" s="876"/>
      <c r="BK5" s="940"/>
      <c r="BL5" s="941" t="s">
        <v>371</v>
      </c>
      <c r="BM5" s="910" t="s">
        <v>34</v>
      </c>
      <c r="BN5" s="311" t="str">
        <f>+CONCATENATE("ACUMULADO ",BQ3)</f>
        <v>ACUMULADO 2015</v>
      </c>
      <c r="BO5" s="312"/>
      <c r="BP5" s="313"/>
      <c r="BQ5" s="521"/>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JUNIO</v>
      </c>
      <c r="AS6" s="319" t="str">
        <f>AR6</f>
        <v>JUNIO</v>
      </c>
      <c r="AT6" s="319" t="str">
        <f>AR6</f>
        <v>JUNIO</v>
      </c>
      <c r="AU6" s="319" t="s">
        <v>16</v>
      </c>
      <c r="AV6" s="319" t="s">
        <v>31</v>
      </c>
      <c r="AW6" s="319"/>
      <c r="AX6" s="319"/>
      <c r="AY6" s="319" t="s">
        <v>16</v>
      </c>
      <c r="AZ6" s="320" t="s">
        <v>31</v>
      </c>
      <c r="BB6" s="321"/>
      <c r="BC6" s="322" t="s">
        <v>47</v>
      </c>
      <c r="BD6" s="323" t="s">
        <v>48</v>
      </c>
      <c r="BE6" s="324" t="s">
        <v>49</v>
      </c>
      <c r="BF6" s="944"/>
      <c r="BG6" s="522"/>
      <c r="BH6" s="523" t="s">
        <v>47</v>
      </c>
      <c r="BI6" s="523" t="s">
        <v>50</v>
      </c>
      <c r="BJ6" s="523" t="s">
        <v>51</v>
      </c>
      <c r="BK6" s="524" t="s">
        <v>52</v>
      </c>
      <c r="BL6" s="942"/>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1062634167</v>
      </c>
      <c r="AS7" s="330">
        <f>L22</f>
        <v>515290083</v>
      </c>
      <c r="AT7" s="13"/>
      <c r="AU7" s="331">
        <f t="shared" ref="AU7:AU17" si="0">IF(AQ7=0," ",AR7/AQ7)</f>
        <v>0.60419671643425565</v>
      </c>
      <c r="AV7" s="331">
        <f t="shared" ref="AV7:AV17" si="1">IF(AQ7=0," ",AS7/AQ7)</f>
        <v>0.29298566320212727</v>
      </c>
      <c r="AW7" s="330">
        <f>I23/AO$2*12+I24</f>
        <v>1717905868</v>
      </c>
      <c r="AX7" s="330">
        <f>L23/AO$2*12+L24</f>
        <v>623217700</v>
      </c>
      <c r="AY7" s="330">
        <f t="shared" ref="AY7:AY16" si="2">AW7-AQ7</f>
        <v>-40849415</v>
      </c>
      <c r="AZ7" s="332">
        <f t="shared" ref="AZ7:AZ16" si="3">AX7-AQ7</f>
        <v>-1135537583</v>
      </c>
      <c r="BB7" s="333" t="s">
        <v>55</v>
      </c>
      <c r="BC7" s="54">
        <f>F10</f>
        <v>90342061</v>
      </c>
      <c r="BD7" s="55">
        <f>I10</f>
        <v>90342061</v>
      </c>
      <c r="BE7" s="56">
        <f>K10</f>
        <v>0</v>
      </c>
      <c r="BF7" s="53">
        <f>MARZO!BF7+ABRIL!BE7+MAYO!BE7+JUNIO!BE7</f>
        <v>90342061</v>
      </c>
      <c r="BG7" s="91" t="s">
        <v>56</v>
      </c>
      <c r="BH7" s="117">
        <f>+SUM(BH8:BH11)</f>
        <v>2759119353</v>
      </c>
      <c r="BI7" s="117">
        <f>+SUM(BI8:BI11)</f>
        <v>1487450171</v>
      </c>
      <c r="BJ7" s="117">
        <f>+SUM(BJ8:BJ11)</f>
        <v>1215778242</v>
      </c>
      <c r="BK7" s="117">
        <f>+SUM(BK8:BK11)</f>
        <v>172273254</v>
      </c>
      <c r="BL7" s="40">
        <f>+BK7+MAYO!BK7+ABRIL!BK7+MARZO!BL7</f>
        <v>1005270499</v>
      </c>
      <c r="BM7" s="61" t="s">
        <v>56</v>
      </c>
      <c r="BN7" s="62">
        <f>BN8+BN15+BN22</f>
        <v>2759119353</v>
      </c>
      <c r="BO7" s="63">
        <f>BO8+BO15+BO22</f>
        <v>1487450171</v>
      </c>
      <c r="BP7" s="63">
        <f>BP8+BP15+BP22</f>
        <v>1215778242</v>
      </c>
      <c r="BQ7" s="64">
        <f>BQ8+BQ15+BQ22</f>
        <v>172273254</v>
      </c>
    </row>
    <row r="8" spans="1:69" s="9" customFormat="1" ht="24.95" customHeight="1" thickBot="1" x14ac:dyDescent="0.3">
      <c r="A8" s="744">
        <f>+IF(MAYO!A8=0,"",MAYO!A8)</f>
        <v>1</v>
      </c>
      <c r="B8" s="643" t="str">
        <f>+IF(MAYO!B8=0,"",MAYO!B8)</f>
        <v>INGRESOS</v>
      </c>
      <c r="C8" s="334">
        <f>C10+C17+C113</f>
        <v>3135701014</v>
      </c>
      <c r="D8" s="334">
        <f t="shared" ref="D8:Q8" si="4">D10+D17+D113</f>
        <v>0</v>
      </c>
      <c r="E8" s="334">
        <f t="shared" si="4"/>
        <v>754899733</v>
      </c>
      <c r="F8" s="334">
        <f t="shared" si="4"/>
        <v>3890600747</v>
      </c>
      <c r="G8" s="334">
        <f t="shared" si="4"/>
        <v>1870769334</v>
      </c>
      <c r="H8" s="334">
        <f t="shared" si="4"/>
        <v>259926475</v>
      </c>
      <c r="I8" s="334">
        <f t="shared" si="4"/>
        <v>2130695809</v>
      </c>
      <c r="J8" s="334">
        <f t="shared" si="4"/>
        <v>1178724941</v>
      </c>
      <c r="K8" s="334">
        <f t="shared" si="4"/>
        <v>181228877</v>
      </c>
      <c r="L8" s="334">
        <f t="shared" si="4"/>
        <v>1359953818</v>
      </c>
      <c r="M8" s="334">
        <f t="shared" si="4"/>
        <v>1759904938</v>
      </c>
      <c r="N8" s="334">
        <f t="shared" si="4"/>
        <v>2530646929</v>
      </c>
      <c r="O8" s="336"/>
      <c r="P8" s="337">
        <f t="shared" si="4"/>
        <v>0</v>
      </c>
      <c r="Q8" s="335">
        <f t="shared" si="4"/>
        <v>0</v>
      </c>
      <c r="S8" s="715" t="str">
        <f>+IF(MAYO!S8=0,"",MAYO!S8)</f>
        <v/>
      </c>
      <c r="T8" s="687" t="str">
        <f>+IF(MAYO!T8=0,"",MAYO!T8)</f>
        <v>GASTOS</v>
      </c>
      <c r="U8" s="338">
        <f t="shared" ref="U8:AM8" si="5">U10+U207+U220+U232</f>
        <v>3135701014</v>
      </c>
      <c r="V8" s="339">
        <f t="shared" si="5"/>
        <v>0</v>
      </c>
      <c r="W8" s="339">
        <f t="shared" si="5"/>
        <v>754899733</v>
      </c>
      <c r="X8" s="340">
        <f t="shared" si="5"/>
        <v>3890600747</v>
      </c>
      <c r="Y8" s="341">
        <f t="shared" si="5"/>
        <v>1766610248</v>
      </c>
      <c r="Z8" s="339">
        <f t="shared" si="5"/>
        <v>364070105</v>
      </c>
      <c r="AA8" s="340">
        <f t="shared" si="5"/>
        <v>2130680353</v>
      </c>
      <c r="AB8" s="341">
        <f t="shared" si="5"/>
        <v>1504691691</v>
      </c>
      <c r="AC8" s="339">
        <f t="shared" si="5"/>
        <v>239604634</v>
      </c>
      <c r="AD8" s="340">
        <f t="shared" si="5"/>
        <v>1744296325</v>
      </c>
      <c r="AE8" s="341">
        <f t="shared" si="5"/>
        <v>1171046488</v>
      </c>
      <c r="AF8" s="339">
        <f t="shared" si="5"/>
        <v>197724702</v>
      </c>
      <c r="AG8" s="340">
        <f t="shared" si="5"/>
        <v>1368771190</v>
      </c>
      <c r="AH8" s="341">
        <f t="shared" si="5"/>
        <v>1759920394</v>
      </c>
      <c r="AI8" s="339">
        <f t="shared" si="5"/>
        <v>2146304422</v>
      </c>
      <c r="AJ8" s="342">
        <f t="shared" si="5"/>
        <v>2521829557</v>
      </c>
      <c r="AL8" s="343">
        <f t="shared" si="5"/>
        <v>0</v>
      </c>
      <c r="AM8" s="344">
        <f t="shared" si="5"/>
        <v>0</v>
      </c>
      <c r="AO8" s="21"/>
      <c r="AP8" s="11" t="s">
        <v>58</v>
      </c>
      <c r="AQ8" s="12">
        <f>F25</f>
        <v>945539330</v>
      </c>
      <c r="AR8" s="12">
        <f>I25</f>
        <v>455822209</v>
      </c>
      <c r="AS8" s="12">
        <f>L25</f>
        <v>306098037</v>
      </c>
      <c r="AT8" s="13"/>
      <c r="AU8" s="345">
        <f t="shared" si="0"/>
        <v>0.48207641346870256</v>
      </c>
      <c r="AV8" s="345">
        <f t="shared" si="1"/>
        <v>0.32372850846934098</v>
      </c>
      <c r="AW8" s="12">
        <f>I26/AO$2*12+I27</f>
        <v>871173504</v>
      </c>
      <c r="AX8" s="12">
        <f>L26/AO$2*12+L27</f>
        <v>571725160</v>
      </c>
      <c r="AY8" s="12">
        <f t="shared" si="2"/>
        <v>-74365826</v>
      </c>
      <c r="AZ8" s="346">
        <f t="shared" si="3"/>
        <v>-373814170</v>
      </c>
      <c r="BB8" s="143" t="s">
        <v>59</v>
      </c>
      <c r="BC8" s="65">
        <f>BC9+BC19</f>
        <v>3195036512</v>
      </c>
      <c r="BD8" s="66">
        <f>BD9+BD19</f>
        <v>1534847260</v>
      </c>
      <c r="BE8" s="67">
        <f>BE9+BE19</f>
        <v>163263306</v>
      </c>
      <c r="BF8" s="53">
        <f>MARZO!BF8+ABRIL!BE8+MAYO!BE8+JUNIO!BE8</f>
        <v>764105269</v>
      </c>
      <c r="BG8" s="68" t="s">
        <v>60</v>
      </c>
      <c r="BH8" s="69">
        <f>BN9+BN13</f>
        <v>1661552065</v>
      </c>
      <c r="BI8" s="69">
        <f>BO9+BO13</f>
        <v>753353162</v>
      </c>
      <c r="BJ8" s="69">
        <f>BP9+BP13</f>
        <v>753353162</v>
      </c>
      <c r="BK8" s="69">
        <f>BQ9+BQ13</f>
        <v>116801264</v>
      </c>
      <c r="BL8" s="40">
        <f>+BK8+MAYO!BK8+ABRIL!BK8+MARZO!BL8</f>
        <v>679272461</v>
      </c>
      <c r="BM8" s="71" t="s">
        <v>61</v>
      </c>
      <c r="BN8" s="72">
        <f>BN9+BN14+BN13</f>
        <v>2051881582</v>
      </c>
      <c r="BO8" s="69">
        <f>BO9+BO14+BO13</f>
        <v>1108231662</v>
      </c>
      <c r="BP8" s="69">
        <f>BP9+BP14+BP13</f>
        <v>908911202</v>
      </c>
      <c r="BQ8" s="70">
        <f>BQ9+BQ14+BQ13</f>
        <v>138670264</v>
      </c>
    </row>
    <row r="9" spans="1:69" s="9" customFormat="1" ht="24.95" customHeight="1" thickBot="1" x14ac:dyDescent="0.3">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166714400</v>
      </c>
      <c r="AS9" s="12">
        <f>L28+L75</f>
        <v>148893882</v>
      </c>
      <c r="AT9" s="13"/>
      <c r="AU9" s="353">
        <f t="shared" si="0"/>
        <v>0.47533974218818525</v>
      </c>
      <c r="AV9" s="353">
        <f t="shared" si="1"/>
        <v>0.42452949165325898</v>
      </c>
      <c r="AW9" s="354">
        <f>(I30+I33+I36+I76)/AO$2*12+I31+I34+I37+I38+I39+I40+I77</f>
        <v>172125103</v>
      </c>
      <c r="AX9" s="354">
        <f>(L30+L33+L36+L76)/AO$2*12+L31+L34+L37+L38+L39+L40+L77</f>
        <v>148893882</v>
      </c>
      <c r="AY9" s="354">
        <f t="shared" si="2"/>
        <v>-178601725</v>
      </c>
      <c r="AZ9" s="355">
        <f t="shared" si="3"/>
        <v>-201832946</v>
      </c>
      <c r="BB9" s="356" t="s">
        <v>437</v>
      </c>
      <c r="BC9" s="73">
        <f>BC10+BC18</f>
        <v>3087854833</v>
      </c>
      <c r="BD9" s="74">
        <f>BD10+BD18</f>
        <v>1483657674</v>
      </c>
      <c r="BE9" s="75">
        <f>BE10+BE18</f>
        <v>156128306</v>
      </c>
      <c r="BF9" s="53">
        <f>MARZO!BF9+ABRIL!BE9+MAYO!BE9+JUNIO!BE9</f>
        <v>712915683</v>
      </c>
      <c r="BG9" s="77" t="s">
        <v>64</v>
      </c>
      <c r="BH9" s="78">
        <f t="shared" ref="BH9:BK10" si="6">BN14</f>
        <v>390329517</v>
      </c>
      <c r="BI9" s="78">
        <f t="shared" si="6"/>
        <v>354878500</v>
      </c>
      <c r="BJ9" s="78">
        <f t="shared" si="6"/>
        <v>155558040</v>
      </c>
      <c r="BK9" s="78">
        <f t="shared" si="6"/>
        <v>21869000</v>
      </c>
      <c r="BL9" s="40">
        <f>+BK9+MAYO!BK9+ABRIL!BK9+MARZO!BL9</f>
        <v>114794300</v>
      </c>
      <c r="BM9" s="140" t="s">
        <v>65</v>
      </c>
      <c r="BN9" s="80">
        <f>SUM(BN10:BN12)</f>
        <v>1208004402</v>
      </c>
      <c r="BO9" s="78">
        <f>SUM(BO10:BO12)</f>
        <v>552253648</v>
      </c>
      <c r="BP9" s="78">
        <f>SUM(BP10:BP12)</f>
        <v>552253648</v>
      </c>
      <c r="BQ9" s="79">
        <f>SUM(BQ10:BQ12)</f>
        <v>89094455</v>
      </c>
    </row>
    <row r="10" spans="1:69" s="9" customFormat="1" ht="24.95" customHeight="1" x14ac:dyDescent="0.25">
      <c r="A10" s="745">
        <f>+IF(MAYO!A10=0,"",MAYO!A10)</f>
        <v>10</v>
      </c>
      <c r="B10" s="645" t="str">
        <f>+IF(MAYO!B10=0,"",MAYO!B10)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+IF(MAYO!S10=0,"",MAYO!S10)</f>
        <v>A</v>
      </c>
      <c r="T10" s="688" t="str">
        <f>+IF(MAYO!T10=0,"",MAYO!T10)</f>
        <v>GASTOS DE FUNCIONAMIENTO</v>
      </c>
      <c r="U10" s="361">
        <f t="shared" ref="U10:AJ10" si="8">U12+U110+U170+U193</f>
        <v>2832701014</v>
      </c>
      <c r="V10" s="362">
        <f t="shared" si="8"/>
        <v>69000000</v>
      </c>
      <c r="W10" s="362">
        <f t="shared" si="8"/>
        <v>576899733</v>
      </c>
      <c r="X10" s="365">
        <f t="shared" si="8"/>
        <v>3478600747</v>
      </c>
      <c r="Y10" s="364">
        <f t="shared" si="8"/>
        <v>1685930248</v>
      </c>
      <c r="Z10" s="362">
        <f t="shared" si="8"/>
        <v>324588771</v>
      </c>
      <c r="AA10" s="365">
        <f t="shared" si="8"/>
        <v>2010519019</v>
      </c>
      <c r="AB10" s="364">
        <f t="shared" si="8"/>
        <v>1490411691</v>
      </c>
      <c r="AC10" s="362">
        <f t="shared" si="8"/>
        <v>229104634</v>
      </c>
      <c r="AD10" s="365">
        <f t="shared" si="8"/>
        <v>1719516325</v>
      </c>
      <c r="AE10" s="364">
        <f t="shared" si="8"/>
        <v>1158146488</v>
      </c>
      <c r="AF10" s="362">
        <f t="shared" si="8"/>
        <v>189294702</v>
      </c>
      <c r="AG10" s="365">
        <f t="shared" si="8"/>
        <v>1347441190</v>
      </c>
      <c r="AH10" s="364">
        <f t="shared" si="8"/>
        <v>1468081728</v>
      </c>
      <c r="AI10" s="362">
        <f t="shared" si="8"/>
        <v>1759084422</v>
      </c>
      <c r="AJ10" s="363">
        <f t="shared" si="8"/>
        <v>2131159557</v>
      </c>
      <c r="AL10" s="366">
        <f>AL12+AL110+AL170+AL193</f>
        <v>24000000</v>
      </c>
      <c r="AM10" s="367">
        <f>AM12+AM110+AM170+AM193</f>
        <v>0</v>
      </c>
      <c r="AO10" s="352"/>
      <c r="AP10" s="11" t="s">
        <v>67</v>
      </c>
      <c r="AQ10" s="12">
        <f>F42</f>
        <v>111280673</v>
      </c>
      <c r="AR10" s="12">
        <f>I42</f>
        <v>35094180</v>
      </c>
      <c r="AS10" s="12">
        <f>L42</f>
        <v>34927628</v>
      </c>
      <c r="AT10" s="13"/>
      <c r="AU10" s="353">
        <f t="shared" si="0"/>
        <v>0.31536635296948645</v>
      </c>
      <c r="AV10" s="353">
        <f t="shared" si="1"/>
        <v>0.31386966899454322</v>
      </c>
      <c r="AW10" s="354">
        <f>I43/AO$2*12+I44</f>
        <v>70188360</v>
      </c>
      <c r="AX10" s="354">
        <f>L43/AO$2*12+L44</f>
        <v>69855256</v>
      </c>
      <c r="AY10" s="354">
        <f t="shared" si="2"/>
        <v>-41092313</v>
      </c>
      <c r="AZ10" s="355">
        <f t="shared" si="3"/>
        <v>-41425417</v>
      </c>
      <c r="BB10" s="368" t="s">
        <v>438</v>
      </c>
      <c r="BC10" s="73">
        <f>BC11+BC12+BC13+BC14+BC16+BC17+BC15</f>
        <v>3013140862</v>
      </c>
      <c r="BD10" s="74">
        <f>BD11+BD12+BD13+BD14+BD16+BD17+BD15</f>
        <v>1422352544</v>
      </c>
      <c r="BE10" s="75">
        <f>BE11+BE12+BE13+BE14+BE16+BE17+BE15</f>
        <v>156128306</v>
      </c>
      <c r="BF10" s="53">
        <f>MARZO!BF10+ABRIL!BE10+MAYO!BE10+JUNIO!BE10</f>
        <v>651610553</v>
      </c>
      <c r="BG10" s="68" t="s">
        <v>68</v>
      </c>
      <c r="BH10" s="81">
        <f t="shared" si="6"/>
        <v>641665487</v>
      </c>
      <c r="BI10" s="81">
        <f t="shared" si="6"/>
        <v>356643123</v>
      </c>
      <c r="BJ10" s="81">
        <f t="shared" si="6"/>
        <v>284615186</v>
      </c>
      <c r="BK10" s="81">
        <f t="shared" si="6"/>
        <v>33602990</v>
      </c>
      <c r="BL10" s="40">
        <f>+BK10+MAYO!BK10+ABRIL!BK10+MARZO!BL10</f>
        <v>196864836</v>
      </c>
      <c r="BM10" s="137" t="s">
        <v>450</v>
      </c>
      <c r="BN10" s="83">
        <f>X17+X66</f>
        <v>945471180</v>
      </c>
      <c r="BO10" s="81">
        <f>AA17+AA66</f>
        <v>463265452</v>
      </c>
      <c r="BP10" s="81">
        <f>AD17+AD66</f>
        <v>463265452</v>
      </c>
      <c r="BQ10" s="82">
        <f>AF17+AF66</f>
        <v>70966086</v>
      </c>
    </row>
    <row r="11" spans="1:69" s="9" customFormat="1" ht="24.95" customHeight="1" x14ac:dyDescent="0.25">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559</v>
      </c>
      <c r="AQ11" s="12">
        <f>F88</f>
        <v>0</v>
      </c>
      <c r="AR11" s="12">
        <f>I88</f>
        <v>0</v>
      </c>
      <c r="AS11" s="12">
        <f>L88</f>
        <v>0</v>
      </c>
      <c r="AT11" s="374">
        <f>AO2/12</f>
        <v>0.5</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415351295</v>
      </c>
      <c r="BE11" s="75">
        <f>K26</f>
        <v>39784657</v>
      </c>
      <c r="BF11" s="53">
        <f>MARZO!BF11+ABRIL!BE11+MAYO!BE11+JUNIO!BE11</f>
        <v>265627123</v>
      </c>
      <c r="BG11" s="68" t="s">
        <v>69</v>
      </c>
      <c r="BH11" s="84">
        <f>BN22</f>
        <v>65572284</v>
      </c>
      <c r="BI11" s="84">
        <f>BO22</f>
        <v>22575386</v>
      </c>
      <c r="BJ11" s="84">
        <f>BP22</f>
        <v>22251854</v>
      </c>
      <c r="BK11" s="84">
        <f>BQ22</f>
        <v>0</v>
      </c>
      <c r="BL11" s="40">
        <f>+BK11+MAYO!BK11+ABRIL!BK11+MARZO!BL11</f>
        <v>14338902</v>
      </c>
      <c r="BM11" s="138" t="s">
        <v>451</v>
      </c>
      <c r="BN11" s="86">
        <f>X18+X67</f>
        <v>90039980</v>
      </c>
      <c r="BO11" s="84">
        <f>AA18+AA67</f>
        <v>78767914</v>
      </c>
      <c r="BP11" s="84">
        <f>AD18+AD67</f>
        <v>78767914</v>
      </c>
      <c r="BQ11" s="85">
        <f>AF18+AF67</f>
        <v>12586355</v>
      </c>
    </row>
    <row r="12" spans="1:69" s="9" customFormat="1" ht="24.95" customHeight="1" x14ac:dyDescent="0.25">
      <c r="A12" s="618">
        <f>+IF(MAYO!A12=0,"",MAYO!A12)</f>
        <v>1001</v>
      </c>
      <c r="B12" s="646" t="str">
        <f>+IF(MAYO!B12=0,"",MAYO!B12)</f>
        <v>Bienestar Social (Caja, Bancos, Inversiones Tempor.) a Dic-31-2014</v>
      </c>
      <c r="C12" s="375">
        <f>+ENERO!C12</f>
        <v>0</v>
      </c>
      <c r="D12" s="376">
        <f>MAYO!D12+JUNIO!P12</f>
        <v>0</v>
      </c>
      <c r="E12" s="376">
        <f>MAYO!E12+JUNIO!Q12</f>
        <v>81553</v>
      </c>
      <c r="F12" s="146">
        <f>SUM(C12:E12)</f>
        <v>81553</v>
      </c>
      <c r="G12" s="222">
        <f>MAYO!I12</f>
        <v>81553</v>
      </c>
      <c r="H12" s="377">
        <v>0</v>
      </c>
      <c r="I12" s="146">
        <f>SUM(G12:H12)</f>
        <v>81553</v>
      </c>
      <c r="J12" s="222">
        <f>MAYO!L12</f>
        <v>81553</v>
      </c>
      <c r="K12" s="134">
        <f>+H12</f>
        <v>0</v>
      </c>
      <c r="L12" s="146">
        <f>SUM(J12:K12)</f>
        <v>81553</v>
      </c>
      <c r="M12" s="222">
        <f>F12-I12</f>
        <v>0</v>
      </c>
      <c r="N12" s="146">
        <f>F12-L12</f>
        <v>0</v>
      </c>
      <c r="O12" s="297"/>
      <c r="P12" s="375">
        <v>0</v>
      </c>
      <c r="Q12" s="378">
        <v>0</v>
      </c>
      <c r="S12" s="716">
        <f>+IF(MAYO!S12=0,"",MAYO!S12)</f>
        <v>1000000</v>
      </c>
      <c r="T12" s="690" t="str">
        <f>+IF(MAYO!T12=0,"",MAYO!T12)</f>
        <v>GASTOS DE PERSONAL</v>
      </c>
      <c r="U12" s="379">
        <f t="shared" ref="U12:AJ12" si="9">U14+U63</f>
        <v>1994472741</v>
      </c>
      <c r="V12" s="380">
        <f t="shared" si="9"/>
        <v>44000000</v>
      </c>
      <c r="W12" s="380">
        <f t="shared" si="9"/>
        <v>152721141</v>
      </c>
      <c r="X12" s="381">
        <f t="shared" si="9"/>
        <v>2191193882</v>
      </c>
      <c r="Y12" s="366">
        <f t="shared" si="9"/>
        <v>1006464898</v>
      </c>
      <c r="Z12" s="380">
        <f t="shared" si="9"/>
        <v>241079064</v>
      </c>
      <c r="AA12" s="381">
        <f t="shared" si="9"/>
        <v>1247543962</v>
      </c>
      <c r="AB12" s="366">
        <f t="shared" si="9"/>
        <v>887021401</v>
      </c>
      <c r="AC12" s="380">
        <f t="shared" si="9"/>
        <v>161202101</v>
      </c>
      <c r="AD12" s="381">
        <f t="shared" si="9"/>
        <v>1048223502</v>
      </c>
      <c r="AE12" s="366">
        <f t="shared" si="9"/>
        <v>776668494</v>
      </c>
      <c r="AF12" s="380">
        <f t="shared" si="9"/>
        <v>138670264</v>
      </c>
      <c r="AG12" s="381">
        <f t="shared" si="9"/>
        <v>915338758</v>
      </c>
      <c r="AH12" s="366">
        <f t="shared" si="9"/>
        <v>943649920</v>
      </c>
      <c r="AI12" s="380">
        <f t="shared" si="9"/>
        <v>1142970380</v>
      </c>
      <c r="AJ12" s="367">
        <f t="shared" si="9"/>
        <v>1275855124</v>
      </c>
      <c r="AK12" s="10"/>
      <c r="AL12" s="382">
        <f>AL14+AL63</f>
        <v>24000000</v>
      </c>
      <c r="AM12" s="383">
        <f>AM14+AM63</f>
        <v>0</v>
      </c>
      <c r="AO12" s="373"/>
      <c r="AP12" s="536" t="s">
        <v>560</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655271701</v>
      </c>
      <c r="BE12" s="75">
        <f>K23</f>
        <v>68173897</v>
      </c>
      <c r="BF12" s="53">
        <f>MARZO!BF12+ABRIL!BE12+MAYO!BE12+JUNIO!BE12</f>
        <v>107927617</v>
      </c>
      <c r="BG12" s="384" t="s">
        <v>395</v>
      </c>
      <c r="BH12" s="84">
        <f>BN25</f>
        <v>377117338</v>
      </c>
      <c r="BI12" s="84">
        <f>BO25</f>
        <v>180704792</v>
      </c>
      <c r="BJ12" s="84">
        <f>BP25</f>
        <v>161374027</v>
      </c>
      <c r="BK12" s="84">
        <f>BQ25</f>
        <v>16240578</v>
      </c>
      <c r="BL12" s="40">
        <f>+BK12+MAYO!BK12+ABRIL!BK12+MARZO!BL12</f>
        <v>45645400</v>
      </c>
      <c r="BM12" s="139" t="s">
        <v>452</v>
      </c>
      <c r="BN12" s="86">
        <f>X16+X65-X81-X33-BN10-BN11</f>
        <v>172493242</v>
      </c>
      <c r="BO12" s="84">
        <f>AA16+AA65-AA81-AA33-BO10-BO11</f>
        <v>10220282</v>
      </c>
      <c r="BP12" s="84">
        <f>AD16+AD65-AD81-AD33-BP10-BP11</f>
        <v>10220282</v>
      </c>
      <c r="BQ12" s="85">
        <f>AF16+AF65-AF81-AF33-BQ10-BQ11</f>
        <v>5542014</v>
      </c>
    </row>
    <row r="13" spans="1:69" s="9" customFormat="1" ht="24.95" customHeight="1" x14ac:dyDescent="0.25">
      <c r="A13" s="618">
        <f>+IF(MAYO!A13=0,"",MAYO!A13)</f>
        <v>1002</v>
      </c>
      <c r="B13" s="646" t="str">
        <f>+IF(MAYO!B13=0,"",MAYO!B13)</f>
        <v>Fondo Vivienda (Caja, Bancos, Inversiones Tempor.) a Dic-31-2014</v>
      </c>
      <c r="C13" s="375">
        <f>+ENERO!C13</f>
        <v>0</v>
      </c>
      <c r="D13" s="376">
        <f>MAYO!D13+JUNIO!P13</f>
        <v>0</v>
      </c>
      <c r="E13" s="376">
        <f>MAYO!E13+JUNIO!Q13</f>
        <v>0</v>
      </c>
      <c r="F13" s="146">
        <f>SUM(C13:E13)</f>
        <v>0</v>
      </c>
      <c r="G13" s="222">
        <f>MAYO!I13</f>
        <v>0</v>
      </c>
      <c r="H13" s="377">
        <v>0</v>
      </c>
      <c r="I13" s="146">
        <f>SUM(G13:H13)</f>
        <v>0</v>
      </c>
      <c r="J13" s="222">
        <f>MAYO!L13</f>
        <v>0</v>
      </c>
      <c r="K13" s="134">
        <f>+H13</f>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561</v>
      </c>
      <c r="AQ13" s="12">
        <f>F90</f>
        <v>24000000</v>
      </c>
      <c r="AR13" s="12">
        <f>I90</f>
        <v>5520000</v>
      </c>
      <c r="AS13" s="12">
        <f>L90</f>
        <v>2400000</v>
      </c>
      <c r="AT13" s="13"/>
      <c r="AU13" s="353">
        <f t="shared" si="0"/>
        <v>0.23</v>
      </c>
      <c r="AV13" s="353">
        <f t="shared" si="1"/>
        <v>0.1</v>
      </c>
      <c r="AW13" s="354">
        <f>I90</f>
        <v>5520000</v>
      </c>
      <c r="AX13" s="354">
        <f>L90</f>
        <v>2400000</v>
      </c>
      <c r="AY13" s="354">
        <f t="shared" si="2"/>
        <v>-18480000</v>
      </c>
      <c r="AZ13" s="355">
        <f t="shared" si="3"/>
        <v>-21600000</v>
      </c>
      <c r="BA13" s="385"/>
      <c r="BB13" s="386" t="s">
        <v>441</v>
      </c>
      <c r="BC13" s="87">
        <f>+F30+F33+F36+F38+F39+F40</f>
        <v>350726828</v>
      </c>
      <c r="BD13" s="88">
        <f>+I30+I33+I36+I38+I39+I40</f>
        <v>166714400</v>
      </c>
      <c r="BE13" s="89">
        <f>+K30+K33+K36+K38+K39+K40</f>
        <v>24815647</v>
      </c>
      <c r="BF13" s="53">
        <f>MARZO!BF13+ABRIL!BE13+MAYO!BE13+JUNIO!BE13</f>
        <v>148893882</v>
      </c>
      <c r="BG13" s="91" t="s">
        <v>72</v>
      </c>
      <c r="BH13" s="84">
        <f t="shared" ref="BH13:BK15" si="10">BN29</f>
        <v>412000000</v>
      </c>
      <c r="BI13" s="84">
        <f t="shared" si="10"/>
        <v>120161334</v>
      </c>
      <c r="BJ13" s="84">
        <f t="shared" si="10"/>
        <v>24780000</v>
      </c>
      <c r="BK13" s="84">
        <f t="shared" si="10"/>
        <v>8430000</v>
      </c>
      <c r="BL13" s="40">
        <f>+BK13+MAYO!BK13+ABRIL!BK13+MARZO!BL13</f>
        <v>21330000</v>
      </c>
      <c r="BM13" s="142" t="s">
        <v>453</v>
      </c>
      <c r="BN13" s="83">
        <f>X43-X55+X57-X61+X90-X102+X104-X108</f>
        <v>453547663</v>
      </c>
      <c r="BO13" s="81">
        <f>AA43-AA55+AA57-AA61+AA90-AA102+AA104-AA108</f>
        <v>201099514</v>
      </c>
      <c r="BP13" s="81">
        <f>AD43-AD55+AD57-AD61+AD90-AD102+AD104-AD108</f>
        <v>201099514</v>
      </c>
      <c r="BQ13" s="82">
        <f>AF43-AF55+AF57-AF61+AF90-AF102+AF104-AF108</f>
        <v>27706809</v>
      </c>
    </row>
    <row r="14" spans="1:69" s="9" customFormat="1" ht="24.95" customHeight="1" x14ac:dyDescent="0.25">
      <c r="A14" s="618">
        <f>+IF(MAYO!A14=0,"",MAYO!A14)</f>
        <v>1003</v>
      </c>
      <c r="B14" s="646" t="str">
        <f>+IF(MAYO!B14=0,"",MAYO!B14)</f>
        <v>Fondos Comunes y Especiales (Caja, Bancos, Invers. Tempor.) a Dic-31-2014</v>
      </c>
      <c r="C14" s="375">
        <f>+ENERO!C14</f>
        <v>0</v>
      </c>
      <c r="D14" s="376">
        <f>MAYO!D14+JUNIO!P14</f>
        <v>0</v>
      </c>
      <c r="E14" s="376">
        <f>MAYO!E14+JUNIO!Q14</f>
        <v>11310362</v>
      </c>
      <c r="F14" s="146">
        <f>SUM(C14:E14)</f>
        <v>11310362</v>
      </c>
      <c r="G14" s="222">
        <f>MAYO!I14</f>
        <v>11310362</v>
      </c>
      <c r="H14" s="377">
        <v>0</v>
      </c>
      <c r="I14" s="146">
        <f>SUM(G14:H14)</f>
        <v>11310362</v>
      </c>
      <c r="J14" s="222">
        <f>MAYO!L14</f>
        <v>11310362</v>
      </c>
      <c r="K14" s="134">
        <f>+H14</f>
        <v>0</v>
      </c>
      <c r="L14" s="146">
        <f>SUM(J14:K14)</f>
        <v>11310362</v>
      </c>
      <c r="M14" s="222">
        <f>F14-I14</f>
        <v>0</v>
      </c>
      <c r="N14" s="146">
        <f>F14-L14</f>
        <v>0</v>
      </c>
      <c r="O14" s="385"/>
      <c r="P14" s="375">
        <v>0</v>
      </c>
      <c r="Q14" s="378">
        <v>0</v>
      </c>
      <c r="S14" s="717">
        <f>+IF(MAYO!S14=0,"",MAYO!S14)</f>
        <v>1010000</v>
      </c>
      <c r="T14" s="691" t="str">
        <f>+IF(MAYO!T14=0,"",MAYO!T14)</f>
        <v>Gastos de Administración</v>
      </c>
      <c r="U14" s="135">
        <f t="shared" ref="U14:AJ14" si="11">U16+U35+U43+U57</f>
        <v>717551072</v>
      </c>
      <c r="V14" s="124">
        <f t="shared" si="11"/>
        <v>0</v>
      </c>
      <c r="W14" s="124">
        <f t="shared" si="11"/>
        <v>74426723</v>
      </c>
      <c r="X14" s="132">
        <f t="shared" si="11"/>
        <v>791977795</v>
      </c>
      <c r="Y14" s="131">
        <f t="shared" si="11"/>
        <v>403560792</v>
      </c>
      <c r="Z14" s="124">
        <f t="shared" si="11"/>
        <v>79688971</v>
      </c>
      <c r="AA14" s="132">
        <f t="shared" si="11"/>
        <v>483249763</v>
      </c>
      <c r="AB14" s="131">
        <f t="shared" si="11"/>
        <v>308983962</v>
      </c>
      <c r="AC14" s="124">
        <f t="shared" si="11"/>
        <v>55695341</v>
      </c>
      <c r="AD14" s="132">
        <f t="shared" si="11"/>
        <v>364679303</v>
      </c>
      <c r="AE14" s="131">
        <f t="shared" si="11"/>
        <v>264783477</v>
      </c>
      <c r="AF14" s="124">
        <f t="shared" si="11"/>
        <v>47250871</v>
      </c>
      <c r="AG14" s="132">
        <f t="shared" si="11"/>
        <v>312034348</v>
      </c>
      <c r="AH14" s="131">
        <f t="shared" si="11"/>
        <v>308728032</v>
      </c>
      <c r="AI14" s="124">
        <f t="shared" si="11"/>
        <v>427298492</v>
      </c>
      <c r="AJ14" s="133">
        <f t="shared" si="11"/>
        <v>479943447</v>
      </c>
      <c r="AK14" s="10"/>
      <c r="AL14" s="131">
        <f>AL16+AL35+AL43+AL57</f>
        <v>0</v>
      </c>
      <c r="AM14" s="133">
        <f>AM16+AM35+AM43+AM57</f>
        <v>0</v>
      </c>
      <c r="AO14" s="21"/>
      <c r="AP14" s="11" t="s">
        <v>75</v>
      </c>
      <c r="AQ14" s="12">
        <f>F19-AQ7-AQ8-AQ9-AQ10-AQ11-AQ12-AQ13</f>
        <v>318225176</v>
      </c>
      <c r="AR14" s="12">
        <f>I19-AR7-AR8-AR9-AR10-AR11-AR12-AR13</f>
        <v>165158291</v>
      </c>
      <c r="AS14" s="12">
        <f>L19-AS7-AS8-AS9-AS10-AS11-AS12-AS13</f>
        <v>119920969</v>
      </c>
      <c r="AT14" s="385"/>
      <c r="AU14" s="353">
        <f t="shared" si="0"/>
        <v>0.51899819202236841</v>
      </c>
      <c r="AV14" s="353">
        <f t="shared" si="1"/>
        <v>0.37684312255671437</v>
      </c>
      <c r="AW14" s="354">
        <f>(I41+I46+I49+I52+I55+I58+I61+I64+I67+I70+I73+I78+I81+I82+I83+I85+I94+I104)/AO$2*12+I47+I50+I53+I56+I59+I62+I65+I68+I71+I74</f>
        <v>560407377</v>
      </c>
      <c r="AX14" s="354">
        <f>(L41+L46+L49+L52+L55+L58+L61+L64+L67+L70+L73+L78+L81+L82+L83+L85+L94+L104)/AO$2*12+L47+L50+L53+L56+L59+L62+L65+L68+L71+L74</f>
        <v>449034047</v>
      </c>
      <c r="AY14" s="354">
        <f t="shared" si="2"/>
        <v>242182201</v>
      </c>
      <c r="AZ14" s="355">
        <f t="shared" si="3"/>
        <v>130808871</v>
      </c>
      <c r="BB14" s="386" t="s">
        <v>442</v>
      </c>
      <c r="BC14" s="92">
        <f>+F64</f>
        <v>22951026</v>
      </c>
      <c r="BD14" s="93">
        <f>+I64</f>
        <v>11652218</v>
      </c>
      <c r="BE14" s="94">
        <f>K64</f>
        <v>2441971</v>
      </c>
      <c r="BF14" s="53">
        <f>MARZO!BF14+ABRIL!BE14+MAYO!BE14+JUNIO!BE14</f>
        <v>3875621</v>
      </c>
      <c r="BG14" s="91" t="s">
        <v>76</v>
      </c>
      <c r="BH14" s="81">
        <f t="shared" si="10"/>
        <v>0</v>
      </c>
      <c r="BI14" s="81">
        <f t="shared" si="10"/>
        <v>0</v>
      </c>
      <c r="BJ14" s="81">
        <f t="shared" si="10"/>
        <v>0</v>
      </c>
      <c r="BK14" s="81">
        <f t="shared" si="10"/>
        <v>0</v>
      </c>
      <c r="BL14" s="40">
        <f>+BK14+MAYO!BK14+ABRIL!BK14+MARZO!BL14</f>
        <v>0</v>
      </c>
      <c r="BM14" s="141" t="s">
        <v>449</v>
      </c>
      <c r="BN14" s="86">
        <f>X35-X41+X83-X88</f>
        <v>390329517</v>
      </c>
      <c r="BO14" s="84">
        <f>AA35-AA41+AA83-AA88</f>
        <v>354878500</v>
      </c>
      <c r="BP14" s="84">
        <f>AD35-AD41+AD83-AD88</f>
        <v>155558040</v>
      </c>
      <c r="BQ14" s="85">
        <f>AF35-AF41+AF83-AF88</f>
        <v>21869000</v>
      </c>
    </row>
    <row r="15" spans="1:69" s="9" customFormat="1" ht="24.95" customHeight="1" thickBot="1" x14ac:dyDescent="0.3">
      <c r="A15" s="619">
        <f>+IF(MAYO!A15=0,"",MAYO!A15)</f>
        <v>1004</v>
      </c>
      <c r="B15" s="646" t="str">
        <f>+IF(MAYO!B15=0,"",MAYO!B15)</f>
        <v>Cesantias Ley 50/1990 a Dic-31-2014</v>
      </c>
      <c r="C15" s="387">
        <f>+ENERO!C15</f>
        <v>0</v>
      </c>
      <c r="D15" s="388">
        <f>MAYO!D15+JUNIO!P15</f>
        <v>0</v>
      </c>
      <c r="E15" s="388">
        <f>MAYO!E15+JUNIO!Q15</f>
        <v>78950146</v>
      </c>
      <c r="F15" s="389">
        <f>SUM(C15:E15)</f>
        <v>78950146</v>
      </c>
      <c r="G15" s="390">
        <f>MAYO!I15</f>
        <v>78950146</v>
      </c>
      <c r="H15" s="391">
        <v>0</v>
      </c>
      <c r="I15" s="389">
        <f>SUM(G15:H15)</f>
        <v>78950146</v>
      </c>
      <c r="J15" s="390">
        <f>MAYO!L15</f>
        <v>78950146</v>
      </c>
      <c r="K15" s="168">
        <f>+H15</f>
        <v>0</v>
      </c>
      <c r="L15" s="389">
        <f>SUM(J15:K15)</f>
        <v>78950146</v>
      </c>
      <c r="M15" s="390">
        <f>F15-I15</f>
        <v>0</v>
      </c>
      <c r="N15" s="389">
        <f>F15-L15</f>
        <v>0</v>
      </c>
      <c r="O15" s="385"/>
      <c r="P15" s="387">
        <v>0</v>
      </c>
      <c r="Q15" s="392">
        <v>0</v>
      </c>
      <c r="S15" s="369" t="str">
        <f>+IF(MAYO!S15=0,"",MAYO!S15)</f>
        <v/>
      </c>
      <c r="T15" s="708" t="str">
        <f>+IF(MAYO!T15=0,"",MAYO!T15)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22177099</v>
      </c>
      <c r="AS15" s="12">
        <f>L113</f>
        <v>22177099</v>
      </c>
      <c r="AT15" s="13"/>
      <c r="AU15" s="345">
        <f t="shared" si="0"/>
        <v>0.37063294907361899</v>
      </c>
      <c r="AV15" s="345">
        <f t="shared" si="1"/>
        <v>0.37063294907361899</v>
      </c>
      <c r="AW15" s="12">
        <f>+AR15</f>
        <v>22177099</v>
      </c>
      <c r="AX15" s="12">
        <f>+AS15</f>
        <v>22177099</v>
      </c>
      <c r="AY15" s="12">
        <f t="shared" si="2"/>
        <v>-37658647</v>
      </c>
      <c r="AZ15" s="346">
        <f t="shared" si="3"/>
        <v>-37658647</v>
      </c>
      <c r="BA15" s="385"/>
      <c r="BB15" s="386" t="s">
        <v>79</v>
      </c>
      <c r="BC15" s="92">
        <f>F46+F49</f>
        <v>0</v>
      </c>
      <c r="BD15" s="93">
        <f>I46+I49</f>
        <v>0</v>
      </c>
      <c r="BE15" s="94">
        <f>K46+K49</f>
        <v>0</v>
      </c>
      <c r="BF15" s="53">
        <f>MARZO!BF15+ABRIL!BE15+MAYO!BE15+JUNIO!BE15</f>
        <v>0</v>
      </c>
      <c r="BG15" s="91" t="s">
        <v>80</v>
      </c>
      <c r="BH15" s="81">
        <f t="shared" si="10"/>
        <v>342364056</v>
      </c>
      <c r="BI15" s="81">
        <f t="shared" si="10"/>
        <v>342364056</v>
      </c>
      <c r="BJ15" s="81">
        <f t="shared" si="10"/>
        <v>342364056</v>
      </c>
      <c r="BK15" s="81">
        <f t="shared" si="10"/>
        <v>780870</v>
      </c>
      <c r="BL15" s="40">
        <f>+BK15+MAYO!BK15+ABRIL!BK15+MARZO!BL15</f>
        <v>296525291</v>
      </c>
      <c r="BM15" s="71" t="s">
        <v>68</v>
      </c>
      <c r="BN15" s="83">
        <f>SUM(BN16:BN21)</f>
        <v>641665487</v>
      </c>
      <c r="BO15" s="81">
        <f>SUM(BO16:BO21)</f>
        <v>356643123</v>
      </c>
      <c r="BP15" s="81">
        <f>SUM(BP16:BP21)</f>
        <v>284615186</v>
      </c>
      <c r="BQ15" s="82">
        <f>SUM(BQ16:BQ21)</f>
        <v>33602990</v>
      </c>
    </row>
    <row r="16" spans="1:69" s="9" customFormat="1" ht="24.95" customHeight="1" thickBot="1" x14ac:dyDescent="0.3">
      <c r="A16" s="746" t="str">
        <f>+IF(MAYO!A16=0,"",MAYO!A16)</f>
        <v/>
      </c>
      <c r="B16" s="647" t="str">
        <f>+IF(MAYO!B16=0,"",MAYO!B16)</f>
        <v/>
      </c>
      <c r="C16" s="393"/>
      <c r="D16" s="393"/>
      <c r="E16" s="393"/>
      <c r="F16" s="393"/>
      <c r="G16" s="393"/>
      <c r="H16" s="393"/>
      <c r="I16" s="393"/>
      <c r="J16" s="393"/>
      <c r="K16" s="393"/>
      <c r="L16" s="393"/>
      <c r="M16" s="393"/>
      <c r="N16" s="394"/>
      <c r="O16" s="385"/>
      <c r="P16" s="395"/>
      <c r="Q16" s="396"/>
      <c r="S16" s="718">
        <f>+IF(MAYO!S16=0,"",MAYO!S16)</f>
        <v>1010100</v>
      </c>
      <c r="T16" s="692" t="str">
        <f>+IF(MAYO!T16=0,"",MAYO!T16)</f>
        <v>Servicios Personales Asociados a Nómina</v>
      </c>
      <c r="U16" s="135">
        <f t="shared" ref="U16:AJ16" si="12">SUM(U17:U20)+U33</f>
        <v>372660589</v>
      </c>
      <c r="V16" s="124">
        <f t="shared" si="12"/>
        <v>0</v>
      </c>
      <c r="W16" s="124">
        <f t="shared" si="12"/>
        <v>2702630</v>
      </c>
      <c r="X16" s="132">
        <f t="shared" si="12"/>
        <v>375363219</v>
      </c>
      <c r="Y16" s="131">
        <f t="shared" si="12"/>
        <v>137185793</v>
      </c>
      <c r="Z16" s="124">
        <f t="shared" si="12"/>
        <v>27297183</v>
      </c>
      <c r="AA16" s="132">
        <f t="shared" si="12"/>
        <v>164482976</v>
      </c>
      <c r="AB16" s="131">
        <f t="shared" si="12"/>
        <v>137185793</v>
      </c>
      <c r="AC16" s="124">
        <f t="shared" si="12"/>
        <v>27297183</v>
      </c>
      <c r="AD16" s="132">
        <f t="shared" si="12"/>
        <v>164482976</v>
      </c>
      <c r="AE16" s="131">
        <f t="shared" si="12"/>
        <v>136443441</v>
      </c>
      <c r="AF16" s="124">
        <f t="shared" si="12"/>
        <v>27297183</v>
      </c>
      <c r="AG16" s="132">
        <f t="shared" si="12"/>
        <v>163740624</v>
      </c>
      <c r="AH16" s="131">
        <f t="shared" si="12"/>
        <v>210880243</v>
      </c>
      <c r="AI16" s="124">
        <f t="shared" si="12"/>
        <v>210880243</v>
      </c>
      <c r="AJ16" s="133">
        <f t="shared" si="12"/>
        <v>211622595</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35094180</v>
      </c>
      <c r="BE16" s="75">
        <f>K43</f>
        <v>7495895</v>
      </c>
      <c r="BF16" s="53">
        <f>MARZO!BF16+ABRIL!BE16+MAYO!BE16+JUNIO!BE16</f>
        <v>34927628</v>
      </c>
      <c r="BG16" s="91" t="s">
        <v>84</v>
      </c>
      <c r="BH16" s="96">
        <f>BH7+BH12+BH13+BH14+BH15</f>
        <v>3890600747</v>
      </c>
      <c r="BI16" s="96">
        <f>BI7+BI12+BI13+BI14+BI15</f>
        <v>2130680353</v>
      </c>
      <c r="BJ16" s="96">
        <f>BJ7+BJ12+BJ13+BJ14+BJ15</f>
        <v>1744296325</v>
      </c>
      <c r="BK16" s="96">
        <f>BK7+BK12+BK13+BK14+BK15</f>
        <v>197724702</v>
      </c>
      <c r="BL16" s="40">
        <f>+BK16+MAYO!BK16+ABRIL!BK16+MARZO!BL16</f>
        <v>1368771190</v>
      </c>
      <c r="BM16" s="140" t="s">
        <v>85</v>
      </c>
      <c r="BN16" s="83">
        <f>X114-X121+X147-X148-X153</f>
        <v>169444119</v>
      </c>
      <c r="BO16" s="81">
        <f>AA114-AA121+AA147-AA148-AA153</f>
        <v>74880297</v>
      </c>
      <c r="BP16" s="81">
        <f>AD114-AD121+AD147-AD148-AD153</f>
        <v>74900545</v>
      </c>
      <c r="BQ16" s="82">
        <f>AF114-AF121+AF147-AF148-AF153</f>
        <v>2095336</v>
      </c>
    </row>
    <row r="17" spans="1:70" s="385" customFormat="1" ht="24.95" customHeight="1" thickBot="1" x14ac:dyDescent="0.3">
      <c r="A17" s="745">
        <f>+IF(MAYO!A17=0,"",MAYO!A17)</f>
        <v>11</v>
      </c>
      <c r="B17" s="648" t="str">
        <f>+IF(MAYO!B17=0,"",MAYO!B17)</f>
        <v>INGRESOS  CORRIENTES</v>
      </c>
      <c r="C17" s="337">
        <f>C19+C94+C104</f>
        <v>3103041868</v>
      </c>
      <c r="D17" s="334">
        <f t="shared" ref="D17:Q17" si="13">D19+D94+D104</f>
        <v>0</v>
      </c>
      <c r="E17" s="334">
        <f t="shared" si="13"/>
        <v>637381072</v>
      </c>
      <c r="F17" s="334">
        <f t="shared" si="13"/>
        <v>3740422940</v>
      </c>
      <c r="G17" s="334">
        <f t="shared" si="13"/>
        <v>1758250174</v>
      </c>
      <c r="H17" s="334">
        <f t="shared" si="13"/>
        <v>259926475</v>
      </c>
      <c r="I17" s="334">
        <f t="shared" si="13"/>
        <v>2018176649</v>
      </c>
      <c r="J17" s="334">
        <f t="shared" si="13"/>
        <v>1066205781</v>
      </c>
      <c r="K17" s="334">
        <f t="shared" si="13"/>
        <v>181228877</v>
      </c>
      <c r="L17" s="334">
        <f t="shared" si="13"/>
        <v>1247434658</v>
      </c>
      <c r="M17" s="334">
        <f t="shared" si="13"/>
        <v>1722246291</v>
      </c>
      <c r="N17" s="335">
        <f t="shared" si="13"/>
        <v>2492988282</v>
      </c>
      <c r="P17" s="177">
        <f t="shared" si="13"/>
        <v>0</v>
      </c>
      <c r="Q17" s="178">
        <f t="shared" si="13"/>
        <v>0</v>
      </c>
      <c r="R17" s="9"/>
      <c r="S17" s="719">
        <f>+IF(MAYO!S17=0,"",MAYO!S17)</f>
        <v>1010101</v>
      </c>
      <c r="T17" s="693" t="str">
        <f>+IF(MAYO!T17=0,"",MAYO!T17)</f>
        <v>Sueldos del Personal de nómina</v>
      </c>
      <c r="U17" s="27">
        <f>+ENERO!U17</f>
        <v>304405836</v>
      </c>
      <c r="V17" s="15">
        <f>MAYO!V17+JUNIO!AL17</f>
        <v>0</v>
      </c>
      <c r="W17" s="15">
        <f>MAYO!W17+JUNIO!AM17</f>
        <v>0</v>
      </c>
      <c r="X17" s="18">
        <f>SUM(U17:W17)</f>
        <v>304405836</v>
      </c>
      <c r="Y17" s="19">
        <f>MAYO!AA17</f>
        <v>125616073</v>
      </c>
      <c r="Z17" s="377">
        <v>25017936</v>
      </c>
      <c r="AA17" s="18">
        <f>SUM(Y17:Z17)</f>
        <v>150634009</v>
      </c>
      <c r="AB17" s="19">
        <f>MAYO!AD17</f>
        <v>125616073</v>
      </c>
      <c r="AC17" s="377">
        <v>25017936</v>
      </c>
      <c r="AD17" s="18">
        <f>SUM(AB17:AC17)</f>
        <v>150634009</v>
      </c>
      <c r="AE17" s="19">
        <f>MAYO!AG17</f>
        <v>125616072</v>
      </c>
      <c r="AF17" s="377">
        <v>25017936</v>
      </c>
      <c r="AG17" s="18">
        <f>SUM(AE17:AF17)</f>
        <v>150634008</v>
      </c>
      <c r="AH17" s="19">
        <f>X17-AA17</f>
        <v>153771827</v>
      </c>
      <c r="AI17" s="15">
        <f>X17-AD17</f>
        <v>153771827</v>
      </c>
      <c r="AJ17" s="16">
        <f>X17-AG17</f>
        <v>153771828</v>
      </c>
      <c r="AK17" s="9"/>
      <c r="AL17" s="375">
        <v>0</v>
      </c>
      <c r="AM17" s="378">
        <v>0</v>
      </c>
      <c r="AN17" s="9"/>
      <c r="AO17" s="352"/>
      <c r="AP17" s="402" t="s">
        <v>87</v>
      </c>
      <c r="AQ17" s="403">
        <f>SUM(AQ7:AQ16)</f>
        <v>3708705097</v>
      </c>
      <c r="AR17" s="404">
        <f>SUM(AR7:AR16)</f>
        <v>2018121093</v>
      </c>
      <c r="AS17" s="405">
        <f>SUM(AS7:AS16)</f>
        <v>1247379102</v>
      </c>
      <c r="AT17" s="406"/>
      <c r="AU17" s="404">
        <f t="shared" si="0"/>
        <v>0.54415787726893505</v>
      </c>
      <c r="AV17" s="404">
        <f t="shared" si="1"/>
        <v>0.33633817447739767</v>
      </c>
      <c r="AW17" s="407">
        <f>SUM(AX7:AX16)</f>
        <v>1984974548</v>
      </c>
      <c r="AX17" s="407">
        <f>SUM(AX7:AX16)</f>
        <v>1984974548</v>
      </c>
      <c r="AY17" s="407">
        <f>SUM(AY7:AY16)</f>
        <v>-184207039</v>
      </c>
      <c r="AZ17" s="408">
        <f>SUM(AZ7:AZ16)</f>
        <v>-1723730549</v>
      </c>
      <c r="BA17" s="9"/>
      <c r="BB17" s="368" t="s">
        <v>444</v>
      </c>
      <c r="BC17" s="73">
        <f>F41+F52+F55+F58+F61+F67+F70+F73+F76+F79+F82+F86+F87+F88+F89+F90+F91</f>
        <v>331051770</v>
      </c>
      <c r="BD17" s="74">
        <f>I41+I52+I55+I58+I61+I67+I70+I73+I76+I79+I82+I86+I87+I88+I89+I90+I91</f>
        <v>138268750</v>
      </c>
      <c r="BE17" s="75">
        <f>K41+K52+K55+K58+K61+K67+K70+K73+K76+K79+K82+K86+K87+K88+K89+K90+K91</f>
        <v>13416239</v>
      </c>
      <c r="BF17" s="53">
        <f>MARZO!BF17+ABRIL!BE17+MAYO!BE17+JUNIO!BE17</f>
        <v>90358682</v>
      </c>
      <c r="BG17" s="98" t="s">
        <v>88</v>
      </c>
      <c r="BH17" s="99">
        <f>BC23-BH16</f>
        <v>-3890600747</v>
      </c>
      <c r="BI17" s="99"/>
      <c r="BJ17" s="99"/>
      <c r="BK17" s="99"/>
      <c r="BL17" s="40">
        <f>+BK17+MAYO!BK17+ABRIL!BK17+MARZO!BL17</f>
        <v>0</v>
      </c>
      <c r="BM17" s="140" t="s">
        <v>459</v>
      </c>
      <c r="BN17" s="83">
        <f>X123-X126-X139+X155-X156-X167-X168</f>
        <v>249163207</v>
      </c>
      <c r="BO17" s="81">
        <f>AA123-AA126-AA139+AA155-AA156-AA167-AA168</f>
        <v>154380216</v>
      </c>
      <c r="BP17" s="81">
        <f>AD123-AD126-AD139+AD155-AD156-AD167-AD168</f>
        <v>110366437</v>
      </c>
      <c r="BQ17" s="82">
        <f>AF123-AF126-AF139+AF155-AF156-AF167-AF168</f>
        <v>22408921</v>
      </c>
      <c r="BR17" s="9"/>
    </row>
    <row r="18" spans="1:70" s="9" customFormat="1" ht="24.95" customHeight="1" thickBot="1" x14ac:dyDescent="0.3">
      <c r="A18" s="618" t="str">
        <f>+IF(MAYO!A18=0,"",MAYO!A18)</f>
        <v/>
      </c>
      <c r="B18" s="649" t="str">
        <f>+IF(MAYO!B18=0,"",MAYO!B18)</f>
        <v/>
      </c>
      <c r="C18" s="297"/>
      <c r="D18" s="297"/>
      <c r="E18" s="297"/>
      <c r="F18" s="297"/>
      <c r="G18" s="297"/>
      <c r="H18" s="297"/>
      <c r="I18" s="297"/>
      <c r="J18" s="297"/>
      <c r="K18" s="297"/>
      <c r="L18" s="297"/>
      <c r="M18" s="297"/>
      <c r="N18" s="466"/>
      <c r="P18" s="410"/>
      <c r="Q18" s="409"/>
      <c r="S18" s="719">
        <f>+IF(MAYO!S18=0,"",MAYO!S18)</f>
        <v>1010102</v>
      </c>
      <c r="T18" s="693" t="str">
        <f>+IF(MAYO!T18=0,"",MAYO!T18)</f>
        <v>Horas Extras,Dominic.,Festivos y Rec. Nocturnos</v>
      </c>
      <c r="U18" s="27">
        <f>+ENERO!U18</f>
        <v>12090252</v>
      </c>
      <c r="V18" s="15">
        <f>MAYO!V18+JUNIO!AL18</f>
        <v>0</v>
      </c>
      <c r="W18" s="15">
        <f>MAYO!W18+JUNIO!AM18</f>
        <v>0</v>
      </c>
      <c r="X18" s="18">
        <f>SUM(U18:W18)</f>
        <v>12090252</v>
      </c>
      <c r="Y18" s="19">
        <f>MAYO!AA18</f>
        <v>7209628</v>
      </c>
      <c r="Z18" s="377">
        <v>1083886</v>
      </c>
      <c r="AA18" s="18">
        <f>SUM(Y18:Z18)</f>
        <v>8293514</v>
      </c>
      <c r="AB18" s="19">
        <f>MAYO!AD18</f>
        <v>7209628</v>
      </c>
      <c r="AC18" s="377">
        <v>1083886</v>
      </c>
      <c r="AD18" s="18">
        <f>SUM(AB18:AC18)</f>
        <v>8293514</v>
      </c>
      <c r="AE18" s="19">
        <f>MAYO!AG18</f>
        <v>7209629</v>
      </c>
      <c r="AF18" s="377">
        <v>1083886</v>
      </c>
      <c r="AG18" s="18">
        <f>SUM(AE18:AF18)</f>
        <v>8293515</v>
      </c>
      <c r="AH18" s="19">
        <f>X18-AA18</f>
        <v>3796738</v>
      </c>
      <c r="AI18" s="15">
        <f>X18-AD18</f>
        <v>3796738</v>
      </c>
      <c r="AJ18" s="16">
        <f>X18-AG18</f>
        <v>3796737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61305130</v>
      </c>
      <c r="BE18" s="75">
        <f>+K95+K96+K97+K99+K100+K101</f>
        <v>0</v>
      </c>
      <c r="BF18" s="53">
        <f>MARZO!BF18+ABRIL!BE18+MAYO!BE18+JUNIO!BE18</f>
        <v>61305130</v>
      </c>
      <c r="BM18" s="140" t="s">
        <v>89</v>
      </c>
      <c r="BN18" s="83">
        <f>X148+X156</f>
        <v>156785051</v>
      </c>
      <c r="BO18" s="81">
        <f>AA148+AA156</f>
        <v>99211145</v>
      </c>
      <c r="BP18" s="81">
        <f>AD148+AD156</f>
        <v>71176739</v>
      </c>
      <c r="BQ18" s="82">
        <f>AF148+AF156</f>
        <v>6116800</v>
      </c>
      <c r="BR18" s="385"/>
    </row>
    <row r="19" spans="1:70" s="9" customFormat="1" ht="24.95" customHeight="1" thickBot="1" x14ac:dyDescent="0.3">
      <c r="A19" s="747">
        <f>+IF(MAYO!A19=0,"",MAYO!A19)</f>
        <v>113</v>
      </c>
      <c r="B19" s="650" t="str">
        <f>+IF(MAYO!B19=0,"",MAYO!B19)</f>
        <v>VENTA DE SERVICIOS</v>
      </c>
      <c r="C19" s="337">
        <f t="shared" ref="C19:N19" si="14">C21+C85</f>
        <v>2995860189</v>
      </c>
      <c r="D19" s="334">
        <f t="shared" si="14"/>
        <v>0</v>
      </c>
      <c r="E19" s="334">
        <f t="shared" si="14"/>
        <v>562667101</v>
      </c>
      <c r="F19" s="335">
        <f t="shared" si="14"/>
        <v>3558527290</v>
      </c>
      <c r="G19" s="337">
        <f t="shared" si="14"/>
        <v>1652810458</v>
      </c>
      <c r="H19" s="334">
        <f t="shared" si="14"/>
        <v>252791475</v>
      </c>
      <c r="I19" s="335">
        <f t="shared" si="14"/>
        <v>1905601933</v>
      </c>
      <c r="J19" s="337">
        <f t="shared" si="14"/>
        <v>960766065</v>
      </c>
      <c r="K19" s="334">
        <f t="shared" si="14"/>
        <v>174093877</v>
      </c>
      <c r="L19" s="335">
        <f t="shared" si="14"/>
        <v>1134859942</v>
      </c>
      <c r="M19" s="337">
        <f t="shared" si="14"/>
        <v>1652925357</v>
      </c>
      <c r="N19" s="335">
        <f t="shared" si="14"/>
        <v>2423667348</v>
      </c>
      <c r="O19" s="385"/>
      <c r="P19" s="43">
        <f>P21+P85</f>
        <v>0</v>
      </c>
      <c r="Q19" s="45">
        <f>Q21+Q85</f>
        <v>0</v>
      </c>
      <c r="S19" s="719">
        <f>+IF(MAYO!S19=0,"",MAYO!S19)</f>
        <v>1010103</v>
      </c>
      <c r="T19" s="693" t="str">
        <f>+IF(MAYO!T19=0,"",MAYO!T19)</f>
        <v>Prima Técnica</v>
      </c>
      <c r="U19" s="27">
        <f>+ENERO!U19</f>
        <v>0</v>
      </c>
      <c r="V19" s="15">
        <f>MAYO!V19+JUNIO!AL19</f>
        <v>0</v>
      </c>
      <c r="W19" s="15">
        <f>MAYO!W19+JUNIO!AM19</f>
        <v>0</v>
      </c>
      <c r="X19" s="18">
        <f>SUM(U19:W19)</f>
        <v>0</v>
      </c>
      <c r="Y19" s="19">
        <f>MAYO!AA19</f>
        <v>0</v>
      </c>
      <c r="Z19" s="377">
        <v>0</v>
      </c>
      <c r="AA19" s="18">
        <f>SUM(Y19:Z19)</f>
        <v>0</v>
      </c>
      <c r="AB19" s="19">
        <f>MAYO!AD19</f>
        <v>0</v>
      </c>
      <c r="AC19" s="377">
        <v>0</v>
      </c>
      <c r="AD19" s="18">
        <f>SUM(AB19:AC19)</f>
        <v>0</v>
      </c>
      <c r="AE19" s="19">
        <f>MAYO!AG19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51189586</v>
      </c>
      <c r="BE19" s="94">
        <f>+K105+K106+K107+K108+K109+K110+K98</f>
        <v>7135000</v>
      </c>
      <c r="BF19" s="53">
        <f>MARZO!BF19+ABRIL!BE19+MAYO!BE19+JUNIO!BE19</f>
        <v>51189586</v>
      </c>
      <c r="BG19" s="385"/>
      <c r="BH19" s="385"/>
      <c r="BI19" s="385"/>
      <c r="BJ19" s="385"/>
      <c r="BK19" s="385"/>
      <c r="BM19" s="140" t="s">
        <v>96</v>
      </c>
      <c r="BN19" s="83">
        <f>X126+X167</f>
        <v>55492147</v>
      </c>
      <c r="BO19" s="81">
        <f>AA126+AA167</f>
        <v>26355936</v>
      </c>
      <c r="BP19" s="81">
        <f>AD126+AD167</f>
        <v>26355936</v>
      </c>
      <c r="BQ19" s="82">
        <f>AF126+AF167</f>
        <v>2981933</v>
      </c>
    </row>
    <row r="20" spans="1:70" s="425" customFormat="1" ht="24.95" customHeight="1" thickBot="1" x14ac:dyDescent="0.3">
      <c r="A20" s="618" t="str">
        <f>+IF(MAYO!A20=0,"",MAYO!A20)</f>
        <v/>
      </c>
      <c r="B20" s="651" t="str">
        <f>+IF(MAYO!B20=0,"",MAYO!B20)</f>
        <v/>
      </c>
      <c r="C20" s="297"/>
      <c r="D20" s="297"/>
      <c r="E20" s="297"/>
      <c r="F20" s="297"/>
      <c r="G20" s="297"/>
      <c r="H20" s="297"/>
      <c r="I20" s="297"/>
      <c r="J20" s="297"/>
      <c r="K20" s="297"/>
      <c r="L20" s="297"/>
      <c r="M20" s="297"/>
      <c r="N20" s="466"/>
      <c r="O20" s="9"/>
      <c r="P20" s="410"/>
      <c r="Q20" s="409"/>
      <c r="R20" s="9"/>
      <c r="S20" s="719">
        <f>+IF(MAYO!S20=0,"",MAYO!S20)</f>
        <v>1010104</v>
      </c>
      <c r="T20" s="693" t="str">
        <f>+IF(MAYO!T20=0,"",MAYO!T20)</f>
        <v>Otros</v>
      </c>
      <c r="U20" s="27">
        <f t="shared" ref="U20:AJ20" si="15">SUM(U21:U32)</f>
        <v>56164501</v>
      </c>
      <c r="V20" s="15">
        <f t="shared" si="15"/>
        <v>0</v>
      </c>
      <c r="W20" s="15">
        <f t="shared" si="15"/>
        <v>0</v>
      </c>
      <c r="X20" s="18">
        <f t="shared" si="15"/>
        <v>56164501</v>
      </c>
      <c r="Y20" s="19">
        <f t="shared" si="15"/>
        <v>1657462</v>
      </c>
      <c r="Z20" s="145">
        <f t="shared" si="15"/>
        <v>1195361</v>
      </c>
      <c r="AA20" s="18">
        <f t="shared" si="15"/>
        <v>2852823</v>
      </c>
      <c r="AB20" s="19">
        <f t="shared" si="15"/>
        <v>1657462</v>
      </c>
      <c r="AC20" s="145">
        <f t="shared" si="15"/>
        <v>1195361</v>
      </c>
      <c r="AD20" s="18">
        <f t="shared" si="15"/>
        <v>2852823</v>
      </c>
      <c r="AE20" s="19">
        <f t="shared" si="15"/>
        <v>1657461</v>
      </c>
      <c r="AF20" s="145">
        <f t="shared" si="15"/>
        <v>1195361</v>
      </c>
      <c r="AG20" s="18">
        <f t="shared" si="15"/>
        <v>2852822</v>
      </c>
      <c r="AH20" s="19">
        <f t="shared" si="15"/>
        <v>53311678</v>
      </c>
      <c r="AI20" s="15">
        <f t="shared" si="15"/>
        <v>53311678</v>
      </c>
      <c r="AJ20" s="16">
        <f t="shared" si="15"/>
        <v>53311679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20629119</v>
      </c>
      <c r="BE20" s="67">
        <f>+K115+K117+K119+K120+K121+K123+K124</f>
        <v>0</v>
      </c>
      <c r="BF20" s="53">
        <f>MARZO!BF20+ABRIL!BE20+MAYO!BE20+JUNIO!BE20</f>
        <v>20626562</v>
      </c>
      <c r="BG20" s="385"/>
      <c r="BH20" s="385"/>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+IF(MAYO!A21=0,"",MAYO!A21)</f>
        <v>11301</v>
      </c>
      <c r="B21" s="652" t="str">
        <f>+IF(MAYO!B21=0,"",MAYO!B21)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1629911772</v>
      </c>
      <c r="H21" s="357">
        <f t="shared" si="16"/>
        <v>255511475</v>
      </c>
      <c r="I21" s="357">
        <f t="shared" si="16"/>
        <v>1885423247</v>
      </c>
      <c r="J21" s="357">
        <f t="shared" si="16"/>
        <v>951036722</v>
      </c>
      <c r="K21" s="357">
        <f t="shared" si="16"/>
        <v>174093877</v>
      </c>
      <c r="L21" s="357">
        <f t="shared" si="16"/>
        <v>1125130599</v>
      </c>
      <c r="M21" s="357">
        <f t="shared" si="16"/>
        <v>1599104043</v>
      </c>
      <c r="N21" s="178">
        <f t="shared" si="16"/>
        <v>2359396691</v>
      </c>
      <c r="O21" s="385"/>
      <c r="P21" s="43">
        <f>P22+P25+P28+P41+P42+P45+P48+P51+P54+P57+P60+P63+P66+P69+P72+P75+P78+P81</f>
        <v>0</v>
      </c>
      <c r="Q21" s="45">
        <f>Q22+Q25+Q28+Q41+Q42+Q45+Q48+Q51+Q54+Q57+Q60+Q63+Q66+Q69+Q72+Q75+Q78+Q81</f>
        <v>0</v>
      </c>
      <c r="R21" s="9"/>
      <c r="S21" s="720" t="str">
        <f>+IF(MAYO!S21=0,"",MAYO!S21)</f>
        <v>1010104-1</v>
      </c>
      <c r="T21" s="694" t="str">
        <f>+IF(MAYO!T21=0,"",MAYO!T21)</f>
        <v xml:space="preserve">Prima de Navidad </v>
      </c>
      <c r="U21" s="27">
        <f>+ENERO!U21</f>
        <v>27481083</v>
      </c>
      <c r="V21" s="15">
        <f>MAYO!V21+JUNIO!AL21</f>
        <v>0</v>
      </c>
      <c r="W21" s="15">
        <f>MAYO!W21+JUNIO!AM21</f>
        <v>0</v>
      </c>
      <c r="X21" s="18">
        <f t="shared" ref="X21:X33" si="17">SUM(U21:W21)</f>
        <v>27481083</v>
      </c>
      <c r="Y21" s="19">
        <f>MAYO!AA21</f>
        <v>0</v>
      </c>
      <c r="Z21" s="377">
        <v>0</v>
      </c>
      <c r="AA21" s="18">
        <f t="shared" ref="AA21:AA33" si="18">SUM(Y21:Z21)</f>
        <v>0</v>
      </c>
      <c r="AB21" s="19">
        <f>MAYO!AD21</f>
        <v>0</v>
      </c>
      <c r="AC21" s="377">
        <v>0</v>
      </c>
      <c r="AD21" s="18">
        <f t="shared" ref="AD21:AD33" si="19">SUM(AB21:AC21)</f>
        <v>0</v>
      </c>
      <c r="AE21" s="19">
        <f>MAYO!AG21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JUNIO</v>
      </c>
      <c r="AS21" s="429" t="str">
        <f>AR6</f>
        <v>JUNIO</v>
      </c>
      <c r="AT21" s="428" t="str">
        <f>AR6</f>
        <v>JUNIO</v>
      </c>
      <c r="AU21" s="428" t="s">
        <v>46</v>
      </c>
      <c r="AV21" s="428" t="s">
        <v>24</v>
      </c>
      <c r="AW21" s="430"/>
      <c r="AX21" s="430"/>
      <c r="AY21" s="428" t="s">
        <v>46</v>
      </c>
      <c r="AZ21" s="431" t="s">
        <v>24</v>
      </c>
      <c r="BA21" s="9"/>
      <c r="BB21" s="101" t="s">
        <v>447</v>
      </c>
      <c r="BC21" s="65">
        <f>SUMIF($B8:B122,$B24,F8:F122)+F122</f>
        <v>577451227</v>
      </c>
      <c r="BD21" s="66">
        <f>SUMIF($B8:B122,$B24,I8:I122)+I122</f>
        <v>484877369</v>
      </c>
      <c r="BE21" s="67">
        <f>SUMIF($B8:B122,$B24,K8:K122)+K122</f>
        <v>17965571</v>
      </c>
      <c r="BF21" s="53">
        <f>MARZO!BF21+ABRIL!BE21+MAYO!BE21+JUNIO!BE21</f>
        <v>484877369</v>
      </c>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+IF(MAYO!A22=0,"",MAYO!A22)</f>
        <v>1130101</v>
      </c>
      <c r="B22" s="653" t="str">
        <f>+IF(MAYO!B22=0,"",MAYO!B22)</f>
        <v>EPS - REGIMEN CONTRIBUTIVO</v>
      </c>
      <c r="C22" s="43">
        <f t="shared" ref="C22:N22" si="24">SUM(C23:C24)</f>
        <v>1323143662</v>
      </c>
      <c r="D22" s="44">
        <f t="shared" si="24"/>
        <v>0</v>
      </c>
      <c r="E22" s="44">
        <f t="shared" si="24"/>
        <v>435611621</v>
      </c>
      <c r="F22" s="44">
        <f t="shared" si="24"/>
        <v>1758755283</v>
      </c>
      <c r="G22" s="44">
        <f t="shared" si="24"/>
        <v>928032519</v>
      </c>
      <c r="H22" s="44">
        <f t="shared" si="24"/>
        <v>134601648</v>
      </c>
      <c r="I22" s="44">
        <f t="shared" si="24"/>
        <v>1062634167</v>
      </c>
      <c r="J22" s="44">
        <f t="shared" si="24"/>
        <v>431192516</v>
      </c>
      <c r="K22" s="44">
        <f t="shared" si="24"/>
        <v>84097567</v>
      </c>
      <c r="L22" s="44">
        <f t="shared" si="24"/>
        <v>515290083</v>
      </c>
      <c r="M22" s="44">
        <f t="shared" si="24"/>
        <v>696121116</v>
      </c>
      <c r="N22" s="45">
        <f t="shared" si="24"/>
        <v>1243465200</v>
      </c>
      <c r="P22" s="43">
        <f>SUM(P23:P24)</f>
        <v>0</v>
      </c>
      <c r="Q22" s="45">
        <f>SUM(Q23:Q24)</f>
        <v>0</v>
      </c>
      <c r="S22" s="720" t="str">
        <f>+IF(MAYO!S22=0,"",MAYO!S22)</f>
        <v>1010104-2</v>
      </c>
      <c r="T22" s="694" t="str">
        <f>+IF(MAYO!T22=0,"",MAYO!T22)</f>
        <v>Prima Vida Cara</v>
      </c>
      <c r="U22" s="27">
        <f>+ENERO!U22</f>
        <v>0</v>
      </c>
      <c r="V22" s="15">
        <f>MAYO!V22+JUNIO!AL22</f>
        <v>0</v>
      </c>
      <c r="W22" s="15">
        <f>MAYO!W22+JUNIO!AM22</f>
        <v>0</v>
      </c>
      <c r="X22" s="18">
        <f t="shared" si="17"/>
        <v>0</v>
      </c>
      <c r="Y22" s="19">
        <f>MAYO!AA22</f>
        <v>0</v>
      </c>
      <c r="Z22" s="377">
        <v>0</v>
      </c>
      <c r="AA22" s="18">
        <f t="shared" si="18"/>
        <v>0</v>
      </c>
      <c r="AB22" s="19">
        <f>MAYO!AD22</f>
        <v>0</v>
      </c>
      <c r="AC22" s="377">
        <v>0</v>
      </c>
      <c r="AD22" s="18">
        <f t="shared" si="19"/>
        <v>0</v>
      </c>
      <c r="AE22" s="19">
        <f>MAYO!AG22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463265452</v>
      </c>
      <c r="AS22" s="433">
        <f>AG17+AG66</f>
        <v>440858470</v>
      </c>
      <c r="AT22" s="434"/>
      <c r="AU22" s="435">
        <f t="shared" ref="AU22:AU32" si="25">IF(AQ22=0," ",AR22/AQ22)</f>
        <v>0.48998368411398852</v>
      </c>
      <c r="AV22" s="435">
        <f t="shared" ref="AV22:AV32" si="26">IF(AQ22=0," ",AS22/AQ22)</f>
        <v>0.46628440858451126</v>
      </c>
      <c r="AW22" s="436">
        <f>AR22/$AO$2*12</f>
        <v>926530904</v>
      </c>
      <c r="AX22" s="436">
        <f>AS22/$AO$2*12</f>
        <v>881716940</v>
      </c>
      <c r="AY22" s="436">
        <f t="shared" ref="AY22:AY31" si="27">AW22-AQ22</f>
        <v>-18940276</v>
      </c>
      <c r="AZ22" s="437">
        <f t="shared" ref="AZ22:AZ31" si="28">AQ22-AX22</f>
        <v>63754240</v>
      </c>
      <c r="BA22" s="385"/>
      <c r="BB22" s="102" t="s">
        <v>111</v>
      </c>
      <c r="BC22" s="103">
        <f>BC7+BC8+BC20+BC21</f>
        <v>3890600747</v>
      </c>
      <c r="BD22" s="104">
        <f>BD7+BD8+BD20+BD21</f>
        <v>2130695809</v>
      </c>
      <c r="BE22" s="105">
        <f>BE7+BE8+BE20+BE21</f>
        <v>181228877</v>
      </c>
      <c r="BF22" s="53">
        <f>MARZO!BF22+ABRIL!BE22+MAYO!BE22+JUNIO!BE22</f>
        <v>1359951261</v>
      </c>
      <c r="BG22" s="385"/>
      <c r="BH22" s="385"/>
      <c r="BI22" s="385"/>
      <c r="BJ22" s="385"/>
      <c r="BK22" s="385"/>
      <c r="BM22" s="71" t="s">
        <v>69</v>
      </c>
      <c r="BN22" s="83">
        <f>BN23+BN24</f>
        <v>65572284</v>
      </c>
      <c r="BO22" s="81">
        <f>BO23+BO24</f>
        <v>22575386</v>
      </c>
      <c r="BP22" s="81">
        <f>BP23+BP24</f>
        <v>22251854</v>
      </c>
      <c r="BQ22" s="82">
        <f>BQ23+BQ24</f>
        <v>0</v>
      </c>
      <c r="BR22" s="385"/>
    </row>
    <row r="23" spans="1:70" s="425" customFormat="1" ht="24.95" customHeight="1" x14ac:dyDescent="0.2">
      <c r="A23" s="618" t="str">
        <f>+IF(MAYO!A23=0,"",MAYO!A23)</f>
        <v>1130101-1</v>
      </c>
      <c r="B23" s="654" t="str">
        <f>+CONCATENATE("Vigencia ",INSTRUCCIONES!$F$3)</f>
        <v>Vigencia 2015</v>
      </c>
      <c r="C23" s="375">
        <f>+ENERO!C23</f>
        <v>1323143662</v>
      </c>
      <c r="D23" s="376">
        <f>MAYO!D23+JUNIO!P23</f>
        <v>0</v>
      </c>
      <c r="E23" s="376">
        <f>MAYO!E23+JUNIO!Q23</f>
        <v>0</v>
      </c>
      <c r="F23" s="376">
        <f>SUM(C23:E23)</f>
        <v>1323143662</v>
      </c>
      <c r="G23" s="376">
        <f>MAYO!I23</f>
        <v>536593723</v>
      </c>
      <c r="H23" s="377">
        <v>118677978</v>
      </c>
      <c r="I23" s="376">
        <f>SUM(G23:H23)</f>
        <v>655271701</v>
      </c>
      <c r="J23" s="376">
        <f>MAYO!L23</f>
        <v>39753720</v>
      </c>
      <c r="K23" s="377">
        <v>68173897</v>
      </c>
      <c r="L23" s="376">
        <f>SUM(J23:K23)</f>
        <v>107927617</v>
      </c>
      <c r="M23" s="376">
        <f>F23-I23</f>
        <v>667871961</v>
      </c>
      <c r="N23" s="146">
        <f>F23-L23</f>
        <v>1215216045</v>
      </c>
      <c r="O23" s="9"/>
      <c r="P23" s="375">
        <v>0</v>
      </c>
      <c r="Q23" s="378">
        <v>0</v>
      </c>
      <c r="R23" s="9"/>
      <c r="S23" s="720" t="str">
        <f>+IF(MAYO!S23=0,"",MAYO!S23)</f>
        <v>1010104-3</v>
      </c>
      <c r="T23" s="694" t="str">
        <f>+IF(MAYO!T23=0,"",MAYO!T23)</f>
        <v>Prima de Vacaciones</v>
      </c>
      <c r="U23" s="27">
        <f>+ENERO!U23</f>
        <v>12683577</v>
      </c>
      <c r="V23" s="15">
        <f>MAYO!V23+JUNIO!AL23</f>
        <v>0</v>
      </c>
      <c r="W23" s="15">
        <f>MAYO!W23+JUNIO!AM23</f>
        <v>0</v>
      </c>
      <c r="X23" s="18">
        <f t="shared" si="17"/>
        <v>12683577</v>
      </c>
      <c r="Y23" s="19">
        <f>MAYO!AA23</f>
        <v>1139525</v>
      </c>
      <c r="Z23" s="377">
        <v>989436</v>
      </c>
      <c r="AA23" s="18">
        <f t="shared" si="18"/>
        <v>2128961</v>
      </c>
      <c r="AB23" s="19">
        <f>MAYO!AD23</f>
        <v>1139525</v>
      </c>
      <c r="AC23" s="377">
        <v>989436</v>
      </c>
      <c r="AD23" s="18">
        <f t="shared" si="19"/>
        <v>2128961</v>
      </c>
      <c r="AE23" s="19">
        <f>MAYO!AG23</f>
        <v>1139525</v>
      </c>
      <c r="AF23" s="377">
        <v>989436</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278891529</v>
      </c>
      <c r="AR23" s="439">
        <f>AD16+AD65-AR22</f>
        <v>105346503</v>
      </c>
      <c r="AS23" s="439">
        <f>AG16+AG65-AS22</f>
        <v>92971817</v>
      </c>
      <c r="AT23" s="330"/>
      <c r="AU23" s="345">
        <f t="shared" si="25"/>
        <v>0.37773288911905245</v>
      </c>
      <c r="AV23" s="345">
        <f t="shared" si="26"/>
        <v>0.33336192509454099</v>
      </c>
      <c r="AW23" s="439">
        <f>(AR23-AD21-AD22-AD23-AD25-AD30-AD33-AD70-AD71-AD72-AD74-AD78-AD81)/$AO$2*12+AX22/12*2.5+AD30+AD33+AD78+AD81</f>
        <v>361043094.16666669</v>
      </c>
      <c r="AX23" s="439">
        <f>(AS23-AG21-AG22-AG23-AG25-AG30-AG33-AG70-AG71-AG72-AG74-AG78-AG81)/$AO$2*12+AX22/12*2.5+AG30+AG33+AG78+AG81</f>
        <v>343561252.16666669</v>
      </c>
      <c r="AY23" s="439">
        <f t="shared" si="27"/>
        <v>82151565.166666687</v>
      </c>
      <c r="AZ23" s="46">
        <f t="shared" si="28"/>
        <v>-64669723.166666687</v>
      </c>
      <c r="BA23" s="385"/>
      <c r="BF23" s="385"/>
      <c r="BG23" s="385"/>
      <c r="BH23" s="385"/>
      <c r="BI23" s="385"/>
      <c r="BJ23" s="385"/>
      <c r="BK23" s="385"/>
      <c r="BL23" s="385"/>
      <c r="BM23" s="140" t="s">
        <v>107</v>
      </c>
      <c r="BN23" s="83">
        <f>X177</f>
        <v>39279816</v>
      </c>
      <c r="BO23" s="81">
        <f>AA177</f>
        <v>15265272</v>
      </c>
      <c r="BP23" s="81">
        <f>AD177</f>
        <v>15265272</v>
      </c>
      <c r="BQ23" s="82">
        <f>AF177</f>
        <v>0</v>
      </c>
      <c r="BR23" s="9"/>
    </row>
    <row r="24" spans="1:70" s="425" customFormat="1" ht="24.95" customHeight="1" x14ac:dyDescent="0.2">
      <c r="A24" s="618" t="str">
        <f>+IF(MAYO!A24=0,"",MAYO!A24)</f>
        <v>1130101-2</v>
      </c>
      <c r="B24" s="654" t="str">
        <f>+IF(MAYO!B24=0,"",MAYO!B24)</f>
        <v>Vigencia Anterior</v>
      </c>
      <c r="C24" s="375">
        <f>+ENERO!C24</f>
        <v>0</v>
      </c>
      <c r="D24" s="376">
        <f>MAYO!D24+JUNIO!P24</f>
        <v>0</v>
      </c>
      <c r="E24" s="376">
        <f>MAYO!E24+JUNIO!Q24</f>
        <v>435611621</v>
      </c>
      <c r="F24" s="376">
        <f>SUM(C24:E24)</f>
        <v>435611621</v>
      </c>
      <c r="G24" s="376">
        <f>MAYO!I24</f>
        <v>391438796</v>
      </c>
      <c r="H24" s="377">
        <v>15923670</v>
      </c>
      <c r="I24" s="376">
        <f>SUM(G24:H24)</f>
        <v>407362466</v>
      </c>
      <c r="J24" s="376">
        <f>MAYO!L24</f>
        <v>391438796</v>
      </c>
      <c r="K24" s="377">
        <v>15923670</v>
      </c>
      <c r="L24" s="376">
        <f>SUM(J24:K24)</f>
        <v>407362466</v>
      </c>
      <c r="M24" s="376">
        <f>F24-I24</f>
        <v>28249155</v>
      </c>
      <c r="N24" s="146">
        <f>F24-L24</f>
        <v>28249155</v>
      </c>
      <c r="O24" s="385"/>
      <c r="P24" s="375">
        <v>0</v>
      </c>
      <c r="Q24" s="378">
        <v>0</v>
      </c>
      <c r="R24" s="9"/>
      <c r="S24" s="720" t="str">
        <f>+IF(MAYO!S24=0,"",MAYO!S24)</f>
        <v>1010104-4</v>
      </c>
      <c r="T24" s="694" t="str">
        <f>+IF(MAYO!T24=0,"",MAYO!T24)</f>
        <v>Prima Clima</v>
      </c>
      <c r="U24" s="27">
        <f>+ENERO!U24</f>
        <v>0</v>
      </c>
      <c r="V24" s="15">
        <f>MAYO!V24+JUNIO!AL24</f>
        <v>0</v>
      </c>
      <c r="W24" s="15">
        <f>MAYO!W24+JUNIO!AM24</f>
        <v>0</v>
      </c>
      <c r="X24" s="18">
        <f t="shared" si="17"/>
        <v>0</v>
      </c>
      <c r="Y24" s="19">
        <f>MAYO!AA24</f>
        <v>0</v>
      </c>
      <c r="Z24" s="377">
        <v>0</v>
      </c>
      <c r="AA24" s="18">
        <f t="shared" si="18"/>
        <v>0</v>
      </c>
      <c r="AB24" s="19">
        <f>MAYO!AD24</f>
        <v>0</v>
      </c>
      <c r="AC24" s="377">
        <v>0</v>
      </c>
      <c r="AD24" s="18">
        <f t="shared" si="19"/>
        <v>0</v>
      </c>
      <c r="AE24" s="19">
        <f>MAYO!AG24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189512518</v>
      </c>
      <c r="AS24" s="434">
        <f>AG35+AG83</f>
        <v>139948924</v>
      </c>
      <c r="AT24" s="434"/>
      <c r="AU24" s="376">
        <f t="shared" si="25"/>
        <v>0.44666431030470521</v>
      </c>
      <c r="AV24" s="376">
        <f t="shared" si="26"/>
        <v>0.32984728542494279</v>
      </c>
      <c r="AW24" s="376">
        <f>(AR24-AD41-AD88)/$AO$2*12+AD41+AD88</f>
        <v>345070558</v>
      </c>
      <c r="AX24" s="376">
        <f>(AS24-AG41-AG88)/$AO$2*12+AG41+AG88</f>
        <v>254743224</v>
      </c>
      <c r="AY24" s="376">
        <f t="shared" si="27"/>
        <v>-79213437</v>
      </c>
      <c r="AZ24" s="146">
        <f t="shared" si="28"/>
        <v>169540771</v>
      </c>
      <c r="BA24" s="9"/>
      <c r="BB24" s="440"/>
      <c r="BC24" s="385"/>
      <c r="BD24" s="385"/>
      <c r="BE24" s="385"/>
      <c r="BF24" s="385"/>
      <c r="BG24" s="385"/>
      <c r="BH24" s="385"/>
      <c r="BI24" s="385"/>
      <c r="BJ24" s="385"/>
      <c r="BK24" s="385"/>
      <c r="BL24" s="385"/>
      <c r="BM24" s="140" t="s">
        <v>112</v>
      </c>
      <c r="BN24" s="83">
        <f>X170-X177-X174-X183-X191</f>
        <v>26292468</v>
      </c>
      <c r="BO24" s="81">
        <f>AA170-AA177-AA174-AA183-AA191</f>
        <v>7310114</v>
      </c>
      <c r="BP24" s="81">
        <f>AD170-AD177-AD174-AD183-AD191</f>
        <v>6986582</v>
      </c>
      <c r="BQ24" s="82">
        <f>AF170-AF177-AF174-AF183-AF191</f>
        <v>0</v>
      </c>
      <c r="BR24" s="385"/>
    </row>
    <row r="25" spans="1:70" s="385" customFormat="1" ht="24.95" customHeight="1" x14ac:dyDescent="0.25">
      <c r="A25" s="747">
        <f>+IF(MAYO!A25=0,"",MAYO!A25)</f>
        <v>1130102</v>
      </c>
      <c r="B25" s="653" t="str">
        <f>+IF(MAYO!B25=0,"",MAYO!B25)</f>
        <v>ARS - REGIMEN SUBSIDIADO</v>
      </c>
      <c r="C25" s="43">
        <f t="shared" ref="C25:N25" si="29">SUM(C26:C27)</f>
        <v>873986903</v>
      </c>
      <c r="D25" s="44">
        <f t="shared" si="29"/>
        <v>0</v>
      </c>
      <c r="E25" s="44">
        <f t="shared" si="29"/>
        <v>71552427</v>
      </c>
      <c r="F25" s="44">
        <f t="shared" si="29"/>
        <v>945539330</v>
      </c>
      <c r="G25" s="44">
        <f t="shared" si="29"/>
        <v>392636646</v>
      </c>
      <c r="H25" s="44">
        <f t="shared" si="29"/>
        <v>63185563</v>
      </c>
      <c r="I25" s="44">
        <f t="shared" si="29"/>
        <v>455822209</v>
      </c>
      <c r="J25" s="44">
        <f t="shared" si="29"/>
        <v>266313380</v>
      </c>
      <c r="K25" s="44">
        <f t="shared" si="29"/>
        <v>39784657</v>
      </c>
      <c r="L25" s="44">
        <f t="shared" si="29"/>
        <v>306098037</v>
      </c>
      <c r="M25" s="44">
        <f t="shared" si="29"/>
        <v>489717121</v>
      </c>
      <c r="N25" s="45">
        <f t="shared" si="29"/>
        <v>639441293</v>
      </c>
      <c r="P25" s="43">
        <f>SUM(P26:P27)</f>
        <v>0</v>
      </c>
      <c r="Q25" s="45">
        <f>SUM(Q26:Q27)</f>
        <v>0</v>
      </c>
      <c r="R25" s="9"/>
      <c r="S25" s="720" t="str">
        <f>+IF(MAYO!S25=0,"",MAYO!S25)</f>
        <v>1010104-5</v>
      </c>
      <c r="T25" s="694" t="str">
        <f>+IF(MAYO!T25=0,"",MAYO!T25)</f>
        <v>Prima de Servicios</v>
      </c>
      <c r="U25" s="27">
        <f>+ENERO!U25</f>
        <v>12683577</v>
      </c>
      <c r="V25" s="15">
        <f>MAYO!V25+JUNIO!AL25</f>
        <v>0</v>
      </c>
      <c r="W25" s="15">
        <f>MAYO!W25+JUNIO!AM25</f>
        <v>0</v>
      </c>
      <c r="X25" s="18">
        <f t="shared" si="17"/>
        <v>12683577</v>
      </c>
      <c r="Y25" s="19">
        <f>MAYO!AA25</f>
        <v>0</v>
      </c>
      <c r="Z25" s="377">
        <v>0</v>
      </c>
      <c r="AA25" s="18">
        <f t="shared" si="18"/>
        <v>0</v>
      </c>
      <c r="AB25" s="19">
        <f>MAYO!AD25</f>
        <v>0</v>
      </c>
      <c r="AC25" s="377">
        <v>0</v>
      </c>
      <c r="AD25" s="18">
        <f t="shared" si="19"/>
        <v>0</v>
      </c>
      <c r="AE25" s="19">
        <f>MAYO!AG25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290099029</v>
      </c>
      <c r="AS25" s="376">
        <f>AG43+AG57+AG90+AG104</f>
        <v>241559547</v>
      </c>
      <c r="AT25" s="434"/>
      <c r="AU25" s="376">
        <f t="shared" si="25"/>
        <v>0.5346982543884875</v>
      </c>
      <c r="AV25" s="376">
        <f t="shared" si="26"/>
        <v>0.44523233516846344</v>
      </c>
      <c r="AW25" s="376">
        <f>(AR25-AD55-AD61-AD102-AD108)/$AO$2*12+AD55+AD61+AD102+AD108</f>
        <v>491198543</v>
      </c>
      <c r="AX25" s="376">
        <f>(AS25-AG55-AG61-AG102-AG108)/$AO$2*12+AG55+AG61+AG102+AG108</f>
        <v>396092498</v>
      </c>
      <c r="AY25" s="376">
        <f t="shared" si="27"/>
        <v>-51348635</v>
      </c>
      <c r="AZ25" s="146">
        <f t="shared" si="28"/>
        <v>146454680</v>
      </c>
      <c r="BM25" s="143" t="s">
        <v>455</v>
      </c>
      <c r="BN25" s="106">
        <f>+SUM(BN26:BN28)</f>
        <v>377117338</v>
      </c>
      <c r="BO25" s="107">
        <f>+SUM(BO26:BO28)</f>
        <v>180704792</v>
      </c>
      <c r="BP25" s="107">
        <f>+SUM(BP26:BP28)</f>
        <v>161374027</v>
      </c>
      <c r="BQ25" s="108">
        <f>+SUM(BQ26:BQ28)</f>
        <v>16240578</v>
      </c>
    </row>
    <row r="26" spans="1:70" s="9" customFormat="1" ht="24.95" customHeight="1" x14ac:dyDescent="0.2">
      <c r="A26" s="618" t="str">
        <f>+IF(MAYO!A26=0,"",MAYO!A26)</f>
        <v>1130102-1</v>
      </c>
      <c r="B26" s="654" t="str">
        <f>+CONCATENATE("Vigencia ",INSTRUCCIONES!$F$3)</f>
        <v>Vigencia 2015</v>
      </c>
      <c r="C26" s="375">
        <f>+ENERO!C26</f>
        <v>873986903</v>
      </c>
      <c r="D26" s="376">
        <f>MAYO!D26+JUNIO!P26</f>
        <v>0</v>
      </c>
      <c r="E26" s="376">
        <f>MAYO!E26+JUNIO!Q26</f>
        <v>0</v>
      </c>
      <c r="F26" s="376">
        <f>SUM(C26:E26)</f>
        <v>873986903</v>
      </c>
      <c r="G26" s="376">
        <f>MAYO!I26</f>
        <v>352165732</v>
      </c>
      <c r="H26" s="377">
        <v>63185563</v>
      </c>
      <c r="I26" s="376">
        <f>SUM(G26:H26)</f>
        <v>415351295</v>
      </c>
      <c r="J26" s="376">
        <f>MAYO!L26</f>
        <v>225842466</v>
      </c>
      <c r="K26" s="377">
        <v>39784657</v>
      </c>
      <c r="L26" s="376">
        <f>SUM(J26:K26)</f>
        <v>265627123</v>
      </c>
      <c r="M26" s="376">
        <f>F26-I26</f>
        <v>458635608</v>
      </c>
      <c r="N26" s="146">
        <f>F26-L26</f>
        <v>608359780</v>
      </c>
      <c r="P26" s="375">
        <v>0</v>
      </c>
      <c r="Q26" s="378">
        <v>0</v>
      </c>
      <c r="S26" s="720" t="str">
        <f>+IF(MAYO!S26=0,"",MAYO!S26)</f>
        <v>1010104-8</v>
      </c>
      <c r="T26" s="694" t="str">
        <f>+IF(MAYO!T26=0,"",MAYO!T26)</f>
        <v>Bonific. por Servicios Prestados (Convencional)</v>
      </c>
      <c r="U26" s="27">
        <f>+ENERO!U26</f>
        <v>0</v>
      </c>
      <c r="V26" s="15">
        <f>MAYO!V26+JUNIO!AL26</f>
        <v>0</v>
      </c>
      <c r="W26" s="15">
        <f>MAYO!W26+JUNIO!AM26</f>
        <v>0</v>
      </c>
      <c r="X26" s="18">
        <f t="shared" si="17"/>
        <v>0</v>
      </c>
      <c r="Y26" s="19">
        <f>MAYO!AA26</f>
        <v>0</v>
      </c>
      <c r="Z26" s="377">
        <v>0</v>
      </c>
      <c r="AA26" s="18">
        <f t="shared" si="18"/>
        <v>0</v>
      </c>
      <c r="AB26" s="19">
        <f>MAYO!AD26</f>
        <v>0</v>
      </c>
      <c r="AC26" s="377">
        <v>0</v>
      </c>
      <c r="AD26" s="18">
        <f t="shared" si="19"/>
        <v>0</v>
      </c>
      <c r="AE26" s="19">
        <f>MAYO!AG26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386909200</v>
      </c>
      <c r="AS26" s="330">
        <f>AG110</f>
        <v>271598851</v>
      </c>
      <c r="AT26" s="374">
        <f>AO2/12</f>
        <v>0.5</v>
      </c>
      <c r="AU26" s="345">
        <f t="shared" si="25"/>
        <v>0.5200675567419093</v>
      </c>
      <c r="AV26" s="345">
        <f t="shared" si="26"/>
        <v>0.36507209147128022</v>
      </c>
      <c r="AW26" s="439">
        <f>(AR26-AD121-AD139-AD143-AD153-AD168)/$AO$2*12+AD121+AD139+AD143+AD153+AD168</f>
        <v>671524386</v>
      </c>
      <c r="AX26" s="439">
        <f>(AS26-AG121-AG139-AG143-AG153-AG168)/$AO$2*12+AG121+AG139+AG143+AG153+AG168</f>
        <v>468463687</v>
      </c>
      <c r="AY26" s="439">
        <f t="shared" si="27"/>
        <v>-72435115</v>
      </c>
      <c r="AZ26" s="46">
        <f t="shared" si="28"/>
        <v>275495814</v>
      </c>
      <c r="BA26" s="385"/>
      <c r="BB26" s="385"/>
      <c r="BC26" s="385"/>
      <c r="BD26" s="385"/>
      <c r="BE26" s="385"/>
      <c r="BF26" s="385"/>
      <c r="BG26" s="385"/>
      <c r="BH26" s="385"/>
      <c r="BI26" s="385"/>
      <c r="BJ26" s="385"/>
      <c r="BK26" s="385"/>
      <c r="BM26" s="109" t="s">
        <v>456</v>
      </c>
      <c r="BN26" s="86">
        <f>+X196+X212</f>
        <v>248549731</v>
      </c>
      <c r="BO26" s="84">
        <f>+AA196+AA212</f>
        <v>108208419</v>
      </c>
      <c r="BP26" s="84">
        <f>+AD196+AD212</f>
        <v>88877654</v>
      </c>
      <c r="BQ26" s="85">
        <f>+AF196+AF212</f>
        <v>10532776</v>
      </c>
      <c r="BR26" s="385"/>
    </row>
    <row r="27" spans="1:70" s="425" customFormat="1" ht="24.95" customHeight="1" x14ac:dyDescent="0.2">
      <c r="A27" s="618" t="str">
        <f>+IF(MAYO!A27=0,"",MAYO!A27)</f>
        <v>1130102-2</v>
      </c>
      <c r="B27" s="654" t="str">
        <f>+IF(MAYO!B27=0,"",MAYO!B27)</f>
        <v>Vigencia Anterior</v>
      </c>
      <c r="C27" s="375">
        <f>+ENERO!C27</f>
        <v>0</v>
      </c>
      <c r="D27" s="376">
        <f>MAYO!D27+JUNIO!P27</f>
        <v>0</v>
      </c>
      <c r="E27" s="376">
        <f>MAYO!E27+JUNIO!Q27</f>
        <v>71552427</v>
      </c>
      <c r="F27" s="376">
        <f>SUM(C27:E27)</f>
        <v>71552427</v>
      </c>
      <c r="G27" s="376">
        <f>MAYO!I27</f>
        <v>40470914</v>
      </c>
      <c r="H27" s="377">
        <v>0</v>
      </c>
      <c r="I27" s="376">
        <f>SUM(G27:H27)</f>
        <v>40470914</v>
      </c>
      <c r="J27" s="376">
        <f>MAYO!L27</f>
        <v>40470914</v>
      </c>
      <c r="K27" s="377">
        <v>0</v>
      </c>
      <c r="L27" s="376">
        <f>SUM(J27:K27)</f>
        <v>40470914</v>
      </c>
      <c r="M27" s="376">
        <f>F27-I27</f>
        <v>31081513</v>
      </c>
      <c r="N27" s="146">
        <f>F27-L27</f>
        <v>31081513</v>
      </c>
      <c r="O27" s="385"/>
      <c r="P27" s="375">
        <v>0</v>
      </c>
      <c r="Q27" s="378">
        <v>0</v>
      </c>
      <c r="R27" s="9"/>
      <c r="S27" s="720" t="str">
        <f>+IF(MAYO!S27=0,"",MAYO!S27)</f>
        <v>1010104-9</v>
      </c>
      <c r="T27" s="694" t="str">
        <f>+IF(MAYO!T27=0,"",MAYO!T27)</f>
        <v>Auxilio de Transporte</v>
      </c>
      <c r="U27" s="27">
        <f>+ENERO!U27</f>
        <v>1625120</v>
      </c>
      <c r="V27" s="15">
        <f>MAYO!V27+JUNIO!AL27</f>
        <v>0</v>
      </c>
      <c r="W27" s="15">
        <f>MAYO!W27+JUNIO!AM27</f>
        <v>0</v>
      </c>
      <c r="X27" s="18">
        <f t="shared" si="17"/>
        <v>1625120</v>
      </c>
      <c r="Y27" s="19">
        <f>MAYO!AA27</f>
        <v>366000</v>
      </c>
      <c r="Z27" s="377">
        <v>74000</v>
      </c>
      <c r="AA27" s="18">
        <f t="shared" si="18"/>
        <v>440000</v>
      </c>
      <c r="AB27" s="19">
        <f>MAYO!AD27</f>
        <v>366000</v>
      </c>
      <c r="AC27" s="377">
        <v>74000</v>
      </c>
      <c r="AD27" s="18">
        <f t="shared" si="19"/>
        <v>440000</v>
      </c>
      <c r="AE27" s="19">
        <f>MAYO!AG27</f>
        <v>365999</v>
      </c>
      <c r="AF27" s="377">
        <v>74000</v>
      </c>
      <c r="AG27" s="18">
        <f t="shared" si="20"/>
        <v>439999</v>
      </c>
      <c r="AH27" s="19">
        <f t="shared" si="21"/>
        <v>1185120</v>
      </c>
      <c r="AI27" s="15">
        <f t="shared" si="22"/>
        <v>1185120</v>
      </c>
      <c r="AJ27" s="16">
        <f t="shared" si="23"/>
        <v>1185121</v>
      </c>
      <c r="AK27" s="9"/>
      <c r="AL27" s="375">
        <v>0</v>
      </c>
      <c r="AM27" s="378">
        <v>0</v>
      </c>
      <c r="AN27" s="9"/>
      <c r="AO27" s="352"/>
      <c r="AP27" s="441" t="s">
        <v>126</v>
      </c>
      <c r="AQ27" s="376">
        <f>X170</f>
        <v>74494094</v>
      </c>
      <c r="AR27" s="376">
        <f>AD170</f>
        <v>31173664</v>
      </c>
      <c r="AS27" s="376">
        <f>AG170</f>
        <v>23248611</v>
      </c>
      <c r="AT27" s="434"/>
      <c r="AU27" s="376">
        <f t="shared" si="25"/>
        <v>0.41847161736069977</v>
      </c>
      <c r="AV27" s="376">
        <f t="shared" si="26"/>
        <v>0.31208663333767106</v>
      </c>
      <c r="AW27" s="376">
        <f>(AR27-AD174-AD183-AD191)/$AO$2*12+AD174+AD183+AD191</f>
        <v>53425518</v>
      </c>
      <c r="AX27" s="376">
        <f>(AS27-AG174-AG183-AG191)/$AO$2*12+AG174+AG183+AG191</f>
        <v>37587513</v>
      </c>
      <c r="AY27" s="376">
        <f t="shared" si="27"/>
        <v>-21068576</v>
      </c>
      <c r="AZ27" s="146">
        <f t="shared" si="28"/>
        <v>36906581</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+IF(MAYO!A28=0,"",MAYO!A28)</f>
        <v>1130103</v>
      </c>
      <c r="B28" s="630" t="str">
        <f>+IF(MAYO!B28=0,"",MAYO!B28)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141284993</v>
      </c>
      <c r="H28" s="44">
        <f t="shared" si="30"/>
        <v>25429407</v>
      </c>
      <c r="I28" s="44">
        <f t="shared" si="30"/>
        <v>166714400</v>
      </c>
      <c r="J28" s="44">
        <f t="shared" si="30"/>
        <v>124078235</v>
      </c>
      <c r="K28" s="44">
        <f t="shared" si="30"/>
        <v>24815647</v>
      </c>
      <c r="L28" s="44">
        <f t="shared" si="30"/>
        <v>148893882</v>
      </c>
      <c r="M28" s="44">
        <f t="shared" si="30"/>
        <v>184012428</v>
      </c>
      <c r="N28" s="45">
        <f t="shared" si="30"/>
        <v>201832946</v>
      </c>
      <c r="O28" s="385"/>
      <c r="P28" s="43">
        <f>P29+P32+P35+P38+P39+P940</f>
        <v>0</v>
      </c>
      <c r="Q28" s="45">
        <f>Q29+Q32+Q35+Q38+Q39+Q40</f>
        <v>0</v>
      </c>
      <c r="R28" s="9"/>
      <c r="S28" s="720" t="str">
        <f>+IF(MAYO!S28=0,"",MAYO!S28)</f>
        <v>1010104-10</v>
      </c>
      <c r="T28" s="694" t="str">
        <f>+IF(MAYO!T28=0,"",MAYO!T28)</f>
        <v>Subsidio de Alimentación</v>
      </c>
      <c r="U28" s="27">
        <f>+ENERO!U28</f>
        <v>0</v>
      </c>
      <c r="V28" s="15">
        <f>MAYO!V28+JUNIO!AL28</f>
        <v>0</v>
      </c>
      <c r="W28" s="15">
        <f>MAYO!W28+JUNIO!AM28</f>
        <v>0</v>
      </c>
      <c r="X28" s="18">
        <f t="shared" si="17"/>
        <v>0</v>
      </c>
      <c r="Y28" s="19">
        <f>MAYO!AA28</f>
        <v>0</v>
      </c>
      <c r="Z28" s="377">
        <v>0</v>
      </c>
      <c r="AA28" s="18">
        <f t="shared" si="18"/>
        <v>0</v>
      </c>
      <c r="AB28" s="19">
        <f>MAYO!AD28</f>
        <v>0</v>
      </c>
      <c r="AC28" s="377">
        <v>0</v>
      </c>
      <c r="AD28" s="18">
        <f t="shared" si="19"/>
        <v>0</v>
      </c>
      <c r="AE28" s="19">
        <f>MAYO!AG28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468953270</v>
      </c>
      <c r="AR28" s="434">
        <f>AD193</f>
        <v>253209959</v>
      </c>
      <c r="AS28" s="434">
        <f>AG193</f>
        <v>137254970</v>
      </c>
      <c r="AT28" s="434"/>
      <c r="AU28" s="376">
        <f t="shared" si="25"/>
        <v>0.53994710176559813</v>
      </c>
      <c r="AV28" s="376">
        <f t="shared" si="26"/>
        <v>0.29268368253408278</v>
      </c>
      <c r="AW28" s="376">
        <f>(AR28-AD205)/$AO$2*12+AD205</f>
        <v>414583986</v>
      </c>
      <c r="AX28" s="376">
        <f>(AS28-AG205)/$AO$2*12+AG205</f>
        <v>182900370</v>
      </c>
      <c r="AY28" s="376">
        <f t="shared" si="27"/>
        <v>-54369284</v>
      </c>
      <c r="AZ28" s="146">
        <f t="shared" si="28"/>
        <v>286052900</v>
      </c>
      <c r="BA28" s="385"/>
      <c r="BB28" s="385"/>
      <c r="BC28" s="385"/>
      <c r="BD28" s="385"/>
      <c r="BE28" s="385"/>
      <c r="BF28" s="385"/>
      <c r="BG28" s="385"/>
      <c r="BH28" s="385"/>
      <c r="BI28" s="385"/>
      <c r="BJ28" s="385"/>
      <c r="BK28" s="385"/>
      <c r="BL28" s="385"/>
      <c r="BM28" s="71" t="s">
        <v>458</v>
      </c>
      <c r="BN28" s="83">
        <f>+X194-X196-X205</f>
        <v>128567607</v>
      </c>
      <c r="BO28" s="81">
        <f>+AA194-AA196-AA205</f>
        <v>72496373</v>
      </c>
      <c r="BP28" s="81">
        <f>+AD194-AD196-AD205</f>
        <v>72496373</v>
      </c>
      <c r="BQ28" s="82">
        <f>+AF194-AF196-AF205</f>
        <v>5707802</v>
      </c>
      <c r="BR28" s="9"/>
    </row>
    <row r="29" spans="1:70" s="9" customFormat="1" ht="24.95" customHeight="1" x14ac:dyDescent="0.25">
      <c r="A29" s="618" t="str">
        <f>+IF(MAYO!A29=0,"",MAYO!A29)</f>
        <v>1130103-1</v>
      </c>
      <c r="B29" s="655" t="str">
        <f>+IF(MAYO!B29=0,"",MAYO!B29)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0</v>
      </c>
      <c r="I29" s="15">
        <f t="shared" si="31"/>
        <v>5410703</v>
      </c>
      <c r="J29" s="15">
        <f t="shared" si="31"/>
        <v>0</v>
      </c>
      <c r="K29" s="15">
        <f t="shared" si="31"/>
        <v>0</v>
      </c>
      <c r="L29" s="15">
        <f t="shared" si="31"/>
        <v>0</v>
      </c>
      <c r="M29" s="15">
        <f t="shared" si="31"/>
        <v>18685125</v>
      </c>
      <c r="N29" s="16">
        <f t="shared" si="31"/>
        <v>24095828</v>
      </c>
      <c r="O29" s="385"/>
      <c r="P29" s="147">
        <f>SUM(P30:P31)</f>
        <v>0</v>
      </c>
      <c r="Q29" s="148">
        <f>SUM(Q30:Q31)</f>
        <v>0</v>
      </c>
      <c r="S29" s="720" t="str">
        <f>+IF(MAYO!S29=0,"",MAYO!S29)</f>
        <v>1010104-11</v>
      </c>
      <c r="T29" s="694" t="str">
        <f>+IF(MAYO!T29=0,"",MAYO!T29)</f>
        <v>Gastos de Representación</v>
      </c>
      <c r="U29" s="27">
        <f>+ENERO!U29</f>
        <v>0</v>
      </c>
      <c r="V29" s="15">
        <f>MAYO!V29+JUNIO!AL29</f>
        <v>0</v>
      </c>
      <c r="W29" s="15">
        <f>MAYO!W29+JUNIO!AM29</f>
        <v>0</v>
      </c>
      <c r="X29" s="18">
        <f t="shared" si="17"/>
        <v>0</v>
      </c>
      <c r="Y29" s="19">
        <f>MAYO!AA29</f>
        <v>0</v>
      </c>
      <c r="Z29" s="377">
        <v>0</v>
      </c>
      <c r="AA29" s="18">
        <f t="shared" si="18"/>
        <v>0</v>
      </c>
      <c r="AB29" s="19">
        <f>MAYO!AD29</f>
        <v>0</v>
      </c>
      <c r="AC29" s="377">
        <v>0</v>
      </c>
      <c r="AD29" s="18">
        <f t="shared" si="19"/>
        <v>0</v>
      </c>
      <c r="AE29" s="19">
        <f>MAYO!AG29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412000000</v>
      </c>
      <c r="BO29" s="107">
        <f>AA232-AA256-AA241</f>
        <v>120161334</v>
      </c>
      <c r="BP29" s="107">
        <f>AD232-AD256-AD241</f>
        <v>24780000</v>
      </c>
      <c r="BQ29" s="108">
        <f>AF232-AF256-AF241</f>
        <v>8430000</v>
      </c>
      <c r="BR29" s="385"/>
    </row>
    <row r="30" spans="1:70" s="425" customFormat="1" ht="24.95" customHeight="1" x14ac:dyDescent="0.25">
      <c r="A30" s="618" t="str">
        <f>+IF(MAYO!A30=0,"",MAYO!A30)</f>
        <v>1130103-1-1</v>
      </c>
      <c r="B30" s="654" t="str">
        <f>+CONCATENATE("Vigencia ",INSTRUCCIONES!$F$3)</f>
        <v>Vigencia 2015</v>
      </c>
      <c r="C30" s="375">
        <f>+ENERO!C30</f>
        <v>24095828</v>
      </c>
      <c r="D30" s="376">
        <f>MAYO!D30+JUNIO!P30</f>
        <v>0</v>
      </c>
      <c r="E30" s="376">
        <f>MAYO!E30+JUNIO!Q30</f>
        <v>0</v>
      </c>
      <c r="F30" s="376">
        <f>SUM(C30:E30)</f>
        <v>24095828</v>
      </c>
      <c r="G30" s="376">
        <f>MAYO!I30</f>
        <v>5410703</v>
      </c>
      <c r="H30" s="377">
        <v>0</v>
      </c>
      <c r="I30" s="376">
        <f>SUM(G30:H30)</f>
        <v>5410703</v>
      </c>
      <c r="J30" s="376">
        <f>MAYO!L30</f>
        <v>0</v>
      </c>
      <c r="K30" s="377">
        <v>0</v>
      </c>
      <c r="L30" s="376">
        <f>SUM(J30:K30)</f>
        <v>0</v>
      </c>
      <c r="M30" s="376">
        <f>F30-I30</f>
        <v>18685125</v>
      </c>
      <c r="N30" s="146">
        <f>F30-L30</f>
        <v>24095828</v>
      </c>
      <c r="O30" s="9"/>
      <c r="P30" s="375">
        <v>0</v>
      </c>
      <c r="Q30" s="378">
        <v>0</v>
      </c>
      <c r="R30" s="9"/>
      <c r="S30" s="720" t="str">
        <f>+IF(MAYO!S30=0,"",MAYO!S30)</f>
        <v>1010104-12</v>
      </c>
      <c r="T30" s="694" t="str">
        <f>+IF(MAYO!T30=0,"",MAYO!T30)</f>
        <v xml:space="preserve"> Indemnizaciones por Vacaciones o Supresión de Cargos por Reestructuración</v>
      </c>
      <c r="U30" s="27">
        <f>+ENERO!U30</f>
        <v>0</v>
      </c>
      <c r="V30" s="15">
        <f>MAYO!V30+JUNIO!AL30</f>
        <v>0</v>
      </c>
      <c r="W30" s="15">
        <f>MAYO!W30+JUNIO!AM30</f>
        <v>0</v>
      </c>
      <c r="X30" s="18">
        <f t="shared" si="17"/>
        <v>0</v>
      </c>
      <c r="Y30" s="19">
        <f>MAYO!AA30</f>
        <v>0</v>
      </c>
      <c r="Z30" s="377">
        <v>0</v>
      </c>
      <c r="AA30" s="18">
        <f t="shared" si="18"/>
        <v>0</v>
      </c>
      <c r="AB30" s="19">
        <f>MAYO!AD30</f>
        <v>0</v>
      </c>
      <c r="AC30" s="377">
        <v>0</v>
      </c>
      <c r="AD30" s="18">
        <f t="shared" si="19"/>
        <v>0</v>
      </c>
      <c r="AE30" s="19">
        <f>MAYO!AG30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412000000</v>
      </c>
      <c r="AR30" s="376">
        <f>AD220+AD232</f>
        <v>24780000</v>
      </c>
      <c r="AS30" s="376">
        <f>AG220+AG232</f>
        <v>21330000</v>
      </c>
      <c r="AT30" s="434"/>
      <c r="AU30" s="376">
        <f t="shared" si="25"/>
        <v>6.0145631067961162E-2</v>
      </c>
      <c r="AV30" s="376">
        <f t="shared" si="26"/>
        <v>5.1771844660194175E-2</v>
      </c>
      <c r="AW30" s="376">
        <f>(AR30-AD225-AD230-AD241-AD256)/$AO$2*12+AD225+AD230+AD241+AD256</f>
        <v>49560000</v>
      </c>
      <c r="AX30" s="376">
        <f>(AS30-AG225-AG230-AG241-AG256)/$AO$2*12+AG225+AG230+AG241+AG256</f>
        <v>42660000</v>
      </c>
      <c r="AY30" s="376">
        <f t="shared" si="27"/>
        <v>-362440000</v>
      </c>
      <c r="AZ30" s="146">
        <f t="shared" si="28"/>
        <v>369340000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+IF(MAYO!A31=0,"",MAYO!A31)</f>
        <v>1130103-1-2</v>
      </c>
      <c r="B31" s="654" t="str">
        <f>+IF(MAYO!B31=0,"",MAYO!B31)</f>
        <v>Vigencia Anterior</v>
      </c>
      <c r="C31" s="375">
        <f>+ENERO!C31</f>
        <v>0</v>
      </c>
      <c r="D31" s="376">
        <f>MAYO!D31+JUNIO!P31</f>
        <v>0</v>
      </c>
      <c r="E31" s="376">
        <f>MAYO!E31+JUNIO!Q31</f>
        <v>0</v>
      </c>
      <c r="F31" s="376">
        <f>SUM(C31:E31)</f>
        <v>0</v>
      </c>
      <c r="G31" s="376">
        <f>MAYO!I31</f>
        <v>0</v>
      </c>
      <c r="H31" s="377">
        <v>0</v>
      </c>
      <c r="I31" s="376">
        <f>SUM(G31:H31)</f>
        <v>0</v>
      </c>
      <c r="J31" s="376">
        <f>MAYO!L31</f>
        <v>0</v>
      </c>
      <c r="K31" s="377">
        <v>0</v>
      </c>
      <c r="L31" s="376">
        <f>SUM(J31:K31)</f>
        <v>0</v>
      </c>
      <c r="M31" s="376">
        <f>F31-I31</f>
        <v>0</v>
      </c>
      <c r="N31" s="146">
        <f>F31-L31</f>
        <v>0</v>
      </c>
      <c r="O31" s="385"/>
      <c r="P31" s="375">
        <v>0</v>
      </c>
      <c r="Q31" s="378">
        <v>0</v>
      </c>
      <c r="R31" s="9"/>
      <c r="S31" s="720" t="str">
        <f>+IF(MAYO!S31=0,"",MAYO!S31)</f>
        <v>1010104-13</v>
      </c>
      <c r="T31" s="694" t="str">
        <f>+IF(MAYO!T31=0,"",MAYO!T31)</f>
        <v>Bonificación Especial por Recreación</v>
      </c>
      <c r="U31" s="27">
        <f>+ENERO!U31</f>
        <v>1691144</v>
      </c>
      <c r="V31" s="15">
        <f>MAYO!V31+JUNIO!AL31</f>
        <v>0</v>
      </c>
      <c r="W31" s="15">
        <f>MAYO!W31+JUNIO!AM31</f>
        <v>0</v>
      </c>
      <c r="X31" s="18">
        <f t="shared" si="17"/>
        <v>1691144</v>
      </c>
      <c r="Y31" s="19">
        <f>MAYO!AA31</f>
        <v>151937</v>
      </c>
      <c r="Z31" s="377">
        <v>131925</v>
      </c>
      <c r="AA31" s="18">
        <f t="shared" si="18"/>
        <v>283862</v>
      </c>
      <c r="AB31" s="19">
        <f>MAYO!AD31</f>
        <v>151937</v>
      </c>
      <c r="AC31" s="377">
        <v>131925</v>
      </c>
      <c r="AD31" s="18">
        <f t="shared" si="19"/>
        <v>283862</v>
      </c>
      <c r="AE31" s="19">
        <f>MAYO!AG31</f>
        <v>151937</v>
      </c>
      <c r="AF31" s="377">
        <v>131925</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-384342507</v>
      </c>
      <c r="AS31" s="434">
        <f>AG258</f>
        <v>-1368771190</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780870</v>
      </c>
      <c r="BR31" s="9"/>
    </row>
    <row r="32" spans="1:70" s="9" customFormat="1" ht="24.95" customHeight="1" thickBot="1" x14ac:dyDescent="0.3">
      <c r="A32" s="618" t="str">
        <f>+IF(MAYO!A32=0,"",MAYO!A32)</f>
        <v>1130103-2</v>
      </c>
      <c r="B32" s="655" t="str">
        <f>+IF(MAYO!B32=0,"",MAYO!B32)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+IF(MAYO!S32=0,"",MAYO!S32)</f>
        <v>1010104-14</v>
      </c>
      <c r="T32" s="694" t="str">
        <f>+IF(MAYO!T32=0,"",MAYO!T32)</f>
        <v/>
      </c>
      <c r="U32" s="27">
        <f>+ENERO!U32</f>
        <v>0</v>
      </c>
      <c r="V32" s="15">
        <f>MAYO!V32+JUNIO!AL32</f>
        <v>0</v>
      </c>
      <c r="W32" s="15">
        <f>MAYO!W32+JUNIO!AM32</f>
        <v>0</v>
      </c>
      <c r="X32" s="18">
        <f t="shared" si="17"/>
        <v>0</v>
      </c>
      <c r="Y32" s="19">
        <f>MAYO!AA32</f>
        <v>0</v>
      </c>
      <c r="Z32" s="377">
        <v>0</v>
      </c>
      <c r="AA32" s="18">
        <f t="shared" si="18"/>
        <v>0</v>
      </c>
      <c r="AB32" s="19">
        <f>MAYO!AD32</f>
        <v>0</v>
      </c>
      <c r="AC32" s="377">
        <v>0</v>
      </c>
      <c r="AD32" s="18">
        <f t="shared" si="19"/>
        <v>0</v>
      </c>
      <c r="AE32" s="19">
        <f>MAYO!AG32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1359953818</v>
      </c>
      <c r="AS32" s="398">
        <f>SUM(AS22:AS31)</f>
        <v>0</v>
      </c>
      <c r="AT32" s="444"/>
      <c r="AU32" s="445">
        <f t="shared" si="25"/>
        <v>0.34954854184116568</v>
      </c>
      <c r="AV32" s="445">
        <f t="shared" si="26"/>
        <v>0</v>
      </c>
      <c r="AW32" s="354">
        <f>SUM(AW22:AW31)</f>
        <v>3312936989.166667</v>
      </c>
      <c r="AX32" s="354">
        <f>SUM(AX22:AX31)</f>
        <v>2607725484.166667</v>
      </c>
      <c r="AY32" s="354">
        <f>SUM(AY22:AY31)</f>
        <v>-577663757.83333325</v>
      </c>
      <c r="AZ32" s="355">
        <f>SUM(AZ22:AZ31)</f>
        <v>1282875262.8333333</v>
      </c>
      <c r="BA32" s="385"/>
      <c r="BB32" s="425"/>
      <c r="BC32" s="425"/>
      <c r="BD32" s="425"/>
      <c r="BE32" s="425"/>
      <c r="BF32" s="425"/>
      <c r="BG32" s="385"/>
      <c r="BH32" s="385"/>
      <c r="BI32" s="385"/>
      <c r="BJ32" s="385"/>
      <c r="BK32" s="385"/>
      <c r="BM32" s="110" t="s">
        <v>140</v>
      </c>
      <c r="BN32" s="106">
        <f>+BN7+BN25+BN29+BN30+BN31</f>
        <v>3890600747</v>
      </c>
      <c r="BO32" s="107">
        <f>+BO7+BO25+BO29+BO30+BO31</f>
        <v>2130680353</v>
      </c>
      <c r="BP32" s="107">
        <f>+BP7+BP25+BP29+BP30+BP31</f>
        <v>1744296325</v>
      </c>
      <c r="BQ32" s="108">
        <f>+BQ7+BQ25+BQ29+BQ30+BQ31</f>
        <v>197724702</v>
      </c>
      <c r="BR32" s="385"/>
    </row>
    <row r="33" spans="1:70" s="425" customFormat="1" ht="24.95" customHeight="1" thickBot="1" x14ac:dyDescent="0.3">
      <c r="A33" s="618" t="str">
        <f>+IF(MAYO!A33=0,"",MAYO!A33)</f>
        <v>1130103-2-1</v>
      </c>
      <c r="B33" s="654" t="str">
        <f>+CONCATENATE("Vigencia ",INSTRUCCIONES!$F$3)</f>
        <v>Vigencia 2015</v>
      </c>
      <c r="C33" s="375">
        <f>+ENERO!C33</f>
        <v>0</v>
      </c>
      <c r="D33" s="376">
        <f>MAYO!D33+JUNIO!P33</f>
        <v>0</v>
      </c>
      <c r="E33" s="376">
        <f>MAYO!E33+JUNIO!Q33</f>
        <v>0</v>
      </c>
      <c r="F33" s="376">
        <f>SUM(C33:E33)</f>
        <v>0</v>
      </c>
      <c r="G33" s="376">
        <f>MAYO!I33</f>
        <v>0</v>
      </c>
      <c r="H33" s="377">
        <v>0</v>
      </c>
      <c r="I33" s="376">
        <f>SUM(G33:H33)</f>
        <v>0</v>
      </c>
      <c r="J33" s="376">
        <f>MAYO!L33</f>
        <v>0</v>
      </c>
      <c r="K33" s="377">
        <v>0</v>
      </c>
      <c r="L33" s="376">
        <f>SUM(J33:K33)</f>
        <v>0</v>
      </c>
      <c r="M33" s="376">
        <f>F33-I33</f>
        <v>0</v>
      </c>
      <c r="N33" s="146">
        <f>F33-L33</f>
        <v>0</v>
      </c>
      <c r="O33" s="9"/>
      <c r="P33" s="375">
        <v>0</v>
      </c>
      <c r="Q33" s="378">
        <v>0</v>
      </c>
      <c r="R33" s="9"/>
      <c r="S33" s="719">
        <f>+IF(MAYO!S33=0,"",MAYO!S33)</f>
        <v>1010199</v>
      </c>
      <c r="T33" s="693" t="str">
        <f>+IF(MAYO!T33=0,"",MAYO!T33)</f>
        <v>Vigencias Anteriores</v>
      </c>
      <c r="U33" s="27">
        <f>+ENERO!U33</f>
        <v>0</v>
      </c>
      <c r="V33" s="15">
        <f>MAYO!V33+JUNIO!AL33</f>
        <v>0</v>
      </c>
      <c r="W33" s="15">
        <f>MAYO!W33+JUNIO!AM33</f>
        <v>2702630</v>
      </c>
      <c r="X33" s="18">
        <f t="shared" si="17"/>
        <v>2702630</v>
      </c>
      <c r="Y33" s="19">
        <f>MAYO!AA33</f>
        <v>2702630</v>
      </c>
      <c r="Z33" s="377">
        <v>0</v>
      </c>
      <c r="AA33" s="18">
        <f t="shared" si="18"/>
        <v>2702630</v>
      </c>
      <c r="AB33" s="19">
        <f>MAYO!AD33</f>
        <v>2702630</v>
      </c>
      <c r="AC33" s="377">
        <v>0</v>
      </c>
      <c r="AD33" s="18">
        <f t="shared" si="19"/>
        <v>2702630</v>
      </c>
      <c r="AE33" s="19">
        <f>MAYO!AG33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15456</v>
      </c>
      <c r="BP33" s="113">
        <f>AD258</f>
        <v>-384342507</v>
      </c>
      <c r="BQ33" s="114">
        <f>AF258</f>
        <v>2332922227</v>
      </c>
      <c r="BR33" s="385"/>
    </row>
    <row r="34" spans="1:70" s="425" customFormat="1" ht="24.95" customHeight="1" thickBot="1" x14ac:dyDescent="0.25">
      <c r="A34" s="618" t="str">
        <f>+IF(MAYO!A34=0,"",MAYO!A34)</f>
        <v>1130103-2-2</v>
      </c>
      <c r="B34" s="654" t="str">
        <f>+IF(MAYO!B34=0,"",MAYO!B34)</f>
        <v>Vigencia Anterior</v>
      </c>
      <c r="C34" s="375">
        <f>+ENERO!C34</f>
        <v>0</v>
      </c>
      <c r="D34" s="376">
        <f>MAYO!D34+JUNIO!P34</f>
        <v>0</v>
      </c>
      <c r="E34" s="376">
        <f>MAYO!E34+JUNIO!Q34</f>
        <v>0</v>
      </c>
      <c r="F34" s="376">
        <f>SUM(C34:E34)</f>
        <v>0</v>
      </c>
      <c r="G34" s="376">
        <f>MAYO!I34</f>
        <v>0</v>
      </c>
      <c r="H34" s="377">
        <v>0</v>
      </c>
      <c r="I34" s="376">
        <f>SUM(G34:H34)</f>
        <v>0</v>
      </c>
      <c r="J34" s="376">
        <f>MAYO!L34</f>
        <v>0</v>
      </c>
      <c r="K34" s="377">
        <v>0</v>
      </c>
      <c r="L34" s="376">
        <f>SUM(J34:K34)</f>
        <v>0</v>
      </c>
      <c r="M34" s="376">
        <f>F34-I34</f>
        <v>0</v>
      </c>
      <c r="N34" s="146">
        <f>F34-L34</f>
        <v>0</v>
      </c>
      <c r="O34" s="385"/>
      <c r="P34" s="375">
        <v>0</v>
      </c>
      <c r="Q34" s="378">
        <v>0</v>
      </c>
      <c r="R34" s="9"/>
      <c r="S34" s="369" t="str">
        <f>+IF(MAYO!S34=0,"",MAYO!S34)</f>
        <v/>
      </c>
      <c r="T34" s="708" t="str">
        <f>+IF(MAYO!T34=0,"",MAYO!T34)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+IF(MAYO!A35=0,"",MAYO!A35)</f>
        <v>1130103-3</v>
      </c>
      <c r="B35" s="655" t="str">
        <f>+IF(MAYO!B35=0,"",MAYO!B35)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+IF(MAYO!S35=0,"",MAYO!S35)</f>
        <v>1010200</v>
      </c>
      <c r="T35" s="692" t="str">
        <f>+IF(MAYO!T35=0,"",MAYO!T35)</f>
        <v>Servicios Personales Indirectos</v>
      </c>
      <c r="U35" s="135">
        <f t="shared" ref="U35:AJ35" si="34">SUM(U36:U41)</f>
        <v>215072393</v>
      </c>
      <c r="V35" s="124">
        <f t="shared" si="34"/>
        <v>0</v>
      </c>
      <c r="W35" s="124">
        <f t="shared" si="34"/>
        <v>27070478</v>
      </c>
      <c r="X35" s="132">
        <f t="shared" si="34"/>
        <v>242142871</v>
      </c>
      <c r="Y35" s="131">
        <f t="shared" si="34"/>
        <v>182170978</v>
      </c>
      <c r="Z35" s="124">
        <f t="shared" si="34"/>
        <v>44630000</v>
      </c>
      <c r="AA35" s="132">
        <f t="shared" si="34"/>
        <v>226800978</v>
      </c>
      <c r="AB35" s="131">
        <f t="shared" si="34"/>
        <v>87594148</v>
      </c>
      <c r="AC35" s="124">
        <f t="shared" si="34"/>
        <v>20636370</v>
      </c>
      <c r="AD35" s="132">
        <f t="shared" si="34"/>
        <v>108230518</v>
      </c>
      <c r="AE35" s="131">
        <f t="shared" si="34"/>
        <v>61271924</v>
      </c>
      <c r="AF35" s="124">
        <f t="shared" si="34"/>
        <v>12225000</v>
      </c>
      <c r="AG35" s="132">
        <f t="shared" si="34"/>
        <v>73496924</v>
      </c>
      <c r="AH35" s="131">
        <f t="shared" si="34"/>
        <v>15341893</v>
      </c>
      <c r="AI35" s="124">
        <f t="shared" si="34"/>
        <v>133912353</v>
      </c>
      <c r="AJ35" s="133">
        <f t="shared" si="34"/>
        <v>168645947</v>
      </c>
      <c r="AK35" s="9"/>
      <c r="AL35" s="131">
        <f>SUM(AL36:AL41)</f>
        <v>0</v>
      </c>
      <c r="AM35" s="133">
        <f>SUM(AM36:AM41)</f>
        <v>0</v>
      </c>
      <c r="AN35" s="9"/>
      <c r="AO35" s="352"/>
      <c r="AP35" s="453"/>
      <c r="AQ35" s="295"/>
      <c r="AR35" s="454"/>
      <c r="AS35" s="454"/>
      <c r="AT35" s="454"/>
      <c r="AU35" s="455">
        <f>AR17-AR32</f>
        <v>658167275</v>
      </c>
      <c r="AV35" s="456">
        <f>AS17-AR32</f>
        <v>-112574716</v>
      </c>
      <c r="AW35" s="456" t="s">
        <v>158</v>
      </c>
      <c r="AX35" s="457"/>
      <c r="AY35" s="456">
        <f>AY17+AY32</f>
        <v>-761870796.83333325</v>
      </c>
      <c r="AZ35" s="458">
        <f>AZ17+AY32</f>
        <v>-2301394306.833333</v>
      </c>
      <c r="BB35" s="425"/>
      <c r="BC35" s="425"/>
      <c r="BD35" s="425"/>
      <c r="BE35" s="425"/>
      <c r="BF35" s="425"/>
    </row>
    <row r="36" spans="1:70" s="385" customFormat="1" ht="24.95" customHeight="1" thickBot="1" x14ac:dyDescent="0.25">
      <c r="A36" s="618" t="str">
        <f>+IF(MAYO!A36=0,"",MAYO!A36)</f>
        <v>1130103-3-1</v>
      </c>
      <c r="B36" s="654" t="str">
        <f>+CONCATENATE("Vigencia ",INSTRUCCIONES!$F$3)</f>
        <v>Vigencia 2015</v>
      </c>
      <c r="C36" s="375">
        <f>+ENERO!C36</f>
        <v>0</v>
      </c>
      <c r="D36" s="376">
        <f>MAYO!D36+JUNIO!P36</f>
        <v>0</v>
      </c>
      <c r="E36" s="376">
        <f>MAYO!E36+JUNIO!Q36</f>
        <v>0</v>
      </c>
      <c r="F36" s="376">
        <f t="shared" ref="F36:F41" si="35">SUM(C36:E36)</f>
        <v>0</v>
      </c>
      <c r="G36" s="376">
        <f>MAYO!I36</f>
        <v>0</v>
      </c>
      <c r="H36" s="377">
        <v>0</v>
      </c>
      <c r="I36" s="376">
        <f t="shared" ref="I36:I41" si="36">SUM(G36:H36)</f>
        <v>0</v>
      </c>
      <c r="J36" s="376">
        <f>MAYO!L36</f>
        <v>0</v>
      </c>
      <c r="K36" s="377">
        <v>0</v>
      </c>
      <c r="L36" s="376">
        <f t="shared" ref="L36:L41" si="37">SUM(J36:K36)</f>
        <v>0</v>
      </c>
      <c r="M36" s="376">
        <f t="shared" ref="M36:M41" si="38">F36-I36</f>
        <v>0</v>
      </c>
      <c r="N36" s="146">
        <f t="shared" ref="N36:N41" si="39">F36-L36</f>
        <v>0</v>
      </c>
      <c r="O36" s="9"/>
      <c r="P36" s="375">
        <v>0</v>
      </c>
      <c r="Q36" s="378">
        <v>0</v>
      </c>
      <c r="R36" s="9"/>
      <c r="S36" s="719" t="str">
        <f>+IF(MAYO!S36=0,"",MAYO!S36)</f>
        <v>1010200-1</v>
      </c>
      <c r="T36" s="693" t="str">
        <f>+IF(MAYO!T36=0,"",MAYO!T36)</f>
        <v>Remuneración y Honorarios por Servicios Técnicos y Profesionales</v>
      </c>
      <c r="U36" s="27">
        <f>+ENERO!U36</f>
        <v>213224393</v>
      </c>
      <c r="V36" s="15">
        <f>MAYO!V36+JUNIO!AL36</f>
        <v>0</v>
      </c>
      <c r="W36" s="15">
        <f>MAYO!W36+JUNIO!AM36</f>
        <v>0</v>
      </c>
      <c r="X36" s="18">
        <f t="shared" ref="X36:X41" si="40">SUM(U36:W36)</f>
        <v>213224393</v>
      </c>
      <c r="Y36" s="19">
        <f>MAYO!AA36</f>
        <v>155100500</v>
      </c>
      <c r="Z36" s="377">
        <v>44630000</v>
      </c>
      <c r="AA36" s="18">
        <f t="shared" ref="AA36:AA41" si="41">SUM(Y36:Z36)</f>
        <v>199730500</v>
      </c>
      <c r="AB36" s="19">
        <f>MAYO!AD36</f>
        <v>60523670</v>
      </c>
      <c r="AC36" s="377">
        <v>20636370</v>
      </c>
      <c r="AD36" s="18">
        <f t="shared" ref="AD36:AD41" si="42">SUM(AB36:AC36)</f>
        <v>81160040</v>
      </c>
      <c r="AE36" s="19">
        <f>MAYO!AG36</f>
        <v>43001300</v>
      </c>
      <c r="AF36" s="377">
        <v>12225000</v>
      </c>
      <c r="AG36" s="18">
        <f t="shared" ref="AG36:AG41" si="43">SUM(AE36:AF36)</f>
        <v>55226300</v>
      </c>
      <c r="AH36" s="19">
        <f t="shared" ref="AH36:AH41" si="44">X36-AA36</f>
        <v>13493893</v>
      </c>
      <c r="AI36" s="15">
        <f t="shared" ref="AI36:AI41" si="45">X36-AD36</f>
        <v>132064353</v>
      </c>
      <c r="AJ36" s="16">
        <f t="shared" ref="AJ36:AJ41" si="46">X36-AG36</f>
        <v>157998093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+IF(MAYO!A37=0,"",MAYO!A37)</f>
        <v>1130103-3-2</v>
      </c>
      <c r="B37" s="654" t="str">
        <f>+IF(MAYO!B37=0,"",MAYO!B37)</f>
        <v>Vigencia Anterior</v>
      </c>
      <c r="C37" s="375">
        <f>+ENERO!C37</f>
        <v>0</v>
      </c>
      <c r="D37" s="376">
        <f>MAYO!D37+JUNIO!P37</f>
        <v>0</v>
      </c>
      <c r="E37" s="376">
        <f>MAYO!E37+JUNIO!Q37</f>
        <v>0</v>
      </c>
      <c r="F37" s="376">
        <f t="shared" si="35"/>
        <v>0</v>
      </c>
      <c r="G37" s="376">
        <f>MAYO!I37</f>
        <v>0</v>
      </c>
      <c r="H37" s="377">
        <v>0</v>
      </c>
      <c r="I37" s="376">
        <f t="shared" si="36"/>
        <v>0</v>
      </c>
      <c r="J37" s="376">
        <f>MAYO!L37</f>
        <v>0</v>
      </c>
      <c r="K37" s="377">
        <v>0</v>
      </c>
      <c r="L37" s="376">
        <f t="shared" si="37"/>
        <v>0</v>
      </c>
      <c r="M37" s="376">
        <f t="shared" si="38"/>
        <v>0</v>
      </c>
      <c r="N37" s="146">
        <f t="shared" si="39"/>
        <v>0</v>
      </c>
      <c r="P37" s="375">
        <v>0</v>
      </c>
      <c r="Q37" s="378">
        <v>0</v>
      </c>
      <c r="R37" s="9"/>
      <c r="S37" s="719" t="str">
        <f>+IF(MAYO!S37=0,"",MAYO!S37)</f>
        <v>1010200-2</v>
      </c>
      <c r="T37" s="693" t="str">
        <f>+IF(MAYO!T37=0,"",MAYO!T37)</f>
        <v>Personal Supernumerario</v>
      </c>
      <c r="U37" s="27">
        <f>+ENERO!U37</f>
        <v>0</v>
      </c>
      <c r="V37" s="15">
        <f>MAYO!V37+JUNIO!AL37</f>
        <v>0</v>
      </c>
      <c r="W37" s="15">
        <f>MAYO!W37+JUNIO!AM37</f>
        <v>0</v>
      </c>
      <c r="X37" s="18">
        <f t="shared" si="40"/>
        <v>0</v>
      </c>
      <c r="Y37" s="19">
        <f>MAYO!AA37</f>
        <v>0</v>
      </c>
      <c r="Z37" s="377">
        <v>0</v>
      </c>
      <c r="AA37" s="18">
        <f t="shared" si="41"/>
        <v>0</v>
      </c>
      <c r="AB37" s="19">
        <f>MAYO!AD37</f>
        <v>0</v>
      </c>
      <c r="AC37" s="377">
        <v>0</v>
      </c>
      <c r="AD37" s="18">
        <f t="shared" si="42"/>
        <v>0</v>
      </c>
      <c r="AE37" s="19">
        <f>MAYO!AG37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+IF(MAYO!A38=0,"",MAYO!A38)</f>
        <v>1130103-4</v>
      </c>
      <c r="B38" s="656" t="str">
        <f>+IF(MAYO!B38=0,"",MAYO!B38)</f>
        <v xml:space="preserve"> Aportes Patronales  1o. Nivel</v>
      </c>
      <c r="C38" s="375">
        <f>+ENERO!C38</f>
        <v>326631000</v>
      </c>
      <c r="D38" s="376">
        <f>MAYO!D38+JUNIO!P38</f>
        <v>0</v>
      </c>
      <c r="E38" s="376">
        <f>MAYO!E38+JUNIO!Q38</f>
        <v>0</v>
      </c>
      <c r="F38" s="376">
        <f t="shared" si="35"/>
        <v>326631000</v>
      </c>
      <c r="G38" s="376">
        <f>MAYO!I38</f>
        <v>135874290</v>
      </c>
      <c r="H38" s="377">
        <v>25429407</v>
      </c>
      <c r="I38" s="376">
        <f t="shared" si="36"/>
        <v>161303697</v>
      </c>
      <c r="J38" s="376">
        <f>MAYO!L38</f>
        <v>124078235</v>
      </c>
      <c r="K38" s="377">
        <v>24815647</v>
      </c>
      <c r="L38" s="376">
        <f t="shared" si="37"/>
        <v>148893882</v>
      </c>
      <c r="M38" s="376">
        <f t="shared" si="38"/>
        <v>165327303</v>
      </c>
      <c r="N38" s="146">
        <f t="shared" si="39"/>
        <v>177737118</v>
      </c>
      <c r="O38" s="533"/>
      <c r="P38" s="375">
        <v>0</v>
      </c>
      <c r="Q38" s="378">
        <v>0</v>
      </c>
      <c r="R38" s="9"/>
      <c r="S38" s="719" t="str">
        <f>+IF(MAYO!S38=0,"",MAYO!S38)</f>
        <v>1010200-3</v>
      </c>
      <c r="T38" s="693" t="str">
        <f>+IF(MAYO!T38=0,"",MAYO!T38)</f>
        <v>Honorarios de la Junta Directiva</v>
      </c>
      <c r="U38" s="27">
        <f>+ENERO!U38</f>
        <v>1848000</v>
      </c>
      <c r="V38" s="15">
        <f>MAYO!V38+JUNIO!AL38</f>
        <v>0</v>
      </c>
      <c r="W38" s="15">
        <f>MAYO!W38+JUNIO!AM38</f>
        <v>0</v>
      </c>
      <c r="X38" s="18">
        <f t="shared" si="40"/>
        <v>1848000</v>
      </c>
      <c r="Y38" s="19">
        <f>MAYO!AA38</f>
        <v>0</v>
      </c>
      <c r="Z38" s="377">
        <v>0</v>
      </c>
      <c r="AA38" s="18">
        <f t="shared" si="41"/>
        <v>0</v>
      </c>
      <c r="AB38" s="19">
        <f>MAYO!AD38</f>
        <v>0</v>
      </c>
      <c r="AC38" s="377">
        <v>0</v>
      </c>
      <c r="AD38" s="18">
        <f t="shared" si="42"/>
        <v>0</v>
      </c>
      <c r="AE38" s="19">
        <f>MAYO!AG38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+IF(MAYO!A39=0,"",MAYO!A39)</f>
        <v>1130103-5</v>
      </c>
      <c r="B39" s="656" t="str">
        <f>+IF(MAYO!B39=0,"",MAYO!B39)</f>
        <v xml:space="preserve"> Aportes Patronales  2o. Nivel</v>
      </c>
      <c r="C39" s="375">
        <f>+ENERO!C39</f>
        <v>0</v>
      </c>
      <c r="D39" s="376">
        <f>MAYO!D39+JUNIO!P39</f>
        <v>0</v>
      </c>
      <c r="E39" s="376">
        <f>MAYO!E39+JUNIO!Q39</f>
        <v>0</v>
      </c>
      <c r="F39" s="376">
        <f t="shared" si="35"/>
        <v>0</v>
      </c>
      <c r="G39" s="376">
        <f>MAYO!I39</f>
        <v>0</v>
      </c>
      <c r="H39" s="377">
        <v>0</v>
      </c>
      <c r="I39" s="376">
        <f t="shared" si="36"/>
        <v>0</v>
      </c>
      <c r="J39" s="376">
        <f>MAYO!L39</f>
        <v>0</v>
      </c>
      <c r="K39" s="377">
        <v>0</v>
      </c>
      <c r="L39" s="376">
        <f t="shared" si="37"/>
        <v>0</v>
      </c>
      <c r="M39" s="376">
        <f t="shared" si="38"/>
        <v>0</v>
      </c>
      <c r="N39" s="146">
        <f t="shared" si="39"/>
        <v>0</v>
      </c>
      <c r="O39" s="533"/>
      <c r="P39" s="375">
        <v>0</v>
      </c>
      <c r="Q39" s="378">
        <v>0</v>
      </c>
      <c r="R39" s="9"/>
      <c r="S39" s="719" t="str">
        <f>+IF(MAYO!S39=0,"",MAYO!S39)</f>
        <v>1010200-4</v>
      </c>
      <c r="T39" s="693" t="str">
        <f>+IF(MAYO!T39=0,"",MAYO!T39)</f>
        <v>Otros Honorarios (Servicios de Cooperativa)</v>
      </c>
      <c r="U39" s="27">
        <f>+ENERO!U39</f>
        <v>0</v>
      </c>
      <c r="V39" s="15">
        <f>MAYO!V39+JUNIO!AL39</f>
        <v>0</v>
      </c>
      <c r="W39" s="15">
        <f>MAYO!W39+JUNIO!AM39</f>
        <v>0</v>
      </c>
      <c r="X39" s="18">
        <f t="shared" si="40"/>
        <v>0</v>
      </c>
      <c r="Y39" s="19">
        <f>MAYO!AA39</f>
        <v>0</v>
      </c>
      <c r="Z39" s="377">
        <v>0</v>
      </c>
      <c r="AA39" s="18">
        <f t="shared" si="41"/>
        <v>0</v>
      </c>
      <c r="AB39" s="19">
        <f>MAYO!AD39</f>
        <v>0</v>
      </c>
      <c r="AC39" s="377">
        <v>0</v>
      </c>
      <c r="AD39" s="18">
        <f t="shared" si="42"/>
        <v>0</v>
      </c>
      <c r="AE39" s="19">
        <f>MAYO!AG39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+IF(MAYO!A40=0,"",MAYO!A40)</f>
        <v>1130103-6</v>
      </c>
      <c r="B40" s="656" t="str">
        <f>+IF(MAYO!B40=0,"",MAYO!B40)</f>
        <v xml:space="preserve"> Aportes Patronales  3er. Nivel</v>
      </c>
      <c r="C40" s="375">
        <f>+ENERO!C40</f>
        <v>0</v>
      </c>
      <c r="D40" s="376">
        <f>MAYO!D40+JUNIO!P40</f>
        <v>0</v>
      </c>
      <c r="E40" s="376">
        <f>MAYO!E40+JUNIO!Q40</f>
        <v>0</v>
      </c>
      <c r="F40" s="376">
        <f t="shared" si="35"/>
        <v>0</v>
      </c>
      <c r="G40" s="376">
        <f>MAYO!I40</f>
        <v>0</v>
      </c>
      <c r="H40" s="377">
        <v>0</v>
      </c>
      <c r="I40" s="376">
        <f t="shared" si="36"/>
        <v>0</v>
      </c>
      <c r="J40" s="376">
        <f>MAYO!L40</f>
        <v>0</v>
      </c>
      <c r="K40" s="377">
        <v>0</v>
      </c>
      <c r="L40" s="376">
        <f t="shared" si="37"/>
        <v>0</v>
      </c>
      <c r="M40" s="376">
        <f t="shared" si="38"/>
        <v>0</v>
      </c>
      <c r="N40" s="146">
        <f t="shared" si="39"/>
        <v>0</v>
      </c>
      <c r="O40" s="533"/>
      <c r="P40" s="375">
        <v>0</v>
      </c>
      <c r="Q40" s="378">
        <v>0</v>
      </c>
      <c r="R40" s="9"/>
      <c r="S40" s="719" t="str">
        <f>+IF(MAYO!S40=0,"",MAYO!S40)</f>
        <v>1010200-6</v>
      </c>
      <c r="T40" s="693" t="str">
        <f>+IF(MAYO!T40=0,"",MAYO!T40)</f>
        <v>Certificación, Habilitación y Acreditación</v>
      </c>
      <c r="U40" s="27">
        <f>+ENERO!U40</f>
        <v>0</v>
      </c>
      <c r="V40" s="15">
        <f>MAYO!V40+JUNIO!AL40</f>
        <v>0</v>
      </c>
      <c r="W40" s="15">
        <f>MAYO!W40+JUNIO!AM40</f>
        <v>0</v>
      </c>
      <c r="X40" s="18">
        <f t="shared" si="40"/>
        <v>0</v>
      </c>
      <c r="Y40" s="19">
        <f>MAYO!AA40</f>
        <v>0</v>
      </c>
      <c r="Z40" s="377">
        <v>0</v>
      </c>
      <c r="AA40" s="18">
        <f t="shared" si="41"/>
        <v>0</v>
      </c>
      <c r="AB40" s="19">
        <f>MAYO!AD40</f>
        <v>0</v>
      </c>
      <c r="AC40" s="377">
        <v>0</v>
      </c>
      <c r="AD40" s="18">
        <f t="shared" si="42"/>
        <v>0</v>
      </c>
      <c r="AE40" s="19">
        <f>MAYO!AG40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+IF(MAYO!A41=0,"",MAYO!A41)</f>
        <v>1130104</v>
      </c>
      <c r="B41" s="653" t="str">
        <f>+IF(MAYO!B41=0,"",MAYO!B41)</f>
        <v>SUBSIDIO A LA OFERTA- ACTIVIDADES NO POS-S</v>
      </c>
      <c r="C41" s="375">
        <f>+ENERO!C41</f>
        <v>0</v>
      </c>
      <c r="D41" s="124">
        <f>MAYO!D41+JUNIO!P41</f>
        <v>0</v>
      </c>
      <c r="E41" s="124">
        <f>MAYO!E41+JUNIO!Q41</f>
        <v>0</v>
      </c>
      <c r="F41" s="124">
        <f t="shared" si="35"/>
        <v>0</v>
      </c>
      <c r="G41" s="124">
        <f>MAYO!I41</f>
        <v>0</v>
      </c>
      <c r="H41" s="377">
        <v>0</v>
      </c>
      <c r="I41" s="124">
        <f t="shared" si="36"/>
        <v>0</v>
      </c>
      <c r="J41" s="124">
        <f>MAYO!L41</f>
        <v>0</v>
      </c>
      <c r="K41" s="377">
        <v>0</v>
      </c>
      <c r="L41" s="124">
        <f t="shared" si="37"/>
        <v>0</v>
      </c>
      <c r="M41" s="124">
        <f t="shared" si="38"/>
        <v>0</v>
      </c>
      <c r="N41" s="133">
        <f t="shared" si="39"/>
        <v>0</v>
      </c>
      <c r="O41" s="385"/>
      <c r="P41" s="377">
        <v>0</v>
      </c>
      <c r="Q41" s="378">
        <v>0</v>
      </c>
      <c r="R41" s="9"/>
      <c r="S41" s="719">
        <f>+IF(MAYO!S41=0,"",MAYO!S41)</f>
        <v>1010299</v>
      </c>
      <c r="T41" s="693" t="str">
        <f>+IF(MAYO!T41=0,"",MAYO!T41)</f>
        <v>Vigencias Anteriores</v>
      </c>
      <c r="U41" s="27">
        <f>+ENERO!U41</f>
        <v>0</v>
      </c>
      <c r="V41" s="15">
        <f>MAYO!V41+JUNIO!AL41</f>
        <v>0</v>
      </c>
      <c r="W41" s="15">
        <f>MAYO!W41+JUNIO!AM41</f>
        <v>27070478</v>
      </c>
      <c r="X41" s="18">
        <f t="shared" si="40"/>
        <v>27070478</v>
      </c>
      <c r="Y41" s="19">
        <f>MAYO!AA41</f>
        <v>27070478</v>
      </c>
      <c r="Z41" s="377">
        <v>0</v>
      </c>
      <c r="AA41" s="18">
        <f t="shared" si="41"/>
        <v>27070478</v>
      </c>
      <c r="AB41" s="19">
        <f>MAYO!AD41</f>
        <v>27070478</v>
      </c>
      <c r="AC41" s="377">
        <v>0</v>
      </c>
      <c r="AD41" s="18">
        <f t="shared" si="42"/>
        <v>27070478</v>
      </c>
      <c r="AE41" s="19">
        <f>MAYO!AG41</f>
        <v>18270624</v>
      </c>
      <c r="AF41" s="377">
        <v>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+IF(MAYO!A42=0,"",MAYO!A42)</f>
        <v>1130106</v>
      </c>
      <c r="B42" s="653" t="str">
        <f>+IF(MAYO!B42=0,"",MAYO!B42)</f>
        <v>SALUD PUBLICA - PLAN DE INTERVENCIONES COLECTIVAS</v>
      </c>
      <c r="C42" s="43">
        <f t="shared" ref="C42:N42" si="47">SUM(C43:C44)</f>
        <v>94000000</v>
      </c>
      <c r="D42" s="44">
        <f t="shared" si="47"/>
        <v>0</v>
      </c>
      <c r="E42" s="44">
        <f t="shared" si="47"/>
        <v>17280673</v>
      </c>
      <c r="F42" s="44">
        <f t="shared" si="47"/>
        <v>111280673</v>
      </c>
      <c r="G42" s="44">
        <f t="shared" si="47"/>
        <v>27431733</v>
      </c>
      <c r="H42" s="44">
        <f t="shared" si="47"/>
        <v>7662447</v>
      </c>
      <c r="I42" s="44">
        <f t="shared" si="47"/>
        <v>35094180</v>
      </c>
      <c r="J42" s="44">
        <f t="shared" si="47"/>
        <v>27431733</v>
      </c>
      <c r="K42" s="44">
        <f t="shared" si="47"/>
        <v>7495895</v>
      </c>
      <c r="L42" s="44">
        <f t="shared" si="47"/>
        <v>34927628</v>
      </c>
      <c r="M42" s="44">
        <f t="shared" si="47"/>
        <v>76186493</v>
      </c>
      <c r="N42" s="45">
        <f t="shared" si="47"/>
        <v>76353045</v>
      </c>
      <c r="P42" s="43">
        <f>SUM(P43:P44)</f>
        <v>0</v>
      </c>
      <c r="Q42" s="45">
        <f>SUM(Q43:Q44)</f>
        <v>0</v>
      </c>
      <c r="R42" s="9"/>
      <c r="S42" s="369" t="str">
        <f>+IF(MAYO!S42=0,"",MAYO!S42)</f>
        <v/>
      </c>
      <c r="T42" s="708" t="str">
        <f>+IF(MAYO!T42=0,"",MAYO!T42)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+IF(MAYO!A43=0,"",MAYO!A43)</f>
        <v>1130106-1</v>
      </c>
      <c r="B43" s="654" t="str">
        <f>+CONCATENATE("Vigencia ",INSTRUCCIONES!$F$3)</f>
        <v>Vigencia 2015</v>
      </c>
      <c r="C43" s="375">
        <f>+ENERO!C43</f>
        <v>94000000</v>
      </c>
      <c r="D43" s="376">
        <f>MAYO!D43+JUNIO!P43</f>
        <v>0</v>
      </c>
      <c r="E43" s="376">
        <f>MAYO!E43+JUNIO!Q43</f>
        <v>17280673</v>
      </c>
      <c r="F43" s="376">
        <f>SUM(C43:E43)</f>
        <v>111280673</v>
      </c>
      <c r="G43" s="376">
        <f>MAYO!I43</f>
        <v>27431733</v>
      </c>
      <c r="H43" s="377">
        <v>7662447</v>
      </c>
      <c r="I43" s="376">
        <f>SUM(G43:H43)</f>
        <v>35094180</v>
      </c>
      <c r="J43" s="376">
        <f>MAYO!L43</f>
        <v>27431733</v>
      </c>
      <c r="K43" s="377">
        <v>7495895</v>
      </c>
      <c r="L43" s="376">
        <f>SUM(J43:K43)</f>
        <v>34927628</v>
      </c>
      <c r="M43" s="376">
        <f>F43-I43</f>
        <v>76186493</v>
      </c>
      <c r="N43" s="146">
        <f>F43-L43</f>
        <v>76353045</v>
      </c>
      <c r="O43" s="385"/>
      <c r="P43" s="375">
        <v>0</v>
      </c>
      <c r="Q43" s="378">
        <v>0</v>
      </c>
      <c r="R43" s="9"/>
      <c r="S43" s="718">
        <f>+IF(MAYO!S43=0,"",MAYO!S43)</f>
        <v>1010300</v>
      </c>
      <c r="T43" s="692" t="str">
        <f>+IF(MAYO!T43=0,"",MAYO!T43)</f>
        <v>Contribuciones Inherentes nómina al Sector Privado</v>
      </c>
      <c r="U43" s="135">
        <f t="shared" ref="U43:AJ43" si="48">U44+U49+U55</f>
        <v>111328187</v>
      </c>
      <c r="V43" s="124">
        <f t="shared" si="48"/>
        <v>0</v>
      </c>
      <c r="W43" s="124">
        <f t="shared" si="48"/>
        <v>43373015</v>
      </c>
      <c r="X43" s="132">
        <f t="shared" si="48"/>
        <v>154701202</v>
      </c>
      <c r="Y43" s="131">
        <f t="shared" si="48"/>
        <v>75881921</v>
      </c>
      <c r="Z43" s="124">
        <f t="shared" si="48"/>
        <v>6494088</v>
      </c>
      <c r="AA43" s="132">
        <f t="shared" si="48"/>
        <v>82376009</v>
      </c>
      <c r="AB43" s="131">
        <f t="shared" si="48"/>
        <v>75881921</v>
      </c>
      <c r="AC43" s="124">
        <f t="shared" si="48"/>
        <v>6494088</v>
      </c>
      <c r="AD43" s="132">
        <f t="shared" si="48"/>
        <v>82376009</v>
      </c>
      <c r="AE43" s="131">
        <f t="shared" si="48"/>
        <v>59995312</v>
      </c>
      <c r="AF43" s="124">
        <f t="shared" si="48"/>
        <v>6479388</v>
      </c>
      <c r="AG43" s="132">
        <f t="shared" si="48"/>
        <v>66474700</v>
      </c>
      <c r="AH43" s="131">
        <f t="shared" si="48"/>
        <v>72325193</v>
      </c>
      <c r="AI43" s="124">
        <f t="shared" si="48"/>
        <v>72325193</v>
      </c>
      <c r="AJ43" s="133">
        <f t="shared" si="48"/>
        <v>88226502</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+IF(MAYO!A44=0,"",MAYO!A44)</f>
        <v>1130106-2</v>
      </c>
      <c r="B44" s="654" t="str">
        <f>+IF(MAYO!B44=0,"",MAYO!B44)</f>
        <v>Vigencia Anterior</v>
      </c>
      <c r="C44" s="375">
        <f>+ENERO!C44</f>
        <v>0</v>
      </c>
      <c r="D44" s="376">
        <f>MAYO!D44+JUNIO!P44</f>
        <v>0</v>
      </c>
      <c r="E44" s="376">
        <f>MAYO!E44+JUNIO!Q44</f>
        <v>0</v>
      </c>
      <c r="F44" s="376">
        <f>SUM(C44:E44)</f>
        <v>0</v>
      </c>
      <c r="G44" s="376">
        <f>MAYO!I44</f>
        <v>0</v>
      </c>
      <c r="H44" s="377">
        <v>0</v>
      </c>
      <c r="I44" s="376">
        <f>SUM(G44:H44)</f>
        <v>0</v>
      </c>
      <c r="J44" s="376">
        <f>MAYO!L44</f>
        <v>0</v>
      </c>
      <c r="K44" s="377">
        <v>0</v>
      </c>
      <c r="L44" s="376">
        <f>SUM(J44:K44)</f>
        <v>0</v>
      </c>
      <c r="M44" s="376">
        <f>F44-I44</f>
        <v>0</v>
      </c>
      <c r="N44" s="146">
        <f>F44-L44</f>
        <v>0</v>
      </c>
      <c r="O44" s="385"/>
      <c r="P44" s="375">
        <v>0</v>
      </c>
      <c r="Q44" s="378">
        <v>0</v>
      </c>
      <c r="R44" s="9"/>
      <c r="S44" s="719">
        <f>+IF(MAYO!S44=0,"",MAYO!S44)</f>
        <v>1010301</v>
      </c>
      <c r="T44" s="693" t="str">
        <f>+IF(MAYO!T44=0,"",MAYO!T44)</f>
        <v>Contribuciones - Sin Situación de Fondos</v>
      </c>
      <c r="U44" s="27">
        <f t="shared" ref="U44:AJ44" si="49">SUM(U45:U48)</f>
        <v>96536264</v>
      </c>
      <c r="V44" s="15">
        <f t="shared" si="49"/>
        <v>0</v>
      </c>
      <c r="W44" s="15">
        <f t="shared" si="49"/>
        <v>0</v>
      </c>
      <c r="X44" s="18">
        <f t="shared" si="49"/>
        <v>96536264</v>
      </c>
      <c r="Y44" s="19">
        <f t="shared" si="49"/>
        <v>27812606</v>
      </c>
      <c r="Z44" s="145">
        <f t="shared" si="49"/>
        <v>5479988</v>
      </c>
      <c r="AA44" s="18">
        <f t="shared" si="49"/>
        <v>33292594</v>
      </c>
      <c r="AB44" s="19">
        <f t="shared" si="49"/>
        <v>27812606</v>
      </c>
      <c r="AC44" s="145">
        <f t="shared" si="49"/>
        <v>5479988</v>
      </c>
      <c r="AD44" s="18">
        <f t="shared" si="49"/>
        <v>33292594</v>
      </c>
      <c r="AE44" s="19">
        <f t="shared" si="49"/>
        <v>26527352</v>
      </c>
      <c r="AF44" s="145">
        <f t="shared" si="49"/>
        <v>5479988</v>
      </c>
      <c r="AG44" s="18">
        <f t="shared" si="49"/>
        <v>32007340</v>
      </c>
      <c r="AH44" s="19">
        <f t="shared" si="49"/>
        <v>63243670</v>
      </c>
      <c r="AI44" s="15">
        <f t="shared" si="49"/>
        <v>63243670</v>
      </c>
      <c r="AJ44" s="16">
        <f t="shared" si="49"/>
        <v>64528924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+IF(MAYO!A45=0,"",MAYO!A45)</f>
        <v>1130107</v>
      </c>
      <c r="B45" s="653" t="str">
        <f>+IF(MAYO!B45=0,"",MAYO!B45)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+IF(MAYO!S45=0,"",MAYO!S45)</f>
        <v>1010301-1</v>
      </c>
      <c r="T45" s="694" t="str">
        <f>+IF(MAYO!T45=0,"",MAYO!T45)</f>
        <v>Aportes a E.P.S.- Sin sit. Fondos</v>
      </c>
      <c r="U45" s="27">
        <f>+ENERO!U45</f>
        <v>26843256</v>
      </c>
      <c r="V45" s="15">
        <f>MAYO!V45+JUNIO!AL45</f>
        <v>0</v>
      </c>
      <c r="W45" s="15">
        <f>MAYO!W45+JUNIO!AM45</f>
        <v>0</v>
      </c>
      <c r="X45" s="18">
        <f>SUM(U45:W45)</f>
        <v>26843256</v>
      </c>
      <c r="Y45" s="19">
        <f>MAYO!AA45</f>
        <v>11261278</v>
      </c>
      <c r="Z45" s="377">
        <v>2218655</v>
      </c>
      <c r="AA45" s="18">
        <f>SUM(Y45:Z45)</f>
        <v>13479933</v>
      </c>
      <c r="AB45" s="19">
        <f>MAYO!AD45</f>
        <v>11261278</v>
      </c>
      <c r="AC45" s="377">
        <v>2218655</v>
      </c>
      <c r="AD45" s="18">
        <f>SUM(AB45:AC45)</f>
        <v>13479933</v>
      </c>
      <c r="AE45" s="19">
        <f>MAYO!AG45</f>
        <v>11261278</v>
      </c>
      <c r="AF45" s="377">
        <v>2218655</v>
      </c>
      <c r="AG45" s="18">
        <f>SUM(AE45:AF45)</f>
        <v>13479933</v>
      </c>
      <c r="AH45" s="19">
        <f>X45-AA45</f>
        <v>13363323</v>
      </c>
      <c r="AI45" s="15">
        <f>X45-AD45</f>
        <v>13363323</v>
      </c>
      <c r="AJ45" s="16">
        <f>X45-AG45</f>
        <v>13363323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+IF(MAYO!A46=0,"",MAYO!A46)</f>
        <v>1130107-1</v>
      </c>
      <c r="B46" s="654" t="str">
        <f>+CONCATENATE("Vigencia ",INSTRUCCIONES!$F$3)</f>
        <v>Vigencia 2015</v>
      </c>
      <c r="C46" s="375">
        <f>+ENERO!C46</f>
        <v>0</v>
      </c>
      <c r="D46" s="376">
        <f>MAYO!D46+JUNIO!P46</f>
        <v>0</v>
      </c>
      <c r="E46" s="376">
        <f>MAYO!E46+JUNIO!Q46</f>
        <v>0</v>
      </c>
      <c r="F46" s="376">
        <f>SUM(C46:E46)</f>
        <v>0</v>
      </c>
      <c r="G46" s="376">
        <f>MAYO!I46</f>
        <v>0</v>
      </c>
      <c r="H46" s="377">
        <v>0</v>
      </c>
      <c r="I46" s="376">
        <f>SUM(G46:H46)</f>
        <v>0</v>
      </c>
      <c r="J46" s="376">
        <f>MAYO!L46</f>
        <v>0</v>
      </c>
      <c r="K46" s="377">
        <v>0</v>
      </c>
      <c r="L46" s="376">
        <f>SUM(J46:K46)</f>
        <v>0</v>
      </c>
      <c r="M46" s="376">
        <f>F46-I46</f>
        <v>0</v>
      </c>
      <c r="N46" s="146">
        <f>F46-L46</f>
        <v>0</v>
      </c>
      <c r="O46" s="385"/>
      <c r="P46" s="375">
        <v>0</v>
      </c>
      <c r="Q46" s="378">
        <v>0</v>
      </c>
      <c r="R46" s="9"/>
      <c r="S46" s="720" t="str">
        <f>+IF(MAYO!S46=0,"",MAYO!S46)</f>
        <v>1010301-2</v>
      </c>
      <c r="T46" s="694" t="str">
        <f>+IF(MAYO!T46=0,"",MAYO!T46)</f>
        <v>Aportes Fondos Pensionales - Sin Sit. Fondos</v>
      </c>
      <c r="U46" s="27">
        <f>+ENERO!U46</f>
        <v>37896396</v>
      </c>
      <c r="V46" s="15">
        <f>MAYO!V46+JUNIO!AL46</f>
        <v>0</v>
      </c>
      <c r="W46" s="15">
        <f>MAYO!W46+JUNIO!AM46</f>
        <v>0</v>
      </c>
      <c r="X46" s="18">
        <f>SUM(U46:W46)</f>
        <v>37896396</v>
      </c>
      <c r="Y46" s="19">
        <f>MAYO!AA46</f>
        <v>15898276</v>
      </c>
      <c r="Z46" s="377">
        <v>3132218</v>
      </c>
      <c r="AA46" s="18">
        <f>SUM(Y46:Z46)</f>
        <v>19030494</v>
      </c>
      <c r="AB46" s="19">
        <f>MAYO!AD46</f>
        <v>15898276</v>
      </c>
      <c r="AC46" s="377">
        <v>3132218</v>
      </c>
      <c r="AD46" s="18">
        <f>SUM(AB46:AC46)</f>
        <v>19030494</v>
      </c>
      <c r="AE46" s="19">
        <f>MAYO!AG46</f>
        <v>14613022</v>
      </c>
      <c r="AF46" s="377">
        <v>3132218</v>
      </c>
      <c r="AG46" s="18">
        <f>SUM(AE46:AF46)</f>
        <v>17745240</v>
      </c>
      <c r="AH46" s="19">
        <f>X46-AA46</f>
        <v>18865902</v>
      </c>
      <c r="AI46" s="15">
        <f>X46-AD46</f>
        <v>18865902</v>
      </c>
      <c r="AJ46" s="16">
        <f>X46-AG46</f>
        <v>20151156</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+IF(MAYO!A47=0,"",MAYO!A47)</f>
        <v>1130107-2</v>
      </c>
      <c r="B47" s="654" t="str">
        <f>+IF(MAYO!B47=0,"",MAYO!B47)</f>
        <v>Vigencia Anterior</v>
      </c>
      <c r="C47" s="375">
        <f>+ENERO!C47</f>
        <v>0</v>
      </c>
      <c r="D47" s="376">
        <f>MAYO!D47+JUNIO!P47</f>
        <v>0</v>
      </c>
      <c r="E47" s="376">
        <f>MAYO!E47+JUNIO!Q47</f>
        <v>0</v>
      </c>
      <c r="F47" s="376">
        <f>SUM(C47:E47)</f>
        <v>0</v>
      </c>
      <c r="G47" s="376">
        <f>MAYO!I47</f>
        <v>0</v>
      </c>
      <c r="H47" s="377">
        <v>0</v>
      </c>
      <c r="I47" s="376">
        <f>SUM(G47:H47)</f>
        <v>0</v>
      </c>
      <c r="J47" s="376">
        <f>MAYO!L47</f>
        <v>0</v>
      </c>
      <c r="K47" s="377">
        <v>0</v>
      </c>
      <c r="L47" s="376">
        <f>SUM(J47:K47)</f>
        <v>0</v>
      </c>
      <c r="M47" s="376">
        <f>F47-I47</f>
        <v>0</v>
      </c>
      <c r="N47" s="146">
        <f>F47-L47</f>
        <v>0</v>
      </c>
      <c r="O47" s="385"/>
      <c r="P47" s="375">
        <v>0</v>
      </c>
      <c r="Q47" s="378">
        <v>0</v>
      </c>
      <c r="R47" s="9"/>
      <c r="S47" s="720" t="str">
        <f>+IF(MAYO!S47=0,"",MAYO!S47)</f>
        <v>1010301-3</v>
      </c>
      <c r="T47" s="694" t="str">
        <f>+IF(MAYO!T47=0,"",MAYO!T47)</f>
        <v xml:space="preserve">Aportes a Fondos de Cesantia - Sin Sit. de Fondos </v>
      </c>
      <c r="U47" s="27">
        <f>+ENERO!U47</f>
        <v>30148119</v>
      </c>
      <c r="V47" s="15">
        <f>MAYO!V47+JUNIO!AL47</f>
        <v>0</v>
      </c>
      <c r="W47" s="15">
        <f>MAYO!W47+JUNIO!AM47</f>
        <v>0</v>
      </c>
      <c r="X47" s="18">
        <f>SUM(U47:W47)</f>
        <v>30148119</v>
      </c>
      <c r="Y47" s="19">
        <f>MAYO!AA47</f>
        <v>0</v>
      </c>
      <c r="Z47" s="377">
        <v>0</v>
      </c>
      <c r="AA47" s="18">
        <f>SUM(Y47:Z47)</f>
        <v>0</v>
      </c>
      <c r="AB47" s="19">
        <f>MAYO!AD47</f>
        <v>0</v>
      </c>
      <c r="AC47" s="377">
        <v>0</v>
      </c>
      <c r="AD47" s="18">
        <f>SUM(AB47:AC47)</f>
        <v>0</v>
      </c>
      <c r="AE47" s="19">
        <f>MAYO!AG47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+IF(MAYO!A48=0,"",MAYO!A48)</f>
        <v>1130108</v>
      </c>
      <c r="B48" s="653" t="str">
        <f>+IF(MAYO!B48=0,"",MAYO!B48)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+IF(MAYO!S48=0,"",MAYO!S48)</f>
        <v>1010301-4</v>
      </c>
      <c r="T48" s="694" t="str">
        <f>+IF(MAYO!T48=0,"",MAYO!T48)</f>
        <v xml:space="preserve">Aporte a ARL. - Sin Sit. de Fondos </v>
      </c>
      <c r="U48" s="27">
        <f>+ENERO!U48</f>
        <v>1648493</v>
      </c>
      <c r="V48" s="15">
        <f>MAYO!V48+JUNIO!AL48</f>
        <v>0</v>
      </c>
      <c r="W48" s="15">
        <f>MAYO!W48+JUNIO!AM48</f>
        <v>0</v>
      </c>
      <c r="X48" s="18">
        <f>SUM(U48:W48)</f>
        <v>1648493</v>
      </c>
      <c r="Y48" s="19">
        <f>MAYO!AA48</f>
        <v>653052</v>
      </c>
      <c r="Z48" s="377">
        <v>129115</v>
      </c>
      <c r="AA48" s="18">
        <f>SUM(Y48:Z48)</f>
        <v>782167</v>
      </c>
      <c r="AB48" s="19">
        <f>MAYO!AD48</f>
        <v>653052</v>
      </c>
      <c r="AC48" s="377">
        <v>129115</v>
      </c>
      <c r="AD48" s="18">
        <f>SUM(AB48:AC48)</f>
        <v>782167</v>
      </c>
      <c r="AE48" s="19">
        <f>MAYO!AG48</f>
        <v>653052</v>
      </c>
      <c r="AF48" s="377">
        <v>129115</v>
      </c>
      <c r="AG48" s="18">
        <f>SUM(AE48:AF48)</f>
        <v>782167</v>
      </c>
      <c r="AH48" s="19">
        <f>X48-AA48</f>
        <v>866326</v>
      </c>
      <c r="AI48" s="15">
        <f>X48-AD48</f>
        <v>866326</v>
      </c>
      <c r="AJ48" s="16">
        <f>X48-AG48</f>
        <v>866326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+IF(MAYO!A49=0,"",MAYO!A49)</f>
        <v>1130108-1</v>
      </c>
      <c r="B49" s="654" t="str">
        <f>+CONCATENATE("Vigencia ",INSTRUCCIONES!$F$3)</f>
        <v>Vigencia 2015</v>
      </c>
      <c r="C49" s="375">
        <f>+ENERO!C49</f>
        <v>0</v>
      </c>
      <c r="D49" s="376">
        <f>MAYO!D49+JUNIO!P49</f>
        <v>0</v>
      </c>
      <c r="E49" s="376">
        <f>MAYO!E49+JUNIO!Q49</f>
        <v>0</v>
      </c>
      <c r="F49" s="376">
        <f>SUM(C49:E49)</f>
        <v>0</v>
      </c>
      <c r="G49" s="376">
        <f>MAYO!I49</f>
        <v>0</v>
      </c>
      <c r="H49" s="377">
        <v>0</v>
      </c>
      <c r="I49" s="376">
        <f>SUM(G49:H49)</f>
        <v>0</v>
      </c>
      <c r="J49" s="376">
        <f>MAYO!L49</f>
        <v>0</v>
      </c>
      <c r="K49" s="377">
        <v>0</v>
      </c>
      <c r="L49" s="376">
        <f>SUM(J49:K49)</f>
        <v>0</v>
      </c>
      <c r="M49" s="376">
        <f>F49-I49</f>
        <v>0</v>
      </c>
      <c r="N49" s="146">
        <f>F49-L49</f>
        <v>0</v>
      </c>
      <c r="O49" s="385"/>
      <c r="P49" s="375">
        <v>0</v>
      </c>
      <c r="Q49" s="378">
        <v>0</v>
      </c>
      <c r="R49" s="9"/>
      <c r="S49" s="719">
        <f>+IF(MAYO!S49=0,"",MAYO!S49)</f>
        <v>1010302</v>
      </c>
      <c r="T49" s="693" t="str">
        <f>+IF(MAYO!T49=0,"",MAYO!T49)</f>
        <v>Contribuciones - Otros</v>
      </c>
      <c r="U49" s="27">
        <f t="shared" ref="U49:AJ49" si="52">SUM(U50:U54)</f>
        <v>14791923</v>
      </c>
      <c r="V49" s="15">
        <f t="shared" si="52"/>
        <v>0</v>
      </c>
      <c r="W49" s="15">
        <f t="shared" si="52"/>
        <v>13408841</v>
      </c>
      <c r="X49" s="18">
        <f t="shared" si="52"/>
        <v>28200764</v>
      </c>
      <c r="Y49" s="19">
        <f t="shared" si="52"/>
        <v>18105141</v>
      </c>
      <c r="Z49" s="145">
        <f t="shared" si="52"/>
        <v>1014100</v>
      </c>
      <c r="AA49" s="18">
        <f t="shared" si="52"/>
        <v>19119241</v>
      </c>
      <c r="AB49" s="19">
        <f t="shared" si="52"/>
        <v>18105141</v>
      </c>
      <c r="AC49" s="145">
        <f t="shared" si="52"/>
        <v>1014100</v>
      </c>
      <c r="AD49" s="18">
        <f t="shared" si="52"/>
        <v>19119241</v>
      </c>
      <c r="AE49" s="19">
        <f t="shared" si="52"/>
        <v>3696900</v>
      </c>
      <c r="AF49" s="145">
        <f t="shared" si="52"/>
        <v>999400</v>
      </c>
      <c r="AG49" s="18">
        <f t="shared" si="52"/>
        <v>4696300</v>
      </c>
      <c r="AH49" s="19">
        <f t="shared" si="52"/>
        <v>9081523</v>
      </c>
      <c r="AI49" s="15">
        <f t="shared" si="52"/>
        <v>9081523</v>
      </c>
      <c r="AJ49" s="16">
        <f t="shared" si="52"/>
        <v>23504464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+IF(MAYO!A50=0,"",MAYO!A50)</f>
        <v>1130108-2</v>
      </c>
      <c r="B50" s="654" t="str">
        <f>+IF(MAYO!B50=0,"",MAYO!B50)</f>
        <v>Vigencia Anterior</v>
      </c>
      <c r="C50" s="375">
        <f>+ENERO!C50</f>
        <v>0</v>
      </c>
      <c r="D50" s="376">
        <f>MAYO!D50+JUNIO!P50</f>
        <v>0</v>
      </c>
      <c r="E50" s="376">
        <f>MAYO!E50+JUNIO!Q50</f>
        <v>0</v>
      </c>
      <c r="F50" s="376">
        <f>SUM(C50:E50)</f>
        <v>0</v>
      </c>
      <c r="G50" s="376">
        <f>MAYO!I50</f>
        <v>0</v>
      </c>
      <c r="H50" s="377">
        <v>0</v>
      </c>
      <c r="I50" s="376">
        <f>SUM(G50:H50)</f>
        <v>0</v>
      </c>
      <c r="J50" s="376">
        <f>MAYO!L50</f>
        <v>0</v>
      </c>
      <c r="K50" s="377">
        <v>0</v>
      </c>
      <c r="L50" s="376">
        <f>SUM(J50:K50)</f>
        <v>0</v>
      </c>
      <c r="M50" s="376">
        <f>F50-I50</f>
        <v>0</v>
      </c>
      <c r="N50" s="146">
        <f>F50-L50</f>
        <v>0</v>
      </c>
      <c r="O50" s="385"/>
      <c r="P50" s="375">
        <v>0</v>
      </c>
      <c r="Q50" s="378">
        <v>0</v>
      </c>
      <c r="R50" s="9"/>
      <c r="S50" s="720" t="str">
        <f>+IF(MAYO!S50=0,"",MAYO!S50)</f>
        <v>1010302-1</v>
      </c>
      <c r="T50" s="694" t="str">
        <f>+IF(MAYO!T50=0,"",MAYO!T50)</f>
        <v>Aportes a E.P.S.- Con sit. Fondos</v>
      </c>
      <c r="U50" s="27">
        <f>+ENERO!U50</f>
        <v>0</v>
      </c>
      <c r="V50" s="15">
        <f>MAYO!V50+JUNIO!AL50</f>
        <v>0</v>
      </c>
      <c r="W50" s="15">
        <f>MAYO!W50+JUNIO!AM50</f>
        <v>13408841</v>
      </c>
      <c r="X50" s="18">
        <f t="shared" ref="X50:X55" si="53">SUM(U50:W50)</f>
        <v>13408841</v>
      </c>
      <c r="Y50" s="19">
        <f>MAYO!AA50</f>
        <v>13408841</v>
      </c>
      <c r="Z50" s="377">
        <v>0</v>
      </c>
      <c r="AA50" s="18">
        <f t="shared" ref="AA50:AA55" si="54">SUM(Y50:Z50)</f>
        <v>13408841</v>
      </c>
      <c r="AB50" s="19">
        <f>MAYO!AD50</f>
        <v>13408841</v>
      </c>
      <c r="AC50" s="377">
        <v>0</v>
      </c>
      <c r="AD50" s="18">
        <f t="shared" ref="AD50:AD55" si="55">SUM(AB50:AC50)</f>
        <v>13408841</v>
      </c>
      <c r="AE50" s="19">
        <f>MAYO!AG50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+IF(MAYO!A51=0,"",MAYO!A51)</f>
        <v>1130109</v>
      </c>
      <c r="B51" s="653" t="str">
        <f>+IF(MAYO!B51=0,"",MAYO!B51)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+IF(MAYO!S51=0,"",MAYO!S51)</f>
        <v>1010302-2</v>
      </c>
      <c r="T51" s="694" t="str">
        <f>+IF(MAYO!T51=0,"",MAYO!T51)</f>
        <v>Aportes Fondos Pensionales - Con Sit. Fondos</v>
      </c>
      <c r="U51" s="27">
        <f>+ENERO!U51</f>
        <v>0</v>
      </c>
      <c r="V51" s="15">
        <f>MAYO!V51+JUNIO!AL51</f>
        <v>0</v>
      </c>
      <c r="W51" s="15">
        <f>MAYO!W51+JUNIO!AM51</f>
        <v>0</v>
      </c>
      <c r="X51" s="18">
        <f t="shared" si="53"/>
        <v>0</v>
      </c>
      <c r="Y51" s="19">
        <f>MAYO!AA51</f>
        <v>0</v>
      </c>
      <c r="Z51" s="377">
        <v>0</v>
      </c>
      <c r="AA51" s="18">
        <f t="shared" si="54"/>
        <v>0</v>
      </c>
      <c r="AB51" s="19">
        <f>MAYO!AD51</f>
        <v>0</v>
      </c>
      <c r="AC51" s="377">
        <v>0</v>
      </c>
      <c r="AD51" s="18">
        <f t="shared" si="55"/>
        <v>0</v>
      </c>
      <c r="AE51" s="19">
        <f>MAYO!AG51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+IF(MAYO!A52=0,"",MAYO!A52)</f>
        <v>1130109-1</v>
      </c>
      <c r="B52" s="654" t="str">
        <f>+CONCATENATE("Vigencia ",INSTRUCCIONES!$F$3)</f>
        <v>Vigencia 2015</v>
      </c>
      <c r="C52" s="375">
        <f>+ENERO!C52</f>
        <v>0</v>
      </c>
      <c r="D52" s="376">
        <f>MAYO!D52+JUNIO!P52</f>
        <v>0</v>
      </c>
      <c r="E52" s="376">
        <f>MAYO!E52+JUNIO!Q52</f>
        <v>0</v>
      </c>
      <c r="F52" s="376">
        <f>SUM(C52:E52)</f>
        <v>0</v>
      </c>
      <c r="G52" s="376">
        <f>MAYO!I52</f>
        <v>0</v>
      </c>
      <c r="H52" s="377">
        <v>0</v>
      </c>
      <c r="I52" s="376">
        <f>SUM(G52:H52)</f>
        <v>0</v>
      </c>
      <c r="J52" s="376">
        <f>MAYO!L52</f>
        <v>0</v>
      </c>
      <c r="K52" s="377">
        <v>0</v>
      </c>
      <c r="L52" s="376">
        <f>SUM(J52:K52)</f>
        <v>0</v>
      </c>
      <c r="M52" s="376">
        <f>F52-I52</f>
        <v>0</v>
      </c>
      <c r="N52" s="146">
        <f>F52-L52</f>
        <v>0</v>
      </c>
      <c r="O52" s="385"/>
      <c r="P52" s="375">
        <v>0</v>
      </c>
      <c r="Q52" s="378">
        <v>0</v>
      </c>
      <c r="R52" s="9"/>
      <c r="S52" s="720" t="str">
        <f>+IF(MAYO!S52=0,"",MAYO!S52)</f>
        <v>1010302-3</v>
      </c>
      <c r="T52" s="694" t="str">
        <f>+IF(MAYO!T52=0,"",MAYO!T52)</f>
        <v xml:space="preserve">Aportes a Fondos de Cesantia - Con Sit. de Fondos </v>
      </c>
      <c r="U52" s="27">
        <f>+ENERO!U52</f>
        <v>0</v>
      </c>
      <c r="V52" s="15">
        <f>MAYO!V52+JUNIO!AL52</f>
        <v>0</v>
      </c>
      <c r="W52" s="15">
        <f>MAYO!W52+JUNIO!AM52</f>
        <v>0</v>
      </c>
      <c r="X52" s="18">
        <f t="shared" si="53"/>
        <v>0</v>
      </c>
      <c r="Y52" s="19">
        <f>MAYO!AA52</f>
        <v>0</v>
      </c>
      <c r="Z52" s="377">
        <v>0</v>
      </c>
      <c r="AA52" s="18">
        <f t="shared" si="54"/>
        <v>0</v>
      </c>
      <c r="AB52" s="19">
        <f>MAYO!AD52</f>
        <v>0</v>
      </c>
      <c r="AC52" s="377">
        <v>0</v>
      </c>
      <c r="AD52" s="18">
        <f t="shared" si="55"/>
        <v>0</v>
      </c>
      <c r="AE52" s="19">
        <f>MAYO!AG52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+IF(MAYO!A53=0,"",MAYO!A53)</f>
        <v>1130109-2</v>
      </c>
      <c r="B53" s="654" t="str">
        <f>+IF(MAYO!B53=0,"",MAYO!B53)</f>
        <v>Vigencia Anterior</v>
      </c>
      <c r="C53" s="375">
        <f>+ENERO!C53</f>
        <v>0</v>
      </c>
      <c r="D53" s="376">
        <f>MAYO!D53+JUNIO!P53</f>
        <v>0</v>
      </c>
      <c r="E53" s="376">
        <f>MAYO!E53+JUNIO!Q53</f>
        <v>0</v>
      </c>
      <c r="F53" s="376">
        <f>SUM(C53:E53)</f>
        <v>0</v>
      </c>
      <c r="G53" s="376">
        <f>MAYO!I53</f>
        <v>0</v>
      </c>
      <c r="H53" s="377">
        <v>0</v>
      </c>
      <c r="I53" s="376">
        <f>SUM(G53:H53)</f>
        <v>0</v>
      </c>
      <c r="J53" s="376">
        <f>MAYO!L53</f>
        <v>0</v>
      </c>
      <c r="K53" s="377">
        <v>0</v>
      </c>
      <c r="L53" s="376">
        <f>SUM(J53:K53)</f>
        <v>0</v>
      </c>
      <c r="M53" s="376">
        <f>F53-I53</f>
        <v>0</v>
      </c>
      <c r="N53" s="146">
        <f>F53-L53</f>
        <v>0</v>
      </c>
      <c r="O53" s="385"/>
      <c r="P53" s="375">
        <v>0</v>
      </c>
      <c r="Q53" s="378">
        <v>0</v>
      </c>
      <c r="R53" s="9"/>
      <c r="S53" s="720" t="str">
        <f>+IF(MAYO!S53=0,"",MAYO!S53)</f>
        <v>1010302-4</v>
      </c>
      <c r="T53" s="694" t="str">
        <f>+IF(MAYO!T53=0,"",MAYO!T53)</f>
        <v>Aporte a ARL. - Con Sit. de Fondos</v>
      </c>
      <c r="U53" s="27">
        <f>+ENERO!U53</f>
        <v>0</v>
      </c>
      <c r="V53" s="15">
        <f>MAYO!V53+JUNIO!AL53</f>
        <v>0</v>
      </c>
      <c r="W53" s="15">
        <f>MAYO!W53+JUNIO!AM53</f>
        <v>0</v>
      </c>
      <c r="X53" s="18">
        <f t="shared" si="53"/>
        <v>0</v>
      </c>
      <c r="Y53" s="19">
        <f>MAYO!AA53</f>
        <v>0</v>
      </c>
      <c r="Z53" s="377">
        <v>0</v>
      </c>
      <c r="AA53" s="18">
        <f t="shared" si="54"/>
        <v>0</v>
      </c>
      <c r="AB53" s="19">
        <f>MAYO!AD53</f>
        <v>0</v>
      </c>
      <c r="AC53" s="377">
        <v>0</v>
      </c>
      <c r="AD53" s="18">
        <f t="shared" si="55"/>
        <v>0</v>
      </c>
      <c r="AE53" s="19">
        <f>MAYO!AG53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+IF(MAYO!A54=0,"",MAYO!A54)</f>
        <v>1130110</v>
      </c>
      <c r="B54" s="653" t="str">
        <f>+IF(MAYO!B54=0,"",MAYO!B54)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+IF(MAYO!S54=0,"",MAYO!S54)</f>
        <v>1010302-5</v>
      </c>
      <c r="T54" s="694" t="str">
        <f>+IF(MAYO!T54=0,"",MAYO!T54)</f>
        <v>Aporte a Caja Compensación Familiar</v>
      </c>
      <c r="U54" s="27">
        <f>+ENERO!U54</f>
        <v>14791923</v>
      </c>
      <c r="V54" s="15">
        <f>MAYO!V54+JUNIO!AL54</f>
        <v>0</v>
      </c>
      <c r="W54" s="15">
        <f>MAYO!W54+JUNIO!AM54</f>
        <v>0</v>
      </c>
      <c r="X54" s="18">
        <f t="shared" si="53"/>
        <v>14791923</v>
      </c>
      <c r="Y54" s="19">
        <f>MAYO!AA54</f>
        <v>4696300</v>
      </c>
      <c r="Z54" s="377">
        <v>1014100</v>
      </c>
      <c r="AA54" s="18">
        <f t="shared" si="54"/>
        <v>5710400</v>
      </c>
      <c r="AB54" s="19">
        <f>MAYO!AD54</f>
        <v>4696300</v>
      </c>
      <c r="AC54" s="377">
        <v>1014100</v>
      </c>
      <c r="AD54" s="18">
        <f t="shared" si="55"/>
        <v>5710400</v>
      </c>
      <c r="AE54" s="19">
        <f>MAYO!AG54</f>
        <v>3696900</v>
      </c>
      <c r="AF54" s="377">
        <v>999400</v>
      </c>
      <c r="AG54" s="18">
        <f t="shared" si="56"/>
        <v>4696300</v>
      </c>
      <c r="AH54" s="19">
        <f t="shared" si="57"/>
        <v>9081523</v>
      </c>
      <c r="AI54" s="15">
        <f t="shared" si="58"/>
        <v>9081523</v>
      </c>
      <c r="AJ54" s="16">
        <f t="shared" si="59"/>
        <v>10095623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+IF(MAYO!A55=0,"",MAYO!A55)</f>
        <v>1130110-1</v>
      </c>
      <c r="B55" s="654" t="str">
        <f>+CONCATENATE("Vigencia ",INSTRUCCIONES!$F$3)</f>
        <v>Vigencia 2015</v>
      </c>
      <c r="C55" s="375">
        <f>+ENERO!C55</f>
        <v>0</v>
      </c>
      <c r="D55" s="376">
        <f>MAYO!D55+JUNIO!P55</f>
        <v>0</v>
      </c>
      <c r="E55" s="376">
        <f>MAYO!E55+JUNIO!Q55</f>
        <v>0</v>
      </c>
      <c r="F55" s="376">
        <f>SUM(C55:E55)</f>
        <v>0</v>
      </c>
      <c r="G55" s="376">
        <f>MAYO!I55</f>
        <v>0</v>
      </c>
      <c r="H55" s="377">
        <v>0</v>
      </c>
      <c r="I55" s="376">
        <f>SUM(G55:H55)</f>
        <v>0</v>
      </c>
      <c r="J55" s="376">
        <f>MAYO!L55</f>
        <v>0</v>
      </c>
      <c r="K55" s="377">
        <v>0</v>
      </c>
      <c r="L55" s="376">
        <f>SUM(J55:K55)</f>
        <v>0</v>
      </c>
      <c r="M55" s="376">
        <f>F55-I55</f>
        <v>0</v>
      </c>
      <c r="N55" s="146">
        <f>F55-L55</f>
        <v>0</v>
      </c>
      <c r="O55" s="385"/>
      <c r="P55" s="375">
        <v>0</v>
      </c>
      <c r="Q55" s="378">
        <v>0</v>
      </c>
      <c r="R55" s="9"/>
      <c r="S55" s="719">
        <f>+IF(MAYO!S55=0,"",MAYO!S55)</f>
        <v>1010399</v>
      </c>
      <c r="T55" s="693" t="str">
        <f>+IF(MAYO!T55=0,"",MAYO!T55)</f>
        <v>Vigencias Anteriores</v>
      </c>
      <c r="U55" s="27">
        <f>+ENERO!U55</f>
        <v>0</v>
      </c>
      <c r="V55" s="15">
        <f>MAYO!V55+JUNIO!AL55</f>
        <v>0</v>
      </c>
      <c r="W55" s="15">
        <f>MAYO!W55+JUNIO!AM55</f>
        <v>29964174</v>
      </c>
      <c r="X55" s="18">
        <f t="shared" si="53"/>
        <v>29964174</v>
      </c>
      <c r="Y55" s="19">
        <f>MAYO!AA55</f>
        <v>29964174</v>
      </c>
      <c r="Z55" s="377">
        <v>0</v>
      </c>
      <c r="AA55" s="18">
        <f t="shared" si="54"/>
        <v>29964174</v>
      </c>
      <c r="AB55" s="19">
        <f>MAYO!AD55</f>
        <v>29964174</v>
      </c>
      <c r="AC55" s="377">
        <v>0</v>
      </c>
      <c r="AD55" s="18">
        <f t="shared" si="55"/>
        <v>29964174</v>
      </c>
      <c r="AE55" s="19">
        <f>MAYO!AG55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+IF(MAYO!A56=0,"",MAYO!A56)</f>
        <v>1130110-2</v>
      </c>
      <c r="B56" s="654" t="str">
        <f>+IF(MAYO!B56=0,"",MAYO!B56)</f>
        <v>Vigencia Anterior</v>
      </c>
      <c r="C56" s="375">
        <f>+ENERO!C56</f>
        <v>0</v>
      </c>
      <c r="D56" s="376">
        <f>MAYO!D56+JUNIO!P56</f>
        <v>0</v>
      </c>
      <c r="E56" s="376">
        <f>MAYO!E56+JUNIO!Q56</f>
        <v>0</v>
      </c>
      <c r="F56" s="376">
        <f>SUM(C56:E56)</f>
        <v>0</v>
      </c>
      <c r="G56" s="376">
        <f>MAYO!I56</f>
        <v>0</v>
      </c>
      <c r="H56" s="377">
        <v>0</v>
      </c>
      <c r="I56" s="376">
        <f>SUM(G56:H56)</f>
        <v>0</v>
      </c>
      <c r="J56" s="376">
        <f>MAYO!L56</f>
        <v>0</v>
      </c>
      <c r="K56" s="377">
        <v>0</v>
      </c>
      <c r="L56" s="376">
        <f>SUM(J56:K56)</f>
        <v>0</v>
      </c>
      <c r="M56" s="376">
        <f>F56-I56</f>
        <v>0</v>
      </c>
      <c r="N56" s="146">
        <f>F56-L56</f>
        <v>0</v>
      </c>
      <c r="O56" s="385"/>
      <c r="P56" s="375">
        <v>0</v>
      </c>
      <c r="Q56" s="378">
        <v>0</v>
      </c>
      <c r="R56" s="9"/>
      <c r="S56" s="369" t="str">
        <f>+IF(MAYO!S56=0,"",MAYO!S56)</f>
        <v/>
      </c>
      <c r="T56" s="708" t="str">
        <f>+IF(MAYO!T56=0,"",MAYO!T56)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+IF(MAYO!A57=0,"",MAYO!A57)</f>
        <v>1130111</v>
      </c>
      <c r="B57" s="653" t="str">
        <f>+IF(MAYO!B57=0,"",MAYO!B57)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+IF(MAYO!S57=0,"",MAYO!S57)</f>
        <v>1010400</v>
      </c>
      <c r="T57" s="692" t="str">
        <f>+IF(MAYO!T57=0,"",MAYO!T57)</f>
        <v>Contribuciones Inherentes nómina del Sector Publico</v>
      </c>
      <c r="U57" s="135">
        <f t="shared" ref="U57:AJ57" si="63">U58+U61</f>
        <v>18489903</v>
      </c>
      <c r="V57" s="124">
        <f t="shared" si="63"/>
        <v>0</v>
      </c>
      <c r="W57" s="124">
        <f t="shared" si="63"/>
        <v>1280600</v>
      </c>
      <c r="X57" s="132">
        <f t="shared" si="63"/>
        <v>19770503</v>
      </c>
      <c r="Y57" s="131">
        <f t="shared" si="63"/>
        <v>8322100</v>
      </c>
      <c r="Z57" s="124">
        <f t="shared" si="63"/>
        <v>1267700</v>
      </c>
      <c r="AA57" s="132">
        <f t="shared" si="63"/>
        <v>9589800</v>
      </c>
      <c r="AB57" s="131">
        <f t="shared" si="63"/>
        <v>8322100</v>
      </c>
      <c r="AC57" s="124">
        <f t="shared" si="63"/>
        <v>1267700</v>
      </c>
      <c r="AD57" s="132">
        <f t="shared" si="63"/>
        <v>9589800</v>
      </c>
      <c r="AE57" s="131">
        <f t="shared" si="63"/>
        <v>7072800</v>
      </c>
      <c r="AF57" s="124">
        <f t="shared" si="63"/>
        <v>1249300</v>
      </c>
      <c r="AG57" s="132">
        <f t="shared" si="63"/>
        <v>8322100</v>
      </c>
      <c r="AH57" s="131">
        <f t="shared" si="63"/>
        <v>10180703</v>
      </c>
      <c r="AI57" s="124">
        <f t="shared" si="63"/>
        <v>10180703</v>
      </c>
      <c r="AJ57" s="133">
        <f t="shared" si="63"/>
        <v>11448403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+IF(MAYO!A58=0,"",MAYO!A58)</f>
        <v>1130111-1</v>
      </c>
      <c r="B58" s="654" t="str">
        <f>+CONCATENATE("Vigencia ",INSTRUCCIONES!$F$3)</f>
        <v>Vigencia 2015</v>
      </c>
      <c r="C58" s="375">
        <f>+ENERO!C58</f>
        <v>0</v>
      </c>
      <c r="D58" s="376">
        <f>MAYO!D58+JUNIO!P58</f>
        <v>0</v>
      </c>
      <c r="E58" s="376">
        <f>MAYO!E58+JUNIO!Q58</f>
        <v>0</v>
      </c>
      <c r="F58" s="376">
        <f>SUM(C58:E58)</f>
        <v>0</v>
      </c>
      <c r="G58" s="376">
        <f>MAYO!I58</f>
        <v>0</v>
      </c>
      <c r="H58" s="377">
        <v>0</v>
      </c>
      <c r="I58" s="376">
        <f>SUM(G58:H58)</f>
        <v>0</v>
      </c>
      <c r="J58" s="376">
        <f>MAYO!L58</f>
        <v>0</v>
      </c>
      <c r="K58" s="377">
        <v>0</v>
      </c>
      <c r="L58" s="376">
        <f>SUM(J58:K58)</f>
        <v>0</v>
      </c>
      <c r="M58" s="376">
        <f>F58-I58</f>
        <v>0</v>
      </c>
      <c r="N58" s="146">
        <f>F58-L58</f>
        <v>0</v>
      </c>
      <c r="O58" s="385"/>
      <c r="P58" s="375">
        <v>0</v>
      </c>
      <c r="Q58" s="378">
        <v>0</v>
      </c>
      <c r="R58" s="9"/>
      <c r="S58" s="719">
        <f>+IF(MAYO!S58=0,"",MAYO!S58)</f>
        <v>1010402</v>
      </c>
      <c r="T58" s="693" t="str">
        <f>+IF(MAYO!T58=0,"",MAYO!T58)</f>
        <v>Contribuciones - Otros</v>
      </c>
      <c r="U58" s="27">
        <f t="shared" ref="U58:AJ58" si="64">SUM(U59:U60)</f>
        <v>18489903</v>
      </c>
      <c r="V58" s="15">
        <f t="shared" si="64"/>
        <v>0</v>
      </c>
      <c r="W58" s="15">
        <f t="shared" si="64"/>
        <v>0</v>
      </c>
      <c r="X58" s="18">
        <f t="shared" si="64"/>
        <v>18489903</v>
      </c>
      <c r="Y58" s="19">
        <f t="shared" si="64"/>
        <v>7041500</v>
      </c>
      <c r="Z58" s="145">
        <f t="shared" si="64"/>
        <v>1267700</v>
      </c>
      <c r="AA58" s="18">
        <f t="shared" si="64"/>
        <v>8309200</v>
      </c>
      <c r="AB58" s="19">
        <f t="shared" si="64"/>
        <v>7041500</v>
      </c>
      <c r="AC58" s="145">
        <f t="shared" si="64"/>
        <v>1267700</v>
      </c>
      <c r="AD58" s="18">
        <f t="shared" si="64"/>
        <v>8309200</v>
      </c>
      <c r="AE58" s="19">
        <f t="shared" si="64"/>
        <v>5792200</v>
      </c>
      <c r="AF58" s="145">
        <f t="shared" si="64"/>
        <v>1249300</v>
      </c>
      <c r="AG58" s="18">
        <f t="shared" si="64"/>
        <v>7041500</v>
      </c>
      <c r="AH58" s="19">
        <f t="shared" si="64"/>
        <v>10180703</v>
      </c>
      <c r="AI58" s="15">
        <f t="shared" si="64"/>
        <v>10180703</v>
      </c>
      <c r="AJ58" s="16">
        <f t="shared" si="64"/>
        <v>11448403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+IF(MAYO!A59=0,"",MAYO!A59)</f>
        <v>1130111-2</v>
      </c>
      <c r="B59" s="654" t="str">
        <f>+IF(MAYO!B59=0,"",MAYO!B59)</f>
        <v>Vigencia Anterior</v>
      </c>
      <c r="C59" s="375">
        <f>+ENERO!C59</f>
        <v>0</v>
      </c>
      <c r="D59" s="376">
        <f>MAYO!D59+JUNIO!P59</f>
        <v>0</v>
      </c>
      <c r="E59" s="376">
        <f>MAYO!E59+JUNIO!Q59</f>
        <v>0</v>
      </c>
      <c r="F59" s="376">
        <f>SUM(C59:E59)</f>
        <v>0</v>
      </c>
      <c r="G59" s="376">
        <f>MAYO!I59</f>
        <v>0</v>
      </c>
      <c r="H59" s="377">
        <v>0</v>
      </c>
      <c r="I59" s="376">
        <f>SUM(G59:H59)</f>
        <v>0</v>
      </c>
      <c r="J59" s="376">
        <f>MAYO!L59</f>
        <v>0</v>
      </c>
      <c r="K59" s="377">
        <v>0</v>
      </c>
      <c r="L59" s="376">
        <f>SUM(J59:K59)</f>
        <v>0</v>
      </c>
      <c r="M59" s="376">
        <f>F59-I59</f>
        <v>0</v>
      </c>
      <c r="N59" s="146">
        <f>F59-L59</f>
        <v>0</v>
      </c>
      <c r="O59" s="385"/>
      <c r="P59" s="375">
        <v>0</v>
      </c>
      <c r="Q59" s="378">
        <v>0</v>
      </c>
      <c r="R59" s="9"/>
      <c r="S59" s="720" t="str">
        <f>+IF(MAYO!S59=0,"",MAYO!S59)</f>
        <v>1010402-1</v>
      </c>
      <c r="T59" s="693" t="str">
        <f>+IF(MAYO!T59=0,"",MAYO!T59)</f>
        <v>S.E.N.A.</v>
      </c>
      <c r="U59" s="27">
        <f>+ENERO!U59</f>
        <v>7395961</v>
      </c>
      <c r="V59" s="15">
        <f>MAYO!V59+JUNIO!AL59</f>
        <v>0</v>
      </c>
      <c r="W59" s="15">
        <f>MAYO!W59+JUNIO!AM59</f>
        <v>0</v>
      </c>
      <c r="X59" s="18">
        <f>SUM(U59:W59)</f>
        <v>7395961</v>
      </c>
      <c r="Y59" s="19">
        <f>MAYO!AA59</f>
        <v>2859700</v>
      </c>
      <c r="Z59" s="377">
        <v>507200</v>
      </c>
      <c r="AA59" s="18">
        <f>SUM(Y59:Z59)</f>
        <v>3366900</v>
      </c>
      <c r="AB59" s="19">
        <f>MAYO!AD59</f>
        <v>2859700</v>
      </c>
      <c r="AC59" s="377">
        <v>507200</v>
      </c>
      <c r="AD59" s="18">
        <f>SUM(AB59:AC59)</f>
        <v>3366900</v>
      </c>
      <c r="AE59" s="19">
        <f>MAYO!AG59</f>
        <v>2359900</v>
      </c>
      <c r="AF59" s="377">
        <v>499800</v>
      </c>
      <c r="AG59" s="18">
        <f>SUM(AE59:AF59)</f>
        <v>2859700</v>
      </c>
      <c r="AH59" s="19">
        <f>X59-AA59</f>
        <v>4029061</v>
      </c>
      <c r="AI59" s="15">
        <f>X59-AD59</f>
        <v>4029061</v>
      </c>
      <c r="AJ59" s="16">
        <f>X59-AG59</f>
        <v>4536261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+IF(MAYO!A60=0,"",MAYO!A60)</f>
        <v>1130112</v>
      </c>
      <c r="B60" s="653" t="str">
        <f>+IF(MAYO!B60=0,"",MAYO!B60)</f>
        <v>IPS PUBLICAS</v>
      </c>
      <c r="C60" s="43">
        <f t="shared" ref="C60:N60" si="65">SUM(C61:C62)</f>
        <v>3473660</v>
      </c>
      <c r="D60" s="44">
        <f t="shared" si="65"/>
        <v>0</v>
      </c>
      <c r="E60" s="44">
        <f t="shared" si="65"/>
        <v>0</v>
      </c>
      <c r="F60" s="44">
        <f t="shared" si="65"/>
        <v>3473660</v>
      </c>
      <c r="G60" s="44">
        <f t="shared" si="65"/>
        <v>2976501</v>
      </c>
      <c r="H60" s="44">
        <f t="shared" si="65"/>
        <v>806315</v>
      </c>
      <c r="I60" s="44">
        <f t="shared" si="65"/>
        <v>3782816</v>
      </c>
      <c r="J60" s="44">
        <f t="shared" si="65"/>
        <v>718248</v>
      </c>
      <c r="K60" s="44">
        <f t="shared" si="65"/>
        <v>0</v>
      </c>
      <c r="L60" s="44">
        <f t="shared" si="65"/>
        <v>718248</v>
      </c>
      <c r="M60" s="44">
        <f t="shared" si="65"/>
        <v>-309156</v>
      </c>
      <c r="N60" s="45">
        <f t="shared" si="65"/>
        <v>2755412</v>
      </c>
      <c r="P60" s="43">
        <f>SUM(P61:P62)</f>
        <v>0</v>
      </c>
      <c r="Q60" s="45">
        <f>SUM(Q61:Q62)</f>
        <v>0</v>
      </c>
      <c r="R60" s="9"/>
      <c r="S60" s="720" t="str">
        <f>+IF(MAYO!S60=0,"",MAYO!S60)</f>
        <v>1010402-2</v>
      </c>
      <c r="T60" s="693" t="str">
        <f>+IF(MAYO!T60=0,"",MAYO!T60)</f>
        <v>I.C.B.F.</v>
      </c>
      <c r="U60" s="27">
        <f>+ENERO!U60</f>
        <v>11093942</v>
      </c>
      <c r="V60" s="15">
        <f>MAYO!V60+JUNIO!AL60</f>
        <v>0</v>
      </c>
      <c r="W60" s="15">
        <f>MAYO!W60+JUNIO!AM60</f>
        <v>0</v>
      </c>
      <c r="X60" s="18">
        <f>SUM(U60:W60)</f>
        <v>11093942</v>
      </c>
      <c r="Y60" s="19">
        <f>MAYO!AA60</f>
        <v>4181800</v>
      </c>
      <c r="Z60" s="377">
        <v>760500</v>
      </c>
      <c r="AA60" s="18">
        <f>SUM(Y60:Z60)</f>
        <v>4942300</v>
      </c>
      <c r="AB60" s="19">
        <f>MAYO!AD60</f>
        <v>4181800</v>
      </c>
      <c r="AC60" s="377">
        <v>760500</v>
      </c>
      <c r="AD60" s="18">
        <f>SUM(AB60:AC60)</f>
        <v>4942300</v>
      </c>
      <c r="AE60" s="19">
        <f>MAYO!AG60</f>
        <v>3432300</v>
      </c>
      <c r="AF60" s="377">
        <v>749500</v>
      </c>
      <c r="AG60" s="18">
        <f>SUM(AE60:AF60)</f>
        <v>4181800</v>
      </c>
      <c r="AH60" s="19">
        <f>X60-AA60</f>
        <v>6151642</v>
      </c>
      <c r="AI60" s="15">
        <f>X60-AD60</f>
        <v>6151642</v>
      </c>
      <c r="AJ60" s="16">
        <f>X60-AG60</f>
        <v>6912142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+IF(MAYO!A61=0,"",MAYO!A61)</f>
        <v>1130112-1</v>
      </c>
      <c r="B61" s="654" t="str">
        <f>+CONCATENATE("Vigencia ",INSTRUCCIONES!$F$3)</f>
        <v>Vigencia 2015</v>
      </c>
      <c r="C61" s="375">
        <f>+ENERO!C61</f>
        <v>3473660</v>
      </c>
      <c r="D61" s="376">
        <f>MAYO!D61+JUNIO!P61</f>
        <v>0</v>
      </c>
      <c r="E61" s="376">
        <f>MAYO!E61+JUNIO!Q61</f>
        <v>0</v>
      </c>
      <c r="F61" s="376">
        <f>SUM(C61:E61)</f>
        <v>3473660</v>
      </c>
      <c r="G61" s="376">
        <f>MAYO!I61</f>
        <v>2599961</v>
      </c>
      <c r="H61" s="377">
        <v>806315</v>
      </c>
      <c r="I61" s="376">
        <f>SUM(G61:H61)</f>
        <v>3406276</v>
      </c>
      <c r="J61" s="376">
        <f>MAYO!L61</f>
        <v>341708</v>
      </c>
      <c r="K61" s="377"/>
      <c r="L61" s="376">
        <f>SUM(J61:K61)</f>
        <v>341708</v>
      </c>
      <c r="M61" s="376">
        <f>F61-I61</f>
        <v>67384</v>
      </c>
      <c r="N61" s="146">
        <f>F61-L61</f>
        <v>3131952</v>
      </c>
      <c r="O61" s="385"/>
      <c r="P61" s="375">
        <v>0</v>
      </c>
      <c r="Q61" s="378">
        <v>0</v>
      </c>
      <c r="R61" s="9"/>
      <c r="S61" s="719">
        <f>+IF(MAYO!S61=0,"",MAYO!S61)</f>
        <v>1010499</v>
      </c>
      <c r="T61" s="693" t="str">
        <f>+IF(MAYO!T61=0,"",MAYO!T61)</f>
        <v>Vigencias Anteriores</v>
      </c>
      <c r="U61" s="27">
        <f>+ENERO!U61</f>
        <v>0</v>
      </c>
      <c r="V61" s="15">
        <f>MAYO!V61+JUNIO!AL61</f>
        <v>0</v>
      </c>
      <c r="W61" s="15">
        <f>MAYO!W61+JUNIO!AM61</f>
        <v>1280600</v>
      </c>
      <c r="X61" s="18">
        <f>SUM(U61:W61)</f>
        <v>1280600</v>
      </c>
      <c r="Y61" s="19">
        <f>MAYO!AA61</f>
        <v>1280600</v>
      </c>
      <c r="Z61" s="377">
        <v>0</v>
      </c>
      <c r="AA61" s="18">
        <f>SUM(Y61:Z61)</f>
        <v>1280600</v>
      </c>
      <c r="AB61" s="19">
        <f>MAYO!AD61</f>
        <v>1280600</v>
      </c>
      <c r="AC61" s="377">
        <v>0</v>
      </c>
      <c r="AD61" s="18">
        <f>SUM(AB61:AC61)</f>
        <v>1280600</v>
      </c>
      <c r="AE61" s="19">
        <f>MAYO!AG61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+IF(MAYO!A62=0,"",MAYO!A62)</f>
        <v>1130112-2</v>
      </c>
      <c r="B62" s="654" t="str">
        <f>+IF(MAYO!B62=0,"",MAYO!B62)</f>
        <v>Vigencia Anterior</v>
      </c>
      <c r="C62" s="375">
        <f>+ENERO!C62</f>
        <v>0</v>
      </c>
      <c r="D62" s="376">
        <f>MAYO!D62+JUNIO!P62</f>
        <v>0</v>
      </c>
      <c r="E62" s="376">
        <f>MAYO!E62+JUNIO!Q62</f>
        <v>0</v>
      </c>
      <c r="F62" s="376">
        <f>SUM(C62:E62)</f>
        <v>0</v>
      </c>
      <c r="G62" s="376">
        <f>MAYO!I62</f>
        <v>376540</v>
      </c>
      <c r="H62" s="377">
        <v>0</v>
      </c>
      <c r="I62" s="376">
        <f>SUM(G62:H62)</f>
        <v>376540</v>
      </c>
      <c r="J62" s="376">
        <f>MAYO!L62</f>
        <v>376540</v>
      </c>
      <c r="K62" s="377">
        <v>0</v>
      </c>
      <c r="L62" s="376">
        <f>SUM(J62:K62)</f>
        <v>376540</v>
      </c>
      <c r="M62" s="376">
        <f>F62-I62</f>
        <v>-376540</v>
      </c>
      <c r="N62" s="146">
        <f>F62-L62</f>
        <v>-376540</v>
      </c>
      <c r="O62" s="385"/>
      <c r="P62" s="375">
        <v>0</v>
      </c>
      <c r="Q62" s="378">
        <v>0</v>
      </c>
      <c r="R62" s="9"/>
      <c r="S62" s="369" t="str">
        <f>+IF(MAYO!S62=0,"",MAYO!S62)</f>
        <v/>
      </c>
      <c r="T62" s="708" t="str">
        <f>+IF(MAYO!T62=0,"",MAYO!T62)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+IF(MAYO!A63=0,"",MAYO!A63)</f>
        <v>1130113</v>
      </c>
      <c r="B63" s="653" t="str">
        <f>+IF(MAYO!B63=0,"",MAYO!B63)</f>
        <v>COMPAÑIAS DE SEGUROS  - ACCIDENTES DE TRANSITO (SOAT)</v>
      </c>
      <c r="C63" s="43">
        <f t="shared" ref="C63:N63" si="66">SUM(C64:C65)</f>
        <v>22951026</v>
      </c>
      <c r="D63" s="44">
        <f t="shared" si="66"/>
        <v>0</v>
      </c>
      <c r="E63" s="44">
        <f t="shared" si="66"/>
        <v>2940835</v>
      </c>
      <c r="F63" s="44">
        <f t="shared" si="66"/>
        <v>25891861</v>
      </c>
      <c r="G63" s="44">
        <f t="shared" si="66"/>
        <v>13362062</v>
      </c>
      <c r="H63" s="44">
        <f t="shared" si="66"/>
        <v>1598008</v>
      </c>
      <c r="I63" s="44">
        <f t="shared" si="66"/>
        <v>14960070</v>
      </c>
      <c r="J63" s="44">
        <f t="shared" si="66"/>
        <v>4741502</v>
      </c>
      <c r="K63" s="44">
        <f t="shared" si="66"/>
        <v>2441971</v>
      </c>
      <c r="L63" s="44">
        <f t="shared" si="66"/>
        <v>7183473</v>
      </c>
      <c r="M63" s="44">
        <f t="shared" si="66"/>
        <v>10931791</v>
      </c>
      <c r="N63" s="45">
        <f t="shared" si="66"/>
        <v>18708388</v>
      </c>
      <c r="P63" s="43">
        <f>SUM(P64:P65)</f>
        <v>0</v>
      </c>
      <c r="Q63" s="45">
        <f>SUM(Q64:Q65)</f>
        <v>0</v>
      </c>
      <c r="R63" s="9"/>
      <c r="S63" s="717">
        <f>+IF(MAYO!S63=0,"",MAYO!S63)</f>
        <v>1020010</v>
      </c>
      <c r="T63" s="691" t="str">
        <f>+IF(MAYO!T63=0,"",MAYO!T63)</f>
        <v>Gastos de Operación</v>
      </c>
      <c r="U63" s="135">
        <f t="shared" ref="U63:AJ63" si="67">U65+U83+U90+U104</f>
        <v>1276921669</v>
      </c>
      <c r="V63" s="124">
        <f t="shared" si="67"/>
        <v>44000000</v>
      </c>
      <c r="W63" s="124">
        <f t="shared" si="67"/>
        <v>78294418</v>
      </c>
      <c r="X63" s="132">
        <f t="shared" si="67"/>
        <v>1399216087</v>
      </c>
      <c r="Y63" s="131">
        <f t="shared" si="67"/>
        <v>602904106</v>
      </c>
      <c r="Z63" s="124">
        <f t="shared" si="67"/>
        <v>161390093</v>
      </c>
      <c r="AA63" s="132">
        <f t="shared" si="67"/>
        <v>764294199</v>
      </c>
      <c r="AB63" s="131">
        <f t="shared" si="67"/>
        <v>578037439</v>
      </c>
      <c r="AC63" s="124">
        <f t="shared" si="67"/>
        <v>105506760</v>
      </c>
      <c r="AD63" s="132">
        <f t="shared" si="67"/>
        <v>683544199</v>
      </c>
      <c r="AE63" s="131">
        <f t="shared" si="67"/>
        <v>511885017</v>
      </c>
      <c r="AF63" s="124">
        <f t="shared" si="67"/>
        <v>91419393</v>
      </c>
      <c r="AG63" s="132">
        <f t="shared" si="67"/>
        <v>603304410</v>
      </c>
      <c r="AH63" s="131">
        <f t="shared" si="67"/>
        <v>634921888</v>
      </c>
      <c r="AI63" s="124">
        <f t="shared" si="67"/>
        <v>715671888</v>
      </c>
      <c r="AJ63" s="133">
        <f t="shared" si="67"/>
        <v>795911677</v>
      </c>
      <c r="AK63" s="9"/>
      <c r="AL63" s="131">
        <f>AL65+AL83+AL90+AL104</f>
        <v>24000000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+IF(MAYO!A64=0,"",MAYO!A64)</f>
        <v>1130113-1</v>
      </c>
      <c r="B64" s="654" t="str">
        <f>+CONCATENATE("Vigencia ",INSTRUCCIONES!$F$3)</f>
        <v>Vigencia 2015</v>
      </c>
      <c r="C64" s="375">
        <f>+ENERO!C64</f>
        <v>22951026</v>
      </c>
      <c r="D64" s="376">
        <f>MAYO!D64+JUNIO!P64</f>
        <v>0</v>
      </c>
      <c r="E64" s="376">
        <f>MAYO!E64+JUNIO!Q64</f>
        <v>0</v>
      </c>
      <c r="F64" s="376">
        <f>SUM(C64:E64)</f>
        <v>22951026</v>
      </c>
      <c r="G64" s="376">
        <f>MAYO!I64</f>
        <v>10054210</v>
      </c>
      <c r="H64" s="377">
        <v>1598008</v>
      </c>
      <c r="I64" s="376">
        <f>SUM(G64:H64)</f>
        <v>11652218</v>
      </c>
      <c r="J64" s="376">
        <f>MAYO!L64</f>
        <v>1433650</v>
      </c>
      <c r="K64" s="377">
        <v>2441971</v>
      </c>
      <c r="L64" s="376">
        <f>SUM(J64:K64)</f>
        <v>3875621</v>
      </c>
      <c r="M64" s="376">
        <f>F64-I64</f>
        <v>11298808</v>
      </c>
      <c r="N64" s="146">
        <f>F64-L64</f>
        <v>19075405</v>
      </c>
      <c r="O64" s="385"/>
      <c r="P64" s="375">
        <v>0</v>
      </c>
      <c r="Q64" s="378">
        <v>0</v>
      </c>
      <c r="R64" s="9"/>
      <c r="S64" s="369" t="str">
        <f>+IF(MAYO!S64=0,"",MAYO!S64)</f>
        <v/>
      </c>
      <c r="T64" s="708" t="str">
        <f>+IF(MAYO!T64=0,"",MAYO!T64)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+IF(MAYO!A65=0,"",MAYO!A65)</f>
        <v>1130113-2</v>
      </c>
      <c r="B65" s="654" t="str">
        <f>+IF(MAYO!B65=0,"",MAYO!B65)</f>
        <v>Vigencia Anterior</v>
      </c>
      <c r="C65" s="375">
        <f>+ENERO!C65</f>
        <v>0</v>
      </c>
      <c r="D65" s="376">
        <f>MAYO!D65+JUNIO!P65</f>
        <v>0</v>
      </c>
      <c r="E65" s="376">
        <f>MAYO!E65+JUNIO!Q65</f>
        <v>2940835</v>
      </c>
      <c r="F65" s="376">
        <f>SUM(C65:E65)</f>
        <v>2940835</v>
      </c>
      <c r="G65" s="376">
        <f>MAYO!I65</f>
        <v>3307852</v>
      </c>
      <c r="H65" s="377">
        <v>0</v>
      </c>
      <c r="I65" s="376">
        <f>SUM(G65:H65)</f>
        <v>3307852</v>
      </c>
      <c r="J65" s="376">
        <f>MAYO!L65</f>
        <v>3307852</v>
      </c>
      <c r="K65" s="377">
        <v>0</v>
      </c>
      <c r="L65" s="376">
        <f>SUM(J65:K65)</f>
        <v>3307852</v>
      </c>
      <c r="M65" s="376">
        <f>F65-I65</f>
        <v>-367017</v>
      </c>
      <c r="N65" s="146">
        <f>F65-L65</f>
        <v>-367017</v>
      </c>
      <c r="O65" s="385"/>
      <c r="P65" s="375">
        <v>0</v>
      </c>
      <c r="Q65" s="378">
        <v>0</v>
      </c>
      <c r="R65" s="9"/>
      <c r="S65" s="718">
        <f>+IF(MAYO!S65=0,"",MAYO!S65)</f>
        <v>1020100</v>
      </c>
      <c r="T65" s="692" t="str">
        <f>+IF(MAYO!T65=0,"",MAYO!T65)</f>
        <v>Servicios Personales Asociados a Nómina</v>
      </c>
      <c r="U65" s="135">
        <f t="shared" ref="U65:AJ65" si="68">SUM(U66:U69)+U81</f>
        <v>815343813</v>
      </c>
      <c r="V65" s="124">
        <f t="shared" si="68"/>
        <v>20000000</v>
      </c>
      <c r="W65" s="124">
        <f t="shared" si="68"/>
        <v>13655677</v>
      </c>
      <c r="X65" s="132">
        <f t="shared" si="68"/>
        <v>848999490</v>
      </c>
      <c r="Y65" s="131">
        <f t="shared" si="68"/>
        <v>336655940</v>
      </c>
      <c r="Z65" s="124">
        <f t="shared" si="68"/>
        <v>67473039</v>
      </c>
      <c r="AA65" s="132">
        <f t="shared" si="68"/>
        <v>404128979</v>
      </c>
      <c r="AB65" s="131">
        <f t="shared" si="68"/>
        <v>336655940</v>
      </c>
      <c r="AC65" s="124">
        <f t="shared" si="68"/>
        <v>67473039</v>
      </c>
      <c r="AD65" s="132">
        <f t="shared" si="68"/>
        <v>404128979</v>
      </c>
      <c r="AE65" s="131">
        <f t="shared" si="68"/>
        <v>308292391</v>
      </c>
      <c r="AF65" s="124">
        <f t="shared" si="68"/>
        <v>61797272</v>
      </c>
      <c r="AG65" s="132">
        <f t="shared" si="68"/>
        <v>370089663</v>
      </c>
      <c r="AH65" s="131">
        <f t="shared" si="68"/>
        <v>444870511</v>
      </c>
      <c r="AI65" s="124">
        <f t="shared" si="68"/>
        <v>444870511</v>
      </c>
      <c r="AJ65" s="133">
        <f t="shared" si="68"/>
        <v>478909827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+IF(MAYO!A66=0,"",MAYO!A66)</f>
        <v>1130114</v>
      </c>
      <c r="B66" s="653" t="str">
        <f>+IF(MAYO!B66=0,"",MAYO!B66)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+IF(MAYO!S66=0,"",MAYO!S66)</f>
        <v>1020101</v>
      </c>
      <c r="T66" s="693" t="str">
        <f>+IF(MAYO!T66=0,"",MAYO!T66)</f>
        <v>Sueldos del Personal de nómina</v>
      </c>
      <c r="U66" s="27">
        <f>+ENERO!U66</f>
        <v>641065344</v>
      </c>
      <c r="V66" s="15">
        <f>MAYO!V66+JUNIO!AL66</f>
        <v>0</v>
      </c>
      <c r="W66" s="15">
        <f>MAYO!W66+JUNIO!AM66</f>
        <v>0</v>
      </c>
      <c r="X66" s="18">
        <f>SUM(U66:W66)</f>
        <v>641065344</v>
      </c>
      <c r="Y66" s="19">
        <f>MAYO!AA66</f>
        <v>261892074</v>
      </c>
      <c r="Z66" s="377">
        <v>50739369</v>
      </c>
      <c r="AA66" s="18">
        <f>SUM(Y66:Z66)</f>
        <v>312631443</v>
      </c>
      <c r="AB66" s="19">
        <f>MAYO!AD66</f>
        <v>261892074</v>
      </c>
      <c r="AC66" s="377">
        <v>50739369</v>
      </c>
      <c r="AD66" s="18">
        <f>SUM(AB66:AC66)</f>
        <v>312631443</v>
      </c>
      <c r="AE66" s="19">
        <f>MAYO!AG66</f>
        <v>244276312</v>
      </c>
      <c r="AF66" s="377">
        <v>45948150</v>
      </c>
      <c r="AG66" s="18">
        <f>SUM(AE66:AF66)</f>
        <v>290224462</v>
      </c>
      <c r="AH66" s="19">
        <f>X66-AA66</f>
        <v>328433901</v>
      </c>
      <c r="AI66" s="15">
        <f>X66-AD66</f>
        <v>328433901</v>
      </c>
      <c r="AJ66" s="16">
        <f>X66-AG66</f>
        <v>350840882</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+IF(MAYO!A67=0,"",MAYO!A67)</f>
        <v>1130114-1</v>
      </c>
      <c r="B67" s="654" t="str">
        <f>+CONCATENATE("Vigencia ",INSTRUCCIONES!$F$3)</f>
        <v>Vigencia 2015</v>
      </c>
      <c r="C67" s="375">
        <f>+ENERO!C67</f>
        <v>338898</v>
      </c>
      <c r="D67" s="376">
        <f>MAYO!D67+JUNIO!P67</f>
        <v>0</v>
      </c>
      <c r="E67" s="376">
        <f>MAYO!E67+JUNIO!Q67</f>
        <v>0</v>
      </c>
      <c r="F67" s="376">
        <f>SUM(C67:E67)</f>
        <v>338898</v>
      </c>
      <c r="G67" s="376">
        <f>MAYO!I67</f>
        <v>0</v>
      </c>
      <c r="H67" s="377">
        <v>0</v>
      </c>
      <c r="I67" s="376">
        <f>SUM(G67:H67)</f>
        <v>0</v>
      </c>
      <c r="J67" s="376">
        <f>MAYO!L67</f>
        <v>0</v>
      </c>
      <c r="K67" s="377">
        <v>0</v>
      </c>
      <c r="L67" s="376">
        <f>SUM(J67:K67)</f>
        <v>0</v>
      </c>
      <c r="M67" s="376">
        <f>F67-I67</f>
        <v>338898</v>
      </c>
      <c r="N67" s="146">
        <f>F67-L67</f>
        <v>338898</v>
      </c>
      <c r="O67" s="385"/>
      <c r="P67" s="375">
        <v>0</v>
      </c>
      <c r="Q67" s="378">
        <v>0</v>
      </c>
      <c r="R67" s="9"/>
      <c r="S67" s="719">
        <f>+IF(MAYO!S67=0,"",MAYO!S67)</f>
        <v>1020102</v>
      </c>
      <c r="T67" s="693" t="str">
        <f>+IF(MAYO!T67=0,"",MAYO!T67)</f>
        <v>Horas Extras,Dominic.,Festivos y Rec. Nocturnos</v>
      </c>
      <c r="U67" s="27">
        <f>+ENERO!U67</f>
        <v>57949728</v>
      </c>
      <c r="V67" s="15">
        <f>MAYO!V67+JUNIO!AL67</f>
        <v>20000000</v>
      </c>
      <c r="W67" s="15">
        <f>MAYO!W67+JUNIO!AM67</f>
        <v>0</v>
      </c>
      <c r="X67" s="18">
        <f>SUM(U67:W67)</f>
        <v>77949728</v>
      </c>
      <c r="Y67" s="19">
        <f>MAYO!AA67</f>
        <v>57722136</v>
      </c>
      <c r="Z67" s="377">
        <v>12752264</v>
      </c>
      <c r="AA67" s="18">
        <f>SUM(Y67:Z67)</f>
        <v>70474400</v>
      </c>
      <c r="AB67" s="19">
        <f>MAYO!AD67</f>
        <v>57722136</v>
      </c>
      <c r="AC67" s="377">
        <v>12752264</v>
      </c>
      <c r="AD67" s="18">
        <f>SUM(AB67:AC67)</f>
        <v>70474400</v>
      </c>
      <c r="AE67" s="19">
        <f>MAYO!AG67</f>
        <v>53875267</v>
      </c>
      <c r="AF67" s="377">
        <v>11502469</v>
      </c>
      <c r="AG67" s="18">
        <f>SUM(AE67:AF67)</f>
        <v>65377736</v>
      </c>
      <c r="AH67" s="19">
        <f>X67-AA67</f>
        <v>7475328</v>
      </c>
      <c r="AI67" s="15">
        <f>X67-AD67</f>
        <v>7475328</v>
      </c>
      <c r="AJ67" s="16">
        <f>X67-AG67</f>
        <v>12571992</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+IF(MAYO!A68=0,"",MAYO!A68)</f>
        <v>1130114-2</v>
      </c>
      <c r="B68" s="654" t="str">
        <f>+IF(MAYO!B68=0,"",MAYO!B68)</f>
        <v>Vigencia Anterior</v>
      </c>
      <c r="C68" s="375">
        <f>+ENERO!C68</f>
        <v>0</v>
      </c>
      <c r="D68" s="376">
        <f>MAYO!D68+JUNIO!P68</f>
        <v>0</v>
      </c>
      <c r="E68" s="376">
        <f>MAYO!E68+JUNIO!Q68</f>
        <v>0</v>
      </c>
      <c r="F68" s="376">
        <f>SUM(C68:E68)</f>
        <v>0</v>
      </c>
      <c r="G68" s="376">
        <f>MAYO!I68</f>
        <v>78500</v>
      </c>
      <c r="H68" s="377">
        <v>0</v>
      </c>
      <c r="I68" s="376">
        <f>SUM(G68:H68)</f>
        <v>78500</v>
      </c>
      <c r="J68" s="376">
        <f>MAYO!L68</f>
        <v>78500</v>
      </c>
      <c r="K68" s="377">
        <v>0</v>
      </c>
      <c r="L68" s="376">
        <f>SUM(J68:K68)</f>
        <v>78500</v>
      </c>
      <c r="M68" s="376">
        <f>F68-I68</f>
        <v>-78500</v>
      </c>
      <c r="N68" s="146">
        <f>F68-L68</f>
        <v>-78500</v>
      </c>
      <c r="O68" s="385"/>
      <c r="P68" s="375">
        <v>0</v>
      </c>
      <c r="Q68" s="378">
        <v>0</v>
      </c>
      <c r="R68" s="9"/>
      <c r="S68" s="719">
        <f>+IF(MAYO!S68=0,"",MAYO!S68)</f>
        <v>1020103</v>
      </c>
      <c r="T68" s="693" t="str">
        <f>+IF(MAYO!T68=0,"",MAYO!T68)</f>
        <v>Prima Técnica</v>
      </c>
      <c r="U68" s="27">
        <f>+ENERO!U68</f>
        <v>0</v>
      </c>
      <c r="V68" s="15">
        <f>MAYO!V68+JUNIO!AL68</f>
        <v>0</v>
      </c>
      <c r="W68" s="15">
        <f>MAYO!W68+JUNIO!AM68</f>
        <v>0</v>
      </c>
      <c r="X68" s="18">
        <f>SUM(U68:W68)</f>
        <v>0</v>
      </c>
      <c r="Y68" s="19">
        <f>MAYO!AA68</f>
        <v>0</v>
      </c>
      <c r="Z68" s="377">
        <v>0</v>
      </c>
      <c r="AA68" s="18">
        <f>SUM(Y68:Z68)</f>
        <v>0</v>
      </c>
      <c r="AB68" s="19">
        <f>MAYO!AD68</f>
        <v>0</v>
      </c>
      <c r="AC68" s="377">
        <v>0</v>
      </c>
      <c r="AD68" s="18">
        <f>SUM(AB68:AC68)</f>
        <v>0</v>
      </c>
      <c r="AE68" s="19">
        <f>MAYO!AG68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+IF(MAYO!A69=0,"",MAYO!A69)</f>
        <v>1130115</v>
      </c>
      <c r="B69" s="653" t="str">
        <f>+IF(MAYO!B69=0,"",MAYO!B69)</f>
        <v>ENTIDADES DE REGIMEN ESPECIAL (Magisterio, Fuerza Pca.)</v>
      </c>
      <c r="C69" s="43">
        <f t="shared" ref="C69:N69" si="70">SUM(C70:C71)</f>
        <v>53468516</v>
      </c>
      <c r="D69" s="44">
        <f t="shared" si="70"/>
        <v>0</v>
      </c>
      <c r="E69" s="44">
        <f t="shared" si="70"/>
        <v>27541841</v>
      </c>
      <c r="F69" s="44">
        <f t="shared" si="70"/>
        <v>81010357</v>
      </c>
      <c r="G69" s="44">
        <f t="shared" si="70"/>
        <v>44090961</v>
      </c>
      <c r="H69" s="44">
        <f t="shared" si="70"/>
        <v>6522975</v>
      </c>
      <c r="I69" s="44">
        <f t="shared" si="70"/>
        <v>50613936</v>
      </c>
      <c r="J69" s="44">
        <f t="shared" si="70"/>
        <v>22695461</v>
      </c>
      <c r="K69" s="44">
        <f t="shared" si="70"/>
        <v>3494796</v>
      </c>
      <c r="L69" s="44">
        <f t="shared" si="70"/>
        <v>26190257</v>
      </c>
      <c r="M69" s="44">
        <f t="shared" si="70"/>
        <v>30396421</v>
      </c>
      <c r="N69" s="45">
        <f t="shared" si="70"/>
        <v>54820100</v>
      </c>
      <c r="P69" s="43">
        <f>SUM(P70:P71)</f>
        <v>0</v>
      </c>
      <c r="Q69" s="45">
        <f>SUM(Q70:Q71)</f>
        <v>0</v>
      </c>
      <c r="R69" s="9"/>
      <c r="S69" s="719">
        <f>+IF(MAYO!S69=0,"",MAYO!S69)</f>
        <v>1020104</v>
      </c>
      <c r="T69" s="693" t="str">
        <f>+IF(MAYO!T69=0,"",MAYO!T69)</f>
        <v>Otros</v>
      </c>
      <c r="U69" s="27">
        <f t="shared" ref="U69:AJ69" si="71">SUM(U70:U80)</f>
        <v>116328741</v>
      </c>
      <c r="V69" s="15">
        <f t="shared" si="71"/>
        <v>0</v>
      </c>
      <c r="W69" s="15">
        <f t="shared" si="71"/>
        <v>0</v>
      </c>
      <c r="X69" s="18">
        <f t="shared" si="71"/>
        <v>116328741</v>
      </c>
      <c r="Y69" s="19">
        <f t="shared" si="71"/>
        <v>3386053</v>
      </c>
      <c r="Z69" s="145">
        <f t="shared" si="71"/>
        <v>3981406</v>
      </c>
      <c r="AA69" s="18">
        <f t="shared" si="71"/>
        <v>7367459</v>
      </c>
      <c r="AB69" s="19">
        <f t="shared" si="71"/>
        <v>3386053</v>
      </c>
      <c r="AC69" s="145">
        <f t="shared" si="71"/>
        <v>3981406</v>
      </c>
      <c r="AD69" s="18">
        <f t="shared" si="71"/>
        <v>7367459</v>
      </c>
      <c r="AE69" s="19">
        <f t="shared" si="71"/>
        <v>3010314</v>
      </c>
      <c r="AF69" s="145">
        <f t="shared" si="71"/>
        <v>4346653</v>
      </c>
      <c r="AG69" s="18">
        <f t="shared" si="71"/>
        <v>7356967</v>
      </c>
      <c r="AH69" s="19">
        <f t="shared" si="71"/>
        <v>108961282</v>
      </c>
      <c r="AI69" s="15">
        <f t="shared" si="71"/>
        <v>108961282</v>
      </c>
      <c r="AJ69" s="16">
        <f t="shared" si="71"/>
        <v>108971774</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+IF(MAYO!A70=0,"",MAYO!A70)</f>
        <v>1130115-1</v>
      </c>
      <c r="B70" s="654" t="str">
        <f>+CONCATENATE("Vigencia ",INSTRUCCIONES!$F$3)</f>
        <v>Vigencia 2015</v>
      </c>
      <c r="C70" s="375">
        <f>+ENERO!C70</f>
        <v>53468516</v>
      </c>
      <c r="D70" s="376">
        <f>MAYO!D70+JUNIO!P70</f>
        <v>0</v>
      </c>
      <c r="E70" s="376">
        <f>MAYO!E70+JUNIO!Q70</f>
        <v>0</v>
      </c>
      <c r="F70" s="376">
        <f>SUM(C70:E70)</f>
        <v>53468516</v>
      </c>
      <c r="G70" s="376">
        <f>MAYO!I70</f>
        <v>21751765</v>
      </c>
      <c r="H70" s="377">
        <v>4481074</v>
      </c>
      <c r="I70" s="376">
        <f>SUM(G70:H70)</f>
        <v>26232839</v>
      </c>
      <c r="J70" s="376">
        <f>MAYO!L70</f>
        <v>356265</v>
      </c>
      <c r="K70" s="377">
        <v>1452895</v>
      </c>
      <c r="L70" s="376">
        <f>SUM(J70:K70)</f>
        <v>1809160</v>
      </c>
      <c r="M70" s="376">
        <f>F70-I70</f>
        <v>27235677</v>
      </c>
      <c r="N70" s="146">
        <f>F70-L70</f>
        <v>51659356</v>
      </c>
      <c r="O70" s="385"/>
      <c r="P70" s="375">
        <v>0</v>
      </c>
      <c r="Q70" s="378">
        <v>0</v>
      </c>
      <c r="R70" s="9"/>
      <c r="S70" s="720" t="str">
        <f>+IF(MAYO!S70=0,"",MAYO!S70)</f>
        <v>1020104-1</v>
      </c>
      <c r="T70" s="694" t="str">
        <f>+IF(MAYO!T70=0,"",MAYO!T70)</f>
        <v xml:space="preserve">Prima de Navidad </v>
      </c>
      <c r="U70" s="27">
        <f>+ENERO!U70</f>
        <v>57873955</v>
      </c>
      <c r="V70" s="15">
        <f>MAYO!V70+JUNIO!AL70</f>
        <v>0</v>
      </c>
      <c r="W70" s="15">
        <f>MAYO!W70+JUNIO!AM70</f>
        <v>0</v>
      </c>
      <c r="X70" s="18">
        <f t="shared" ref="X70:X81" si="72">SUM(U70:W70)</f>
        <v>57873955</v>
      </c>
      <c r="Y70" s="19">
        <f>MAYO!AA70</f>
        <v>131226</v>
      </c>
      <c r="Z70" s="377">
        <v>0</v>
      </c>
      <c r="AA70" s="18">
        <f t="shared" ref="AA70:AA81" si="73">SUM(Y70:Z70)</f>
        <v>131226</v>
      </c>
      <c r="AB70" s="19">
        <f>MAYO!AD70</f>
        <v>131226</v>
      </c>
      <c r="AC70" s="377">
        <v>0</v>
      </c>
      <c r="AD70" s="18">
        <f t="shared" ref="AD70:AD81" si="74">SUM(AB70:AC70)</f>
        <v>131226</v>
      </c>
      <c r="AE70" s="19">
        <f>MAYO!AG70</f>
        <v>0</v>
      </c>
      <c r="AF70" s="377">
        <v>131226</v>
      </c>
      <c r="AG70" s="18">
        <f t="shared" ref="AG70:AG81" si="75">SUM(AE70:AF70)</f>
        <v>131226</v>
      </c>
      <c r="AH70" s="19">
        <f t="shared" ref="AH70:AH81" si="76">X70-AA70</f>
        <v>57742729</v>
      </c>
      <c r="AI70" s="15">
        <f t="shared" ref="AI70:AI81" si="77">X70-AD70</f>
        <v>57742729</v>
      </c>
      <c r="AJ70" s="16">
        <f t="shared" ref="AJ70:AJ81" si="78">X70-AG70</f>
        <v>57742729</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+IF(MAYO!A71=0,"",MAYO!A71)</f>
        <v>1130115-2</v>
      </c>
      <c r="B71" s="654" t="str">
        <f>+IF(MAYO!B71=0,"",MAYO!B71)</f>
        <v>Vigencia Anterior</v>
      </c>
      <c r="C71" s="375">
        <f>+ENERO!C71</f>
        <v>0</v>
      </c>
      <c r="D71" s="376">
        <f>MAYO!D71+JUNIO!P71</f>
        <v>0</v>
      </c>
      <c r="E71" s="376">
        <f>MAYO!E71+JUNIO!Q71</f>
        <v>27541841</v>
      </c>
      <c r="F71" s="376">
        <f>SUM(C71:E71)</f>
        <v>27541841</v>
      </c>
      <c r="G71" s="376">
        <f>MAYO!I71</f>
        <v>22339196</v>
      </c>
      <c r="H71" s="377">
        <v>2041901</v>
      </c>
      <c r="I71" s="376">
        <f>SUM(G71:H71)</f>
        <v>24381097</v>
      </c>
      <c r="J71" s="376">
        <f>MAYO!L71</f>
        <v>22339196</v>
      </c>
      <c r="K71" s="377">
        <v>2041901</v>
      </c>
      <c r="L71" s="376">
        <f>SUM(J71:K71)</f>
        <v>24381097</v>
      </c>
      <c r="M71" s="376">
        <f>F71-I71</f>
        <v>3160744</v>
      </c>
      <c r="N71" s="146">
        <f>F71-L71</f>
        <v>3160744</v>
      </c>
      <c r="O71" s="385"/>
      <c r="P71" s="375">
        <v>0</v>
      </c>
      <c r="Q71" s="378">
        <v>0</v>
      </c>
      <c r="R71" s="9"/>
      <c r="S71" s="720" t="str">
        <f>+IF(MAYO!S71=0,"",MAYO!S71)</f>
        <v>1020104-2</v>
      </c>
      <c r="T71" s="694" t="str">
        <f>+IF(MAYO!T71=0,"",MAYO!T71)</f>
        <v>Prima Vida Cara</v>
      </c>
      <c r="U71" s="27">
        <f>+ENERO!U71</f>
        <v>0</v>
      </c>
      <c r="V71" s="15">
        <f>MAYO!V71+JUNIO!AL71</f>
        <v>0</v>
      </c>
      <c r="W71" s="15">
        <f>MAYO!W71+JUNIO!AM71</f>
        <v>0</v>
      </c>
      <c r="X71" s="18">
        <f t="shared" si="72"/>
        <v>0</v>
      </c>
      <c r="Y71" s="19">
        <f>MAYO!AA71</f>
        <v>0</v>
      </c>
      <c r="Z71" s="377">
        <v>0</v>
      </c>
      <c r="AA71" s="18">
        <f t="shared" si="73"/>
        <v>0</v>
      </c>
      <c r="AB71" s="19">
        <f>MAYO!AD71</f>
        <v>0</v>
      </c>
      <c r="AC71" s="377">
        <v>0</v>
      </c>
      <c r="AD71" s="18">
        <f t="shared" si="74"/>
        <v>0</v>
      </c>
      <c r="AE71" s="19">
        <f>MAYO!AG71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+IF(MAYO!A72=0,"",MAYO!A72)</f>
        <v>1130116</v>
      </c>
      <c r="B72" s="653" t="str">
        <f>+IF(MAYO!B72=0,"",MAYO!B72)</f>
        <v>ADMINISTRADORAS DE RIESGOS PROFESIONALES</v>
      </c>
      <c r="C72" s="43">
        <f t="shared" ref="C72:N72" si="79">SUM(C73:C74)</f>
        <v>47982534</v>
      </c>
      <c r="D72" s="44">
        <f t="shared" si="79"/>
        <v>0</v>
      </c>
      <c r="E72" s="44">
        <f t="shared" si="79"/>
        <v>7739704</v>
      </c>
      <c r="F72" s="44">
        <f t="shared" si="79"/>
        <v>55722238</v>
      </c>
      <c r="G72" s="44">
        <f t="shared" si="79"/>
        <v>24692431</v>
      </c>
      <c r="H72" s="44">
        <f t="shared" si="79"/>
        <v>4283921</v>
      </c>
      <c r="I72" s="44">
        <f t="shared" si="79"/>
        <v>28976352</v>
      </c>
      <c r="J72" s="44">
        <f t="shared" si="79"/>
        <v>18461721</v>
      </c>
      <c r="K72" s="44">
        <f t="shared" si="79"/>
        <v>542153</v>
      </c>
      <c r="L72" s="44">
        <f t="shared" si="79"/>
        <v>19003874</v>
      </c>
      <c r="M72" s="44">
        <f t="shared" si="79"/>
        <v>26745886</v>
      </c>
      <c r="N72" s="45">
        <f t="shared" si="79"/>
        <v>36718364</v>
      </c>
      <c r="P72" s="43">
        <f>SUM(P73:P74)</f>
        <v>0</v>
      </c>
      <c r="Q72" s="45">
        <f>SUM(Q73:Q74)</f>
        <v>0</v>
      </c>
      <c r="R72" s="9"/>
      <c r="S72" s="720" t="str">
        <f>+IF(MAYO!S72=0,"",MAYO!S72)</f>
        <v>1020104-3</v>
      </c>
      <c r="T72" s="694" t="str">
        <f>+IF(MAYO!T72=0,"",MAYO!T72)</f>
        <v>Prima de Vacaciones</v>
      </c>
      <c r="U72" s="27">
        <f>+ENERO!U72</f>
        <v>26711056</v>
      </c>
      <c r="V72" s="15">
        <f>MAYO!V72+JUNIO!AL72</f>
        <v>0</v>
      </c>
      <c r="W72" s="15">
        <f>MAYO!W72+JUNIO!AM72</f>
        <v>0</v>
      </c>
      <c r="X72" s="18">
        <f t="shared" si="72"/>
        <v>26711056</v>
      </c>
      <c r="Y72" s="19">
        <f>MAYO!AA72</f>
        <v>2718124</v>
      </c>
      <c r="Z72" s="377">
        <v>3513006</v>
      </c>
      <c r="AA72" s="18">
        <f t="shared" si="73"/>
        <v>6231130</v>
      </c>
      <c r="AB72" s="19">
        <f>MAYO!AD72</f>
        <v>2718124</v>
      </c>
      <c r="AC72" s="377">
        <v>3513006</v>
      </c>
      <c r="AD72" s="18">
        <f t="shared" si="74"/>
        <v>6231130</v>
      </c>
      <c r="AE72" s="19">
        <f>MAYO!AG72</f>
        <v>2536594</v>
      </c>
      <c r="AF72" s="377">
        <v>3694536</v>
      </c>
      <c r="AG72" s="18">
        <f t="shared" si="75"/>
        <v>6231130</v>
      </c>
      <c r="AH72" s="19">
        <f t="shared" si="76"/>
        <v>20479926</v>
      </c>
      <c r="AI72" s="15">
        <f t="shared" si="77"/>
        <v>20479926</v>
      </c>
      <c r="AJ72" s="16">
        <f t="shared" si="78"/>
        <v>20479926</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+IF(MAYO!A73=0,"",MAYO!A73)</f>
        <v>1130116-1</v>
      </c>
      <c r="B73" s="654" t="str">
        <f>+CONCATENATE("Vigencia ",INSTRUCCIONES!$F$3)</f>
        <v>Vigencia 2015</v>
      </c>
      <c r="C73" s="375">
        <f>+ENERO!C73</f>
        <v>47982534</v>
      </c>
      <c r="D73" s="376">
        <f>MAYO!D73+JUNIO!P73</f>
        <v>0</v>
      </c>
      <c r="E73" s="376">
        <f>MAYO!E73+JUNIO!Q73</f>
        <v>0</v>
      </c>
      <c r="F73" s="376">
        <f>SUM(C73:E73)</f>
        <v>47982534</v>
      </c>
      <c r="G73" s="376">
        <f>MAYO!I73</f>
        <v>17420411</v>
      </c>
      <c r="H73" s="377">
        <v>4283921</v>
      </c>
      <c r="I73" s="376">
        <f>SUM(G73:H73)</f>
        <v>21704332</v>
      </c>
      <c r="J73" s="376">
        <f>MAYO!L73</f>
        <v>11189701</v>
      </c>
      <c r="K73" s="377">
        <v>542153</v>
      </c>
      <c r="L73" s="376">
        <f>SUM(J73:K73)</f>
        <v>11731854</v>
      </c>
      <c r="M73" s="376">
        <f>F73-I73</f>
        <v>26278202</v>
      </c>
      <c r="N73" s="146">
        <f>F73-L73</f>
        <v>36250680</v>
      </c>
      <c r="O73" s="385"/>
      <c r="P73" s="375">
        <v>0</v>
      </c>
      <c r="Q73" s="378">
        <v>0</v>
      </c>
      <c r="R73" s="9"/>
      <c r="S73" s="720" t="str">
        <f>+IF(MAYO!S73=0,"",MAYO!S73)</f>
        <v>1020104-4</v>
      </c>
      <c r="T73" s="694" t="str">
        <f>+IF(MAYO!T73=0,"",MAYO!T73)</f>
        <v>Prima Clima</v>
      </c>
      <c r="U73" s="27">
        <f>+ENERO!U73</f>
        <v>0</v>
      </c>
      <c r="V73" s="15">
        <f>MAYO!V73+JUNIO!AL73</f>
        <v>0</v>
      </c>
      <c r="W73" s="15">
        <f>MAYO!W73+JUNIO!AM73</f>
        <v>0</v>
      </c>
      <c r="X73" s="18">
        <f t="shared" si="72"/>
        <v>0</v>
      </c>
      <c r="Y73" s="19">
        <f>MAYO!AA73</f>
        <v>0</v>
      </c>
      <c r="Z73" s="377">
        <v>0</v>
      </c>
      <c r="AA73" s="18">
        <f t="shared" si="73"/>
        <v>0</v>
      </c>
      <c r="AB73" s="19">
        <f>MAYO!AD73</f>
        <v>0</v>
      </c>
      <c r="AC73" s="377">
        <v>0</v>
      </c>
      <c r="AD73" s="18">
        <f t="shared" si="74"/>
        <v>0</v>
      </c>
      <c r="AE73" s="19">
        <f>MAYO!AG73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+IF(MAYO!A74=0,"",MAYO!A74)</f>
        <v>1130116-2</v>
      </c>
      <c r="B74" s="654" t="str">
        <f>+IF(MAYO!B74=0,"",MAYO!B74)</f>
        <v>Vigencia Anterior</v>
      </c>
      <c r="C74" s="375">
        <f>+ENERO!C74</f>
        <v>0</v>
      </c>
      <c r="D74" s="376">
        <f>MAYO!D74+JUNIO!P74</f>
        <v>0</v>
      </c>
      <c r="E74" s="376">
        <f>MAYO!E74+JUNIO!Q74</f>
        <v>7739704</v>
      </c>
      <c r="F74" s="376">
        <f>SUM(C74:E74)</f>
        <v>7739704</v>
      </c>
      <c r="G74" s="376">
        <f>MAYO!I74</f>
        <v>7272020</v>
      </c>
      <c r="H74" s="377">
        <v>0</v>
      </c>
      <c r="I74" s="376">
        <f>SUM(G74:H74)</f>
        <v>7272020</v>
      </c>
      <c r="J74" s="376">
        <f>MAYO!L74</f>
        <v>7272020</v>
      </c>
      <c r="K74" s="377">
        <v>0</v>
      </c>
      <c r="L74" s="376">
        <f>SUM(J74:K74)</f>
        <v>7272020</v>
      </c>
      <c r="M74" s="376">
        <f>F74-I74</f>
        <v>467684</v>
      </c>
      <c r="N74" s="146">
        <f>F74-L74</f>
        <v>467684</v>
      </c>
      <c r="O74" s="385"/>
      <c r="P74" s="375">
        <v>0</v>
      </c>
      <c r="Q74" s="378">
        <v>0</v>
      </c>
      <c r="R74" s="9"/>
      <c r="S74" s="720" t="str">
        <f>+IF(MAYO!S74=0,"",MAYO!S74)</f>
        <v>1020104-5</v>
      </c>
      <c r="T74" s="694" t="str">
        <f>+IF(MAYO!T74=0,"",MAYO!T74)</f>
        <v>Prima de Servicios</v>
      </c>
      <c r="U74" s="27">
        <f>+ENERO!U74</f>
        <v>26711056</v>
      </c>
      <c r="V74" s="15">
        <f>MAYO!V74+JUNIO!AL74</f>
        <v>0</v>
      </c>
      <c r="W74" s="15">
        <f>MAYO!W74+JUNIO!AM74</f>
        <v>0</v>
      </c>
      <c r="X74" s="18">
        <f t="shared" si="72"/>
        <v>26711056</v>
      </c>
      <c r="Y74" s="19">
        <f>MAYO!AA74</f>
        <v>0</v>
      </c>
      <c r="Z74" s="377">
        <v>0</v>
      </c>
      <c r="AA74" s="18">
        <f t="shared" si="73"/>
        <v>0</v>
      </c>
      <c r="AB74" s="19">
        <f>MAYO!AD74</f>
        <v>0</v>
      </c>
      <c r="AC74" s="377">
        <v>0</v>
      </c>
      <c r="AD74" s="18">
        <f t="shared" si="74"/>
        <v>0</v>
      </c>
      <c r="AE74" s="19">
        <f>MAYO!AG74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+IF(MAYO!A75=0,"",MAYO!A75)</f>
        <v>1130117</v>
      </c>
      <c r="B75" s="653" t="str">
        <f>+IF(MAYO!B75=0,"",MAYO!B75)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+IF(MAYO!S75=0,"",MAYO!S75)</f>
        <v>1020104-8</v>
      </c>
      <c r="T75" s="694" t="str">
        <f>+IF(MAYO!T75=0,"",MAYO!T75)</f>
        <v>Bonific. por Servicios Prestados (Convencional)</v>
      </c>
      <c r="U75" s="27">
        <f>+ENERO!U75</f>
        <v>0</v>
      </c>
      <c r="V75" s="15">
        <f>MAYO!V75+JUNIO!AL75</f>
        <v>0</v>
      </c>
      <c r="W75" s="15">
        <f>MAYO!W75+JUNIO!AM75</f>
        <v>0</v>
      </c>
      <c r="X75" s="18">
        <f t="shared" si="72"/>
        <v>0</v>
      </c>
      <c r="Y75" s="19">
        <f>MAYO!AA75</f>
        <v>0</v>
      </c>
      <c r="Z75" s="377">
        <v>0</v>
      </c>
      <c r="AA75" s="18">
        <f t="shared" si="73"/>
        <v>0</v>
      </c>
      <c r="AB75" s="19">
        <f>MAYO!AD75</f>
        <v>0</v>
      </c>
      <c r="AC75" s="377">
        <v>0</v>
      </c>
      <c r="AD75" s="18">
        <f t="shared" si="74"/>
        <v>0</v>
      </c>
      <c r="AE75" s="19">
        <f>MAYO!AG75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+IF(MAYO!A76=0,"",MAYO!A76)</f>
        <v>1130117-1</v>
      </c>
      <c r="B76" s="654" t="str">
        <f>+CONCATENATE("Vigencia ",INSTRUCCIONES!$F$3)</f>
        <v>Vigencia 2015</v>
      </c>
      <c r="C76" s="375">
        <f>+ENERO!C76</f>
        <v>0</v>
      </c>
      <c r="D76" s="376">
        <f>MAYO!D76+JUNIO!P76</f>
        <v>0</v>
      </c>
      <c r="E76" s="376">
        <f>MAYO!E76+JUNIO!Q76</f>
        <v>0</v>
      </c>
      <c r="F76" s="376">
        <f t="shared" ref="F76:F83" si="81">SUM(C76:E76)</f>
        <v>0</v>
      </c>
      <c r="G76" s="376">
        <f>MAYO!I76</f>
        <v>0</v>
      </c>
      <c r="H76" s="377">
        <v>0</v>
      </c>
      <c r="I76" s="376">
        <f t="shared" ref="I76:I83" si="82">SUM(G76:H76)</f>
        <v>0</v>
      </c>
      <c r="J76" s="376">
        <f>MAYO!L76</f>
        <v>0</v>
      </c>
      <c r="K76" s="377">
        <v>0</v>
      </c>
      <c r="L76" s="376">
        <f t="shared" ref="L76:L83" si="83">SUM(J76:K76)</f>
        <v>0</v>
      </c>
      <c r="M76" s="376">
        <f t="shared" ref="M76:M83" si="84">F76-I76</f>
        <v>0</v>
      </c>
      <c r="N76" s="146">
        <f t="shared" ref="N76:N83" si="85">F76-L76</f>
        <v>0</v>
      </c>
      <c r="O76" s="385"/>
      <c r="P76" s="375">
        <v>0</v>
      </c>
      <c r="Q76" s="378">
        <v>0</v>
      </c>
      <c r="R76" s="9"/>
      <c r="S76" s="720" t="str">
        <f>+IF(MAYO!S76=0,"",MAYO!S76)</f>
        <v>1020104-9</v>
      </c>
      <c r="T76" s="694" t="str">
        <f>+IF(MAYO!T76=0,"",MAYO!T76)</f>
        <v>Auxilio de Transporte</v>
      </c>
      <c r="U76" s="27">
        <f>+ENERO!U76</f>
        <v>1471200</v>
      </c>
      <c r="V76" s="15">
        <f>MAYO!V76+JUNIO!AL76</f>
        <v>0</v>
      </c>
      <c r="W76" s="15">
        <f>MAYO!W76+JUNIO!AM76</f>
        <v>0</v>
      </c>
      <c r="X76" s="18">
        <f t="shared" si="72"/>
        <v>1471200</v>
      </c>
      <c r="Y76" s="19">
        <f>MAYO!AA76</f>
        <v>146000</v>
      </c>
      <c r="Z76" s="377">
        <v>0</v>
      </c>
      <c r="AA76" s="18">
        <f t="shared" si="73"/>
        <v>146000</v>
      </c>
      <c r="AB76" s="19">
        <f>MAYO!AD76</f>
        <v>146000</v>
      </c>
      <c r="AC76" s="377">
        <v>0</v>
      </c>
      <c r="AD76" s="18">
        <f t="shared" si="74"/>
        <v>146000</v>
      </c>
      <c r="AE76" s="19">
        <f>MAYO!AG76</f>
        <v>135508</v>
      </c>
      <c r="AF76" s="377">
        <v>0</v>
      </c>
      <c r="AG76" s="18">
        <f t="shared" si="75"/>
        <v>135508</v>
      </c>
      <c r="AH76" s="19">
        <f t="shared" si="76"/>
        <v>1325200</v>
      </c>
      <c r="AI76" s="15">
        <f t="shared" si="77"/>
        <v>1325200</v>
      </c>
      <c r="AJ76" s="16">
        <f t="shared" si="78"/>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+IF(MAYO!A77=0,"",MAYO!A77)</f>
        <v>1130117-2</v>
      </c>
      <c r="B77" s="654" t="str">
        <f>+IF(MAYO!B77=0,"",MAYO!B77)</f>
        <v>Vigencia Anterior</v>
      </c>
      <c r="C77" s="375">
        <f>+ENERO!C77</f>
        <v>0</v>
      </c>
      <c r="D77" s="376">
        <f>MAYO!D77+JUNIO!P77</f>
        <v>0</v>
      </c>
      <c r="E77" s="376">
        <f>MAYO!E77+JUNIO!Q77</f>
        <v>0</v>
      </c>
      <c r="F77" s="376">
        <f t="shared" si="81"/>
        <v>0</v>
      </c>
      <c r="G77" s="376">
        <f>MAYO!I77</f>
        <v>0</v>
      </c>
      <c r="H77" s="377">
        <v>0</v>
      </c>
      <c r="I77" s="376">
        <f t="shared" si="82"/>
        <v>0</v>
      </c>
      <c r="J77" s="376">
        <f>MAYO!L77</f>
        <v>0</v>
      </c>
      <c r="K77" s="377">
        <v>0</v>
      </c>
      <c r="L77" s="376">
        <f t="shared" si="83"/>
        <v>0</v>
      </c>
      <c r="M77" s="376">
        <f t="shared" si="84"/>
        <v>0</v>
      </c>
      <c r="N77" s="146">
        <f t="shared" si="85"/>
        <v>0</v>
      </c>
      <c r="O77" s="385"/>
      <c r="P77" s="375">
        <v>0</v>
      </c>
      <c r="Q77" s="378">
        <v>0</v>
      </c>
      <c r="R77" s="9"/>
      <c r="S77" s="720" t="str">
        <f>+IF(MAYO!S77=0,"",MAYO!S77)</f>
        <v>1020104-10</v>
      </c>
      <c r="T77" s="694" t="str">
        <f>+IF(MAYO!T77=0,"",MAYO!T77)</f>
        <v>Subsidio de Alimentación</v>
      </c>
      <c r="U77" s="27">
        <f>+ENERO!U77</f>
        <v>0</v>
      </c>
      <c r="V77" s="15">
        <f>MAYO!V77+JUNIO!AL77</f>
        <v>0</v>
      </c>
      <c r="W77" s="15">
        <f>MAYO!W77+JUNIO!AM77</f>
        <v>0</v>
      </c>
      <c r="X77" s="18">
        <f t="shared" si="72"/>
        <v>0</v>
      </c>
      <c r="Y77" s="19">
        <f>MAYO!AA77</f>
        <v>0</v>
      </c>
      <c r="Z77" s="377">
        <v>0</v>
      </c>
      <c r="AA77" s="18">
        <f t="shared" si="73"/>
        <v>0</v>
      </c>
      <c r="AB77" s="19">
        <f>MAYO!AD77</f>
        <v>0</v>
      </c>
      <c r="AC77" s="377">
        <v>0</v>
      </c>
      <c r="AD77" s="18">
        <f t="shared" si="74"/>
        <v>0</v>
      </c>
      <c r="AE77" s="19">
        <f>MAYO!AG77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+IF(MAYO!A78=0,"",MAYO!A78)</f>
        <v>1130118</v>
      </c>
      <c r="B78" s="653" t="str">
        <f>+IF(MAYO!B78=0,"",MAYO!B78)</f>
        <v>PARTICULARES   (Venta de Contado)</v>
      </c>
      <c r="C78" s="43">
        <f>SUM(C79:C80)</f>
        <v>151788162</v>
      </c>
      <c r="D78" s="44">
        <f>SUM(D79:D80)</f>
        <v>0</v>
      </c>
      <c r="E78" s="44">
        <f>SUM(E79:E80)</f>
        <v>0</v>
      </c>
      <c r="F78" s="44">
        <f t="shared" si="81"/>
        <v>151788162</v>
      </c>
      <c r="G78" s="44">
        <f>SUM(G79:G80)</f>
        <v>55325426</v>
      </c>
      <c r="H78" s="44">
        <f>SUM(H79:H80)</f>
        <v>11421191</v>
      </c>
      <c r="I78" s="44">
        <f t="shared" si="82"/>
        <v>66746617</v>
      </c>
      <c r="J78" s="44">
        <f>SUM(J79:J80)</f>
        <v>55325426</v>
      </c>
      <c r="K78" s="44">
        <f>SUM(K79:K80)</f>
        <v>11421191</v>
      </c>
      <c r="L78" s="44">
        <f t="shared" si="83"/>
        <v>66746617</v>
      </c>
      <c r="M78" s="44">
        <f t="shared" si="84"/>
        <v>85041545</v>
      </c>
      <c r="N78" s="45">
        <f t="shared" si="85"/>
        <v>85041545</v>
      </c>
      <c r="O78" s="385"/>
      <c r="P78" s="43">
        <f>SUM(P79:P80)</f>
        <v>0</v>
      </c>
      <c r="Q78" s="45">
        <f>SUM(Q79:Q80)</f>
        <v>0</v>
      </c>
      <c r="R78" s="9"/>
      <c r="S78" s="720" t="str">
        <f>+IF(MAYO!S78=0,"",MAYO!S78)</f>
        <v>1020104-12</v>
      </c>
      <c r="T78" s="694" t="str">
        <f>+IF(MAYO!T78=0,"",MAYO!T78)</f>
        <v>Indemnizaciones por Vacaciones o Supresión de Cargos por Reestructuración</v>
      </c>
      <c r="U78" s="27">
        <f>+ENERO!U78</f>
        <v>0</v>
      </c>
      <c r="V78" s="15">
        <f>MAYO!V78+JUNIO!AL78</f>
        <v>0</v>
      </c>
      <c r="W78" s="15">
        <f>MAYO!W78+JUNIO!AM78</f>
        <v>0</v>
      </c>
      <c r="X78" s="18">
        <f t="shared" si="72"/>
        <v>0</v>
      </c>
      <c r="Y78" s="19">
        <f>MAYO!AA78</f>
        <v>0</v>
      </c>
      <c r="Z78" s="377">
        <v>0</v>
      </c>
      <c r="AA78" s="18">
        <f t="shared" si="73"/>
        <v>0</v>
      </c>
      <c r="AB78" s="19">
        <f>MAYO!AD78</f>
        <v>0</v>
      </c>
      <c r="AC78" s="377">
        <v>0</v>
      </c>
      <c r="AD78" s="18">
        <f t="shared" si="74"/>
        <v>0</v>
      </c>
      <c r="AE78" s="19">
        <f>MAYO!AG78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+IF(MAYO!A79=0,"",MAYO!A79)</f>
        <v>1130118-1</v>
      </c>
      <c r="B79" s="654" t="str">
        <f>+CONCATENATE("Vigencia ",INSTRUCCIONES!$F$3)</f>
        <v>Vigencia 2015</v>
      </c>
      <c r="C79" s="375">
        <f>+ENERO!C79</f>
        <v>151788162</v>
      </c>
      <c r="D79" s="376">
        <f>MAYO!D79+JUNIO!P79</f>
        <v>0</v>
      </c>
      <c r="E79" s="376">
        <f>MAYO!E79+JUNIO!Q79</f>
        <v>0</v>
      </c>
      <c r="F79" s="376">
        <f t="shared" si="81"/>
        <v>151788162</v>
      </c>
      <c r="G79" s="376">
        <f>MAYO!I79</f>
        <v>55325426</v>
      </c>
      <c r="H79" s="377">
        <v>11421191</v>
      </c>
      <c r="I79" s="376">
        <f t="shared" si="82"/>
        <v>66746617</v>
      </c>
      <c r="J79" s="376">
        <f>MAYO!L79</f>
        <v>55325426</v>
      </c>
      <c r="K79" s="377">
        <v>11421191</v>
      </c>
      <c r="L79" s="376">
        <f t="shared" si="83"/>
        <v>66746617</v>
      </c>
      <c r="M79" s="376">
        <f t="shared" si="84"/>
        <v>85041545</v>
      </c>
      <c r="N79" s="146">
        <f t="shared" si="85"/>
        <v>85041545</v>
      </c>
      <c r="P79" s="375">
        <v>0</v>
      </c>
      <c r="Q79" s="378">
        <v>0</v>
      </c>
      <c r="R79" s="9"/>
      <c r="S79" s="720" t="str">
        <f>+IF(MAYO!S79=0,"",MAYO!S79)</f>
        <v>1020104-13</v>
      </c>
      <c r="T79" s="694" t="str">
        <f>+IF(MAYO!T79=0,"",MAYO!T79)</f>
        <v>Bonificación Especial por Recreación</v>
      </c>
      <c r="U79" s="27">
        <f>+ENERO!U79</f>
        <v>3561474</v>
      </c>
      <c r="V79" s="15">
        <f>MAYO!V79+JUNIO!AL79</f>
        <v>0</v>
      </c>
      <c r="W79" s="15">
        <f>MAYO!W79+JUNIO!AM79</f>
        <v>0</v>
      </c>
      <c r="X79" s="18">
        <f t="shared" si="72"/>
        <v>3561474</v>
      </c>
      <c r="Y79" s="19">
        <f>MAYO!AA79</f>
        <v>390703</v>
      </c>
      <c r="Z79" s="377">
        <v>468400</v>
      </c>
      <c r="AA79" s="18">
        <f t="shared" si="73"/>
        <v>859103</v>
      </c>
      <c r="AB79" s="19">
        <f>MAYO!AD79</f>
        <v>390703</v>
      </c>
      <c r="AC79" s="377">
        <v>468400</v>
      </c>
      <c r="AD79" s="18">
        <f t="shared" si="74"/>
        <v>859103</v>
      </c>
      <c r="AE79" s="19">
        <f>MAYO!AG79</f>
        <v>338212</v>
      </c>
      <c r="AF79" s="377">
        <v>520891</v>
      </c>
      <c r="AG79" s="18">
        <f t="shared" si="75"/>
        <v>859103</v>
      </c>
      <c r="AH79" s="19">
        <f t="shared" si="76"/>
        <v>2702371</v>
      </c>
      <c r="AI79" s="15">
        <f t="shared" si="77"/>
        <v>2702371</v>
      </c>
      <c r="AJ79" s="16">
        <f t="shared" si="78"/>
        <v>2702371</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+IF(MAYO!A80=0,"",MAYO!A80)</f>
        <v>1130118-2</v>
      </c>
      <c r="B80" s="654" t="str">
        <f>+IF(MAYO!B80=0,"",MAYO!B80)</f>
        <v>Vigencia Anterior</v>
      </c>
      <c r="C80" s="375">
        <f>+ENERO!C80</f>
        <v>0</v>
      </c>
      <c r="D80" s="376">
        <f>MAYO!D80+JUNIO!P80</f>
        <v>0</v>
      </c>
      <c r="E80" s="376">
        <f>MAYO!E80+JUNIO!Q80</f>
        <v>0</v>
      </c>
      <c r="F80" s="376">
        <f t="shared" si="81"/>
        <v>0</v>
      </c>
      <c r="G80" s="376">
        <f>MAYO!I80</f>
        <v>0</v>
      </c>
      <c r="H80" s="377">
        <v>0</v>
      </c>
      <c r="I80" s="376">
        <f t="shared" si="82"/>
        <v>0</v>
      </c>
      <c r="J80" s="376">
        <f>MAYO!L80</f>
        <v>0</v>
      </c>
      <c r="K80" s="377">
        <v>0</v>
      </c>
      <c r="L80" s="376">
        <f t="shared" si="83"/>
        <v>0</v>
      </c>
      <c r="M80" s="376">
        <f t="shared" si="84"/>
        <v>0</v>
      </c>
      <c r="N80" s="146">
        <f t="shared" si="85"/>
        <v>0</v>
      </c>
      <c r="O80" s="385"/>
      <c r="P80" s="375">
        <v>0</v>
      </c>
      <c r="Q80" s="378">
        <v>0</v>
      </c>
      <c r="S80" s="720" t="str">
        <f>+IF(MAYO!S80=0,"",MAYO!S80)</f>
        <v>1020104-14</v>
      </c>
      <c r="T80" s="694" t="str">
        <f>+IF(MAYO!T80=0,"",MAYO!T80)</f>
        <v/>
      </c>
      <c r="U80" s="27">
        <f>+ENERO!U80</f>
        <v>0</v>
      </c>
      <c r="V80" s="15">
        <f>MAYO!V80+JUNIO!AL80</f>
        <v>0</v>
      </c>
      <c r="W80" s="15">
        <f>MAYO!W80+JUNIO!AM80</f>
        <v>0</v>
      </c>
      <c r="X80" s="18">
        <f t="shared" si="72"/>
        <v>0</v>
      </c>
      <c r="Y80" s="19">
        <f>MAYO!AA80</f>
        <v>0</v>
      </c>
      <c r="Z80" s="377">
        <v>0</v>
      </c>
      <c r="AA80" s="18">
        <f t="shared" si="73"/>
        <v>0</v>
      </c>
      <c r="AB80" s="19">
        <f>MAYO!AD80</f>
        <v>0</v>
      </c>
      <c r="AC80" s="377">
        <v>0</v>
      </c>
      <c r="AD80" s="18">
        <f t="shared" si="74"/>
        <v>0</v>
      </c>
      <c r="AE80" s="19">
        <f>MAYO!AG80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F80" s="385"/>
      <c r="BL80" s="385"/>
      <c r="BM80" s="385"/>
      <c r="BN80" s="385"/>
      <c r="BO80" s="385"/>
      <c r="BP80" s="385"/>
      <c r="BQ80" s="385"/>
      <c r="BR80" s="385"/>
    </row>
    <row r="81" spans="1:70" s="385" customFormat="1" ht="24.95" customHeight="1" x14ac:dyDescent="0.2">
      <c r="A81" s="747">
        <f>+IF(MAYO!A81=0,"",MAYO!A81)</f>
        <v>1130119</v>
      </c>
      <c r="B81" s="657" t="str">
        <f>+IF(MAYO!B81=0,"",MAYO!B81)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+IF(MAYO!S81=0,"",MAYO!S81)</f>
        <v>1020199</v>
      </c>
      <c r="T81" s="693" t="str">
        <f>+IF(MAYO!T81=0,"",MAYO!T81)</f>
        <v>Vigencias Anteriores</v>
      </c>
      <c r="U81" s="27">
        <f>+ENERO!U81</f>
        <v>0</v>
      </c>
      <c r="V81" s="15">
        <f>MAYO!V81+JUNIO!AL81</f>
        <v>0</v>
      </c>
      <c r="W81" s="15">
        <f>MAYO!W81+JUNIO!AM81</f>
        <v>13655677</v>
      </c>
      <c r="X81" s="18">
        <f t="shared" si="72"/>
        <v>13655677</v>
      </c>
      <c r="Y81" s="19">
        <f>MAYO!AA81</f>
        <v>13655677</v>
      </c>
      <c r="Z81" s="377">
        <v>0</v>
      </c>
      <c r="AA81" s="18">
        <f t="shared" si="73"/>
        <v>13655677</v>
      </c>
      <c r="AB81" s="19">
        <f>MAYO!AD81</f>
        <v>13655677</v>
      </c>
      <c r="AC81" s="377">
        <v>0</v>
      </c>
      <c r="AD81" s="18">
        <f t="shared" si="74"/>
        <v>13655677</v>
      </c>
      <c r="AE81" s="19">
        <f>MAYO!AG81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+IF(MAYO!A82=0,"",MAYO!A82)</f>
        <v>1130119-1</v>
      </c>
      <c r="B82" s="654" t="str">
        <f>+CONCATENATE("Vigencia ",INSTRUCCIONES!$F$3)</f>
        <v>Vigencia 2015</v>
      </c>
      <c r="C82" s="375">
        <f>+ENERO!C82</f>
        <v>0</v>
      </c>
      <c r="D82" s="376">
        <f>MAYO!D82+JUNIO!P82</f>
        <v>0</v>
      </c>
      <c r="E82" s="376">
        <f>MAYO!E82+JUNIO!Q82</f>
        <v>0</v>
      </c>
      <c r="F82" s="376">
        <f t="shared" si="81"/>
        <v>0</v>
      </c>
      <c r="G82" s="376">
        <f>MAYO!I82</f>
        <v>0</v>
      </c>
      <c r="H82" s="377">
        <v>0</v>
      </c>
      <c r="I82" s="376">
        <f t="shared" si="82"/>
        <v>0</v>
      </c>
      <c r="J82" s="376">
        <f>MAYO!L82</f>
        <v>0</v>
      </c>
      <c r="K82" s="377">
        <v>0</v>
      </c>
      <c r="L82" s="376">
        <f t="shared" si="83"/>
        <v>0</v>
      </c>
      <c r="M82" s="376">
        <f t="shared" si="84"/>
        <v>0</v>
      </c>
      <c r="N82" s="146">
        <f t="shared" si="85"/>
        <v>0</v>
      </c>
      <c r="P82" s="375">
        <v>0</v>
      </c>
      <c r="Q82" s="378">
        <v>0</v>
      </c>
      <c r="R82" s="9"/>
      <c r="S82" s="369" t="str">
        <f>+IF(MAYO!S82=0,"",MAYO!S82)</f>
        <v/>
      </c>
      <c r="T82" s="708" t="str">
        <f>+IF(MAYO!T82=0,"",MAYO!T82)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+IF(MAYO!A83=0,"",MAYO!A83)</f>
        <v>1130119-2</v>
      </c>
      <c r="B83" s="658" t="str">
        <f>+IF(MAYO!B83=0,"",MAYO!B83)</f>
        <v>Vigencia Anterior</v>
      </c>
      <c r="C83" s="387">
        <f>+ENERO!C83</f>
        <v>0</v>
      </c>
      <c r="D83" s="388">
        <f>MAYO!D83+JUNIO!P83</f>
        <v>0</v>
      </c>
      <c r="E83" s="388">
        <f>MAYO!E83+JUNIO!Q83</f>
        <v>0</v>
      </c>
      <c r="F83" s="388">
        <f t="shared" si="81"/>
        <v>0</v>
      </c>
      <c r="G83" s="388">
        <f>MAYO!I83</f>
        <v>0</v>
      </c>
      <c r="H83" s="391">
        <v>0</v>
      </c>
      <c r="I83" s="388">
        <f t="shared" si="82"/>
        <v>0</v>
      </c>
      <c r="J83" s="388">
        <f>MAYO!L83</f>
        <v>0</v>
      </c>
      <c r="K83" s="391">
        <v>0</v>
      </c>
      <c r="L83" s="388">
        <f t="shared" si="83"/>
        <v>0</v>
      </c>
      <c r="M83" s="388">
        <f t="shared" si="84"/>
        <v>0</v>
      </c>
      <c r="N83" s="389">
        <f t="shared" si="85"/>
        <v>0</v>
      </c>
      <c r="P83" s="375">
        <v>0</v>
      </c>
      <c r="Q83" s="378">
        <v>0</v>
      </c>
      <c r="R83" s="9"/>
      <c r="S83" s="718">
        <f>+IF(MAYO!S83=0,"",MAYO!S83)</f>
        <v>1020200</v>
      </c>
      <c r="T83" s="692" t="str">
        <f>+IF(MAYO!T83=0,"",MAYO!T83)</f>
        <v>Servicios Personales Indirectos</v>
      </c>
      <c r="U83" s="135">
        <f t="shared" ref="U83:AJ83" si="87">SUM(U84:U88)</f>
        <v>151257124</v>
      </c>
      <c r="V83" s="124">
        <f t="shared" si="87"/>
        <v>24000000</v>
      </c>
      <c r="W83" s="124">
        <f t="shared" si="87"/>
        <v>6884000</v>
      </c>
      <c r="X83" s="132">
        <f t="shared" si="87"/>
        <v>182141124</v>
      </c>
      <c r="Y83" s="131">
        <f t="shared" si="87"/>
        <v>88058667</v>
      </c>
      <c r="Z83" s="124">
        <f t="shared" si="87"/>
        <v>73973333</v>
      </c>
      <c r="AA83" s="132">
        <f t="shared" si="87"/>
        <v>162032000</v>
      </c>
      <c r="AB83" s="131">
        <f t="shared" si="87"/>
        <v>63192000</v>
      </c>
      <c r="AC83" s="124">
        <f t="shared" si="87"/>
        <v>18090000</v>
      </c>
      <c r="AD83" s="132">
        <f t="shared" si="87"/>
        <v>81282000</v>
      </c>
      <c r="AE83" s="131">
        <f t="shared" si="87"/>
        <v>56808000</v>
      </c>
      <c r="AF83" s="124">
        <f t="shared" si="87"/>
        <v>9644000</v>
      </c>
      <c r="AG83" s="132">
        <f t="shared" si="87"/>
        <v>66452000</v>
      </c>
      <c r="AH83" s="131">
        <f t="shared" si="87"/>
        <v>20109124</v>
      </c>
      <c r="AI83" s="124">
        <f t="shared" si="87"/>
        <v>100859124</v>
      </c>
      <c r="AJ83" s="133">
        <f t="shared" si="87"/>
        <v>115689124</v>
      </c>
      <c r="AK83" s="9"/>
      <c r="AL83" s="131">
        <f>SUM(AL84:AL88)</f>
        <v>24000000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+IF(MAYO!A84=0,"",MAYO!A84)</f>
        <v/>
      </c>
      <c r="B84" s="659" t="str">
        <f>+IF(MAYO!B84=0,"",MAYO!B84)</f>
        <v/>
      </c>
      <c r="C84" s="297"/>
      <c r="D84" s="297"/>
      <c r="E84" s="297"/>
      <c r="F84" s="297"/>
      <c r="G84" s="297"/>
      <c r="H84" s="297"/>
      <c r="I84" s="297"/>
      <c r="J84" s="297"/>
      <c r="K84" s="297"/>
      <c r="L84" s="297"/>
      <c r="M84" s="297"/>
      <c r="N84" s="466"/>
      <c r="O84" s="464"/>
      <c r="P84" s="470"/>
      <c r="Q84" s="394"/>
      <c r="R84" s="9"/>
      <c r="S84" s="719" t="str">
        <f>+IF(MAYO!S84=0,"",MAYO!S84)</f>
        <v>1020200-1</v>
      </c>
      <c r="T84" s="693" t="str">
        <f>+IF(MAYO!T84=0,"",MAYO!T84)</f>
        <v>Remuneración y Honorarios por Servicios Técnicos y Profesionales</v>
      </c>
      <c r="U84" s="27">
        <f>+ENERO!U84</f>
        <v>151257124</v>
      </c>
      <c r="V84" s="15">
        <f>MAYO!V84+JUNIO!AL84</f>
        <v>24000000</v>
      </c>
      <c r="W84" s="15">
        <f>MAYO!W84+JUNIO!AM84</f>
        <v>0</v>
      </c>
      <c r="X84" s="18">
        <f>SUM(U84:W84)</f>
        <v>175257124</v>
      </c>
      <c r="Y84" s="19">
        <f>MAYO!AA84</f>
        <v>81174667</v>
      </c>
      <c r="Z84" s="377">
        <v>73973333</v>
      </c>
      <c r="AA84" s="18">
        <f>SUM(Y84:Z84)</f>
        <v>155148000</v>
      </c>
      <c r="AB84" s="19">
        <f>MAYO!AD84</f>
        <v>56308000</v>
      </c>
      <c r="AC84" s="377">
        <v>18090000</v>
      </c>
      <c r="AD84" s="18">
        <f>SUM(AB84:AC84)</f>
        <v>74398000</v>
      </c>
      <c r="AE84" s="19">
        <f>MAYO!AG84</f>
        <v>49924000</v>
      </c>
      <c r="AF84" s="377">
        <v>9644000</v>
      </c>
      <c r="AG84" s="18">
        <f>SUM(AE84:AF84)</f>
        <v>59568000</v>
      </c>
      <c r="AH84" s="19">
        <f>X84-AA84</f>
        <v>20109124</v>
      </c>
      <c r="AI84" s="15">
        <f>X84-AD84</f>
        <v>100859124</v>
      </c>
      <c r="AJ84" s="16">
        <f>X84-AG84</f>
        <v>115689124</v>
      </c>
      <c r="AK84" s="9"/>
      <c r="AL84" s="375">
        <v>24000000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+IF(MAYO!A85=0,"",MAYO!A85)</f>
        <v>11302</v>
      </c>
      <c r="B85" s="660" t="str">
        <f>+IF(MAYO!B85=0,"",MAYO!B85)</f>
        <v>Otras Ventas de Servicios de Salud</v>
      </c>
      <c r="C85" s="625">
        <f t="shared" ref="C85:N85" si="88">SUM(C86:C92)</f>
        <v>74000000</v>
      </c>
      <c r="D85" s="623">
        <f t="shared" si="88"/>
        <v>0</v>
      </c>
      <c r="E85" s="623">
        <f t="shared" si="88"/>
        <v>0</v>
      </c>
      <c r="F85" s="623">
        <f t="shared" si="88"/>
        <v>74000000</v>
      </c>
      <c r="G85" s="623">
        <f t="shared" si="88"/>
        <v>22898686</v>
      </c>
      <c r="H85" s="623">
        <f t="shared" si="88"/>
        <v>-2720000</v>
      </c>
      <c r="I85" s="623">
        <f t="shared" si="88"/>
        <v>20178686</v>
      </c>
      <c r="J85" s="623">
        <f t="shared" si="88"/>
        <v>9729343</v>
      </c>
      <c r="K85" s="623">
        <f t="shared" si="88"/>
        <v>0</v>
      </c>
      <c r="L85" s="623">
        <f t="shared" si="88"/>
        <v>9729343</v>
      </c>
      <c r="M85" s="623">
        <f t="shared" si="88"/>
        <v>53821314</v>
      </c>
      <c r="N85" s="624">
        <f t="shared" si="88"/>
        <v>64270657</v>
      </c>
      <c r="P85" s="43">
        <f>SUM(P86:P92)</f>
        <v>0</v>
      </c>
      <c r="Q85" s="45">
        <f>SUM(Q86:Q92)</f>
        <v>0</v>
      </c>
      <c r="R85" s="9"/>
      <c r="S85" s="719" t="str">
        <f>+IF(MAYO!S85=0,"",MAYO!S85)</f>
        <v>1020200-2</v>
      </c>
      <c r="T85" s="693" t="str">
        <f>+IF(MAYO!T85=0,"",MAYO!T85)</f>
        <v>Personal Supernumerario</v>
      </c>
      <c r="U85" s="27">
        <f>+ENERO!U85</f>
        <v>0</v>
      </c>
      <c r="V85" s="15">
        <f>MAYO!V85+JUNIO!AL85</f>
        <v>0</v>
      </c>
      <c r="W85" s="15">
        <f>MAYO!W85+JUNIO!AM85</f>
        <v>0</v>
      </c>
      <c r="X85" s="18">
        <f>SUM(U85:W85)</f>
        <v>0</v>
      </c>
      <c r="Y85" s="19">
        <f>MAYO!AA85</f>
        <v>0</v>
      </c>
      <c r="Z85" s="377">
        <v>0</v>
      </c>
      <c r="AA85" s="18">
        <f>SUM(Y85:Z85)</f>
        <v>0</v>
      </c>
      <c r="AB85" s="19">
        <f>MAYO!AD85</f>
        <v>0</v>
      </c>
      <c r="AC85" s="377">
        <v>0</v>
      </c>
      <c r="AD85" s="18">
        <f>SUM(AB85:AC85)</f>
        <v>0</v>
      </c>
      <c r="AE85" s="19">
        <f>MAYO!AG85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+IF(MAYO!A86=0,"",MAYO!A86)</f>
        <v>1130201</v>
      </c>
      <c r="B86" s="634" t="str">
        <f>+IF(MAYO!B86=0,"",MAYO!B86)</f>
        <v/>
      </c>
      <c r="C86" s="401">
        <f>+ENERO!C86</f>
        <v>0</v>
      </c>
      <c r="D86" s="376">
        <f>MAYO!D86+JUNIO!P86</f>
        <v>0</v>
      </c>
      <c r="E86" s="376">
        <f>MAYO!E86+JUNIO!Q86</f>
        <v>0</v>
      </c>
      <c r="F86" s="376">
        <f t="shared" ref="F86:F92" si="89">SUM(C86:E86)</f>
        <v>0</v>
      </c>
      <c r="G86" s="376">
        <f>MAYO!I86</f>
        <v>0</v>
      </c>
      <c r="H86" s="377">
        <v>0</v>
      </c>
      <c r="I86" s="376">
        <f t="shared" ref="I86:I92" si="90">SUM(G86:H86)</f>
        <v>0</v>
      </c>
      <c r="J86" s="376">
        <f>MAYO!L86</f>
        <v>0</v>
      </c>
      <c r="K86" s="377">
        <v>0</v>
      </c>
      <c r="L86" s="376">
        <f t="shared" ref="L86:L92" si="91">SUM(J86:K86)</f>
        <v>0</v>
      </c>
      <c r="M86" s="376">
        <f t="shared" ref="M86:M92" si="92">F86-I86</f>
        <v>0</v>
      </c>
      <c r="N86" s="146">
        <f t="shared" ref="N86:N92" si="93">F86-L86</f>
        <v>0</v>
      </c>
      <c r="O86" s="385"/>
      <c r="P86" s="375">
        <v>0</v>
      </c>
      <c r="Q86" s="378">
        <v>0</v>
      </c>
      <c r="S86" s="719" t="str">
        <f>+IF(MAYO!S86=0,"",MAYO!S86)</f>
        <v>1020200-4</v>
      </c>
      <c r="T86" s="693" t="str">
        <f>+IF(MAYO!T86=0,"",MAYO!T86)</f>
        <v>Otros Honorarios (Servicios de Cooperativa)</v>
      </c>
      <c r="U86" s="27">
        <f>+ENERO!U86</f>
        <v>0</v>
      </c>
      <c r="V86" s="15">
        <f>MAYO!V86+JUNIO!AL86</f>
        <v>0</v>
      </c>
      <c r="W86" s="15">
        <f>MAYO!W86+JUNIO!AM86</f>
        <v>0</v>
      </c>
      <c r="X86" s="18">
        <f>SUM(U86:W86)</f>
        <v>0</v>
      </c>
      <c r="Y86" s="19">
        <f>MAYO!AA86</f>
        <v>0</v>
      </c>
      <c r="Z86" s="377">
        <v>0</v>
      </c>
      <c r="AA86" s="18">
        <f>SUM(Y86:Z86)</f>
        <v>0</v>
      </c>
      <c r="AB86" s="19">
        <f>MAYO!AD86</f>
        <v>0</v>
      </c>
      <c r="AC86" s="377">
        <v>0</v>
      </c>
      <c r="AD86" s="18">
        <f>SUM(AB86:AC86)</f>
        <v>0</v>
      </c>
      <c r="AE86" s="19">
        <f>MAYO!AG86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F86" s="385"/>
      <c r="BL86" s="385"/>
      <c r="BM86" s="385"/>
      <c r="BN86" s="385"/>
      <c r="BO86" s="385"/>
      <c r="BP86" s="385"/>
      <c r="BQ86" s="385"/>
      <c r="BR86" s="385"/>
    </row>
    <row r="87" spans="1:70" s="385" customFormat="1" ht="24.95" customHeight="1" x14ac:dyDescent="0.2">
      <c r="A87" s="752">
        <f>+IF(MAYO!A87=0,"",MAYO!A87)</f>
        <v>1130202</v>
      </c>
      <c r="B87" s="634" t="str">
        <f>+IF(MAYO!B87=0,"",MAYO!B87)</f>
        <v/>
      </c>
      <c r="C87" s="401">
        <f>+ENERO!C87</f>
        <v>0</v>
      </c>
      <c r="D87" s="376">
        <f>MAYO!D87+JUNIO!P87</f>
        <v>0</v>
      </c>
      <c r="E87" s="376">
        <f>MAYO!E87+JUNIO!Q87</f>
        <v>0</v>
      </c>
      <c r="F87" s="376">
        <f t="shared" si="89"/>
        <v>0</v>
      </c>
      <c r="G87" s="376">
        <f>MAYO!I87</f>
        <v>0</v>
      </c>
      <c r="H87" s="377">
        <v>0</v>
      </c>
      <c r="I87" s="376">
        <f t="shared" si="90"/>
        <v>0</v>
      </c>
      <c r="J87" s="376">
        <f>MAYO!L87</f>
        <v>0</v>
      </c>
      <c r="K87" s="377">
        <v>0</v>
      </c>
      <c r="L87" s="376">
        <f t="shared" si="91"/>
        <v>0</v>
      </c>
      <c r="M87" s="376">
        <f t="shared" si="92"/>
        <v>0</v>
      </c>
      <c r="N87" s="146">
        <f t="shared" si="93"/>
        <v>0</v>
      </c>
      <c r="P87" s="375">
        <v>0</v>
      </c>
      <c r="Q87" s="378">
        <v>0</v>
      </c>
      <c r="R87" s="9"/>
      <c r="S87" s="719" t="str">
        <f>+IF(MAYO!S87=0,"",MAYO!S87)</f>
        <v/>
      </c>
      <c r="T87" s="693" t="str">
        <f>+IF(MAYO!T87=0,"",MAYO!T87)</f>
        <v/>
      </c>
      <c r="U87" s="27">
        <f>+ENERO!U87</f>
        <v>0</v>
      </c>
      <c r="V87" s="15">
        <f>MAYO!V87+JUNIO!AL87</f>
        <v>0</v>
      </c>
      <c r="W87" s="15">
        <f>MAYO!W87+JUNIO!AM87</f>
        <v>0</v>
      </c>
      <c r="X87" s="18">
        <f>SUM(U87:W87)</f>
        <v>0</v>
      </c>
      <c r="Y87" s="19">
        <f>MAYO!AA87</f>
        <v>0</v>
      </c>
      <c r="Z87" s="377">
        <v>0</v>
      </c>
      <c r="AA87" s="18">
        <f>SUM(Y87:Z87)</f>
        <v>0</v>
      </c>
      <c r="AB87" s="19">
        <f>MAYO!AD87</f>
        <v>0</v>
      </c>
      <c r="AC87" s="377">
        <v>0</v>
      </c>
      <c r="AD87" s="18">
        <f>SUM(AB87:AC87)</f>
        <v>0</v>
      </c>
      <c r="AE87" s="19">
        <f>MAYO!AG87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+IF(MAYO!A88=0,"",MAYO!A88)</f>
        <v>1130203</v>
      </c>
      <c r="B88" s="635" t="str">
        <f>+IF(MAYO!B88=0,"",MAYO!B88)</f>
        <v>CONVENIOS CON LA NACION LIGADOS A LA VENTA DE SERVICIOS</v>
      </c>
      <c r="C88" s="401">
        <f>+ENERO!C88</f>
        <v>0</v>
      </c>
      <c r="D88" s="376">
        <f>MAYO!D88+JUNIO!P88</f>
        <v>0</v>
      </c>
      <c r="E88" s="376">
        <f>MAYO!E88+JUNIO!Q88</f>
        <v>0</v>
      </c>
      <c r="F88" s="376">
        <f t="shared" si="89"/>
        <v>0</v>
      </c>
      <c r="G88" s="376">
        <f>MAYO!I88</f>
        <v>0</v>
      </c>
      <c r="H88" s="377">
        <v>0</v>
      </c>
      <c r="I88" s="376">
        <f t="shared" si="90"/>
        <v>0</v>
      </c>
      <c r="J88" s="376">
        <f>MAYO!L88</f>
        <v>0</v>
      </c>
      <c r="K88" s="377">
        <v>0</v>
      </c>
      <c r="L88" s="376">
        <f t="shared" si="91"/>
        <v>0</v>
      </c>
      <c r="M88" s="376">
        <f t="shared" si="92"/>
        <v>0</v>
      </c>
      <c r="N88" s="146">
        <f t="shared" si="93"/>
        <v>0</v>
      </c>
      <c r="P88" s="375">
        <v>0</v>
      </c>
      <c r="Q88" s="378">
        <v>0</v>
      </c>
      <c r="R88" s="9"/>
      <c r="S88" s="719">
        <f>+IF(MAYO!S88=0,"",MAYO!S88)</f>
        <v>1020299</v>
      </c>
      <c r="T88" s="693" t="str">
        <f>+IF(MAYO!T88=0,"",MAYO!T88)</f>
        <v>Vigencias Anteriores</v>
      </c>
      <c r="U88" s="27">
        <f>+ENERO!U88</f>
        <v>0</v>
      </c>
      <c r="V88" s="15">
        <f>MAYO!V88+JUNIO!AL88</f>
        <v>0</v>
      </c>
      <c r="W88" s="15">
        <f>MAYO!W88+JUNIO!AM88</f>
        <v>6884000</v>
      </c>
      <c r="X88" s="18">
        <f>SUM(U88:W88)</f>
        <v>6884000</v>
      </c>
      <c r="Y88" s="19">
        <f>MAYO!AA88</f>
        <v>6884000</v>
      </c>
      <c r="Z88" s="377">
        <v>0</v>
      </c>
      <c r="AA88" s="18">
        <f>SUM(Y88:Z88)</f>
        <v>6884000</v>
      </c>
      <c r="AB88" s="19">
        <f>MAYO!AD88</f>
        <v>6884000</v>
      </c>
      <c r="AC88" s="377">
        <v>0</v>
      </c>
      <c r="AD88" s="18">
        <f>SUM(AB88:AC88)</f>
        <v>6884000</v>
      </c>
      <c r="AE88" s="19">
        <f>MAYO!AG88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+IF(MAYO!A89=0,"",MAYO!A89)</f>
        <v>1130204</v>
      </c>
      <c r="B89" s="635" t="str">
        <f>+IF(MAYO!B89=0,"",MAYO!B89)</f>
        <v>CONVENIOS CON EL DEPARTAMENTO LIGADOS A LA VENTA SERVICIOS</v>
      </c>
      <c r="C89" s="401">
        <f>+ENERO!C89</f>
        <v>50000000</v>
      </c>
      <c r="D89" s="376">
        <f>MAYO!D89+JUNIO!P89</f>
        <v>0</v>
      </c>
      <c r="E89" s="376">
        <f>MAYO!E89+JUNIO!Q89</f>
        <v>0</v>
      </c>
      <c r="F89" s="376">
        <f t="shared" si="89"/>
        <v>50000000</v>
      </c>
      <c r="G89" s="376">
        <f>MAYO!I89</f>
        <v>14658686</v>
      </c>
      <c r="H89" s="377">
        <v>0</v>
      </c>
      <c r="I89" s="376">
        <f t="shared" si="90"/>
        <v>14658686</v>
      </c>
      <c r="J89" s="376">
        <f>MAYO!L89</f>
        <v>7329343</v>
      </c>
      <c r="K89" s="377">
        <v>0</v>
      </c>
      <c r="L89" s="376">
        <f t="shared" si="91"/>
        <v>7329343</v>
      </c>
      <c r="M89" s="376">
        <f t="shared" si="92"/>
        <v>35341314</v>
      </c>
      <c r="N89" s="146">
        <f t="shared" si="93"/>
        <v>42670657</v>
      </c>
      <c r="P89" s="375">
        <v>0</v>
      </c>
      <c r="Q89" s="378">
        <v>0</v>
      </c>
      <c r="R89" s="9"/>
      <c r="S89" s="369" t="str">
        <f>+IF(MAYO!S89=0,"",MAYO!S89)</f>
        <v/>
      </c>
      <c r="T89" s="708" t="str">
        <f>+IF(MAYO!T89=0,"",MAYO!T89)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+IF(MAYO!A90=0,"",MAYO!A90)</f>
        <v>1130205</v>
      </c>
      <c r="B90" s="635" t="str">
        <f>+IF(MAYO!B90=0,"",MAYO!B90)</f>
        <v>CONVENIOS CON EL MUNICIPIO LIGADOS A LA VENTA DE SERVICIOS</v>
      </c>
      <c r="C90" s="401">
        <f>+ENERO!C90</f>
        <v>24000000</v>
      </c>
      <c r="D90" s="376">
        <f>MAYO!D90+JUNIO!P90</f>
        <v>0</v>
      </c>
      <c r="E90" s="376">
        <f>MAYO!E90+JUNIO!Q90</f>
        <v>0</v>
      </c>
      <c r="F90" s="376">
        <f t="shared" si="89"/>
        <v>24000000</v>
      </c>
      <c r="G90" s="376">
        <f>MAYO!I90</f>
        <v>8240000</v>
      </c>
      <c r="H90" s="377">
        <v>-2720000</v>
      </c>
      <c r="I90" s="376">
        <f t="shared" si="90"/>
        <v>5520000</v>
      </c>
      <c r="J90" s="376">
        <f>MAYO!L90</f>
        <v>2400000</v>
      </c>
      <c r="K90" s="377">
        <v>0</v>
      </c>
      <c r="L90" s="376">
        <f t="shared" si="91"/>
        <v>2400000</v>
      </c>
      <c r="M90" s="376">
        <f t="shared" si="92"/>
        <v>18480000</v>
      </c>
      <c r="N90" s="146">
        <f t="shared" si="93"/>
        <v>21600000</v>
      </c>
      <c r="O90" s="385"/>
      <c r="P90" s="375">
        <v>0</v>
      </c>
      <c r="Q90" s="378">
        <v>0</v>
      </c>
      <c r="R90" s="30"/>
      <c r="S90" s="718">
        <f>+IF(MAYO!S90=0,"",MAYO!S90)</f>
        <v>1020300</v>
      </c>
      <c r="T90" s="692" t="str">
        <f>+IF(MAYO!T90=0,"",MAYO!T90)</f>
        <v>Contribuciones Inherentes nómina al Sector Privado</v>
      </c>
      <c r="U90" s="135">
        <f t="shared" ref="U90:AJ90" si="94">U91+U96+U102</f>
        <v>269700847</v>
      </c>
      <c r="V90" s="124">
        <f t="shared" si="94"/>
        <v>0</v>
      </c>
      <c r="W90" s="124">
        <f t="shared" si="94"/>
        <v>54740941</v>
      </c>
      <c r="X90" s="132">
        <f t="shared" si="94"/>
        <v>324441788</v>
      </c>
      <c r="Y90" s="131">
        <f t="shared" si="94"/>
        <v>159316599</v>
      </c>
      <c r="Z90" s="124">
        <f t="shared" si="94"/>
        <v>16789021</v>
      </c>
      <c r="AA90" s="132">
        <f t="shared" si="94"/>
        <v>176105620</v>
      </c>
      <c r="AB90" s="131">
        <f t="shared" si="94"/>
        <v>159316599</v>
      </c>
      <c r="AC90" s="124">
        <f t="shared" si="94"/>
        <v>16789021</v>
      </c>
      <c r="AD90" s="132">
        <f t="shared" si="94"/>
        <v>176105620</v>
      </c>
      <c r="AE90" s="131">
        <f t="shared" si="94"/>
        <v>131085426</v>
      </c>
      <c r="AF90" s="124">
        <f t="shared" si="94"/>
        <v>16804421</v>
      </c>
      <c r="AG90" s="132">
        <f t="shared" si="94"/>
        <v>147889847</v>
      </c>
      <c r="AH90" s="131">
        <f t="shared" si="94"/>
        <v>148336168</v>
      </c>
      <c r="AI90" s="124">
        <f t="shared" si="94"/>
        <v>148336168</v>
      </c>
      <c r="AJ90" s="133">
        <f t="shared" si="94"/>
        <v>176551941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+IF(MAYO!A91=0,"",MAYO!A91)</f>
        <v>1130206</v>
      </c>
      <c r="B91" s="635" t="str">
        <f>+IF(MAYO!B91=0,"",MAYO!B91)</f>
        <v>OTROS CONVENIOS LIGADOS A LA VENTA DE SERVICIOS</v>
      </c>
      <c r="C91" s="401">
        <f>+ENERO!C91</f>
        <v>0</v>
      </c>
      <c r="D91" s="376">
        <f>MAYO!D91+JUNIO!P91</f>
        <v>0</v>
      </c>
      <c r="E91" s="376">
        <f>MAYO!E91+JUNIO!Q91</f>
        <v>0</v>
      </c>
      <c r="F91" s="376">
        <f t="shared" si="89"/>
        <v>0</v>
      </c>
      <c r="G91" s="376">
        <f>MAYO!I91</f>
        <v>0</v>
      </c>
      <c r="H91" s="377">
        <v>0</v>
      </c>
      <c r="I91" s="376">
        <f t="shared" si="90"/>
        <v>0</v>
      </c>
      <c r="J91" s="376">
        <f>MAYO!L91</f>
        <v>0</v>
      </c>
      <c r="K91" s="377">
        <v>0</v>
      </c>
      <c r="L91" s="376">
        <f t="shared" si="91"/>
        <v>0</v>
      </c>
      <c r="M91" s="376">
        <f t="shared" si="92"/>
        <v>0</v>
      </c>
      <c r="N91" s="146">
        <f t="shared" si="93"/>
        <v>0</v>
      </c>
      <c r="O91" s="385"/>
      <c r="P91" s="375">
        <v>0</v>
      </c>
      <c r="Q91" s="378">
        <v>0</v>
      </c>
      <c r="R91" s="30"/>
      <c r="S91" s="719">
        <f>+IF(MAYO!S91=0,"",MAYO!S91)</f>
        <v>1020301</v>
      </c>
      <c r="T91" s="693" t="str">
        <f>+IF(MAYO!T91=0,"",MAYO!T91)</f>
        <v>Contribuciones - Sin Situación de Fondos</v>
      </c>
      <c r="U91" s="27">
        <f t="shared" ref="U91:AJ91" si="95">SUM(U92:U95)</f>
        <v>230094736</v>
      </c>
      <c r="V91" s="15">
        <f t="shared" si="95"/>
        <v>0</v>
      </c>
      <c r="W91" s="15">
        <f t="shared" si="95"/>
        <v>0</v>
      </c>
      <c r="X91" s="18">
        <f t="shared" si="95"/>
        <v>230094736</v>
      </c>
      <c r="Y91" s="19">
        <f t="shared" si="95"/>
        <v>91887858</v>
      </c>
      <c r="Z91" s="145">
        <f t="shared" si="95"/>
        <v>14265321</v>
      </c>
      <c r="AA91" s="18">
        <f t="shared" si="95"/>
        <v>106153179</v>
      </c>
      <c r="AB91" s="19">
        <f t="shared" si="95"/>
        <v>91887858</v>
      </c>
      <c r="AC91" s="145">
        <f t="shared" si="95"/>
        <v>14265321</v>
      </c>
      <c r="AD91" s="18">
        <f t="shared" si="95"/>
        <v>106153179</v>
      </c>
      <c r="AE91" s="19">
        <f t="shared" si="95"/>
        <v>67975590</v>
      </c>
      <c r="AF91" s="145">
        <f t="shared" si="95"/>
        <v>14265321</v>
      </c>
      <c r="AG91" s="18">
        <f t="shared" si="95"/>
        <v>82240911</v>
      </c>
      <c r="AH91" s="19">
        <f t="shared" si="95"/>
        <v>123941557</v>
      </c>
      <c r="AI91" s="15">
        <f t="shared" si="95"/>
        <v>123941557</v>
      </c>
      <c r="AJ91" s="16">
        <f t="shared" si="95"/>
        <v>147853825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+IF(MAYO!A92=0,"",MAYO!A92)</f>
        <v>1130207</v>
      </c>
      <c r="B92" s="636" t="str">
        <f>+IF(MAYO!B92=0,"",MAYO!B92)</f>
        <v>Vigencia Anterior</v>
      </c>
      <c r="C92" s="491">
        <f>+ENERO!C92</f>
        <v>0</v>
      </c>
      <c r="D92" s="388">
        <f>MAYO!D92+JUNIO!P92</f>
        <v>0</v>
      </c>
      <c r="E92" s="388">
        <f>MAYO!E92+JUNIO!Q92</f>
        <v>0</v>
      </c>
      <c r="F92" s="388">
        <f t="shared" si="89"/>
        <v>0</v>
      </c>
      <c r="G92" s="388">
        <f>MAYO!I92</f>
        <v>0</v>
      </c>
      <c r="H92" s="391">
        <v>0</v>
      </c>
      <c r="I92" s="388">
        <f t="shared" si="90"/>
        <v>0</v>
      </c>
      <c r="J92" s="388">
        <f>MAYO!L92</f>
        <v>0</v>
      </c>
      <c r="K92" s="391">
        <v>0</v>
      </c>
      <c r="L92" s="388">
        <f t="shared" si="91"/>
        <v>0</v>
      </c>
      <c r="M92" s="388">
        <f t="shared" si="92"/>
        <v>0</v>
      </c>
      <c r="N92" s="389">
        <f t="shared" si="93"/>
        <v>0</v>
      </c>
      <c r="O92" s="385"/>
      <c r="P92" s="375">
        <v>0</v>
      </c>
      <c r="Q92" s="378">
        <v>0</v>
      </c>
      <c r="R92" s="30"/>
      <c r="S92" s="720" t="str">
        <f>+IF(MAYO!S92=0,"",MAYO!S92)</f>
        <v>1020301-1</v>
      </c>
      <c r="T92" s="694" t="str">
        <f>+IF(MAYO!T92=0,"",MAYO!T92)</f>
        <v>Aportes a E.P.S.- Sin sit. Fondos</v>
      </c>
      <c r="U92" s="27">
        <f>+ENERO!U92</f>
        <v>59416260</v>
      </c>
      <c r="V92" s="15">
        <f>MAYO!V92+JUNIO!AL92</f>
        <v>0</v>
      </c>
      <c r="W92" s="15">
        <f>MAYO!W92+JUNIO!AM92</f>
        <v>0</v>
      </c>
      <c r="X92" s="18">
        <f>SUM(U92:W92)</f>
        <v>59416260</v>
      </c>
      <c r="Y92" s="19">
        <f>MAYO!AA92</f>
        <v>27151766</v>
      </c>
      <c r="Z92" s="377">
        <v>5194255</v>
      </c>
      <c r="AA92" s="18">
        <f>SUM(Y92:Z92)</f>
        <v>32346021</v>
      </c>
      <c r="AB92" s="19">
        <f>MAYO!AD92</f>
        <v>27151766</v>
      </c>
      <c r="AC92" s="377">
        <v>5194255</v>
      </c>
      <c r="AD92" s="18">
        <f>SUM(AB92:AC92)</f>
        <v>32346021</v>
      </c>
      <c r="AE92" s="19">
        <f>MAYO!AG92</f>
        <v>27151766</v>
      </c>
      <c r="AF92" s="377">
        <v>5194255</v>
      </c>
      <c r="AG92" s="18">
        <f>SUM(AE92:AF92)</f>
        <v>32346021</v>
      </c>
      <c r="AH92" s="19">
        <f>X92-AA92</f>
        <v>27070239</v>
      </c>
      <c r="AI92" s="15">
        <f>X92-AD92</f>
        <v>27070239</v>
      </c>
      <c r="AJ92" s="16">
        <f>X92-AG92</f>
        <v>27070239</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+IF(MAYO!A93=0,"",MAYO!A93)</f>
        <v/>
      </c>
      <c r="B93" s="659" t="str">
        <f>+IF(MAYO!B93=0,"",MAYO!B93)</f>
        <v/>
      </c>
      <c r="C93" s="297"/>
      <c r="D93" s="297"/>
      <c r="E93" s="297"/>
      <c r="F93" s="297"/>
      <c r="G93" s="297"/>
      <c r="H93" s="297"/>
      <c r="I93" s="297"/>
      <c r="J93" s="297"/>
      <c r="K93" s="297"/>
      <c r="L93" s="297"/>
      <c r="M93" s="297"/>
      <c r="N93" s="466"/>
      <c r="P93" s="470"/>
      <c r="Q93" s="394"/>
      <c r="R93" s="30"/>
      <c r="S93" s="720" t="str">
        <f>+IF(MAYO!S93=0,"",MAYO!S93)</f>
        <v>1020301-2</v>
      </c>
      <c r="T93" s="694" t="str">
        <f>+IF(MAYO!T93=0,"",MAYO!T93)</f>
        <v>Aportes Fondos Pensionales - Sin Sit. Fondos</v>
      </c>
      <c r="U93" s="27">
        <f>+ENERO!U93</f>
        <v>81857136</v>
      </c>
      <c r="V93" s="15">
        <f>MAYO!V93+JUNIO!AL93</f>
        <v>0</v>
      </c>
      <c r="W93" s="15">
        <f>MAYO!W93+JUNIO!AM93</f>
        <v>0</v>
      </c>
      <c r="X93" s="18">
        <f>SUM(U93:W93)</f>
        <v>81857136</v>
      </c>
      <c r="Y93" s="19">
        <f>MAYO!AA93</f>
        <v>38331913</v>
      </c>
      <c r="Z93" s="377">
        <v>7618994</v>
      </c>
      <c r="AA93" s="18">
        <f>SUM(Y93:Z93)</f>
        <v>45950907</v>
      </c>
      <c r="AB93" s="19">
        <f>MAYO!AD93</f>
        <v>38331913</v>
      </c>
      <c r="AC93" s="377">
        <v>7618994</v>
      </c>
      <c r="AD93" s="18">
        <f>SUM(AB93:AC93)</f>
        <v>45950907</v>
      </c>
      <c r="AE93" s="19">
        <f>MAYO!AG93</f>
        <v>33233269</v>
      </c>
      <c r="AF93" s="377">
        <v>7618994</v>
      </c>
      <c r="AG93" s="18">
        <f>SUM(AE93:AF93)</f>
        <v>40852263</v>
      </c>
      <c r="AH93" s="19">
        <f>X93-AA93</f>
        <v>35906229</v>
      </c>
      <c r="AI93" s="15">
        <f>X93-AD93</f>
        <v>35906229</v>
      </c>
      <c r="AJ93" s="16">
        <f>X93-AG93</f>
        <v>41004873</v>
      </c>
      <c r="AK93" s="9"/>
      <c r="AL93" s="375">
        <v>0</v>
      </c>
      <c r="AM93" s="378">
        <v>0</v>
      </c>
      <c r="AN93" s="30"/>
      <c r="AO93" s="463"/>
      <c r="AP93" s="463"/>
      <c r="AQ93" s="463"/>
      <c r="AR93" s="463"/>
      <c r="AS93" s="463"/>
      <c r="AT93" s="463"/>
      <c r="AU93" s="463"/>
      <c r="AV93" s="463"/>
      <c r="AW93" s="463"/>
      <c r="AX93" s="463"/>
      <c r="AY93" s="463"/>
      <c r="AZ93" s="463"/>
      <c r="BL93" s="30"/>
    </row>
    <row r="94" spans="1:70" s="464" customFormat="1" ht="31.5" customHeight="1" x14ac:dyDescent="0.2">
      <c r="A94" s="753">
        <f>+IF(MAYO!A94=0,"",MAYO!A94)</f>
        <v>11303</v>
      </c>
      <c r="B94" s="626" t="str">
        <f>+IF(MAYO!B94=0,"",MAYO!B94)</f>
        <v>Aportes (No ligados a la venta de servicios de salud)</v>
      </c>
      <c r="C94" s="625">
        <f>SUM(C95:C102)</f>
        <v>0</v>
      </c>
      <c r="D94" s="623">
        <f t="shared" ref="D94:N94" si="96">SUM(D95:D102)</f>
        <v>0</v>
      </c>
      <c r="E94" s="623">
        <f t="shared" si="96"/>
        <v>74713971</v>
      </c>
      <c r="F94" s="623">
        <f t="shared" si="96"/>
        <v>74713971</v>
      </c>
      <c r="G94" s="623">
        <f t="shared" si="96"/>
        <v>61305130</v>
      </c>
      <c r="H94" s="623">
        <f t="shared" si="96"/>
        <v>0</v>
      </c>
      <c r="I94" s="623">
        <f t="shared" si="96"/>
        <v>61305130</v>
      </c>
      <c r="J94" s="623">
        <f t="shared" si="96"/>
        <v>61305130</v>
      </c>
      <c r="K94" s="623">
        <f t="shared" si="96"/>
        <v>0</v>
      </c>
      <c r="L94" s="623">
        <f t="shared" si="96"/>
        <v>61305130</v>
      </c>
      <c r="M94" s="623">
        <f t="shared" si="96"/>
        <v>13408841</v>
      </c>
      <c r="N94" s="624">
        <f t="shared" si="96"/>
        <v>13408841</v>
      </c>
      <c r="O94" s="385"/>
      <c r="P94" s="43">
        <f>SUM(P95:P102)</f>
        <v>0</v>
      </c>
      <c r="Q94" s="45">
        <f>SUM(Q95:Q102)</f>
        <v>0</v>
      </c>
      <c r="R94" s="30"/>
      <c r="S94" s="720" t="str">
        <f>+IF(MAYO!S94=0,"",MAYO!S94)</f>
        <v>1020301-3</v>
      </c>
      <c r="T94" s="694" t="str">
        <f>+IF(MAYO!T94=0,"",MAYO!T94)</f>
        <v xml:space="preserve">Aportes a Fondos de Cesantia - Sin Sit. de Fondos </v>
      </c>
      <c r="U94" s="27">
        <f>+ENERO!U94</f>
        <v>71793333</v>
      </c>
      <c r="V94" s="15">
        <f>MAYO!V94+JUNIO!AL94</f>
        <v>0</v>
      </c>
      <c r="W94" s="15">
        <f>MAYO!W94+JUNIO!AM94</f>
        <v>0</v>
      </c>
      <c r="X94" s="18">
        <f>SUM(U94:W94)</f>
        <v>71793333</v>
      </c>
      <c r="Y94" s="19">
        <f>MAYO!AA94</f>
        <v>18813624</v>
      </c>
      <c r="Z94" s="377">
        <v>0</v>
      </c>
      <c r="AA94" s="18">
        <f>SUM(Y94:Z94)</f>
        <v>18813624</v>
      </c>
      <c r="AB94" s="19">
        <f>MAYO!AD94</f>
        <v>18813624</v>
      </c>
      <c r="AC94" s="377">
        <v>0</v>
      </c>
      <c r="AD94" s="18">
        <f>SUM(AB94:AC94)</f>
        <v>18813624</v>
      </c>
      <c r="AE94" s="19">
        <f>MAYO!AG94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+IF(MAYO!A95=0,"",MAYO!A95)</f>
        <v>11303-1</v>
      </c>
      <c r="B95" s="627" t="str">
        <f>+IF(MAYO!B95=0,"",MAYO!B95)</f>
        <v>NACION</v>
      </c>
      <c r="C95" s="401">
        <f>+ENERO!C95</f>
        <v>0</v>
      </c>
      <c r="D95" s="376">
        <f>MAYO!D95+JUNIO!P95</f>
        <v>0</v>
      </c>
      <c r="E95" s="376">
        <f>MAYO!E95+JUNIO!Q95</f>
        <v>0</v>
      </c>
      <c r="F95" s="376">
        <f t="shared" ref="F95:F102" si="97">SUM(C95:E95)</f>
        <v>0</v>
      </c>
      <c r="G95" s="376">
        <f>MAYO!I95</f>
        <v>0</v>
      </c>
      <c r="H95" s="377">
        <v>0</v>
      </c>
      <c r="I95" s="376">
        <f t="shared" ref="I95:I102" si="98">SUM(G95:H95)</f>
        <v>0</v>
      </c>
      <c r="J95" s="376">
        <f>MAYO!L95</f>
        <v>0</v>
      </c>
      <c r="K95" s="377">
        <v>0</v>
      </c>
      <c r="L95" s="376">
        <f t="shared" ref="L95:L102" si="99">SUM(J95:K95)</f>
        <v>0</v>
      </c>
      <c r="M95" s="376">
        <f t="shared" ref="M95:M102" si="100">F95-I95</f>
        <v>0</v>
      </c>
      <c r="N95" s="146">
        <f t="shared" ref="N95:N102" si="101">F95-L95</f>
        <v>0</v>
      </c>
      <c r="O95" s="385"/>
      <c r="P95" s="375">
        <v>0</v>
      </c>
      <c r="Q95" s="378">
        <v>0</v>
      </c>
      <c r="R95" s="30"/>
      <c r="S95" s="720" t="str">
        <f>+IF(MAYO!S95=0,"",MAYO!S95)</f>
        <v>1020301-4</v>
      </c>
      <c r="T95" s="694" t="str">
        <f>+IF(MAYO!T95=0,"",MAYO!T95)</f>
        <v>Aporte a ARL. - Sin Sit. de Fondos</v>
      </c>
      <c r="U95" s="27">
        <f>+ENERO!U95</f>
        <v>17028007</v>
      </c>
      <c r="V95" s="15">
        <f>MAYO!V95+JUNIO!AL95</f>
        <v>0</v>
      </c>
      <c r="W95" s="15">
        <f>MAYO!W95+JUNIO!AM95</f>
        <v>0</v>
      </c>
      <c r="X95" s="18">
        <f>SUM(U95:W95)</f>
        <v>17028007</v>
      </c>
      <c r="Y95" s="19">
        <f>MAYO!AA95</f>
        <v>7590555</v>
      </c>
      <c r="Z95" s="377">
        <v>1452072</v>
      </c>
      <c r="AA95" s="18">
        <f>SUM(Y95:Z95)</f>
        <v>9042627</v>
      </c>
      <c r="AB95" s="19">
        <f>MAYO!AD95</f>
        <v>7590555</v>
      </c>
      <c r="AC95" s="377">
        <v>1452072</v>
      </c>
      <c r="AD95" s="18">
        <f>SUM(AB95:AC95)</f>
        <v>9042627</v>
      </c>
      <c r="AE95" s="19">
        <f>MAYO!AG95</f>
        <v>7590555</v>
      </c>
      <c r="AF95" s="377">
        <v>1452072</v>
      </c>
      <c r="AG95" s="18">
        <f>SUM(AE95:AF95)</f>
        <v>9042627</v>
      </c>
      <c r="AH95" s="19">
        <f>X95-AA95</f>
        <v>7985380</v>
      </c>
      <c r="AI95" s="15">
        <f>X95-AD95</f>
        <v>7985380</v>
      </c>
      <c r="AJ95" s="16">
        <f>X95-AG95</f>
        <v>7985380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+IF(MAYO!A96=0,"",MAYO!A96)</f>
        <v>11303-2</v>
      </c>
      <c r="B96" s="627" t="str">
        <f>+IF(MAYO!B96=0,"",MAYO!B96)</f>
        <v>DEPARTAMENTO</v>
      </c>
      <c r="C96" s="401">
        <f>+ENERO!C96</f>
        <v>0</v>
      </c>
      <c r="D96" s="376">
        <f>MAYO!D96+JUNIO!P96</f>
        <v>0</v>
      </c>
      <c r="E96" s="376">
        <f>MAYO!E96+JUNIO!Q96</f>
        <v>61305130</v>
      </c>
      <c r="F96" s="376">
        <f t="shared" si="97"/>
        <v>61305130</v>
      </c>
      <c r="G96" s="376">
        <f>MAYO!I96</f>
        <v>61305130</v>
      </c>
      <c r="H96" s="377">
        <v>0</v>
      </c>
      <c r="I96" s="376">
        <f t="shared" si="98"/>
        <v>61305130</v>
      </c>
      <c r="J96" s="376">
        <f>MAYO!L96</f>
        <v>61305130</v>
      </c>
      <c r="K96" s="377">
        <v>0</v>
      </c>
      <c r="L96" s="376">
        <f t="shared" si="99"/>
        <v>61305130</v>
      </c>
      <c r="M96" s="376">
        <f t="shared" si="100"/>
        <v>0</v>
      </c>
      <c r="N96" s="146">
        <f t="shared" si="101"/>
        <v>0</v>
      </c>
      <c r="O96" s="385"/>
      <c r="P96" s="375">
        <v>0</v>
      </c>
      <c r="Q96" s="378">
        <v>0</v>
      </c>
      <c r="S96" s="719">
        <f>+IF(MAYO!S96=0,"",MAYO!S96)</f>
        <v>1020302</v>
      </c>
      <c r="T96" s="693" t="str">
        <f>+IF(MAYO!T96=0,"",MAYO!T96)</f>
        <v>Contribuciones - Otros</v>
      </c>
      <c r="U96" s="27">
        <f t="shared" ref="U96:AJ96" si="102">SUM(U97:U101)</f>
        <v>39606111</v>
      </c>
      <c r="V96" s="15">
        <f t="shared" si="102"/>
        <v>0</v>
      </c>
      <c r="W96" s="15">
        <f t="shared" si="102"/>
        <v>0</v>
      </c>
      <c r="X96" s="18">
        <f t="shared" si="102"/>
        <v>39606111</v>
      </c>
      <c r="Y96" s="19">
        <f t="shared" si="102"/>
        <v>12687800</v>
      </c>
      <c r="Z96" s="145">
        <f t="shared" si="102"/>
        <v>2523700</v>
      </c>
      <c r="AA96" s="18">
        <f t="shared" si="102"/>
        <v>15211500</v>
      </c>
      <c r="AB96" s="19">
        <f t="shared" si="102"/>
        <v>12687800</v>
      </c>
      <c r="AC96" s="145">
        <f t="shared" si="102"/>
        <v>2523700</v>
      </c>
      <c r="AD96" s="18">
        <f t="shared" si="102"/>
        <v>15211500</v>
      </c>
      <c r="AE96" s="19">
        <f t="shared" si="102"/>
        <v>10148700</v>
      </c>
      <c r="AF96" s="145">
        <f t="shared" si="102"/>
        <v>2539100</v>
      </c>
      <c r="AG96" s="18">
        <f t="shared" si="102"/>
        <v>12687800</v>
      </c>
      <c r="AH96" s="19">
        <f t="shared" si="102"/>
        <v>24394611</v>
      </c>
      <c r="AI96" s="15">
        <f t="shared" si="102"/>
        <v>24394611</v>
      </c>
      <c r="AJ96" s="16">
        <f t="shared" si="102"/>
        <v>26918311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F96" s="464"/>
      <c r="BL96" s="464"/>
      <c r="BM96" s="464"/>
      <c r="BN96" s="464"/>
      <c r="BO96" s="464"/>
      <c r="BP96" s="464"/>
      <c r="BQ96" s="464"/>
      <c r="BR96" s="464"/>
    </row>
    <row r="97" spans="1:70" s="464" customFormat="1" ht="24.95" customHeight="1" x14ac:dyDescent="0.2">
      <c r="A97" s="754" t="str">
        <f>+IF(MAYO!A97=0,"",MAYO!A97)</f>
        <v>11303-3</v>
      </c>
      <c r="B97" s="627" t="str">
        <f>+IF(MAYO!B97=0,"",MAYO!B97)</f>
        <v>MUNICIPIO</v>
      </c>
      <c r="C97" s="401">
        <f>+ENERO!C97</f>
        <v>0</v>
      </c>
      <c r="D97" s="376">
        <f>MAYO!D97+JUNIO!P97</f>
        <v>0</v>
      </c>
      <c r="E97" s="376">
        <f>MAYO!E97+JUNIO!Q97</f>
        <v>0</v>
      </c>
      <c r="F97" s="376">
        <f t="shared" si="97"/>
        <v>0</v>
      </c>
      <c r="G97" s="376">
        <f>MAYO!I97</f>
        <v>0</v>
      </c>
      <c r="H97" s="377">
        <v>0</v>
      </c>
      <c r="I97" s="376">
        <f t="shared" si="98"/>
        <v>0</v>
      </c>
      <c r="J97" s="376">
        <f>MAYO!L97</f>
        <v>0</v>
      </c>
      <c r="K97" s="377">
        <v>0</v>
      </c>
      <c r="L97" s="376">
        <f t="shared" si="99"/>
        <v>0</v>
      </c>
      <c r="M97" s="376">
        <f t="shared" si="100"/>
        <v>0</v>
      </c>
      <c r="N97" s="146">
        <f t="shared" si="101"/>
        <v>0</v>
      </c>
      <c r="O97" s="385"/>
      <c r="P97" s="375">
        <v>0</v>
      </c>
      <c r="Q97" s="378">
        <v>0</v>
      </c>
      <c r="R97" s="30"/>
      <c r="S97" s="720" t="str">
        <f>+IF(MAYO!S97=0,"",MAYO!S97)</f>
        <v>1020302-1</v>
      </c>
      <c r="T97" s="694" t="str">
        <f>+IF(MAYO!T97=0,"",MAYO!T97)</f>
        <v>Aportes a E.P.S.- Con sit. Fondos</v>
      </c>
      <c r="U97" s="27">
        <f>+ENERO!U97</f>
        <v>1005165</v>
      </c>
      <c r="V97" s="15">
        <f>MAYO!V97+JUNIO!AL97</f>
        <v>0</v>
      </c>
      <c r="W97" s="15">
        <f>MAYO!W97+JUNIO!AM97</f>
        <v>0</v>
      </c>
      <c r="X97" s="18">
        <f t="shared" ref="X97:X102" si="103">SUM(U97:W97)</f>
        <v>1005165</v>
      </c>
      <c r="Y97" s="19">
        <f>MAYO!AA97</f>
        <v>0</v>
      </c>
      <c r="Z97" s="377">
        <v>0</v>
      </c>
      <c r="AA97" s="18">
        <f t="shared" ref="AA97:AA102" si="104">SUM(Y97:Z97)</f>
        <v>0</v>
      </c>
      <c r="AB97" s="19">
        <f>MAYO!AD97</f>
        <v>0</v>
      </c>
      <c r="AC97" s="377">
        <v>0</v>
      </c>
      <c r="AD97" s="18">
        <f t="shared" ref="AD97:AD102" si="105">SUM(AB97:AC97)</f>
        <v>0</v>
      </c>
      <c r="AE97" s="19">
        <f>MAYO!AG97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+IF(MAYO!A98=0,"",MAYO!A98)</f>
        <v>11303-4</v>
      </c>
      <c r="B98" s="627" t="str">
        <f>+IF(MAYO!B98=0,"",MAYO!B98)</f>
        <v>CONVENIOS (EMPRESTITO)</v>
      </c>
      <c r="C98" s="401">
        <f>+ENERO!C98</f>
        <v>0</v>
      </c>
      <c r="D98" s="376">
        <f>MAYO!D98+JUNIO!P98</f>
        <v>0</v>
      </c>
      <c r="E98" s="376">
        <f>MAYO!E98+JUNIO!Q98</f>
        <v>0</v>
      </c>
      <c r="F98" s="376">
        <f t="shared" si="97"/>
        <v>0</v>
      </c>
      <c r="G98" s="376">
        <f>MAYO!I98</f>
        <v>0</v>
      </c>
      <c r="H98" s="377">
        <v>0</v>
      </c>
      <c r="I98" s="376">
        <f t="shared" si="98"/>
        <v>0</v>
      </c>
      <c r="J98" s="376">
        <f>MAYO!L98</f>
        <v>0</v>
      </c>
      <c r="K98" s="377">
        <v>0</v>
      </c>
      <c r="L98" s="376">
        <f t="shared" si="99"/>
        <v>0</v>
      </c>
      <c r="M98" s="376">
        <f t="shared" si="100"/>
        <v>0</v>
      </c>
      <c r="N98" s="146">
        <f t="shared" si="101"/>
        <v>0</v>
      </c>
      <c r="O98" s="385"/>
      <c r="P98" s="375">
        <v>0</v>
      </c>
      <c r="Q98" s="378">
        <v>0</v>
      </c>
      <c r="R98" s="30"/>
      <c r="S98" s="720" t="str">
        <f>+IF(MAYO!S98=0,"",MAYO!S98)</f>
        <v>1020302-2</v>
      </c>
      <c r="T98" s="694" t="str">
        <f>+IF(MAYO!T98=0,"",MAYO!T98)</f>
        <v>Aportes Fondos Pensionales - Con Sit. Fondos</v>
      </c>
      <c r="U98" s="27">
        <f>+ENERO!U98</f>
        <v>3635130</v>
      </c>
      <c r="V98" s="15">
        <f>MAYO!V98+JUNIO!AL98</f>
        <v>0</v>
      </c>
      <c r="W98" s="15">
        <f>MAYO!W98+JUNIO!AM98</f>
        <v>0</v>
      </c>
      <c r="X98" s="18">
        <f t="shared" si="103"/>
        <v>3635130</v>
      </c>
      <c r="Y98" s="19">
        <f>MAYO!AA98</f>
        <v>0</v>
      </c>
      <c r="Z98" s="377">
        <v>0</v>
      </c>
      <c r="AA98" s="18">
        <f t="shared" si="104"/>
        <v>0</v>
      </c>
      <c r="AB98" s="19">
        <f>MAYO!AD98</f>
        <v>0</v>
      </c>
      <c r="AC98" s="377">
        <v>0</v>
      </c>
      <c r="AD98" s="18">
        <f t="shared" si="105"/>
        <v>0</v>
      </c>
      <c r="AE98" s="19">
        <f>MAYO!AG98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+IF(MAYO!A99=0,"",MAYO!A99)</f>
        <v>11303-5</v>
      </c>
      <c r="B99" s="627" t="str">
        <f>+IF(MAYO!B99=0,"",MAYO!B99)</f>
        <v>APORTES PATRONALES - MUNICIPIO / DEPARTAMENTO</v>
      </c>
      <c r="C99" s="681">
        <f>+ENERO!C99</f>
        <v>0</v>
      </c>
      <c r="D99" s="376">
        <f>MAYO!D99+JUNIO!P99</f>
        <v>0</v>
      </c>
      <c r="E99" s="376">
        <f>MAYO!E99+JUNIO!Q99</f>
        <v>0</v>
      </c>
      <c r="F99" s="376">
        <f t="shared" si="97"/>
        <v>0</v>
      </c>
      <c r="G99" s="376">
        <f>MAYO!I99</f>
        <v>0</v>
      </c>
      <c r="H99" s="682">
        <v>0</v>
      </c>
      <c r="I99" s="376">
        <f t="shared" si="98"/>
        <v>0</v>
      </c>
      <c r="J99" s="376">
        <f>MAYO!L99</f>
        <v>0</v>
      </c>
      <c r="K99" s="682">
        <v>0</v>
      </c>
      <c r="L99" s="376">
        <f t="shared" si="99"/>
        <v>0</v>
      </c>
      <c r="M99" s="376">
        <f t="shared" si="100"/>
        <v>0</v>
      </c>
      <c r="N99" s="146">
        <f t="shared" si="101"/>
        <v>0</v>
      </c>
      <c r="O99" s="385"/>
      <c r="P99" s="683">
        <v>0</v>
      </c>
      <c r="Q99" s="684">
        <v>0</v>
      </c>
      <c r="R99" s="30"/>
      <c r="S99" s="720" t="str">
        <f>+IF(MAYO!S99=0,"",MAYO!S99)</f>
        <v>1020302-3</v>
      </c>
      <c r="T99" s="694" t="str">
        <f>+IF(MAYO!T99=0,"",MAYO!T99)</f>
        <v xml:space="preserve">Aportes a Fondos de Cesantia - Con Sit. de Fondos </v>
      </c>
      <c r="U99" s="27">
        <f>+ENERO!U99</f>
        <v>2469908</v>
      </c>
      <c r="V99" s="15">
        <f>MAYO!V99+JUNIO!AL99</f>
        <v>0</v>
      </c>
      <c r="W99" s="15">
        <f>MAYO!W99+JUNIO!AM99</f>
        <v>0</v>
      </c>
      <c r="X99" s="18">
        <f t="shared" si="103"/>
        <v>2469908</v>
      </c>
      <c r="Y99" s="19">
        <f>MAYO!AA99</f>
        <v>0</v>
      </c>
      <c r="Z99" s="377">
        <v>0</v>
      </c>
      <c r="AA99" s="18">
        <f t="shared" si="104"/>
        <v>0</v>
      </c>
      <c r="AB99" s="19">
        <f>MAYO!AD99</f>
        <v>0</v>
      </c>
      <c r="AC99" s="377">
        <v>0</v>
      </c>
      <c r="AD99" s="18">
        <f t="shared" si="105"/>
        <v>0</v>
      </c>
      <c r="AE99" s="19">
        <f>MAYO!AG99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+IF(MAYO!A100=0,"",MAYO!A100)</f>
        <v>11303-6</v>
      </c>
      <c r="B100" s="627" t="str">
        <f>+IF(MAYO!B100=0,"",MAYO!B100)</f>
        <v>RECURSOS PARA PROGRAMA DE SANEAMIENTO FINANCIERO</v>
      </c>
      <c r="C100" s="401">
        <f>+ENERO!C100</f>
        <v>0</v>
      </c>
      <c r="D100" s="376">
        <f>MAYO!D100+JUNIO!P100</f>
        <v>0</v>
      </c>
      <c r="E100" s="376">
        <f>MAYO!E100+JUNIO!Q100</f>
        <v>0</v>
      </c>
      <c r="F100" s="376">
        <f t="shared" si="97"/>
        <v>0</v>
      </c>
      <c r="G100" s="376">
        <f>MAYO!I100</f>
        <v>0</v>
      </c>
      <c r="H100" s="377">
        <v>0</v>
      </c>
      <c r="I100" s="376">
        <f t="shared" si="98"/>
        <v>0</v>
      </c>
      <c r="J100" s="376">
        <f>MAYO!L100</f>
        <v>0</v>
      </c>
      <c r="K100" s="377">
        <v>0</v>
      </c>
      <c r="L100" s="376">
        <f t="shared" si="99"/>
        <v>0</v>
      </c>
      <c r="M100" s="376">
        <f t="shared" si="100"/>
        <v>0</v>
      </c>
      <c r="N100" s="146">
        <f t="shared" si="101"/>
        <v>0</v>
      </c>
      <c r="P100" s="375">
        <v>0</v>
      </c>
      <c r="Q100" s="378">
        <v>0</v>
      </c>
      <c r="R100" s="9"/>
      <c r="S100" s="720" t="str">
        <f>+IF(MAYO!S100=0,"",MAYO!S100)</f>
        <v>1020302-4</v>
      </c>
      <c r="T100" s="694" t="str">
        <f>+IF(MAYO!T100=0,"",MAYO!T100)</f>
        <v>Aporte a ARL. - Con Sit. de Fondos</v>
      </c>
      <c r="U100" s="27">
        <f>+ENERO!U100</f>
        <v>0</v>
      </c>
      <c r="V100" s="15">
        <f>MAYO!V100+JUNIO!AL100</f>
        <v>0</v>
      </c>
      <c r="W100" s="15">
        <f>MAYO!W100+JUNIO!AM100</f>
        <v>0</v>
      </c>
      <c r="X100" s="18">
        <f t="shared" si="103"/>
        <v>0</v>
      </c>
      <c r="Y100" s="19">
        <f>MAYO!AA100</f>
        <v>0</v>
      </c>
      <c r="Z100" s="377">
        <v>0</v>
      </c>
      <c r="AA100" s="18">
        <f t="shared" si="104"/>
        <v>0</v>
      </c>
      <c r="AB100" s="19">
        <f>MAYO!AD100</f>
        <v>0</v>
      </c>
      <c r="AC100" s="377">
        <v>0</v>
      </c>
      <c r="AD100" s="18">
        <f t="shared" si="105"/>
        <v>0</v>
      </c>
      <c r="AE100" s="19">
        <f>MAYO!AG100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+IF(MAYO!A101=0,"",MAYO!A101)</f>
        <v>11303-7</v>
      </c>
      <c r="B101" s="627" t="str">
        <f>+IF(MAYO!B101=0,"",MAYO!B101)</f>
        <v xml:space="preserve">SANEAMIENTO APORTES PATRONALES </v>
      </c>
      <c r="C101" s="401">
        <f>+ENERO!C101</f>
        <v>0</v>
      </c>
      <c r="D101" s="376">
        <f>MAYO!D101+JUNIO!P101</f>
        <v>0</v>
      </c>
      <c r="E101" s="376">
        <f>MAYO!E101+JUNIO!Q101</f>
        <v>13408841</v>
      </c>
      <c r="F101" s="376">
        <f t="shared" si="97"/>
        <v>13408841</v>
      </c>
      <c r="G101" s="376">
        <f>MAYO!I101</f>
        <v>0</v>
      </c>
      <c r="H101" s="377">
        <v>0</v>
      </c>
      <c r="I101" s="376">
        <f t="shared" si="98"/>
        <v>0</v>
      </c>
      <c r="J101" s="376">
        <f>MAYO!L101</f>
        <v>0</v>
      </c>
      <c r="K101" s="377">
        <v>0</v>
      </c>
      <c r="L101" s="376">
        <f t="shared" si="99"/>
        <v>0</v>
      </c>
      <c r="M101" s="376">
        <f t="shared" si="100"/>
        <v>13408841</v>
      </c>
      <c r="N101" s="146">
        <f t="shared" si="101"/>
        <v>13408841</v>
      </c>
      <c r="P101" s="375">
        <v>0</v>
      </c>
      <c r="Q101" s="378">
        <v>0</v>
      </c>
      <c r="R101" s="9"/>
      <c r="S101" s="720" t="str">
        <f>+IF(MAYO!S101=0,"",MAYO!S101)</f>
        <v>1020302-5</v>
      </c>
      <c r="T101" s="694" t="str">
        <f>+IF(MAYO!T101=0,"",MAYO!T101)</f>
        <v>Aporte a Caja Compensación Familiar</v>
      </c>
      <c r="U101" s="27">
        <f>+ENERO!U101</f>
        <v>32495908</v>
      </c>
      <c r="V101" s="15">
        <f>MAYO!V101+JUNIO!AL101</f>
        <v>0</v>
      </c>
      <c r="W101" s="15">
        <f>MAYO!W101+JUNIO!AM101</f>
        <v>0</v>
      </c>
      <c r="X101" s="18">
        <f t="shared" si="103"/>
        <v>32495908</v>
      </c>
      <c r="Y101" s="19">
        <f>MAYO!AA101</f>
        <v>12687800</v>
      </c>
      <c r="Z101" s="377">
        <v>2523700</v>
      </c>
      <c r="AA101" s="18">
        <f t="shared" si="104"/>
        <v>15211500</v>
      </c>
      <c r="AB101" s="19">
        <f>MAYO!AD101</f>
        <v>12687800</v>
      </c>
      <c r="AC101" s="377">
        <v>2523700</v>
      </c>
      <c r="AD101" s="18">
        <f t="shared" si="105"/>
        <v>15211500</v>
      </c>
      <c r="AE101" s="19">
        <f>MAYO!AG101</f>
        <v>10148700</v>
      </c>
      <c r="AF101" s="377">
        <v>2539100</v>
      </c>
      <c r="AG101" s="18">
        <f t="shared" si="106"/>
        <v>12687800</v>
      </c>
      <c r="AH101" s="19">
        <f t="shared" si="107"/>
        <v>17284408</v>
      </c>
      <c r="AI101" s="15">
        <f t="shared" si="108"/>
        <v>17284408</v>
      </c>
      <c r="AJ101" s="16">
        <f t="shared" si="109"/>
        <v>19808108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+IF(MAYO!A102=0,"",MAYO!A102)</f>
        <v>11303-8</v>
      </c>
      <c r="B102" s="636" t="str">
        <f>+IF(MAYO!B102=0,"",MAYO!B102)</f>
        <v>Vigencia Anterior</v>
      </c>
      <c r="C102" s="491">
        <f>+ENERO!C102</f>
        <v>0</v>
      </c>
      <c r="D102" s="388">
        <f>MAYO!D102+JUNIO!P102</f>
        <v>0</v>
      </c>
      <c r="E102" s="388">
        <f>MAYO!E102+JUNIO!Q102</f>
        <v>0</v>
      </c>
      <c r="F102" s="388">
        <f t="shared" si="97"/>
        <v>0</v>
      </c>
      <c r="G102" s="388">
        <f>MAYO!I102</f>
        <v>0</v>
      </c>
      <c r="H102" s="391">
        <v>0</v>
      </c>
      <c r="I102" s="388">
        <f t="shared" si="98"/>
        <v>0</v>
      </c>
      <c r="J102" s="388">
        <f>MAYO!L102</f>
        <v>0</v>
      </c>
      <c r="K102" s="391">
        <v>0</v>
      </c>
      <c r="L102" s="388">
        <f t="shared" si="99"/>
        <v>0</v>
      </c>
      <c r="M102" s="388">
        <f t="shared" si="100"/>
        <v>0</v>
      </c>
      <c r="N102" s="389">
        <f t="shared" si="101"/>
        <v>0</v>
      </c>
      <c r="P102" s="375">
        <v>0</v>
      </c>
      <c r="Q102" s="378">
        <v>0</v>
      </c>
      <c r="R102" s="9"/>
      <c r="S102" s="719">
        <f>+IF(MAYO!S102=0,"",MAYO!S102)</f>
        <v>1020399</v>
      </c>
      <c r="T102" s="693" t="str">
        <f>+IF(MAYO!T102=0,"",MAYO!T102)</f>
        <v>Vigencias Anteriores</v>
      </c>
      <c r="U102" s="27">
        <f>+ENERO!U102</f>
        <v>0</v>
      </c>
      <c r="V102" s="15">
        <f>MAYO!V102+JUNIO!AL102</f>
        <v>0</v>
      </c>
      <c r="W102" s="15">
        <f>MAYO!W102+JUNIO!AM102</f>
        <v>54740941</v>
      </c>
      <c r="X102" s="18">
        <f t="shared" si="103"/>
        <v>54740941</v>
      </c>
      <c r="Y102" s="19">
        <f>MAYO!AA102</f>
        <v>54740941</v>
      </c>
      <c r="Z102" s="377">
        <v>0</v>
      </c>
      <c r="AA102" s="18">
        <f t="shared" si="104"/>
        <v>54740941</v>
      </c>
      <c r="AB102" s="19">
        <f>MAYO!AD102</f>
        <v>54740941</v>
      </c>
      <c r="AC102" s="377">
        <v>0</v>
      </c>
      <c r="AD102" s="18">
        <f t="shared" si="105"/>
        <v>54740941</v>
      </c>
      <c r="AE102" s="19">
        <f>MAYO!AG102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+IF(MAYO!A103=0,"",MAYO!A103)</f>
        <v/>
      </c>
      <c r="B103" s="661" t="str">
        <f>+IF(MAYO!B103=0,"",MAYO!B103)</f>
        <v/>
      </c>
      <c r="C103" s="483"/>
      <c r="D103" s="483"/>
      <c r="E103" s="483"/>
      <c r="F103" s="483"/>
      <c r="G103" s="483"/>
      <c r="H103" s="483"/>
      <c r="I103" s="483"/>
      <c r="J103" s="483"/>
      <c r="K103" s="483"/>
      <c r="L103" s="483"/>
      <c r="M103" s="483"/>
      <c r="N103" s="484"/>
      <c r="P103" s="485"/>
      <c r="Q103" s="484"/>
      <c r="R103" s="9"/>
      <c r="S103" s="369" t="str">
        <f>+IF(MAYO!S103=0,"",MAYO!S103)</f>
        <v/>
      </c>
      <c r="T103" s="708" t="str">
        <f>+IF(MAYO!T103=0,"",MAYO!T103)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+IF(MAYO!A104=0,"",MAYO!A104)</f>
        <v>11304</v>
      </c>
      <c r="B104" s="626" t="str">
        <f>+IF(MAYO!B104=0,"",MAYO!B104)</f>
        <v>Otros ingresos corrientes</v>
      </c>
      <c r="C104" s="625">
        <f>SUM(C105:C111)</f>
        <v>107181679</v>
      </c>
      <c r="D104" s="623">
        <f t="shared" ref="D104:N104" si="110">SUM(D105:D111)</f>
        <v>0</v>
      </c>
      <c r="E104" s="623">
        <f t="shared" si="110"/>
        <v>0</v>
      </c>
      <c r="F104" s="623">
        <f t="shared" si="110"/>
        <v>107181679</v>
      </c>
      <c r="G104" s="623">
        <f t="shared" si="110"/>
        <v>44134586</v>
      </c>
      <c r="H104" s="623">
        <f t="shared" si="110"/>
        <v>7135000</v>
      </c>
      <c r="I104" s="623">
        <f t="shared" si="110"/>
        <v>51269586</v>
      </c>
      <c r="J104" s="623">
        <f t="shared" si="110"/>
        <v>44134586</v>
      </c>
      <c r="K104" s="623">
        <f t="shared" si="110"/>
        <v>7135000</v>
      </c>
      <c r="L104" s="623">
        <f t="shared" si="110"/>
        <v>51269586</v>
      </c>
      <c r="M104" s="623">
        <f t="shared" si="110"/>
        <v>55912093</v>
      </c>
      <c r="N104" s="624">
        <f t="shared" si="110"/>
        <v>55912093</v>
      </c>
      <c r="P104" s="43">
        <f>SUM(P105:P111)</f>
        <v>0</v>
      </c>
      <c r="Q104" s="45">
        <f>SUM(Q105:Q111)</f>
        <v>0</v>
      </c>
      <c r="R104" s="9"/>
      <c r="S104" s="718">
        <f>+IF(MAYO!S104=0,"",MAYO!S104)</f>
        <v>1020400</v>
      </c>
      <c r="T104" s="692" t="str">
        <f>+IF(MAYO!T104=0,"",MAYO!T104)</f>
        <v>Contribuciones Inherentes nómina del Sector Publico</v>
      </c>
      <c r="U104" s="135">
        <f t="shared" ref="U104:AJ104" si="111">U105+U108</f>
        <v>40619885</v>
      </c>
      <c r="V104" s="124">
        <f t="shared" si="111"/>
        <v>0</v>
      </c>
      <c r="W104" s="124">
        <f t="shared" si="111"/>
        <v>3013800</v>
      </c>
      <c r="X104" s="132">
        <f t="shared" si="111"/>
        <v>43633685</v>
      </c>
      <c r="Y104" s="131">
        <f t="shared" si="111"/>
        <v>18872900</v>
      </c>
      <c r="Z104" s="124">
        <f t="shared" si="111"/>
        <v>3154700</v>
      </c>
      <c r="AA104" s="132">
        <f t="shared" si="111"/>
        <v>22027600</v>
      </c>
      <c r="AB104" s="131">
        <f t="shared" si="111"/>
        <v>18872900</v>
      </c>
      <c r="AC104" s="124">
        <f t="shared" si="111"/>
        <v>3154700</v>
      </c>
      <c r="AD104" s="132">
        <f t="shared" si="111"/>
        <v>22027600</v>
      </c>
      <c r="AE104" s="131">
        <f t="shared" si="111"/>
        <v>15699200</v>
      </c>
      <c r="AF104" s="124">
        <f t="shared" si="111"/>
        <v>3173700</v>
      </c>
      <c r="AG104" s="132">
        <f t="shared" si="111"/>
        <v>18872900</v>
      </c>
      <c r="AH104" s="131">
        <f t="shared" si="111"/>
        <v>21606085</v>
      </c>
      <c r="AI104" s="124">
        <f t="shared" si="111"/>
        <v>21606085</v>
      </c>
      <c r="AJ104" s="133">
        <f t="shared" si="111"/>
        <v>24760785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+IF(MAYO!A105=0,"",MAYO!A105)</f>
        <v>11304-1</v>
      </c>
      <c r="B105" s="627" t="str">
        <f>+IF(MAYO!B105=0,"",MAYO!B105)</f>
        <v>ARRENDAMIENTO Y ALQUILER DE BIENES MUEBLES E INMUEBLES</v>
      </c>
      <c r="C105" s="401">
        <f>+ENERO!C105</f>
        <v>916364</v>
      </c>
      <c r="D105" s="376">
        <f>MAYO!D105+JUNIO!P105</f>
        <v>0</v>
      </c>
      <c r="E105" s="376">
        <f>MAYO!E105+JUNIO!Q105</f>
        <v>0</v>
      </c>
      <c r="F105" s="376">
        <f t="shared" ref="F105:F111" si="112">SUM(C105:E105)</f>
        <v>916364</v>
      </c>
      <c r="G105" s="376">
        <f>MAYO!I105</f>
        <v>320000</v>
      </c>
      <c r="H105" s="377">
        <v>80000</v>
      </c>
      <c r="I105" s="376">
        <f t="shared" ref="I105:I111" si="113">SUM(G105:H105)</f>
        <v>400000</v>
      </c>
      <c r="J105" s="376">
        <f>MAYO!L105</f>
        <v>320000</v>
      </c>
      <c r="K105" s="377">
        <v>80000</v>
      </c>
      <c r="L105" s="376">
        <f t="shared" ref="L105:L111" si="114">SUM(J105:K105)</f>
        <v>400000</v>
      </c>
      <c r="M105" s="376">
        <f t="shared" ref="M105:M111" si="115">F105-I105</f>
        <v>516364</v>
      </c>
      <c r="N105" s="146">
        <f t="shared" ref="N105:N111" si="116">F105-L105</f>
        <v>516364</v>
      </c>
      <c r="P105" s="375">
        <v>0</v>
      </c>
      <c r="Q105" s="378">
        <v>0</v>
      </c>
      <c r="R105" s="9"/>
      <c r="S105" s="719">
        <f>+IF(MAYO!S105=0,"",MAYO!S105)</f>
        <v>1020402</v>
      </c>
      <c r="T105" s="693" t="str">
        <f>+IF(MAYO!T105=0,"",MAYO!T105)</f>
        <v>Contribuciones - Otros</v>
      </c>
      <c r="U105" s="27">
        <f t="shared" ref="U105:AJ105" si="117">SUM(U106:U107)</f>
        <v>40619885</v>
      </c>
      <c r="V105" s="15">
        <f t="shared" si="117"/>
        <v>0</v>
      </c>
      <c r="W105" s="15">
        <f t="shared" si="117"/>
        <v>0</v>
      </c>
      <c r="X105" s="18">
        <f t="shared" si="117"/>
        <v>40619885</v>
      </c>
      <c r="Y105" s="19">
        <f t="shared" si="117"/>
        <v>15859100</v>
      </c>
      <c r="Z105" s="145">
        <f t="shared" si="117"/>
        <v>3154700</v>
      </c>
      <c r="AA105" s="18">
        <f t="shared" si="117"/>
        <v>19013800</v>
      </c>
      <c r="AB105" s="19">
        <f t="shared" si="117"/>
        <v>15859100</v>
      </c>
      <c r="AC105" s="145">
        <f t="shared" si="117"/>
        <v>3154700</v>
      </c>
      <c r="AD105" s="18">
        <f t="shared" si="117"/>
        <v>19013800</v>
      </c>
      <c r="AE105" s="19">
        <f t="shared" si="117"/>
        <v>12685400</v>
      </c>
      <c r="AF105" s="145">
        <f t="shared" si="117"/>
        <v>3173700</v>
      </c>
      <c r="AG105" s="18">
        <f t="shared" si="117"/>
        <v>15859100</v>
      </c>
      <c r="AH105" s="19">
        <f t="shared" si="117"/>
        <v>21606085</v>
      </c>
      <c r="AI105" s="15">
        <f t="shared" si="117"/>
        <v>21606085</v>
      </c>
      <c r="AJ105" s="16">
        <f t="shared" si="117"/>
        <v>24760785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+IF(MAYO!A106=0,"",MAYO!A106)</f>
        <v>11304-2</v>
      </c>
      <c r="B106" s="628" t="str">
        <f>+IF(MAYO!B106=0,"",MAYO!B106)</f>
        <v>COMERCIALIZACIÓN DE MERCANCÍAS</v>
      </c>
      <c r="C106" s="401">
        <f>+ENERO!C106</f>
        <v>105119431</v>
      </c>
      <c r="D106" s="376">
        <f>MAYO!D106+JUNIO!P106</f>
        <v>0</v>
      </c>
      <c r="E106" s="376">
        <f>MAYO!E106+JUNIO!Q106</f>
        <v>0</v>
      </c>
      <c r="F106" s="376">
        <f t="shared" si="112"/>
        <v>105119431</v>
      </c>
      <c r="G106" s="376">
        <f>MAYO!I106</f>
        <v>41411897</v>
      </c>
      <c r="H106" s="377">
        <v>7015400</v>
      </c>
      <c r="I106" s="376">
        <f t="shared" si="113"/>
        <v>48427297</v>
      </c>
      <c r="J106" s="376">
        <f>MAYO!L106</f>
        <v>41411897</v>
      </c>
      <c r="K106" s="377">
        <v>7015400</v>
      </c>
      <c r="L106" s="376">
        <f t="shared" si="114"/>
        <v>48427297</v>
      </c>
      <c r="M106" s="376">
        <f t="shared" si="115"/>
        <v>56692134</v>
      </c>
      <c r="N106" s="146">
        <f t="shared" si="116"/>
        <v>56692134</v>
      </c>
      <c r="P106" s="375">
        <v>0</v>
      </c>
      <c r="Q106" s="378">
        <v>0</v>
      </c>
      <c r="R106" s="9"/>
      <c r="S106" s="720" t="str">
        <f>+IF(MAYO!S106=0,"",MAYO!S106)</f>
        <v>1020402-1</v>
      </c>
      <c r="T106" s="693" t="str">
        <f>+IF(MAYO!T106=0,"",MAYO!T106)</f>
        <v>S.E.N.A.</v>
      </c>
      <c r="U106" s="27">
        <f>+ENERO!U106</f>
        <v>16247954</v>
      </c>
      <c r="V106" s="15">
        <f>MAYO!V106+JUNIO!AL106</f>
        <v>0</v>
      </c>
      <c r="W106" s="15">
        <f>MAYO!W106+JUNIO!AM106</f>
        <v>0</v>
      </c>
      <c r="X106" s="18">
        <f>SUM(U106:W106)</f>
        <v>16247954</v>
      </c>
      <c r="Y106" s="19">
        <f>MAYO!AA106</f>
        <v>6343900</v>
      </c>
      <c r="Z106" s="377">
        <v>1261900</v>
      </c>
      <c r="AA106" s="18">
        <f>SUM(Y106:Z106)</f>
        <v>7605800</v>
      </c>
      <c r="AB106" s="19">
        <f>MAYO!AD106</f>
        <v>6343900</v>
      </c>
      <c r="AC106" s="377">
        <v>1261900</v>
      </c>
      <c r="AD106" s="18">
        <f>SUM(AB106:AC106)</f>
        <v>7605800</v>
      </c>
      <c r="AE106" s="19">
        <f>MAYO!AG106</f>
        <v>5074400</v>
      </c>
      <c r="AF106" s="377">
        <v>1269500</v>
      </c>
      <c r="AG106" s="18">
        <f>SUM(AE106:AF106)</f>
        <v>6343900</v>
      </c>
      <c r="AH106" s="19">
        <f>X106-AA106</f>
        <v>8642154</v>
      </c>
      <c r="AI106" s="15">
        <f>X106-AD106</f>
        <v>8642154</v>
      </c>
      <c r="AJ106" s="16">
        <f>X106-AG106</f>
        <v>9904054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+IF(MAYO!A107=0,"",MAYO!A107)</f>
        <v>11304-3</v>
      </c>
      <c r="B107" s="627" t="str">
        <f>+IF(MAYO!B107=0,"",MAYO!B107)</f>
        <v>Bienestar Social</v>
      </c>
      <c r="C107" s="401">
        <f>+ENERO!C107</f>
        <v>0</v>
      </c>
      <c r="D107" s="376">
        <f>MAYO!D107+JUNIO!P107</f>
        <v>0</v>
      </c>
      <c r="E107" s="376">
        <f>MAYO!E107+JUNIO!Q107</f>
        <v>0</v>
      </c>
      <c r="F107" s="376">
        <f t="shared" si="112"/>
        <v>0</v>
      </c>
      <c r="G107" s="376">
        <f>MAYO!I107</f>
        <v>0</v>
      </c>
      <c r="H107" s="377">
        <v>0</v>
      </c>
      <c r="I107" s="376">
        <f t="shared" si="113"/>
        <v>0</v>
      </c>
      <c r="J107" s="376">
        <f>MAYO!L107</f>
        <v>0</v>
      </c>
      <c r="K107" s="377">
        <v>0</v>
      </c>
      <c r="L107" s="376">
        <f t="shared" si="114"/>
        <v>0</v>
      </c>
      <c r="M107" s="376">
        <f t="shared" si="115"/>
        <v>0</v>
      </c>
      <c r="N107" s="146">
        <f t="shared" si="116"/>
        <v>0</v>
      </c>
      <c r="P107" s="375">
        <v>0</v>
      </c>
      <c r="Q107" s="378">
        <v>0</v>
      </c>
      <c r="R107" s="9"/>
      <c r="S107" s="720" t="str">
        <f>+IF(MAYO!S107=0,"",MAYO!S107)</f>
        <v>1020402-2</v>
      </c>
      <c r="T107" s="693" t="str">
        <f>+IF(MAYO!T107=0,"",MAYO!T107)</f>
        <v>I.C.B.F.</v>
      </c>
      <c r="U107" s="27">
        <f>+ENERO!U107</f>
        <v>24371931</v>
      </c>
      <c r="V107" s="15">
        <f>MAYO!V107+JUNIO!AL107</f>
        <v>0</v>
      </c>
      <c r="W107" s="15">
        <f>MAYO!W107+JUNIO!AM107</f>
        <v>0</v>
      </c>
      <c r="X107" s="18">
        <f>SUM(U107:W107)</f>
        <v>24371931</v>
      </c>
      <c r="Y107" s="19">
        <f>MAYO!AA107</f>
        <v>9515200</v>
      </c>
      <c r="Z107" s="377">
        <v>1892800</v>
      </c>
      <c r="AA107" s="18">
        <f>SUM(Y107:Z107)</f>
        <v>11408000</v>
      </c>
      <c r="AB107" s="19">
        <f>MAYO!AD107</f>
        <v>9515200</v>
      </c>
      <c r="AC107" s="377">
        <v>1892800</v>
      </c>
      <c r="AD107" s="18">
        <f>SUM(AB107:AC107)</f>
        <v>11408000</v>
      </c>
      <c r="AE107" s="19">
        <f>MAYO!AG107</f>
        <v>7611000</v>
      </c>
      <c r="AF107" s="377">
        <v>1904200</v>
      </c>
      <c r="AG107" s="18">
        <f>SUM(AE107:AF107)</f>
        <v>9515200</v>
      </c>
      <c r="AH107" s="19">
        <f>X107-AA107</f>
        <v>12963931</v>
      </c>
      <c r="AI107" s="15">
        <f>X107-AD107</f>
        <v>12963931</v>
      </c>
      <c r="AJ107" s="16">
        <f>X107-AG107</f>
        <v>14856731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+IF(MAYO!A108=0,"",MAYO!A108)</f>
        <v>11304-4</v>
      </c>
      <c r="B108" s="627" t="str">
        <f>+IF(MAYO!B108=0,"",MAYO!B108)</f>
        <v>Fondo de la Vivienda</v>
      </c>
      <c r="C108" s="401">
        <f>+ENERO!C108</f>
        <v>0</v>
      </c>
      <c r="D108" s="376">
        <f>MAYO!D108+JUNIO!P108</f>
        <v>0</v>
      </c>
      <c r="E108" s="376">
        <f>MAYO!E108+JUNIO!Q108</f>
        <v>0</v>
      </c>
      <c r="F108" s="376">
        <f t="shared" si="112"/>
        <v>0</v>
      </c>
      <c r="G108" s="376">
        <f>MAYO!I108</f>
        <v>0</v>
      </c>
      <c r="H108" s="377">
        <v>0</v>
      </c>
      <c r="I108" s="376">
        <f t="shared" si="113"/>
        <v>0</v>
      </c>
      <c r="J108" s="376">
        <f>MAYO!L108</f>
        <v>0</v>
      </c>
      <c r="K108" s="377">
        <v>0</v>
      </c>
      <c r="L108" s="376">
        <f t="shared" si="114"/>
        <v>0</v>
      </c>
      <c r="M108" s="376">
        <f t="shared" si="115"/>
        <v>0</v>
      </c>
      <c r="N108" s="146">
        <f t="shared" si="116"/>
        <v>0</v>
      </c>
      <c r="P108" s="375">
        <v>0</v>
      </c>
      <c r="Q108" s="378">
        <v>0</v>
      </c>
      <c r="R108" s="9"/>
      <c r="S108" s="719">
        <f>+IF(MAYO!S108=0,"",MAYO!S108)</f>
        <v>1020499</v>
      </c>
      <c r="T108" s="693" t="str">
        <f>+IF(MAYO!T108=0,"",MAYO!T108)</f>
        <v>Vigencias Anteriores</v>
      </c>
      <c r="U108" s="27">
        <f>+ENERO!U108</f>
        <v>0</v>
      </c>
      <c r="V108" s="15">
        <f>MAYO!V108+JUNIO!AL108</f>
        <v>0</v>
      </c>
      <c r="W108" s="15">
        <f>MAYO!W108+JUNIO!AM108</f>
        <v>3013800</v>
      </c>
      <c r="X108" s="18">
        <f>SUM(U108:W108)</f>
        <v>3013800</v>
      </c>
      <c r="Y108" s="19">
        <f>MAYO!AA108</f>
        <v>3013800</v>
      </c>
      <c r="Z108" s="377">
        <v>0</v>
      </c>
      <c r="AA108" s="18">
        <f>SUM(Y108:Z108)</f>
        <v>3013800</v>
      </c>
      <c r="AB108" s="19">
        <f>MAYO!AD108</f>
        <v>3013800</v>
      </c>
      <c r="AC108" s="377">
        <v>0</v>
      </c>
      <c r="AD108" s="18">
        <f>SUM(AB108:AC108)</f>
        <v>3013800</v>
      </c>
      <c r="AE108" s="19">
        <f>MAYO!AG108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+IF(MAYO!A109=0,"",MAYO!A109)</f>
        <v>11304-5</v>
      </c>
      <c r="B109" s="627" t="str">
        <f>+IF(MAYO!B109=0,"",MAYO!B109)</f>
        <v xml:space="preserve">Aprovechamientos </v>
      </c>
      <c r="C109" s="401">
        <f>+ENERO!C109</f>
        <v>1145884</v>
      </c>
      <c r="D109" s="376">
        <f>MAYO!D109+JUNIO!P109</f>
        <v>0</v>
      </c>
      <c r="E109" s="376">
        <f>MAYO!E109+JUNIO!Q109</f>
        <v>0</v>
      </c>
      <c r="F109" s="376">
        <f t="shared" si="112"/>
        <v>1145884</v>
      </c>
      <c r="G109" s="376">
        <f>MAYO!I109</f>
        <v>2294354</v>
      </c>
      <c r="H109" s="377">
        <v>39600</v>
      </c>
      <c r="I109" s="376">
        <f t="shared" si="113"/>
        <v>2333954</v>
      </c>
      <c r="J109" s="376">
        <f>MAYO!L109</f>
        <v>2294354</v>
      </c>
      <c r="K109" s="377">
        <v>39600</v>
      </c>
      <c r="L109" s="376">
        <f t="shared" si="114"/>
        <v>2333954</v>
      </c>
      <c r="M109" s="376">
        <f t="shared" si="115"/>
        <v>-1188070</v>
      </c>
      <c r="N109" s="146">
        <f t="shared" si="116"/>
        <v>-1188070</v>
      </c>
      <c r="P109" s="375">
        <v>0</v>
      </c>
      <c r="Q109" s="378">
        <v>0</v>
      </c>
      <c r="R109" s="9"/>
      <c r="S109" s="369" t="str">
        <f>+IF(MAYO!S109=0,"",MAYO!S109)</f>
        <v/>
      </c>
      <c r="T109" s="708" t="str">
        <f>+IF(MAYO!T109=0,"",MAYO!T109)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+IF(MAYO!A110=0,"",MAYO!A110)</f>
        <v>11304-6</v>
      </c>
      <c r="B110" s="627" t="str">
        <f>+IF(MAYO!B110=0,"",MAYO!B110)</f>
        <v>Otros</v>
      </c>
      <c r="C110" s="401">
        <f>+ENERO!C110</f>
        <v>0</v>
      </c>
      <c r="D110" s="376">
        <f>MAYO!D110+JUNIO!P110</f>
        <v>0</v>
      </c>
      <c r="E110" s="376">
        <f>MAYO!E110+JUNIO!Q110</f>
        <v>0</v>
      </c>
      <c r="F110" s="376">
        <f t="shared" si="112"/>
        <v>0</v>
      </c>
      <c r="G110" s="376">
        <f>MAYO!I110</f>
        <v>28335</v>
      </c>
      <c r="H110" s="377">
        <v>0</v>
      </c>
      <c r="I110" s="376">
        <f t="shared" si="113"/>
        <v>28335</v>
      </c>
      <c r="J110" s="376">
        <f>MAYO!L110</f>
        <v>28335</v>
      </c>
      <c r="K110" s="377">
        <v>0</v>
      </c>
      <c r="L110" s="376">
        <f t="shared" si="114"/>
        <v>28335</v>
      </c>
      <c r="M110" s="376">
        <f t="shared" si="115"/>
        <v>-28335</v>
      </c>
      <c r="N110" s="146">
        <f t="shared" si="116"/>
        <v>-28335</v>
      </c>
      <c r="P110" s="375">
        <v>0</v>
      </c>
      <c r="Q110" s="378">
        <v>0</v>
      </c>
      <c r="R110" s="9"/>
      <c r="S110" s="717">
        <f>+IF(MAYO!S110=0,"",MAYO!S110)</f>
        <v>2000000</v>
      </c>
      <c r="T110" s="697" t="str">
        <f>+IF(MAYO!T110=0,"",MAYO!T110)</f>
        <v>GASTOS GENERALES</v>
      </c>
      <c r="U110" s="473">
        <f t="shared" ref="U110:AJ110" si="118">U112+U145</f>
        <v>505626661</v>
      </c>
      <c r="V110" s="474">
        <f t="shared" si="118"/>
        <v>25000000</v>
      </c>
      <c r="W110" s="474">
        <f t="shared" si="118"/>
        <v>213332840</v>
      </c>
      <c r="X110" s="475">
        <f t="shared" si="118"/>
        <v>743959501</v>
      </c>
      <c r="Y110" s="382">
        <f t="shared" si="118"/>
        <v>403552295</v>
      </c>
      <c r="Z110" s="474">
        <f t="shared" si="118"/>
        <v>55384842</v>
      </c>
      <c r="AA110" s="475">
        <f t="shared" si="118"/>
        <v>458937137</v>
      </c>
      <c r="AB110" s="382">
        <f t="shared" si="118"/>
        <v>349225552</v>
      </c>
      <c r="AC110" s="474">
        <f t="shared" si="118"/>
        <v>37683648</v>
      </c>
      <c r="AD110" s="475">
        <f t="shared" si="118"/>
        <v>386909200</v>
      </c>
      <c r="AE110" s="382">
        <f t="shared" si="118"/>
        <v>237995861</v>
      </c>
      <c r="AF110" s="474">
        <f t="shared" si="118"/>
        <v>33602990</v>
      </c>
      <c r="AG110" s="475">
        <f t="shared" si="118"/>
        <v>271598851</v>
      </c>
      <c r="AH110" s="382">
        <f t="shared" si="118"/>
        <v>285022364</v>
      </c>
      <c r="AI110" s="474">
        <f t="shared" si="118"/>
        <v>357050301</v>
      </c>
      <c r="AJ110" s="383">
        <f t="shared" si="118"/>
        <v>472360650</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+IF(MAYO!A111=0,"",MAYO!A111)</f>
        <v>11304-7</v>
      </c>
      <c r="B111" s="662" t="str">
        <f>+IF(MAYO!B111=0,"",MAYO!B111)</f>
        <v>Vigencia Anterior</v>
      </c>
      <c r="C111" s="491">
        <f>+ENERO!C111</f>
        <v>0</v>
      </c>
      <c r="D111" s="388">
        <f>MAYO!D111+JUNIO!P111</f>
        <v>0</v>
      </c>
      <c r="E111" s="388">
        <f>MAYO!E111+JUNIO!Q111</f>
        <v>0</v>
      </c>
      <c r="F111" s="388">
        <f t="shared" si="112"/>
        <v>0</v>
      </c>
      <c r="G111" s="388">
        <f>MAYO!I111</f>
        <v>80000</v>
      </c>
      <c r="H111" s="391">
        <v>0</v>
      </c>
      <c r="I111" s="388">
        <f t="shared" si="113"/>
        <v>80000</v>
      </c>
      <c r="J111" s="388">
        <f>MAYO!L111</f>
        <v>80000</v>
      </c>
      <c r="K111" s="391">
        <v>0</v>
      </c>
      <c r="L111" s="388">
        <f t="shared" si="114"/>
        <v>80000</v>
      </c>
      <c r="M111" s="388">
        <f t="shared" si="115"/>
        <v>-80000</v>
      </c>
      <c r="N111" s="389">
        <f t="shared" si="116"/>
        <v>-80000</v>
      </c>
      <c r="P111" s="375">
        <v>0</v>
      </c>
      <c r="Q111" s="378">
        <v>0</v>
      </c>
      <c r="R111" s="9"/>
      <c r="S111" s="369" t="str">
        <f>+IF(MAYO!S111=0,"",MAYO!S111)</f>
        <v/>
      </c>
      <c r="T111" s="708" t="str">
        <f>+IF(MAYO!T111=0,"",MAYO!T111)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+IF(MAYO!A112=0,"",MAYO!A112)</f>
        <v/>
      </c>
      <c r="B112" s="661" t="str">
        <f>+IF(MAYO!B112=0,"",MAYO!B112)</f>
        <v/>
      </c>
      <c r="C112" s="483"/>
      <c r="D112" s="483"/>
      <c r="E112" s="483"/>
      <c r="F112" s="483"/>
      <c r="G112" s="483"/>
      <c r="H112" s="483"/>
      <c r="I112" s="483"/>
      <c r="J112" s="483"/>
      <c r="K112" s="483"/>
      <c r="L112" s="483"/>
      <c r="M112" s="483"/>
      <c r="N112" s="484"/>
      <c r="P112" s="485"/>
      <c r="Q112" s="484"/>
      <c r="R112" s="9"/>
      <c r="S112" s="717">
        <f>+IF(MAYO!S112=0,"",MAYO!S112)</f>
        <v>2010000</v>
      </c>
      <c r="T112" s="691" t="str">
        <f>+IF(MAYO!T112=0,"",MAYO!T112)</f>
        <v>Gastos de Administración</v>
      </c>
      <c r="U112" s="135">
        <f t="shared" ref="U112:AJ112" si="119">U114+U123+U141</f>
        <v>181650786</v>
      </c>
      <c r="V112" s="124">
        <f t="shared" si="119"/>
        <v>0</v>
      </c>
      <c r="W112" s="124">
        <f t="shared" si="119"/>
        <v>102233652</v>
      </c>
      <c r="X112" s="132">
        <f t="shared" si="119"/>
        <v>283884438</v>
      </c>
      <c r="Y112" s="131">
        <f t="shared" si="119"/>
        <v>140163103</v>
      </c>
      <c r="Z112" s="124">
        <f t="shared" si="119"/>
        <v>13067567</v>
      </c>
      <c r="AA112" s="132">
        <f t="shared" si="119"/>
        <v>153230670</v>
      </c>
      <c r="AB112" s="131">
        <f t="shared" si="119"/>
        <v>137888103</v>
      </c>
      <c r="AC112" s="124">
        <f t="shared" si="119"/>
        <v>11147567</v>
      </c>
      <c r="AD112" s="132">
        <f t="shared" si="119"/>
        <v>149035670</v>
      </c>
      <c r="AE112" s="131">
        <f t="shared" si="119"/>
        <v>95657413</v>
      </c>
      <c r="AF112" s="124">
        <f t="shared" si="119"/>
        <v>14513267</v>
      </c>
      <c r="AG112" s="132">
        <f t="shared" si="119"/>
        <v>110170680</v>
      </c>
      <c r="AH112" s="131">
        <f t="shared" si="119"/>
        <v>130653768</v>
      </c>
      <c r="AI112" s="124">
        <f t="shared" si="119"/>
        <v>134848768</v>
      </c>
      <c r="AJ112" s="133">
        <f t="shared" si="119"/>
        <v>173713758</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+IF(MAYO!A113=0,"",MAYO!A113)</f>
        <v>2000</v>
      </c>
      <c r="B113" s="648" t="str">
        <f>+IF(MAYO!B113=0,"",MAYO!B113)</f>
        <v>INGRESOS DE CAPITAL</v>
      </c>
      <c r="C113" s="631">
        <f>SUM(C115:C124)</f>
        <v>32659146</v>
      </c>
      <c r="D113" s="632">
        <f>SUM(D115:D124)</f>
        <v>0</v>
      </c>
      <c r="E113" s="632">
        <f t="shared" ref="E113:N113" si="120">SUM(E115:E124)</f>
        <v>27176600</v>
      </c>
      <c r="F113" s="632">
        <f t="shared" si="120"/>
        <v>59835746</v>
      </c>
      <c r="G113" s="632">
        <f t="shared" si="120"/>
        <v>22177099</v>
      </c>
      <c r="H113" s="632">
        <f t="shared" si="120"/>
        <v>0</v>
      </c>
      <c r="I113" s="632">
        <f t="shared" si="120"/>
        <v>22177099</v>
      </c>
      <c r="J113" s="632">
        <f t="shared" si="120"/>
        <v>22177099</v>
      </c>
      <c r="K113" s="632">
        <f t="shared" si="120"/>
        <v>0</v>
      </c>
      <c r="L113" s="632">
        <f t="shared" si="120"/>
        <v>22177099</v>
      </c>
      <c r="M113" s="632">
        <f t="shared" si="120"/>
        <v>37658647</v>
      </c>
      <c r="N113" s="633">
        <f t="shared" si="120"/>
        <v>37658647</v>
      </c>
      <c r="O113" s="464"/>
      <c r="P113" s="177">
        <f>SUM(P115:P124)</f>
        <v>0</v>
      </c>
      <c r="Q113" s="178">
        <f>SUM(Q115:Q124)</f>
        <v>0</v>
      </c>
      <c r="R113" s="9"/>
      <c r="S113" s="369" t="str">
        <f>+IF(MAYO!S113=0,"",MAYO!S113)</f>
        <v/>
      </c>
      <c r="T113" s="708" t="str">
        <f>+IF(MAYO!T113=0,"",MAYO!T113)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+IF(MAYO!A114=0,"",MAYO!A114)</f>
        <v/>
      </c>
      <c r="B114" s="661" t="str">
        <f>+IF(MAYO!B114=0,"",MAYO!B114)</f>
        <v/>
      </c>
      <c r="C114" s="483"/>
      <c r="D114" s="483"/>
      <c r="E114" s="483"/>
      <c r="F114" s="483"/>
      <c r="G114" s="483"/>
      <c r="H114" s="483"/>
      <c r="I114" s="483"/>
      <c r="J114" s="483"/>
      <c r="K114" s="483"/>
      <c r="L114" s="483"/>
      <c r="M114" s="483"/>
      <c r="N114" s="484"/>
      <c r="P114" s="485"/>
      <c r="Q114" s="484"/>
      <c r="R114" s="9"/>
      <c r="S114" s="718">
        <f>+IF(MAYO!S114=0,"",MAYO!S114)</f>
        <v>2010100</v>
      </c>
      <c r="T114" s="692" t="str">
        <f>+IF(MAYO!T114=0,"",MAYO!T114)</f>
        <v>Adquisición de bienes</v>
      </c>
      <c r="U114" s="135">
        <f t="shared" ref="U114:AJ114" si="121">SUM(U115:U121)</f>
        <v>29771433</v>
      </c>
      <c r="V114" s="124">
        <f t="shared" si="121"/>
        <v>0</v>
      </c>
      <c r="W114" s="124">
        <f t="shared" si="121"/>
        <v>69356464</v>
      </c>
      <c r="X114" s="132">
        <f t="shared" si="121"/>
        <v>99127897</v>
      </c>
      <c r="Y114" s="131">
        <f t="shared" si="121"/>
        <v>52594113</v>
      </c>
      <c r="Z114" s="124">
        <f t="shared" si="121"/>
        <v>3338961</v>
      </c>
      <c r="AA114" s="132">
        <f t="shared" si="121"/>
        <v>55933074</v>
      </c>
      <c r="AB114" s="131">
        <f t="shared" si="121"/>
        <v>52594113</v>
      </c>
      <c r="AC114" s="124">
        <f t="shared" si="121"/>
        <v>3338961</v>
      </c>
      <c r="AD114" s="132">
        <f t="shared" si="121"/>
        <v>55933074</v>
      </c>
      <c r="AE114" s="131">
        <f t="shared" si="121"/>
        <v>42345510</v>
      </c>
      <c r="AF114" s="124">
        <f t="shared" si="121"/>
        <v>2095336</v>
      </c>
      <c r="AG114" s="132">
        <f t="shared" si="121"/>
        <v>44440846</v>
      </c>
      <c r="AH114" s="131">
        <f t="shared" si="121"/>
        <v>43194823</v>
      </c>
      <c r="AI114" s="124">
        <f t="shared" si="121"/>
        <v>43194823</v>
      </c>
      <c r="AJ114" s="133">
        <f t="shared" si="121"/>
        <v>54687051</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+IF(MAYO!A115=0,"",MAYO!A115)</f>
        <v>2100</v>
      </c>
      <c r="B115" s="634" t="str">
        <f>+IF(MAYO!B115=0,"",MAYO!B115)</f>
        <v>CREDITO INTERNO</v>
      </c>
      <c r="C115" s="375">
        <f>+ENERO!C115</f>
        <v>0</v>
      </c>
      <c r="D115" s="467">
        <f>MAYO!D115+JUNIO!P115</f>
        <v>0</v>
      </c>
      <c r="E115" s="467">
        <f>MAYO!E115+JUNIO!Q115</f>
        <v>0</v>
      </c>
      <c r="F115" s="471">
        <f t="shared" ref="F115:F124" si="122">SUM(C115:E115)</f>
        <v>0</v>
      </c>
      <c r="G115" s="469">
        <f>MAYO!I115</f>
        <v>0</v>
      </c>
      <c r="H115" s="377">
        <v>0</v>
      </c>
      <c r="I115" s="471">
        <f t="shared" ref="I115:I124" si="123">SUM(G115:H115)</f>
        <v>0</v>
      </c>
      <c r="J115" s="469">
        <f>MAYO!L115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+IF(MAYO!S115=0,"",MAYO!S115)</f>
        <v>2010100-1</v>
      </c>
      <c r="T115" s="693" t="str">
        <f>+IF(MAYO!T115=0,"",MAYO!T115)</f>
        <v>Compra de Equipos</v>
      </c>
      <c r="U115" s="27">
        <f>+ENERO!U115</f>
        <v>0</v>
      </c>
      <c r="V115" s="15">
        <f>MAYO!V115+JUNIO!AL115</f>
        <v>0</v>
      </c>
      <c r="W115" s="15">
        <f>MAYO!W115+JUNIO!AM115</f>
        <v>57176600</v>
      </c>
      <c r="X115" s="18">
        <f t="shared" ref="X115:X121" si="127">SUM(U115:W115)</f>
        <v>57176600</v>
      </c>
      <c r="Y115" s="19">
        <f>MAYO!AA115</f>
        <v>24785720</v>
      </c>
      <c r="Z115" s="377">
        <v>0</v>
      </c>
      <c r="AA115" s="18">
        <f t="shared" ref="AA115:AA121" si="128">SUM(Y115:Z115)</f>
        <v>24785720</v>
      </c>
      <c r="AB115" s="19">
        <f>MAYO!AD115</f>
        <v>24785720</v>
      </c>
      <c r="AC115" s="377">
        <v>0</v>
      </c>
      <c r="AD115" s="18">
        <f t="shared" ref="AD115:AD121" si="129">SUM(AB115:AC115)</f>
        <v>24785720</v>
      </c>
      <c r="AE115" s="19">
        <f>MAYO!AG115</f>
        <v>24785720</v>
      </c>
      <c r="AF115" s="377">
        <v>0</v>
      </c>
      <c r="AG115" s="18">
        <f t="shared" ref="AG115:AG121" si="130">SUM(AE115:AF115)</f>
        <v>24785720</v>
      </c>
      <c r="AH115" s="19">
        <f t="shared" ref="AH115:AH121" si="131">X115-AA115</f>
        <v>32390880</v>
      </c>
      <c r="AI115" s="15">
        <f t="shared" ref="AI115:AI121" si="132">X115-AD115</f>
        <v>32390880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+IF(MAYO!A116=0,"",MAYO!A116)</f>
        <v>2100-1</v>
      </c>
      <c r="B116" s="635" t="str">
        <f>+IF(MAYO!B116=0,"",MAYO!B116)</f>
        <v>Vigencia Anterior</v>
      </c>
      <c r="C116" s="375">
        <f>+ENERO!C116</f>
        <v>0</v>
      </c>
      <c r="D116" s="467">
        <f>MAYO!D116+JUNIO!P116</f>
        <v>0</v>
      </c>
      <c r="E116" s="467">
        <f>MAYO!E116+JUNIO!Q116</f>
        <v>0</v>
      </c>
      <c r="F116" s="471">
        <f t="shared" si="122"/>
        <v>0</v>
      </c>
      <c r="G116" s="469">
        <f>MAYO!I116</f>
        <v>0</v>
      </c>
      <c r="H116" s="377">
        <v>0</v>
      </c>
      <c r="I116" s="471">
        <f t="shared" si="123"/>
        <v>0</v>
      </c>
      <c r="J116" s="469">
        <f>MAYO!L116</f>
        <v>0</v>
      </c>
      <c r="K116" s="377">
        <v>0</v>
      </c>
      <c r="L116" s="468">
        <f t="shared" si="124"/>
        <v>0</v>
      </c>
      <c r="M116" s="472">
        <f t="shared" si="125"/>
        <v>0</v>
      </c>
      <c r="N116" s="468">
        <f t="shared" si="126"/>
        <v>0</v>
      </c>
      <c r="O116" s="464"/>
      <c r="P116" s="375">
        <v>0</v>
      </c>
      <c r="Q116" s="378">
        <v>0</v>
      </c>
      <c r="R116" s="9"/>
      <c r="S116" s="719" t="str">
        <f>+IF(MAYO!S116=0,"",MAYO!S116)</f>
        <v>2010100-2</v>
      </c>
      <c r="T116" s="693" t="str">
        <f>+IF(MAYO!T116=0,"",MAYO!T116)</f>
        <v>Materiales</v>
      </c>
      <c r="U116" s="27">
        <f>+ENERO!U116</f>
        <v>29771433</v>
      </c>
      <c r="V116" s="15">
        <f>MAYO!V116+JUNIO!AL116</f>
        <v>0</v>
      </c>
      <c r="W116" s="15">
        <f>MAYO!W116+JUNIO!AM116</f>
        <v>0</v>
      </c>
      <c r="X116" s="18">
        <f t="shared" si="127"/>
        <v>29771433</v>
      </c>
      <c r="Y116" s="19">
        <f>MAYO!AA116</f>
        <v>15628529</v>
      </c>
      <c r="Z116" s="377">
        <v>3338961</v>
      </c>
      <c r="AA116" s="18">
        <f t="shared" si="128"/>
        <v>18967490</v>
      </c>
      <c r="AB116" s="19">
        <f>MAYO!AD116</f>
        <v>15628529</v>
      </c>
      <c r="AC116" s="377">
        <v>3338961</v>
      </c>
      <c r="AD116" s="18">
        <f t="shared" si="129"/>
        <v>18967490</v>
      </c>
      <c r="AE116" s="19">
        <f>MAYO!AG116</f>
        <v>5379926</v>
      </c>
      <c r="AF116" s="377">
        <v>2095336</v>
      </c>
      <c r="AG116" s="18">
        <f t="shared" si="130"/>
        <v>7475262</v>
      </c>
      <c r="AH116" s="19">
        <f t="shared" si="131"/>
        <v>10803943</v>
      </c>
      <c r="AI116" s="15">
        <f t="shared" si="132"/>
        <v>10803943</v>
      </c>
      <c r="AJ116" s="16">
        <f t="shared" si="133"/>
        <v>22296171</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+IF(MAYO!A117=0,"",MAYO!A117)</f>
        <v>2200</v>
      </c>
      <c r="B117" s="634" t="str">
        <f>+IF(MAYO!B117=0,"",MAYO!B117)</f>
        <v>CREDITO EXTERNO</v>
      </c>
      <c r="C117" s="375">
        <f>+ENERO!C117</f>
        <v>0</v>
      </c>
      <c r="D117" s="467">
        <f>MAYO!D117+JUNIO!P117</f>
        <v>0</v>
      </c>
      <c r="E117" s="467">
        <f>MAYO!E117+JUNIO!Q117</f>
        <v>0</v>
      </c>
      <c r="F117" s="471">
        <f t="shared" si="122"/>
        <v>0</v>
      </c>
      <c r="G117" s="469">
        <f>MAYO!I117</f>
        <v>0</v>
      </c>
      <c r="H117" s="377">
        <v>0</v>
      </c>
      <c r="I117" s="471">
        <f t="shared" si="123"/>
        <v>0</v>
      </c>
      <c r="J117" s="469">
        <f>MAYO!L117</f>
        <v>0</v>
      </c>
      <c r="K117" s="377">
        <v>0</v>
      </c>
      <c r="L117" s="468">
        <f t="shared" si="124"/>
        <v>0</v>
      </c>
      <c r="M117" s="472">
        <f t="shared" si="125"/>
        <v>0</v>
      </c>
      <c r="N117" s="468">
        <f t="shared" si="126"/>
        <v>0</v>
      </c>
      <c r="O117" s="464"/>
      <c r="P117" s="375">
        <v>0</v>
      </c>
      <c r="Q117" s="378">
        <v>0</v>
      </c>
      <c r="R117" s="9"/>
      <c r="S117" s="719" t="str">
        <f>+IF(MAYO!S117=0,"",MAYO!S117)</f>
        <v>2010100-3</v>
      </c>
      <c r="T117" s="693" t="str">
        <f>+IF(MAYO!T117=0,"",MAYO!T117)</f>
        <v>Salud Ocupacional</v>
      </c>
      <c r="U117" s="27">
        <f>+ENERO!U117</f>
        <v>0</v>
      </c>
      <c r="V117" s="15">
        <f>MAYO!V117+JUNIO!AL117</f>
        <v>0</v>
      </c>
      <c r="W117" s="15">
        <f>MAYO!W117+JUNIO!AM117</f>
        <v>0</v>
      </c>
      <c r="X117" s="18">
        <f t="shared" si="127"/>
        <v>0</v>
      </c>
      <c r="Y117" s="19">
        <f>MAYO!AA117</f>
        <v>0</v>
      </c>
      <c r="Z117" s="377">
        <v>0</v>
      </c>
      <c r="AA117" s="18">
        <f t="shared" si="128"/>
        <v>0</v>
      </c>
      <c r="AB117" s="19">
        <f>MAYO!AD117</f>
        <v>0</v>
      </c>
      <c r="AC117" s="377">
        <v>0</v>
      </c>
      <c r="AD117" s="18">
        <f t="shared" si="129"/>
        <v>0</v>
      </c>
      <c r="AE117" s="19">
        <f>MAYO!AG117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+IF(MAYO!A118=0,"",MAYO!A118)</f>
        <v>2200-1</v>
      </c>
      <c r="B118" s="635" t="str">
        <f>+IF(MAYO!B118=0,"",MAYO!B118)</f>
        <v>Vigencia Anterior</v>
      </c>
      <c r="C118" s="375">
        <f>+ENERO!C118</f>
        <v>0</v>
      </c>
      <c r="D118" s="467">
        <f>MAYO!D118+JUNIO!P118</f>
        <v>0</v>
      </c>
      <c r="E118" s="467">
        <f>MAYO!E118+JUNIO!Q118</f>
        <v>0</v>
      </c>
      <c r="F118" s="471">
        <f t="shared" si="122"/>
        <v>0</v>
      </c>
      <c r="G118" s="469">
        <f>MAYO!I118</f>
        <v>0</v>
      </c>
      <c r="H118" s="377">
        <v>0</v>
      </c>
      <c r="I118" s="471">
        <f t="shared" si="123"/>
        <v>0</v>
      </c>
      <c r="J118" s="469">
        <f>MAYO!L118</f>
        <v>0</v>
      </c>
      <c r="K118" s="377">
        <v>0</v>
      </c>
      <c r="L118" s="468">
        <f t="shared" si="124"/>
        <v>0</v>
      </c>
      <c r="M118" s="472">
        <f t="shared" si="125"/>
        <v>0</v>
      </c>
      <c r="N118" s="468">
        <f t="shared" si="126"/>
        <v>0</v>
      </c>
      <c r="O118" s="464"/>
      <c r="P118" s="375">
        <v>0</v>
      </c>
      <c r="Q118" s="378">
        <v>0</v>
      </c>
      <c r="R118" s="9"/>
      <c r="S118" s="719" t="str">
        <f>+IF(MAYO!S118=0,"",MAYO!S118)</f>
        <v>2010100-4</v>
      </c>
      <c r="T118" s="693" t="str">
        <f>+IF(MAYO!T118=0,"",MAYO!T118)</f>
        <v/>
      </c>
      <c r="U118" s="27">
        <f>+ENERO!U118</f>
        <v>0</v>
      </c>
      <c r="V118" s="15">
        <f>MAYO!V118+JUNIO!AL118</f>
        <v>0</v>
      </c>
      <c r="W118" s="15">
        <f>MAYO!W118+JUNIO!AM118</f>
        <v>0</v>
      </c>
      <c r="X118" s="18">
        <f t="shared" si="127"/>
        <v>0</v>
      </c>
      <c r="Y118" s="19">
        <f>MAYO!AA118</f>
        <v>0</v>
      </c>
      <c r="Z118" s="377">
        <v>0</v>
      </c>
      <c r="AA118" s="18">
        <f t="shared" si="128"/>
        <v>0</v>
      </c>
      <c r="AB118" s="19">
        <f>MAYO!AD118</f>
        <v>0</v>
      </c>
      <c r="AC118" s="377">
        <v>0</v>
      </c>
      <c r="AD118" s="18">
        <f t="shared" si="129"/>
        <v>0</v>
      </c>
      <c r="AE118" s="19">
        <f>MAYO!AG118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+IF(MAYO!A119=0,"",MAYO!A119)</f>
        <v>2300</v>
      </c>
      <c r="B119" s="634" t="str">
        <f>+IF(MAYO!B119=0,"",MAYO!B119)</f>
        <v>RENDIMIENTOS FINANCIEROS</v>
      </c>
      <c r="C119" s="375">
        <f>+ENERO!C119</f>
        <v>594347</v>
      </c>
      <c r="D119" s="467">
        <f>MAYO!D119+JUNIO!P119</f>
        <v>0</v>
      </c>
      <c r="E119" s="467">
        <f>MAYO!E119+JUNIO!Q119</f>
        <v>0</v>
      </c>
      <c r="F119" s="471">
        <f t="shared" si="122"/>
        <v>594347</v>
      </c>
      <c r="G119" s="222">
        <f>MAYO!I119</f>
        <v>85921</v>
      </c>
      <c r="H119" s="377">
        <v>0</v>
      </c>
      <c r="I119" s="476">
        <f t="shared" si="123"/>
        <v>85921</v>
      </c>
      <c r="J119" s="222">
        <f>MAYO!L119</f>
        <v>85921</v>
      </c>
      <c r="K119" s="377">
        <v>0</v>
      </c>
      <c r="L119" s="146">
        <f t="shared" si="124"/>
        <v>85921</v>
      </c>
      <c r="M119" s="441">
        <f t="shared" si="125"/>
        <v>508426</v>
      </c>
      <c r="N119" s="146">
        <f t="shared" si="126"/>
        <v>508426</v>
      </c>
      <c r="O119" s="464"/>
      <c r="P119" s="375">
        <v>0</v>
      </c>
      <c r="Q119" s="378">
        <v>0</v>
      </c>
      <c r="R119" s="9"/>
      <c r="S119" s="719" t="str">
        <f>+IF(MAYO!S119=0,"",MAYO!S119)</f>
        <v>2010100-5</v>
      </c>
      <c r="T119" s="693" t="str">
        <f>+IF(MAYO!T119=0,"",MAYO!T119)</f>
        <v/>
      </c>
      <c r="U119" s="27">
        <f>+ENERO!U119</f>
        <v>0</v>
      </c>
      <c r="V119" s="15">
        <f>MAYO!V119+JUNIO!AL119</f>
        <v>0</v>
      </c>
      <c r="W119" s="15">
        <f>MAYO!W119+JUNIO!AM119</f>
        <v>0</v>
      </c>
      <c r="X119" s="18">
        <f t="shared" si="127"/>
        <v>0</v>
      </c>
      <c r="Y119" s="19">
        <f>MAYO!AA119</f>
        <v>0</v>
      </c>
      <c r="Z119" s="377">
        <v>0</v>
      </c>
      <c r="AA119" s="18">
        <f t="shared" si="128"/>
        <v>0</v>
      </c>
      <c r="AB119" s="19">
        <f>MAYO!AD119</f>
        <v>0</v>
      </c>
      <c r="AC119" s="377">
        <v>0</v>
      </c>
      <c r="AD119" s="18">
        <f t="shared" si="129"/>
        <v>0</v>
      </c>
      <c r="AE119" s="19">
        <f>MAYO!AG119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+IF(MAYO!A120=0,"",MAYO!A120)</f>
        <v>2400</v>
      </c>
      <c r="B120" s="635" t="str">
        <f>+IF(MAYO!B120=0,"",MAYO!B120)</f>
        <v>VENTA DE ACTIVOS</v>
      </c>
      <c r="C120" s="375">
        <f>+ENERO!C120</f>
        <v>0</v>
      </c>
      <c r="D120" s="467">
        <f>MAYO!D120+JUNIO!P120</f>
        <v>0</v>
      </c>
      <c r="E120" s="467">
        <f>MAYO!E120+JUNIO!Q120</f>
        <v>0</v>
      </c>
      <c r="F120" s="471">
        <f t="shared" si="122"/>
        <v>0</v>
      </c>
      <c r="G120" s="222">
        <f>MAYO!I120</f>
        <v>0</v>
      </c>
      <c r="H120" s="377">
        <v>0</v>
      </c>
      <c r="I120" s="476">
        <f t="shared" si="123"/>
        <v>0</v>
      </c>
      <c r="J120" s="222">
        <f>MAYO!L120</f>
        <v>0</v>
      </c>
      <c r="K120" s="377">
        <v>0</v>
      </c>
      <c r="L120" s="146">
        <f t="shared" si="124"/>
        <v>0</v>
      </c>
      <c r="M120" s="441">
        <f t="shared" si="125"/>
        <v>0</v>
      </c>
      <c r="N120" s="146">
        <f t="shared" si="126"/>
        <v>0</v>
      </c>
      <c r="P120" s="375">
        <v>0</v>
      </c>
      <c r="Q120" s="378">
        <v>0</v>
      </c>
      <c r="R120" s="9"/>
      <c r="S120" s="719" t="str">
        <f>+IF(MAYO!S120=0,"",MAYO!S120)</f>
        <v>2010100-6</v>
      </c>
      <c r="T120" s="693" t="str">
        <f>+IF(MAYO!T120=0,"",MAYO!T120)</f>
        <v/>
      </c>
      <c r="U120" s="27">
        <f>+ENERO!U120</f>
        <v>0</v>
      </c>
      <c r="V120" s="15">
        <f>MAYO!V120+JUNIO!AL120</f>
        <v>0</v>
      </c>
      <c r="W120" s="15">
        <f>MAYO!W120+JUNIO!AM120</f>
        <v>0</v>
      </c>
      <c r="X120" s="18">
        <f t="shared" si="127"/>
        <v>0</v>
      </c>
      <c r="Y120" s="19">
        <f>MAYO!AA120</f>
        <v>0</v>
      </c>
      <c r="Z120" s="377">
        <v>0</v>
      </c>
      <c r="AA120" s="18">
        <f t="shared" si="128"/>
        <v>0</v>
      </c>
      <c r="AB120" s="19">
        <f>MAYO!AD120</f>
        <v>0</v>
      </c>
      <c r="AC120" s="377">
        <v>0</v>
      </c>
      <c r="AD120" s="18">
        <f t="shared" si="129"/>
        <v>0</v>
      </c>
      <c r="AE120" s="19">
        <f>MAYO!AG120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+IF(MAYO!A121=0,"",MAYO!A121)</f>
        <v>2500</v>
      </c>
      <c r="B121" s="635" t="str">
        <f>+IF(MAYO!B121=0,"",MAYO!B121)</f>
        <v>DONACIONES</v>
      </c>
      <c r="C121" s="375">
        <f>+ENERO!C121</f>
        <v>0</v>
      </c>
      <c r="D121" s="467">
        <f>MAYO!D121+JUNIO!P121</f>
        <v>0</v>
      </c>
      <c r="E121" s="467">
        <f>MAYO!E121+JUNIO!Q121</f>
        <v>0</v>
      </c>
      <c r="F121" s="471">
        <f t="shared" si="122"/>
        <v>0</v>
      </c>
      <c r="G121" s="222">
        <f>MAYO!I121</f>
        <v>0</v>
      </c>
      <c r="H121" s="377">
        <v>0</v>
      </c>
      <c r="I121" s="476">
        <f t="shared" si="123"/>
        <v>0</v>
      </c>
      <c r="J121" s="222">
        <f>MAYO!L121</f>
        <v>0</v>
      </c>
      <c r="K121" s="377">
        <v>0</v>
      </c>
      <c r="L121" s="146">
        <f t="shared" si="124"/>
        <v>0</v>
      </c>
      <c r="M121" s="441">
        <f t="shared" si="125"/>
        <v>0</v>
      </c>
      <c r="N121" s="146">
        <f t="shared" si="126"/>
        <v>0</v>
      </c>
      <c r="P121" s="375">
        <v>0</v>
      </c>
      <c r="Q121" s="378">
        <v>0</v>
      </c>
      <c r="R121" s="9"/>
      <c r="S121" s="719">
        <f>+IF(MAYO!S121=0,"",MAYO!S121)</f>
        <v>2010199</v>
      </c>
      <c r="T121" s="693" t="str">
        <f>+IF(MAYO!T121=0,"",MAYO!T121)</f>
        <v>Vigencias Anteriores</v>
      </c>
      <c r="U121" s="27">
        <f>+ENERO!U121</f>
        <v>0</v>
      </c>
      <c r="V121" s="15">
        <f>MAYO!V121+JUNIO!AL121</f>
        <v>0</v>
      </c>
      <c r="W121" s="15">
        <f>MAYO!W121+JUNIO!AM121</f>
        <v>12179864</v>
      </c>
      <c r="X121" s="18">
        <f t="shared" si="127"/>
        <v>12179864</v>
      </c>
      <c r="Y121" s="19">
        <f>MAYO!AA121</f>
        <v>12179864</v>
      </c>
      <c r="Z121" s="377">
        <v>0</v>
      </c>
      <c r="AA121" s="18">
        <f t="shared" si="128"/>
        <v>12179864</v>
      </c>
      <c r="AB121" s="19">
        <f>MAYO!AD121</f>
        <v>12179864</v>
      </c>
      <c r="AC121" s="377">
        <v>0</v>
      </c>
      <c r="AD121" s="18">
        <f t="shared" si="129"/>
        <v>12179864</v>
      </c>
      <c r="AE121" s="19">
        <f>MAYO!AG121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+IF(MAYO!A122=0,"",MAYO!A122)</f>
        <v>2600</v>
      </c>
      <c r="B122" s="635" t="str">
        <f>+IF(MAYO!B122=0,"",MAYO!B122)</f>
        <v>RECUPERACIÓN DE CARTERA (AÑO 2013 Y ANTERIORES)</v>
      </c>
      <c r="C122" s="375">
        <f>+ENERO!C122</f>
        <v>32064799</v>
      </c>
      <c r="D122" s="467">
        <f>MAYO!D122+JUNIO!P122</f>
        <v>0</v>
      </c>
      <c r="E122" s="467">
        <f>MAYO!E122+JUNIO!Q122</f>
        <v>0</v>
      </c>
      <c r="F122" s="471">
        <f t="shared" si="122"/>
        <v>32064799</v>
      </c>
      <c r="G122" s="222">
        <f>MAYO!I122</f>
        <v>1547980</v>
      </c>
      <c r="H122" s="377">
        <v>0</v>
      </c>
      <c r="I122" s="476">
        <f t="shared" si="123"/>
        <v>1547980</v>
      </c>
      <c r="J122" s="222">
        <f>MAYO!L122</f>
        <v>1547980</v>
      </c>
      <c r="K122" s="377">
        <v>0</v>
      </c>
      <c r="L122" s="146">
        <f t="shared" si="124"/>
        <v>1547980</v>
      </c>
      <c r="M122" s="441">
        <f t="shared" si="125"/>
        <v>30516819</v>
      </c>
      <c r="N122" s="146">
        <f t="shared" si="126"/>
        <v>30516819</v>
      </c>
      <c r="P122" s="375">
        <v>0</v>
      </c>
      <c r="Q122" s="378">
        <v>0</v>
      </c>
      <c r="R122" s="9"/>
      <c r="S122" s="369" t="str">
        <f>+IF(MAYO!S122=0,"",MAYO!S122)</f>
        <v/>
      </c>
      <c r="T122" s="708" t="str">
        <f>+IF(MAYO!T122=0,"",MAYO!T122)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+IF(MAYO!A123=0,"",MAYO!A123)</f>
        <v>2700</v>
      </c>
      <c r="B123" s="635" t="str">
        <f>+IF(MAYO!B123=0,"",MAYO!B123)</f>
        <v>OTROS INGRESOS DE CAPITAL</v>
      </c>
      <c r="C123" s="375">
        <f>+ENERO!C123</f>
        <v>0</v>
      </c>
      <c r="D123" s="467">
        <f>MAYO!D123+JUNIO!P123</f>
        <v>0</v>
      </c>
      <c r="E123" s="467">
        <f>MAYO!E123+JUNIO!Q123</f>
        <v>27176600</v>
      </c>
      <c r="F123" s="471">
        <f t="shared" si="122"/>
        <v>27176600</v>
      </c>
      <c r="G123" s="222">
        <f>MAYO!I123</f>
        <v>20543198</v>
      </c>
      <c r="H123" s="377">
        <v>0</v>
      </c>
      <c r="I123" s="476">
        <f t="shared" si="123"/>
        <v>20543198</v>
      </c>
      <c r="J123" s="222">
        <f>MAYO!L123</f>
        <v>20543198</v>
      </c>
      <c r="K123" s="377">
        <v>0</v>
      </c>
      <c r="L123" s="146">
        <f t="shared" si="124"/>
        <v>20543198</v>
      </c>
      <c r="M123" s="441">
        <f t="shared" si="125"/>
        <v>6633402</v>
      </c>
      <c r="N123" s="146">
        <f t="shared" si="126"/>
        <v>6633402</v>
      </c>
      <c r="P123" s="375">
        <v>0</v>
      </c>
      <c r="Q123" s="378">
        <v>0</v>
      </c>
      <c r="R123" s="9"/>
      <c r="S123" s="718">
        <f>+IF(MAYO!S123=0,"",MAYO!S123)</f>
        <v>2010200</v>
      </c>
      <c r="T123" s="692" t="str">
        <f>+IF(MAYO!T123=0,"",MAYO!T123)</f>
        <v>Adquisición de Servicios</v>
      </c>
      <c r="U123" s="135">
        <f t="shared" ref="U123:AJ123" si="134">SUM(U124:U139)</f>
        <v>141098390</v>
      </c>
      <c r="V123" s="124">
        <f t="shared" si="134"/>
        <v>0</v>
      </c>
      <c r="W123" s="124">
        <f t="shared" si="134"/>
        <v>31389245</v>
      </c>
      <c r="X123" s="132">
        <f t="shared" si="134"/>
        <v>172487635</v>
      </c>
      <c r="Y123" s="131">
        <f t="shared" si="134"/>
        <v>84265518</v>
      </c>
      <c r="Z123" s="124">
        <f t="shared" si="134"/>
        <v>9728606</v>
      </c>
      <c r="AA123" s="132">
        <f t="shared" si="134"/>
        <v>93994124</v>
      </c>
      <c r="AB123" s="131">
        <f t="shared" si="134"/>
        <v>81990518</v>
      </c>
      <c r="AC123" s="124">
        <f t="shared" si="134"/>
        <v>7808606</v>
      </c>
      <c r="AD123" s="132">
        <f t="shared" si="134"/>
        <v>89799124</v>
      </c>
      <c r="AE123" s="131">
        <f t="shared" si="134"/>
        <v>53311903</v>
      </c>
      <c r="AF123" s="124">
        <f t="shared" si="134"/>
        <v>12417931</v>
      </c>
      <c r="AG123" s="132">
        <f t="shared" si="134"/>
        <v>65729834</v>
      </c>
      <c r="AH123" s="131">
        <f t="shared" si="134"/>
        <v>78493511</v>
      </c>
      <c r="AI123" s="124">
        <f t="shared" si="134"/>
        <v>82688511</v>
      </c>
      <c r="AJ123" s="133">
        <f t="shared" si="134"/>
        <v>106757801</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+IF(MAYO!A124=0,"",MAYO!A124)</f>
        <v>2800</v>
      </c>
      <c r="B124" s="663" t="str">
        <f>+IF(MAYO!B124=0,"",MAYO!B124)</f>
        <v/>
      </c>
      <c r="C124" s="387">
        <f>+ENERO!C124</f>
        <v>0</v>
      </c>
      <c r="D124" s="465">
        <f>MAYO!D124+JUNIO!P124</f>
        <v>0</v>
      </c>
      <c r="E124" s="465">
        <f>MAYO!E124+JUNIO!Q124</f>
        <v>0</v>
      </c>
      <c r="F124" s="477">
        <f t="shared" si="122"/>
        <v>0</v>
      </c>
      <c r="G124" s="390">
        <f>MAYO!I124</f>
        <v>0</v>
      </c>
      <c r="H124" s="391">
        <v>0</v>
      </c>
      <c r="I124" s="478">
        <f t="shared" si="123"/>
        <v>0</v>
      </c>
      <c r="J124" s="390">
        <f>MAYO!L124</f>
        <v>0</v>
      </c>
      <c r="K124" s="391">
        <v>0</v>
      </c>
      <c r="L124" s="389">
        <f t="shared" si="124"/>
        <v>0</v>
      </c>
      <c r="M124" s="479">
        <f t="shared" si="125"/>
        <v>0</v>
      </c>
      <c r="N124" s="389">
        <f t="shared" si="126"/>
        <v>0</v>
      </c>
      <c r="P124" s="387">
        <v>0</v>
      </c>
      <c r="Q124" s="392">
        <v>0</v>
      </c>
      <c r="R124" s="9"/>
      <c r="S124" s="719" t="str">
        <f>+IF(MAYO!S124=0,"",MAYO!S124)</f>
        <v>2010200-1</v>
      </c>
      <c r="T124" s="693" t="str">
        <f>+IF(MAYO!T124=0,"",MAYO!T124)</f>
        <v>Seguros</v>
      </c>
      <c r="U124" s="27">
        <f>+ENERO!U124</f>
        <v>17953987</v>
      </c>
      <c r="V124" s="15">
        <f>MAYO!V124+JUNIO!AL124</f>
        <v>0</v>
      </c>
      <c r="W124" s="15">
        <f>MAYO!W124+JUNIO!AM124</f>
        <v>5000000</v>
      </c>
      <c r="X124" s="18">
        <f t="shared" ref="X124:X139" si="135">SUM(U124:W124)</f>
        <v>22953987</v>
      </c>
      <c r="Y124" s="19">
        <f>MAYO!AA124</f>
        <v>18059144</v>
      </c>
      <c r="Z124" s="377">
        <v>0</v>
      </c>
      <c r="AA124" s="18">
        <f t="shared" ref="AA124:AA139" si="136">SUM(Y124:Z124)</f>
        <v>18059144</v>
      </c>
      <c r="AB124" s="19">
        <f>MAYO!AD124</f>
        <v>18059144</v>
      </c>
      <c r="AC124" s="377">
        <v>0</v>
      </c>
      <c r="AD124" s="18">
        <f t="shared" ref="AD124:AD139" si="137">SUM(AB124:AC124)</f>
        <v>18059144</v>
      </c>
      <c r="AE124" s="19">
        <f>MAYO!AG124</f>
        <v>12324772</v>
      </c>
      <c r="AF124" s="377">
        <v>4593653</v>
      </c>
      <c r="AG124" s="18">
        <f t="shared" ref="AG124:AG139" si="138">SUM(AE124:AF124)</f>
        <v>16918425</v>
      </c>
      <c r="AH124" s="19">
        <f t="shared" ref="AH124:AH139" si="139">X124-AA124</f>
        <v>4894843</v>
      </c>
      <c r="AI124" s="15">
        <f t="shared" ref="AI124:AI139" si="140">X124-AD124</f>
        <v>4894843</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+IF(MAYO!S125=0,"",MAYO!S125)</f>
        <v>2010200-2</v>
      </c>
      <c r="T125" s="693" t="str">
        <f>+IF(MAYO!T125=0,"",MAYO!T125)</f>
        <v>Impresos y Publicaciones</v>
      </c>
      <c r="U125" s="27">
        <f>+ENERO!U125</f>
        <v>3151827</v>
      </c>
      <c r="V125" s="15">
        <f>MAYO!V125+JUNIO!AL125</f>
        <v>0</v>
      </c>
      <c r="W125" s="15">
        <f>MAYO!W125+JUNIO!AM125</f>
        <v>0</v>
      </c>
      <c r="X125" s="18">
        <f t="shared" si="135"/>
        <v>3151827</v>
      </c>
      <c r="Y125" s="19">
        <f>MAYO!AA125</f>
        <v>68480</v>
      </c>
      <c r="Z125" s="377">
        <v>0</v>
      </c>
      <c r="AA125" s="18">
        <f t="shared" si="136"/>
        <v>68480</v>
      </c>
      <c r="AB125" s="19">
        <f>MAYO!AD125</f>
        <v>68480</v>
      </c>
      <c r="AC125" s="377">
        <v>0</v>
      </c>
      <c r="AD125" s="18">
        <f t="shared" si="137"/>
        <v>68480</v>
      </c>
      <c r="AE125" s="19">
        <f>MAYO!AG125</f>
        <v>68480</v>
      </c>
      <c r="AF125" s="377">
        <v>0</v>
      </c>
      <c r="AG125" s="18">
        <f t="shared" si="138"/>
        <v>68480</v>
      </c>
      <c r="AH125" s="19">
        <f t="shared" si="139"/>
        <v>3083347</v>
      </c>
      <c r="AI125" s="15">
        <f t="shared" si="140"/>
        <v>3083347</v>
      </c>
      <c r="AJ125" s="16">
        <f t="shared" si="141"/>
        <v>3083347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1403857536</v>
      </c>
      <c r="H126" s="480">
        <f t="shared" si="142"/>
        <v>241960904</v>
      </c>
      <c r="I126" s="480">
        <f t="shared" si="142"/>
        <v>1645818440</v>
      </c>
      <c r="J126" s="480">
        <f t="shared" si="142"/>
        <v>713361123</v>
      </c>
      <c r="K126" s="480">
        <f t="shared" si="142"/>
        <v>163263306</v>
      </c>
      <c r="L126" s="480">
        <f t="shared" si="142"/>
        <v>875076449</v>
      </c>
      <c r="M126" s="480">
        <f t="shared" si="142"/>
        <v>1697847899</v>
      </c>
      <c r="N126" s="621">
        <f t="shared" si="142"/>
        <v>2438073071</v>
      </c>
      <c r="P126" s="481">
        <f>P8-P128</f>
        <v>0</v>
      </c>
      <c r="Q126" s="482">
        <f>Q8-Q128</f>
        <v>0</v>
      </c>
      <c r="R126" s="9"/>
      <c r="S126" s="719" t="str">
        <f>+IF(MAYO!S126=0,"",MAYO!S126)</f>
        <v>2010200-3</v>
      </c>
      <c r="T126" s="693" t="str">
        <f>+IF(MAYO!T126=0,"",MAYO!T126)</f>
        <v xml:space="preserve">Servicios Públicos </v>
      </c>
      <c r="U126" s="27">
        <f>+ENERO!U126</f>
        <v>55492147</v>
      </c>
      <c r="V126" s="15">
        <f>MAYO!V126+JUNIO!AL126</f>
        <v>0</v>
      </c>
      <c r="W126" s="15">
        <f>MAYO!W126+JUNIO!AM126</f>
        <v>0</v>
      </c>
      <c r="X126" s="18">
        <f t="shared" si="135"/>
        <v>55492147</v>
      </c>
      <c r="Y126" s="19">
        <f>MAYO!AA126</f>
        <v>21587275</v>
      </c>
      <c r="Z126" s="377">
        <v>4768661</v>
      </c>
      <c r="AA126" s="18">
        <f t="shared" si="136"/>
        <v>26355936</v>
      </c>
      <c r="AB126" s="19">
        <f>MAYO!AD126</f>
        <v>21587275</v>
      </c>
      <c r="AC126" s="377">
        <v>4768661</v>
      </c>
      <c r="AD126" s="18">
        <f t="shared" si="137"/>
        <v>26355936</v>
      </c>
      <c r="AE126" s="19">
        <f>MAYO!AG126</f>
        <v>18470342</v>
      </c>
      <c r="AF126" s="377">
        <v>2981933</v>
      </c>
      <c r="AG126" s="18">
        <f t="shared" si="138"/>
        <v>21452275</v>
      </c>
      <c r="AH126" s="19">
        <f t="shared" si="139"/>
        <v>29136211</v>
      </c>
      <c r="AI126" s="15">
        <f t="shared" si="140"/>
        <v>29136211</v>
      </c>
      <c r="AJ126" s="16">
        <f t="shared" si="141"/>
        <v>34039872</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+IF(MAYO!S127=0,"",MAYO!S127)</f>
        <v>2010200-4</v>
      </c>
      <c r="T127" s="693" t="str">
        <f>+IF(MAYO!T127=0,"",MAYO!T127)</f>
        <v>Comunicaciones y Transportes</v>
      </c>
      <c r="U127" s="27">
        <f>+ENERO!U127</f>
        <v>14481572</v>
      </c>
      <c r="V127" s="15">
        <f>MAYO!V127+JUNIO!AL127</f>
        <v>0</v>
      </c>
      <c r="W127" s="15">
        <f>MAYO!W127+JUNIO!AM127</f>
        <v>0</v>
      </c>
      <c r="X127" s="18">
        <f t="shared" si="135"/>
        <v>14481572</v>
      </c>
      <c r="Y127" s="19">
        <f>MAYO!AA127</f>
        <v>5418218</v>
      </c>
      <c r="Z127" s="377">
        <v>559297</v>
      </c>
      <c r="AA127" s="18">
        <f t="shared" si="136"/>
        <v>5977515</v>
      </c>
      <c r="AB127" s="19">
        <f>MAYO!AD127</f>
        <v>3143218</v>
      </c>
      <c r="AC127" s="377">
        <v>559297</v>
      </c>
      <c r="AD127" s="18">
        <f t="shared" si="137"/>
        <v>3702515</v>
      </c>
      <c r="AE127" s="19">
        <f>MAYO!AG127</f>
        <v>1949200</v>
      </c>
      <c r="AF127" s="377">
        <v>339297</v>
      </c>
      <c r="AG127" s="18">
        <f t="shared" si="138"/>
        <v>2288497</v>
      </c>
      <c r="AH127" s="19">
        <f t="shared" si="139"/>
        <v>8504057</v>
      </c>
      <c r="AI127" s="15">
        <f t="shared" si="140"/>
        <v>10779057</v>
      </c>
      <c r="AJ127" s="16">
        <f t="shared" si="141"/>
        <v>12193075</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466911798</v>
      </c>
      <c r="H128" s="486">
        <f>SUMIF($B8:$B$122,$B$24,H8:H122)+H122</f>
        <v>17965571</v>
      </c>
      <c r="I128" s="486">
        <f>SUMIF($B8:$B$122,$B$24,I8:I122)+I122</f>
        <v>484877369</v>
      </c>
      <c r="J128" s="486">
        <f>SUMIF($B8:$B$122,$B$24,J8:J122)+J1212</f>
        <v>465363818</v>
      </c>
      <c r="K128" s="486">
        <f>SUMIF($B8:$B$122,$B$24,K8:K122)+K122</f>
        <v>17965571</v>
      </c>
      <c r="L128" s="486">
        <f>SUMIF($B8:$B$122,$B$24,L8:L122)+L122</f>
        <v>484877369</v>
      </c>
      <c r="M128" s="486">
        <f>SUMIF($B8:$B$122,$B$24,M8:M122)+M12</f>
        <v>62057039</v>
      </c>
      <c r="N128" s="622">
        <f>SUMIF($B8:$B$122,$B$24,N8:N122)+N122</f>
        <v>92573858</v>
      </c>
      <c r="O128" s="464"/>
      <c r="P128" s="486">
        <f>SUMIF($B8:$B$122,$B$24,P8:P122)+P122</f>
        <v>0</v>
      </c>
      <c r="Q128" s="487">
        <f>SUMIF($B8:$B$122,$B$24,Q8:Q122)+Q122</f>
        <v>0</v>
      </c>
      <c r="R128" s="9"/>
      <c r="S128" s="719" t="str">
        <f>+IF(MAYO!S128=0,"",MAYO!S128)</f>
        <v>2010200-5</v>
      </c>
      <c r="T128" s="693" t="str">
        <f>+IF(MAYO!T128=0,"",MAYO!T128)</f>
        <v>Viáticos y Gastos de Viaje</v>
      </c>
      <c r="U128" s="27">
        <f>+ENERO!U128</f>
        <v>12695514</v>
      </c>
      <c r="V128" s="15">
        <f>MAYO!V128+JUNIO!AL128</f>
        <v>0</v>
      </c>
      <c r="W128" s="15">
        <f>MAYO!W128+JUNIO!AM128</f>
        <v>0</v>
      </c>
      <c r="X128" s="18">
        <f t="shared" si="135"/>
        <v>12695514</v>
      </c>
      <c r="Y128" s="19">
        <f>MAYO!AA128</f>
        <v>5968593</v>
      </c>
      <c r="Z128" s="377">
        <v>1850161</v>
      </c>
      <c r="AA128" s="18">
        <f t="shared" si="136"/>
        <v>7818754</v>
      </c>
      <c r="AB128" s="19">
        <f>MAYO!AD128</f>
        <v>5968593</v>
      </c>
      <c r="AC128" s="377">
        <v>1850161</v>
      </c>
      <c r="AD128" s="18">
        <f t="shared" si="137"/>
        <v>7818754</v>
      </c>
      <c r="AE128" s="19">
        <f>MAYO!AG128</f>
        <v>5968592</v>
      </c>
      <c r="AF128" s="377">
        <v>1850161</v>
      </c>
      <c r="AG128" s="18">
        <f t="shared" si="138"/>
        <v>7818753</v>
      </c>
      <c r="AH128" s="19">
        <f t="shared" si="139"/>
        <v>4876760</v>
      </c>
      <c r="AI128" s="15">
        <f t="shared" si="140"/>
        <v>4876760</v>
      </c>
      <c r="AJ128" s="16">
        <f t="shared" si="141"/>
        <v>4876761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+IF(MAYO!S129=0,"",MAYO!S129)</f>
        <v>2010200-6</v>
      </c>
      <c r="T129" s="693" t="str">
        <f>+IF(MAYO!T129=0,"",MAYO!T129)</f>
        <v>Arrendamientos</v>
      </c>
      <c r="U129" s="27">
        <f>+ENERO!U129</f>
        <v>0</v>
      </c>
      <c r="V129" s="15">
        <f>MAYO!V129+JUNIO!AL129</f>
        <v>0</v>
      </c>
      <c r="W129" s="15">
        <f>MAYO!W129+JUNIO!AM129</f>
        <v>0</v>
      </c>
      <c r="X129" s="18">
        <f t="shared" si="135"/>
        <v>0</v>
      </c>
      <c r="Y129" s="19">
        <f>MAYO!AA129</f>
        <v>0</v>
      </c>
      <c r="Z129" s="377">
        <v>0</v>
      </c>
      <c r="AA129" s="18">
        <f t="shared" si="136"/>
        <v>0</v>
      </c>
      <c r="AB129" s="19">
        <f>MAYO!AD129</f>
        <v>0</v>
      </c>
      <c r="AC129" s="377">
        <v>0</v>
      </c>
      <c r="AD129" s="18">
        <f t="shared" si="137"/>
        <v>0</v>
      </c>
      <c r="AE129" s="19">
        <f>MAYO!AG129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1870769334</v>
      </c>
      <c r="H130" s="489">
        <f t="shared" si="143"/>
        <v>259926475</v>
      </c>
      <c r="I130" s="490">
        <f t="shared" si="143"/>
        <v>2130695809</v>
      </c>
      <c r="J130" s="488">
        <f t="shared" si="143"/>
        <v>1178724941</v>
      </c>
      <c r="K130" s="489">
        <f t="shared" si="143"/>
        <v>181228877</v>
      </c>
      <c r="L130" s="490">
        <f t="shared" si="143"/>
        <v>1359953818</v>
      </c>
      <c r="M130" s="488">
        <f t="shared" si="143"/>
        <v>1759904938</v>
      </c>
      <c r="N130" s="490">
        <f t="shared" si="143"/>
        <v>2530646929</v>
      </c>
      <c r="P130" s="481">
        <f>P128+P126</f>
        <v>0</v>
      </c>
      <c r="Q130" s="482">
        <f>Q128+Q126</f>
        <v>0</v>
      </c>
      <c r="R130" s="9"/>
      <c r="S130" s="719" t="str">
        <f>+IF(MAYO!S130=0,"",MAYO!S130)</f>
        <v>2010200-7</v>
      </c>
      <c r="T130" s="693" t="str">
        <f>+IF(MAYO!T130=0,"",MAYO!T130)</f>
        <v>Vigilancia y Aseo</v>
      </c>
      <c r="U130" s="27">
        <f>+ENERO!U130</f>
        <v>0</v>
      </c>
      <c r="V130" s="15">
        <f>MAYO!V130+JUNIO!AL130</f>
        <v>0</v>
      </c>
      <c r="W130" s="15">
        <f>MAYO!W130+JUNIO!AM130</f>
        <v>0</v>
      </c>
      <c r="X130" s="18">
        <f t="shared" si="135"/>
        <v>0</v>
      </c>
      <c r="Y130" s="19">
        <f>MAYO!AA130</f>
        <v>0</v>
      </c>
      <c r="Z130" s="377">
        <v>0</v>
      </c>
      <c r="AA130" s="18">
        <f t="shared" si="136"/>
        <v>0</v>
      </c>
      <c r="AB130" s="19">
        <f>MAYO!AD130</f>
        <v>0</v>
      </c>
      <c r="AC130" s="377">
        <v>0</v>
      </c>
      <c r="AD130" s="18">
        <f t="shared" si="137"/>
        <v>0</v>
      </c>
      <c r="AE130" s="19">
        <f>MAYO!AG130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+IF(MAYO!S131=0,"",MAYO!S131)</f>
        <v>2010200-8</v>
      </c>
      <c r="T131" s="693" t="str">
        <f>+IF(MAYO!T131=0,"",MAYO!T131)</f>
        <v>Bienestar Social</v>
      </c>
      <c r="U131" s="27">
        <f>+ENERO!U131</f>
        <v>28364135</v>
      </c>
      <c r="V131" s="15">
        <f>MAYO!V131+JUNIO!AL131</f>
        <v>0</v>
      </c>
      <c r="W131" s="15">
        <f>MAYO!W131+JUNIO!AM131</f>
        <v>81553</v>
      </c>
      <c r="X131" s="18">
        <f t="shared" si="135"/>
        <v>28445688</v>
      </c>
      <c r="Y131" s="19">
        <f>MAYO!AA131</f>
        <v>3770550</v>
      </c>
      <c r="Z131" s="377">
        <v>2025250</v>
      </c>
      <c r="AA131" s="18">
        <f t="shared" si="136"/>
        <v>5795800</v>
      </c>
      <c r="AB131" s="19">
        <f>MAYO!AD131</f>
        <v>3770550</v>
      </c>
      <c r="AC131" s="377">
        <v>105250</v>
      </c>
      <c r="AD131" s="18">
        <f t="shared" si="137"/>
        <v>3875800</v>
      </c>
      <c r="AE131" s="19">
        <f>MAYO!AG131</f>
        <v>1642900</v>
      </c>
      <c r="AF131" s="377">
        <v>2127650</v>
      </c>
      <c r="AG131" s="18">
        <f t="shared" si="138"/>
        <v>3770550</v>
      </c>
      <c r="AH131" s="19">
        <f t="shared" si="139"/>
        <v>22649888</v>
      </c>
      <c r="AI131" s="15">
        <f t="shared" si="140"/>
        <v>24569888</v>
      </c>
      <c r="AJ131" s="16">
        <f t="shared" si="141"/>
        <v>24675138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+IF(MAYO!S132=0,"",MAYO!S132)</f>
        <v>2010200-9</v>
      </c>
      <c r="T132" s="693" t="str">
        <f>+IF(MAYO!T132=0,"",MAYO!T132)</f>
        <v>Capacitación, estimulos, incentivos, programa de calidad</v>
      </c>
      <c r="U132" s="27">
        <f>+ENERO!U132</f>
        <v>3982443</v>
      </c>
      <c r="V132" s="15">
        <f>MAYO!V132+JUNIO!AL132</f>
        <v>0</v>
      </c>
      <c r="W132" s="15">
        <f>MAYO!W132+JUNIO!AM132</f>
        <v>0</v>
      </c>
      <c r="X132" s="18">
        <f t="shared" si="135"/>
        <v>3982443</v>
      </c>
      <c r="Y132" s="19">
        <f>MAYO!AA132</f>
        <v>0</v>
      </c>
      <c r="Z132" s="377">
        <v>0</v>
      </c>
      <c r="AA132" s="18">
        <f t="shared" si="136"/>
        <v>0</v>
      </c>
      <c r="AB132" s="19">
        <f>MAYO!AD132</f>
        <v>0</v>
      </c>
      <c r="AC132" s="377">
        <v>0</v>
      </c>
      <c r="AD132" s="18">
        <f t="shared" si="137"/>
        <v>0</v>
      </c>
      <c r="AE132" s="19">
        <f>MAYO!AG132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+IF(MAYO!S133=0,"",MAYO!S133)</f>
        <v>2010200-10</v>
      </c>
      <c r="T133" s="693" t="str">
        <f>+IF(MAYO!T133=0,"",MAYO!T133)</f>
        <v>Pagos otras IPS</v>
      </c>
      <c r="U133" s="27">
        <f>+ENERO!U133</f>
        <v>0</v>
      </c>
      <c r="V133" s="15">
        <f>MAYO!V133+JUNIO!AL133</f>
        <v>0</v>
      </c>
      <c r="W133" s="15">
        <f>MAYO!W133+JUNIO!AM133</f>
        <v>0</v>
      </c>
      <c r="X133" s="18">
        <f t="shared" si="135"/>
        <v>0</v>
      </c>
      <c r="Y133" s="19">
        <f>MAYO!AA133</f>
        <v>0</v>
      </c>
      <c r="Z133" s="377">
        <v>0</v>
      </c>
      <c r="AA133" s="18">
        <f t="shared" si="136"/>
        <v>0</v>
      </c>
      <c r="AB133" s="19">
        <f>MAYO!AD133</f>
        <v>0</v>
      </c>
      <c r="AC133" s="377">
        <v>0</v>
      </c>
      <c r="AD133" s="18">
        <f t="shared" si="137"/>
        <v>0</v>
      </c>
      <c r="AE133" s="19">
        <f>MAYO!AG133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+IF(MAYO!S134=0,"",MAYO!S134)</f>
        <v>2010200-11</v>
      </c>
      <c r="T134" s="693" t="str">
        <f>+IF(MAYO!T134=0,"",MAYO!T134)</f>
        <v>Gastos financieros</v>
      </c>
      <c r="U134" s="27">
        <f>+ENERO!U134</f>
        <v>4976765</v>
      </c>
      <c r="V134" s="15">
        <f>MAYO!V134+JUNIO!AL134</f>
        <v>0</v>
      </c>
      <c r="W134" s="15">
        <f>MAYO!W134+JUNIO!AM134</f>
        <v>0</v>
      </c>
      <c r="X134" s="18">
        <f t="shared" si="135"/>
        <v>4976765</v>
      </c>
      <c r="Y134" s="19">
        <f>MAYO!AA134</f>
        <v>3085566</v>
      </c>
      <c r="Z134" s="377">
        <v>525237</v>
      </c>
      <c r="AA134" s="18">
        <f t="shared" si="136"/>
        <v>3610803</v>
      </c>
      <c r="AB134" s="19">
        <f>MAYO!AD134</f>
        <v>3085566</v>
      </c>
      <c r="AC134" s="377">
        <v>525237</v>
      </c>
      <c r="AD134" s="18">
        <f t="shared" si="137"/>
        <v>3610803</v>
      </c>
      <c r="AE134" s="19">
        <f>MAYO!AG134</f>
        <v>3085566</v>
      </c>
      <c r="AF134" s="377">
        <v>525237</v>
      </c>
      <c r="AG134" s="18">
        <f t="shared" si="138"/>
        <v>3610803</v>
      </c>
      <c r="AH134" s="19">
        <f t="shared" si="139"/>
        <v>1365962</v>
      </c>
      <c r="AI134" s="15">
        <f t="shared" si="140"/>
        <v>1365962</v>
      </c>
      <c r="AJ134" s="16">
        <f t="shared" si="141"/>
        <v>1365962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+IF(MAYO!S135=0,"",MAYO!S135)</f>
        <v>2010200-12</v>
      </c>
      <c r="T135" s="693" t="str">
        <f>+IF(MAYO!T135=0,"",MAYO!T135)</f>
        <v/>
      </c>
      <c r="U135" s="27">
        <f>+ENERO!U135</f>
        <v>0</v>
      </c>
      <c r="V135" s="15">
        <f>MAYO!V135+JUNIO!AL135</f>
        <v>0</v>
      </c>
      <c r="W135" s="15">
        <f>MAYO!W135+JUNIO!AM135</f>
        <v>0</v>
      </c>
      <c r="X135" s="18">
        <f t="shared" si="135"/>
        <v>0</v>
      </c>
      <c r="Y135" s="19">
        <f>MAYO!AA135</f>
        <v>0</v>
      </c>
      <c r="Z135" s="377">
        <v>0</v>
      </c>
      <c r="AA135" s="18">
        <f t="shared" si="136"/>
        <v>0</v>
      </c>
      <c r="AB135" s="19">
        <f>MAYO!AD135</f>
        <v>0</v>
      </c>
      <c r="AC135" s="377">
        <v>0</v>
      </c>
      <c r="AD135" s="18">
        <f t="shared" si="137"/>
        <v>0</v>
      </c>
      <c r="AE135" s="19">
        <f>MAYO!AG135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+IF(MAYO!S136=0,"",MAYO!S136)</f>
        <v>2010200-13</v>
      </c>
      <c r="T136" s="693" t="str">
        <f>+IF(MAYO!T136=0,"",MAYO!T136)</f>
        <v/>
      </c>
      <c r="U136" s="27">
        <f>+ENERO!U136</f>
        <v>0</v>
      </c>
      <c r="V136" s="15">
        <f>MAYO!V136+JUNIO!AL136</f>
        <v>0</v>
      </c>
      <c r="W136" s="15">
        <f>MAYO!W136+JUNIO!AM136</f>
        <v>0</v>
      </c>
      <c r="X136" s="18">
        <f t="shared" si="135"/>
        <v>0</v>
      </c>
      <c r="Y136" s="19">
        <f>MAYO!AA136</f>
        <v>0</v>
      </c>
      <c r="Z136" s="377">
        <v>0</v>
      </c>
      <c r="AA136" s="18">
        <f t="shared" si="136"/>
        <v>0</v>
      </c>
      <c r="AB136" s="19">
        <f>MAYO!AD136</f>
        <v>0</v>
      </c>
      <c r="AC136" s="377">
        <v>0</v>
      </c>
      <c r="AD136" s="18">
        <f t="shared" si="137"/>
        <v>0</v>
      </c>
      <c r="AE136" s="19">
        <f>MAYO!AG136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+IF(MAYO!S137=0,"",MAYO!S137)</f>
        <v>2010020-14</v>
      </c>
      <c r="T137" s="693" t="str">
        <f>+IF(MAYO!T137=0,"",MAYO!T137)</f>
        <v/>
      </c>
      <c r="U137" s="27">
        <f>+ENERO!U137</f>
        <v>0</v>
      </c>
      <c r="V137" s="15">
        <f>MAYO!V137+JUNIO!AL137</f>
        <v>0</v>
      </c>
      <c r="W137" s="15">
        <f>MAYO!W137+JUNIO!AM137</f>
        <v>0</v>
      </c>
      <c r="X137" s="18">
        <f t="shared" si="135"/>
        <v>0</v>
      </c>
      <c r="Y137" s="19">
        <f>MAYO!AA137</f>
        <v>0</v>
      </c>
      <c r="Z137" s="377">
        <v>0</v>
      </c>
      <c r="AA137" s="18">
        <f t="shared" si="136"/>
        <v>0</v>
      </c>
      <c r="AB137" s="19">
        <f>MAYO!AD137</f>
        <v>0</v>
      </c>
      <c r="AC137" s="377">
        <v>0</v>
      </c>
      <c r="AD137" s="18">
        <f t="shared" si="137"/>
        <v>0</v>
      </c>
      <c r="AE137" s="19">
        <f>MAYO!AG137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+IF(MAYO!S138=0,"",MAYO!S138)</f>
        <v>2010200-15</v>
      </c>
      <c r="T138" s="693" t="str">
        <f>+IF(MAYO!T138=0,"",MAYO!T138)</f>
        <v/>
      </c>
      <c r="U138" s="27">
        <f>+ENERO!U138</f>
        <v>0</v>
      </c>
      <c r="V138" s="15">
        <f>MAYO!V138+JUNIO!AL138</f>
        <v>0</v>
      </c>
      <c r="W138" s="15">
        <f>MAYO!W138+JUNIO!AM138</f>
        <v>0</v>
      </c>
      <c r="X138" s="18">
        <f t="shared" si="135"/>
        <v>0</v>
      </c>
      <c r="Y138" s="19">
        <f>MAYO!AA138</f>
        <v>0</v>
      </c>
      <c r="Z138" s="377">
        <v>0</v>
      </c>
      <c r="AA138" s="18">
        <f t="shared" si="136"/>
        <v>0</v>
      </c>
      <c r="AB138" s="19">
        <f>MAYO!AD138</f>
        <v>0</v>
      </c>
      <c r="AC138" s="377">
        <v>0</v>
      </c>
      <c r="AD138" s="18">
        <f t="shared" si="137"/>
        <v>0</v>
      </c>
      <c r="AE138" s="19">
        <f>MAYO!AG138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+IF(MAYO!S139=0,"",MAYO!S139)</f>
        <v>2010299</v>
      </c>
      <c r="T139" s="693" t="str">
        <f>+IF(MAYO!T139=0,"",MAYO!T139)</f>
        <v>Vigencias Anteriores</v>
      </c>
      <c r="U139" s="27">
        <f>+ENERO!U139</f>
        <v>0</v>
      </c>
      <c r="V139" s="15">
        <f>MAYO!V139+JUNIO!AL139</f>
        <v>0</v>
      </c>
      <c r="W139" s="15">
        <f>MAYO!W139+JUNIO!AM139</f>
        <v>26307692</v>
      </c>
      <c r="X139" s="18">
        <f t="shared" si="135"/>
        <v>26307692</v>
      </c>
      <c r="Y139" s="19">
        <f>MAYO!AA139</f>
        <v>26307692</v>
      </c>
      <c r="Z139" s="377">
        <v>0</v>
      </c>
      <c r="AA139" s="18">
        <f t="shared" si="136"/>
        <v>26307692</v>
      </c>
      <c r="AB139" s="19">
        <f>MAYO!AD139</f>
        <v>26307692</v>
      </c>
      <c r="AC139" s="377">
        <v>0</v>
      </c>
      <c r="AD139" s="18">
        <f t="shared" si="137"/>
        <v>26307692</v>
      </c>
      <c r="AE139" s="19">
        <f>MAYO!AG139</f>
        <v>9802051</v>
      </c>
      <c r="AF139" s="377">
        <v>0</v>
      </c>
      <c r="AG139" s="18">
        <f t="shared" si="138"/>
        <v>9802051</v>
      </c>
      <c r="AH139" s="19">
        <f t="shared" si="139"/>
        <v>0</v>
      </c>
      <c r="AI139" s="15">
        <f t="shared" si="140"/>
        <v>0</v>
      </c>
      <c r="AJ139" s="16">
        <f t="shared" si="141"/>
        <v>16505641</v>
      </c>
      <c r="AK139" s="9"/>
      <c r="AL139" s="375">
        <v>0</v>
      </c>
      <c r="AM139" s="378">
        <v>0</v>
      </c>
      <c r="AN139" s="9"/>
      <c r="AO139" s="297"/>
      <c r="AP139" s="297"/>
      <c r="AQ139" s="297"/>
    </row>
    <row r="140" spans="1:52" s="385" customFormat="1" ht="24.95" customHeight="1" x14ac:dyDescent="0.2">
      <c r="A140" s="767"/>
      <c r="B140" s="668"/>
      <c r="N140" s="9"/>
      <c r="R140" s="9"/>
      <c r="S140" s="369" t="str">
        <f>+IF(MAYO!S140=0,"",MAYO!S140)</f>
        <v/>
      </c>
      <c r="T140" s="708" t="str">
        <f>+IF(MAYO!T140=0,"",MAYO!T140)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+IF(MAYO!S141=0,"",MAYO!S141)</f>
        <v>2010300</v>
      </c>
      <c r="T141" s="692" t="str">
        <f>+IF(MAYO!T141=0,"",MAYO!T141)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+IF(MAYO!S142=0,"",MAYO!S142)</f>
        <v>2010300-1</v>
      </c>
      <c r="T142" s="693" t="str">
        <f>+IF(MAYO!T142=0,"",MAYO!T142)</f>
        <v>Impuestos (Predial, Vehiculos, Otros)</v>
      </c>
      <c r="U142" s="27">
        <f>+ENERO!U142</f>
        <v>10780963</v>
      </c>
      <c r="V142" s="15">
        <f>MAYO!V142+JUNIO!AL142</f>
        <v>0</v>
      </c>
      <c r="W142" s="15">
        <f>MAYO!W142+JUNIO!AM142</f>
        <v>0</v>
      </c>
      <c r="X142" s="18">
        <f>SUM(U142:W142)</f>
        <v>10780963</v>
      </c>
      <c r="Y142" s="19">
        <f>MAYO!AA142</f>
        <v>1815529</v>
      </c>
      <c r="Z142" s="377">
        <v>0</v>
      </c>
      <c r="AA142" s="18">
        <f>SUM(Y142:Z142)</f>
        <v>1815529</v>
      </c>
      <c r="AB142" s="19">
        <f>MAYO!AD142</f>
        <v>1815529</v>
      </c>
      <c r="AC142" s="377">
        <v>0</v>
      </c>
      <c r="AD142" s="18">
        <f>SUM(AB142:AC142)</f>
        <v>1815529</v>
      </c>
      <c r="AE142" s="19">
        <f>MAYO!AG142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+IF(MAYO!S143=0,"",MAYO!S143)</f>
        <v>2010399</v>
      </c>
      <c r="T143" s="693" t="str">
        <f>+IF(MAYO!T143=0,"",MAYO!T143)</f>
        <v>Vigencias Anteriores</v>
      </c>
      <c r="U143" s="27">
        <f>+ENERO!U143</f>
        <v>0</v>
      </c>
      <c r="V143" s="15">
        <f>MAYO!V143+JUNIO!AL143</f>
        <v>0</v>
      </c>
      <c r="W143" s="15">
        <f>MAYO!W143+JUNIO!AM143</f>
        <v>1487943</v>
      </c>
      <c r="X143" s="18">
        <f>SUM(U143:W143)</f>
        <v>1487943</v>
      </c>
      <c r="Y143" s="19">
        <f>MAYO!AA143</f>
        <v>1487943</v>
      </c>
      <c r="Z143" s="377">
        <v>0</v>
      </c>
      <c r="AA143" s="18">
        <f>SUM(Y143:Z143)</f>
        <v>1487943</v>
      </c>
      <c r="AB143" s="19">
        <f>MAYO!AD143</f>
        <v>1487943</v>
      </c>
      <c r="AC143" s="377">
        <v>0</v>
      </c>
      <c r="AD143" s="18">
        <f>SUM(AB143:AC143)</f>
        <v>1487943</v>
      </c>
      <c r="AE143" s="19">
        <f>MAYO!AG143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+IF(MAYO!S144=0,"",MAYO!S144)</f>
        <v/>
      </c>
      <c r="T144" s="708" t="str">
        <f>+IF(MAYO!T144=0,"",MAYO!T144)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+IF(MAYO!S145=0,"",MAYO!S145)</f>
        <v>2020010</v>
      </c>
      <c r="T145" s="691" t="str">
        <f>+IF(MAYO!T145=0,"",MAYO!T145)</f>
        <v>Gastos de Operación</v>
      </c>
      <c r="U145" s="135">
        <f t="shared" ref="U145:AJ145" si="145">U147+U155</f>
        <v>323975875</v>
      </c>
      <c r="V145" s="124">
        <f t="shared" si="145"/>
        <v>25000000</v>
      </c>
      <c r="W145" s="124">
        <f t="shared" si="145"/>
        <v>111099188</v>
      </c>
      <c r="X145" s="132">
        <f t="shared" si="145"/>
        <v>460075063</v>
      </c>
      <c r="Y145" s="131">
        <f t="shared" si="145"/>
        <v>263389192</v>
      </c>
      <c r="Z145" s="124">
        <f t="shared" si="145"/>
        <v>42317275</v>
      </c>
      <c r="AA145" s="132">
        <f t="shared" si="145"/>
        <v>305706467</v>
      </c>
      <c r="AB145" s="131">
        <f t="shared" si="145"/>
        <v>211337449</v>
      </c>
      <c r="AC145" s="124">
        <f t="shared" si="145"/>
        <v>26536081</v>
      </c>
      <c r="AD145" s="132">
        <f t="shared" si="145"/>
        <v>237873530</v>
      </c>
      <c r="AE145" s="131">
        <f t="shared" si="145"/>
        <v>142338448</v>
      </c>
      <c r="AF145" s="124">
        <f t="shared" si="145"/>
        <v>19089723</v>
      </c>
      <c r="AG145" s="132">
        <f t="shared" si="145"/>
        <v>161428171</v>
      </c>
      <c r="AH145" s="131">
        <f t="shared" si="145"/>
        <v>154368596</v>
      </c>
      <c r="AI145" s="124">
        <f t="shared" si="145"/>
        <v>222201533</v>
      </c>
      <c r="AJ145" s="133">
        <f t="shared" si="145"/>
        <v>298646892</v>
      </c>
      <c r="AK145" s="10"/>
      <c r="AL145" s="131">
        <f>AL147+AL155</f>
        <v>0</v>
      </c>
      <c r="AM145" s="133">
        <f>AM147+AM155</f>
        <v>0</v>
      </c>
      <c r="AN145" s="9"/>
    </row>
    <row r="146" spans="1:40" s="385" customFormat="1" ht="24.95" customHeight="1" x14ac:dyDescent="0.2">
      <c r="A146" s="767"/>
      <c r="B146" s="668"/>
      <c r="N146" s="9"/>
      <c r="R146" s="9"/>
      <c r="S146" s="720" t="str">
        <f>+IF(MAYO!S146=0,"",MAYO!S146)</f>
        <v/>
      </c>
      <c r="T146" s="694" t="str">
        <f>+IF(MAYO!T146=0,"",MAYO!T146)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+IF(MAYO!S147=0,"",MAYO!S147)</f>
        <v>2020100</v>
      </c>
      <c r="T147" s="692" t="str">
        <f>+IF(MAYO!T147=0,"",MAYO!T147)</f>
        <v>Adquisición de bienes</v>
      </c>
      <c r="U147" s="135">
        <f t="shared" ref="U147:AJ147" si="146">SUM(U148:U149)+U153</f>
        <v>113248636</v>
      </c>
      <c r="V147" s="124">
        <f t="shared" si="146"/>
        <v>2000000</v>
      </c>
      <c r="W147" s="124">
        <f t="shared" si="146"/>
        <v>75561517</v>
      </c>
      <c r="X147" s="132">
        <f t="shared" si="146"/>
        <v>190810153</v>
      </c>
      <c r="Y147" s="131">
        <f t="shared" si="146"/>
        <v>77573933</v>
      </c>
      <c r="Z147" s="124">
        <f t="shared" si="146"/>
        <v>15479491</v>
      </c>
      <c r="AA147" s="132">
        <f t="shared" si="146"/>
        <v>93053424</v>
      </c>
      <c r="AB147" s="131">
        <f t="shared" si="146"/>
        <v>77573933</v>
      </c>
      <c r="AC147" s="124">
        <f t="shared" si="146"/>
        <v>15499739</v>
      </c>
      <c r="AD147" s="132">
        <f t="shared" si="146"/>
        <v>93073672</v>
      </c>
      <c r="AE147" s="131">
        <f t="shared" si="146"/>
        <v>49433854</v>
      </c>
      <c r="AF147" s="124">
        <f t="shared" si="146"/>
        <v>3270200</v>
      </c>
      <c r="AG147" s="132">
        <f t="shared" si="146"/>
        <v>52704054</v>
      </c>
      <c r="AH147" s="131">
        <f t="shared" si="146"/>
        <v>97756729</v>
      </c>
      <c r="AI147" s="124">
        <f t="shared" si="146"/>
        <v>97736481</v>
      </c>
      <c r="AJ147" s="133">
        <f t="shared" si="146"/>
        <v>138106099</v>
      </c>
      <c r="AK147" s="9"/>
      <c r="AL147" s="131">
        <f>SUM(AL148:AL149)+AL153</f>
        <v>0</v>
      </c>
      <c r="AM147" s="133">
        <f>SUM(AM148:AM149)+AM153</f>
        <v>0</v>
      </c>
      <c r="AN147" s="9"/>
    </row>
    <row r="148" spans="1:40" s="385" customFormat="1" ht="24.95" customHeight="1" x14ac:dyDescent="0.2">
      <c r="A148" s="767"/>
      <c r="B148" s="668"/>
      <c r="N148" s="9"/>
      <c r="R148" s="9"/>
      <c r="S148" s="719">
        <f>+IF(MAYO!S148=0,"",MAYO!S148)</f>
        <v>2020101</v>
      </c>
      <c r="T148" s="693" t="str">
        <f>+IF(MAYO!T148=0,"",MAYO!T148)</f>
        <v>Mantenimiento Hospitalario</v>
      </c>
      <c r="U148" s="27">
        <f>+ENERO!U148</f>
        <v>74533223</v>
      </c>
      <c r="V148" s="15">
        <f>MAYO!V148+JUNIO!AL148</f>
        <v>0</v>
      </c>
      <c r="W148" s="15">
        <f>MAYO!W148+JUNIO!AM148</f>
        <v>0</v>
      </c>
      <c r="X148" s="18">
        <f>SUM(U148:W148)</f>
        <v>74533223</v>
      </c>
      <c r="Y148" s="19">
        <f>MAYO!AA148</f>
        <v>27612393</v>
      </c>
      <c r="Z148" s="377">
        <v>533100</v>
      </c>
      <c r="AA148" s="18">
        <f>SUM(Y148:Z148)</f>
        <v>28145493</v>
      </c>
      <c r="AB148" s="19">
        <f>MAYO!AD148</f>
        <v>27612393</v>
      </c>
      <c r="AC148" s="377">
        <v>533100</v>
      </c>
      <c r="AD148" s="18">
        <f>SUM(AB148:AC148)</f>
        <v>28145493</v>
      </c>
      <c r="AE148" s="19">
        <f>MAYO!AG148</f>
        <v>16154791</v>
      </c>
      <c r="AF148" s="377">
        <v>3270200</v>
      </c>
      <c r="AG148" s="18">
        <f>SUM(AE148:AF148)</f>
        <v>19424991</v>
      </c>
      <c r="AH148" s="19">
        <f>X148-AA148</f>
        <v>46387730</v>
      </c>
      <c r="AI148" s="15">
        <f>X148-AD148</f>
        <v>46387730</v>
      </c>
      <c r="AJ148" s="16">
        <f>X148-AG148</f>
        <v>55108232</v>
      </c>
      <c r="AK148" s="9"/>
      <c r="AL148" s="375">
        <v>0</v>
      </c>
      <c r="AM148" s="378">
        <v>0</v>
      </c>
      <c r="AN148" s="9"/>
    </row>
    <row r="149" spans="1:40" s="385" customFormat="1" ht="24.95" customHeight="1" x14ac:dyDescent="0.2">
      <c r="A149" s="767"/>
      <c r="B149" s="668"/>
      <c r="N149" s="9"/>
      <c r="R149" s="9"/>
      <c r="S149" s="719">
        <f>+IF(MAYO!S149=0,"",MAYO!S149)</f>
        <v>2020102</v>
      </c>
      <c r="T149" s="693" t="str">
        <f>+IF(MAYO!T149=0,"",MAYO!T149)</f>
        <v>Otros</v>
      </c>
      <c r="U149" s="27">
        <f t="shared" ref="U149:AJ149" si="147">SUM(U150:U152)</f>
        <v>38715413</v>
      </c>
      <c r="V149" s="15">
        <f t="shared" si="147"/>
        <v>2000000</v>
      </c>
      <c r="W149" s="15">
        <f t="shared" si="147"/>
        <v>41780673</v>
      </c>
      <c r="X149" s="18">
        <f t="shared" si="147"/>
        <v>82496086</v>
      </c>
      <c r="Y149" s="19">
        <f t="shared" si="147"/>
        <v>16180696</v>
      </c>
      <c r="Z149" s="145">
        <f t="shared" si="147"/>
        <v>14946391</v>
      </c>
      <c r="AA149" s="18">
        <f t="shared" si="147"/>
        <v>31127087</v>
      </c>
      <c r="AB149" s="19">
        <f t="shared" si="147"/>
        <v>16180696</v>
      </c>
      <c r="AC149" s="145">
        <f t="shared" si="147"/>
        <v>14966639</v>
      </c>
      <c r="AD149" s="18">
        <f t="shared" si="147"/>
        <v>31147335</v>
      </c>
      <c r="AE149" s="19">
        <f t="shared" si="147"/>
        <v>1894600</v>
      </c>
      <c r="AF149" s="145">
        <f t="shared" si="147"/>
        <v>0</v>
      </c>
      <c r="AG149" s="18">
        <f t="shared" si="147"/>
        <v>1894600</v>
      </c>
      <c r="AH149" s="19">
        <f t="shared" si="147"/>
        <v>51368999</v>
      </c>
      <c r="AI149" s="15">
        <f t="shared" si="147"/>
        <v>51348751</v>
      </c>
      <c r="AJ149" s="16">
        <f t="shared" si="147"/>
        <v>80601486</v>
      </c>
      <c r="AK149" s="9"/>
      <c r="AL149" s="29">
        <f>SUM(AL150:AL152)</f>
        <v>0</v>
      </c>
      <c r="AM149" s="26">
        <f>SUM(AM150:AM152)</f>
        <v>0</v>
      </c>
      <c r="AN149" s="9"/>
    </row>
    <row r="150" spans="1:40" s="385" customFormat="1" ht="24.95" customHeight="1" x14ac:dyDescent="0.2">
      <c r="A150" s="767"/>
      <c r="B150" s="668"/>
      <c r="N150" s="9"/>
      <c r="R150" s="9"/>
      <c r="S150" s="720" t="str">
        <f>+IF(MAYO!S150=0,"",MAYO!S150)</f>
        <v>2020102-1</v>
      </c>
      <c r="T150" s="693" t="str">
        <f>+IF(MAYO!T150=0,"",MAYO!T150)</f>
        <v>Compra de Equipo e Instr. Mco. y Laborat.</v>
      </c>
      <c r="U150" s="27">
        <f>+ENERO!U150</f>
        <v>0</v>
      </c>
      <c r="V150" s="15">
        <f>MAYO!V150+JUNIO!AL150</f>
        <v>0</v>
      </c>
      <c r="W150" s="15">
        <f>MAYO!W150+JUNIO!AM150</f>
        <v>40000000</v>
      </c>
      <c r="X150" s="18">
        <f>SUM(U150:W150)</f>
        <v>40000000</v>
      </c>
      <c r="Y150" s="19">
        <f>MAYO!AA150</f>
        <v>1809600</v>
      </c>
      <c r="Z150" s="377">
        <v>11627028</v>
      </c>
      <c r="AA150" s="18">
        <f>SUM(Y150:Z150)</f>
        <v>13436628</v>
      </c>
      <c r="AB150" s="19">
        <f>MAYO!AD150</f>
        <v>1809600</v>
      </c>
      <c r="AC150" s="377">
        <v>11627028</v>
      </c>
      <c r="AD150" s="18">
        <f>SUM(AB150:AC150)</f>
        <v>13436628</v>
      </c>
      <c r="AE150" s="19">
        <f>MAYO!AG150</f>
        <v>1809600</v>
      </c>
      <c r="AF150" s="377">
        <v>0</v>
      </c>
      <c r="AG150" s="18">
        <f>SUM(AE150:AF150)</f>
        <v>1809600</v>
      </c>
      <c r="AH150" s="19">
        <f>X150-AA150</f>
        <v>26563372</v>
      </c>
      <c r="AI150" s="15">
        <f>X150-AD150</f>
        <v>26563372</v>
      </c>
      <c r="AJ150" s="16">
        <f>X150-AG150</f>
        <v>38190400</v>
      </c>
      <c r="AK150" s="9"/>
      <c r="AL150" s="375">
        <v>0</v>
      </c>
      <c r="AM150" s="378">
        <v>0</v>
      </c>
      <c r="AN150" s="9"/>
    </row>
    <row r="151" spans="1:40" s="385" customFormat="1" ht="24.95" customHeight="1" x14ac:dyDescent="0.2">
      <c r="A151" s="767"/>
      <c r="B151" s="668"/>
      <c r="N151" s="9"/>
      <c r="R151" s="9"/>
      <c r="S151" s="720" t="str">
        <f>+IF(MAYO!S151=0,"",MAYO!S151)</f>
        <v>2020102-2</v>
      </c>
      <c r="T151" s="693" t="str">
        <f>+IF(MAYO!T151=0,"",MAYO!T151)</f>
        <v>Materiales</v>
      </c>
      <c r="U151" s="27">
        <f>+ENERO!U151</f>
        <v>15288294</v>
      </c>
      <c r="V151" s="15">
        <f>MAYO!V151+JUNIO!AL151</f>
        <v>2000000</v>
      </c>
      <c r="W151" s="15">
        <f>MAYO!W151+JUNIO!AM151</f>
        <v>1780673</v>
      </c>
      <c r="X151" s="18">
        <f>SUM(U151:W151)</f>
        <v>19068967</v>
      </c>
      <c r="Y151" s="19">
        <f>MAYO!AA151</f>
        <v>5417587</v>
      </c>
      <c r="Z151" s="377">
        <v>1550973</v>
      </c>
      <c r="AA151" s="18">
        <f>SUM(Y151:Z151)</f>
        <v>6968560</v>
      </c>
      <c r="AB151" s="19">
        <f>MAYO!AD151</f>
        <v>5417587</v>
      </c>
      <c r="AC151" s="377">
        <v>1571221</v>
      </c>
      <c r="AD151" s="18">
        <f>SUM(AB151:AC151)</f>
        <v>6988808</v>
      </c>
      <c r="AE151" s="19">
        <f>MAYO!AG151</f>
        <v>0</v>
      </c>
      <c r="AF151" s="377">
        <v>0</v>
      </c>
      <c r="AG151" s="18">
        <f>SUM(AE151:AF151)</f>
        <v>0</v>
      </c>
      <c r="AH151" s="19">
        <f>X151-AA151</f>
        <v>12100407</v>
      </c>
      <c r="AI151" s="15">
        <f>X151-AD151</f>
        <v>12080159</v>
      </c>
      <c r="AJ151" s="16">
        <f>X151-AG151</f>
        <v>19068967</v>
      </c>
      <c r="AK151" s="9"/>
      <c r="AL151" s="375">
        <v>0</v>
      </c>
      <c r="AM151" s="378">
        <v>0</v>
      </c>
      <c r="AN151" s="9"/>
    </row>
    <row r="152" spans="1:40" s="385" customFormat="1" ht="24.95" customHeight="1" x14ac:dyDescent="0.2">
      <c r="A152" s="767"/>
      <c r="B152" s="668"/>
      <c r="N152" s="9"/>
      <c r="R152" s="9"/>
      <c r="S152" s="720" t="str">
        <f>+IF(MAYO!S152=0,"",MAYO!S152)</f>
        <v>2020102-3</v>
      </c>
      <c r="T152" s="693" t="str">
        <f>+IF(MAYO!T152=0,"",MAYO!T152)</f>
        <v>Combustible</v>
      </c>
      <c r="U152" s="27">
        <f>+ENERO!U152</f>
        <v>23427119</v>
      </c>
      <c r="V152" s="15">
        <f>MAYO!V152+JUNIO!AL152</f>
        <v>0</v>
      </c>
      <c r="W152" s="15">
        <f>MAYO!W152+JUNIO!AM152</f>
        <v>0</v>
      </c>
      <c r="X152" s="18">
        <f>SUM(U152:W152)</f>
        <v>23427119</v>
      </c>
      <c r="Y152" s="19">
        <f>MAYO!AA152</f>
        <v>8953509</v>
      </c>
      <c r="Z152" s="377">
        <v>1768390</v>
      </c>
      <c r="AA152" s="18">
        <f>SUM(Y152:Z152)</f>
        <v>10721899</v>
      </c>
      <c r="AB152" s="19">
        <f>MAYO!AD152</f>
        <v>8953509</v>
      </c>
      <c r="AC152" s="377">
        <v>1768390</v>
      </c>
      <c r="AD152" s="18">
        <f>SUM(AB152:AC152)</f>
        <v>10721899</v>
      </c>
      <c r="AE152" s="19">
        <f>MAYO!AG152</f>
        <v>85000</v>
      </c>
      <c r="AF152" s="377">
        <v>0</v>
      </c>
      <c r="AG152" s="18">
        <f>SUM(AE152:AF152)</f>
        <v>85000</v>
      </c>
      <c r="AH152" s="19">
        <f>X152-AA152</f>
        <v>12705220</v>
      </c>
      <c r="AI152" s="15">
        <f>X152-AD152</f>
        <v>12705220</v>
      </c>
      <c r="AJ152" s="16">
        <f>X152-AG152</f>
        <v>23342119</v>
      </c>
      <c r="AK152" s="9"/>
      <c r="AL152" s="375">
        <v>0</v>
      </c>
      <c r="AM152" s="378">
        <v>0</v>
      </c>
      <c r="AN152" s="9"/>
    </row>
    <row r="153" spans="1:40" s="385" customFormat="1" ht="24.95" customHeight="1" x14ac:dyDescent="0.2">
      <c r="A153" s="767"/>
      <c r="B153" s="668"/>
      <c r="N153" s="9"/>
      <c r="R153" s="9"/>
      <c r="S153" s="719">
        <f>+IF(MAYO!S153=0,"",MAYO!S153)</f>
        <v>2020199</v>
      </c>
      <c r="T153" s="693" t="str">
        <f>+IF(MAYO!T153=0,"",MAYO!T153)</f>
        <v>Vigencias Anteriores</v>
      </c>
      <c r="U153" s="27">
        <f>+ENERO!U153</f>
        <v>0</v>
      </c>
      <c r="V153" s="15">
        <f>MAYO!V153+JUNIO!AL153</f>
        <v>0</v>
      </c>
      <c r="W153" s="15">
        <f>MAYO!W153+JUNIO!AM153</f>
        <v>33780844</v>
      </c>
      <c r="X153" s="18">
        <f>SUM(U153:W153)</f>
        <v>33780844</v>
      </c>
      <c r="Y153" s="19">
        <f>MAYO!AA153</f>
        <v>33780844</v>
      </c>
      <c r="Z153" s="377">
        <v>0</v>
      </c>
      <c r="AA153" s="18">
        <f>SUM(Y153:Z153)</f>
        <v>33780844</v>
      </c>
      <c r="AB153" s="19">
        <f>MAYO!AD153</f>
        <v>33780844</v>
      </c>
      <c r="AC153" s="377">
        <v>0</v>
      </c>
      <c r="AD153" s="18">
        <f>SUM(AB153:AC153)</f>
        <v>33780844</v>
      </c>
      <c r="AE153" s="19">
        <f>MAYO!AG153</f>
        <v>31384463</v>
      </c>
      <c r="AF153" s="377">
        <v>0</v>
      </c>
      <c r="AG153" s="18">
        <f>SUM(AE153:AF153)</f>
        <v>31384463</v>
      </c>
      <c r="AH153" s="19">
        <f>X153-AA153</f>
        <v>0</v>
      </c>
      <c r="AI153" s="15">
        <f>X153-AD153</f>
        <v>0</v>
      </c>
      <c r="AJ153" s="16">
        <f>X153-AG153</f>
        <v>2396381</v>
      </c>
      <c r="AK153" s="9"/>
      <c r="AL153" s="375">
        <v>0</v>
      </c>
      <c r="AM153" s="378">
        <v>0</v>
      </c>
      <c r="AN153" s="9"/>
    </row>
    <row r="154" spans="1:40" s="385" customFormat="1" ht="24.95" customHeight="1" x14ac:dyDescent="0.2">
      <c r="A154" s="767"/>
      <c r="B154" s="668"/>
      <c r="N154" s="9"/>
      <c r="R154" s="9"/>
      <c r="S154" s="369" t="str">
        <f>+IF(MAYO!S154=0,"",MAYO!S154)</f>
        <v/>
      </c>
      <c r="T154" s="708" t="str">
        <f>+IF(MAYO!T154=0,"",MAYO!T154)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+IF(MAYO!S155=0,"",MAYO!S155)</f>
        <v>2020200</v>
      </c>
      <c r="T155" s="692" t="str">
        <f>+IF(MAYO!T155=0,"",MAYO!T155)</f>
        <v>Adquisición de Servicios</v>
      </c>
      <c r="U155" s="135">
        <f t="shared" ref="U155:AJ155" si="148">SUM(U156:U157)+U168</f>
        <v>210727239</v>
      </c>
      <c r="V155" s="124">
        <f t="shared" si="148"/>
        <v>23000000</v>
      </c>
      <c r="W155" s="124">
        <f t="shared" si="148"/>
        <v>35537671</v>
      </c>
      <c r="X155" s="132">
        <f t="shared" si="148"/>
        <v>269264910</v>
      </c>
      <c r="Y155" s="131">
        <f t="shared" si="148"/>
        <v>185815259</v>
      </c>
      <c r="Z155" s="124">
        <f t="shared" si="148"/>
        <v>26837784</v>
      </c>
      <c r="AA155" s="132">
        <f t="shared" si="148"/>
        <v>212653043</v>
      </c>
      <c r="AB155" s="131">
        <f t="shared" si="148"/>
        <v>133763516</v>
      </c>
      <c r="AC155" s="124">
        <f t="shared" si="148"/>
        <v>11036342</v>
      </c>
      <c r="AD155" s="132">
        <f t="shared" si="148"/>
        <v>144799858</v>
      </c>
      <c r="AE155" s="131">
        <f t="shared" si="148"/>
        <v>92904594</v>
      </c>
      <c r="AF155" s="124">
        <f t="shared" si="148"/>
        <v>15819523</v>
      </c>
      <c r="AG155" s="132">
        <f t="shared" si="148"/>
        <v>108724117</v>
      </c>
      <c r="AH155" s="131">
        <f t="shared" si="148"/>
        <v>56611867</v>
      </c>
      <c r="AI155" s="124">
        <f t="shared" si="148"/>
        <v>124465052</v>
      </c>
      <c r="AJ155" s="133">
        <f t="shared" si="148"/>
        <v>160540793</v>
      </c>
      <c r="AK155" s="9"/>
      <c r="AL155" s="131">
        <f>SUM(AL156:AL157)+AL168</f>
        <v>0</v>
      </c>
      <c r="AM155" s="133">
        <f>SUM(AM156:AM157)+AM168</f>
        <v>0</v>
      </c>
      <c r="AN155" s="9"/>
    </row>
    <row r="156" spans="1:40" s="385" customFormat="1" ht="24.95" customHeight="1" x14ac:dyDescent="0.2">
      <c r="A156" s="767"/>
      <c r="B156" s="668"/>
      <c r="N156" s="9"/>
      <c r="P156" s="9"/>
      <c r="Q156" s="9"/>
      <c r="R156" s="9"/>
      <c r="S156" s="719">
        <f>+IF(MAYO!S156=0,"",MAYO!S156)</f>
        <v>2020201</v>
      </c>
      <c r="T156" s="693" t="str">
        <f>+IF(MAYO!T156=0,"",MAYO!T156)</f>
        <v>Mantenimiento Hospitalario</v>
      </c>
      <c r="U156" s="27">
        <f>+ENERO!U156</f>
        <v>82251828</v>
      </c>
      <c r="V156" s="15">
        <f>MAYO!V156+JUNIO!AL156</f>
        <v>0</v>
      </c>
      <c r="W156" s="15">
        <f>MAYO!W156+JUNIO!AM156</f>
        <v>0</v>
      </c>
      <c r="X156" s="18">
        <f>SUM(U156:W156)</f>
        <v>82251828</v>
      </c>
      <c r="Y156" s="19">
        <f>MAYO!AA156</f>
        <v>47705092</v>
      </c>
      <c r="Z156" s="377">
        <v>23360560</v>
      </c>
      <c r="AA156" s="18">
        <f>SUM(Y156:Z156)</f>
        <v>71065652</v>
      </c>
      <c r="AB156" s="19">
        <f>MAYO!AD156</f>
        <v>40978246</v>
      </c>
      <c r="AC156" s="377">
        <v>2053000</v>
      </c>
      <c r="AD156" s="18">
        <f>SUM(AB156:AC156)</f>
        <v>43031246</v>
      </c>
      <c r="AE156" s="19">
        <f>MAYO!AG156</f>
        <v>36252725</v>
      </c>
      <c r="AF156" s="377">
        <v>2846600</v>
      </c>
      <c r="AG156" s="18">
        <f>SUM(AE156:AF156)</f>
        <v>39099325</v>
      </c>
      <c r="AH156" s="19">
        <f>X156-AA156</f>
        <v>11186176</v>
      </c>
      <c r="AI156" s="15">
        <f>X156-AD156</f>
        <v>39220582</v>
      </c>
      <c r="AJ156" s="16">
        <f>X156-AG156</f>
        <v>43152503</v>
      </c>
      <c r="AK156" s="9"/>
      <c r="AL156" s="375">
        <v>0</v>
      </c>
      <c r="AM156" s="378">
        <v>0</v>
      </c>
      <c r="AN156" s="9"/>
    </row>
    <row r="157" spans="1:40" s="385" customFormat="1" ht="24.95" customHeight="1" x14ac:dyDescent="0.2">
      <c r="A157" s="767"/>
      <c r="B157" s="668"/>
      <c r="N157" s="9"/>
      <c r="P157" s="9"/>
      <c r="Q157" s="9"/>
      <c r="R157" s="9"/>
      <c r="S157" s="719">
        <f>+IF(MAYO!S157=0,"",MAYO!S157)</f>
        <v>2020202</v>
      </c>
      <c r="T157" s="693" t="str">
        <f>+IF(MAYO!T157=0,"",MAYO!T157)</f>
        <v>Otros</v>
      </c>
      <c r="U157" s="27">
        <f t="shared" ref="U157:AJ157" si="149">SUM(U158:U167)</f>
        <v>128475411</v>
      </c>
      <c r="V157" s="15">
        <f t="shared" si="149"/>
        <v>23000000</v>
      </c>
      <c r="W157" s="15">
        <f t="shared" si="149"/>
        <v>7000000</v>
      </c>
      <c r="X157" s="18">
        <f t="shared" si="149"/>
        <v>158475411</v>
      </c>
      <c r="Y157" s="19">
        <f t="shared" si="149"/>
        <v>109572496</v>
      </c>
      <c r="Z157" s="145">
        <f t="shared" si="149"/>
        <v>3477224</v>
      </c>
      <c r="AA157" s="18">
        <f t="shared" si="149"/>
        <v>113049720</v>
      </c>
      <c r="AB157" s="19">
        <f t="shared" si="149"/>
        <v>64247599</v>
      </c>
      <c r="AC157" s="145">
        <f t="shared" si="149"/>
        <v>8983342</v>
      </c>
      <c r="AD157" s="18">
        <f t="shared" si="149"/>
        <v>73230941</v>
      </c>
      <c r="AE157" s="19">
        <f t="shared" si="149"/>
        <v>35284232</v>
      </c>
      <c r="AF157" s="145">
        <f t="shared" si="149"/>
        <v>12972923</v>
      </c>
      <c r="AG157" s="18">
        <f t="shared" si="149"/>
        <v>48257155</v>
      </c>
      <c r="AH157" s="19">
        <f t="shared" si="149"/>
        <v>45425691</v>
      </c>
      <c r="AI157" s="15">
        <f t="shared" si="149"/>
        <v>85244470</v>
      </c>
      <c r="AJ157" s="16">
        <f t="shared" si="149"/>
        <v>110218256</v>
      </c>
      <c r="AK157" s="10"/>
      <c r="AL157" s="29">
        <f>SUM(AL158:AL167)</f>
        <v>0</v>
      </c>
      <c r="AM157" s="26">
        <f>SUM(AM158:AM167)</f>
        <v>0</v>
      </c>
      <c r="AN157" s="9"/>
    </row>
    <row r="158" spans="1:40" s="385" customFormat="1" ht="24.95" customHeight="1" x14ac:dyDescent="0.2">
      <c r="A158" s="767"/>
      <c r="B158" s="668"/>
      <c r="N158" s="9"/>
      <c r="P158" s="9"/>
      <c r="Q158" s="9"/>
      <c r="R158" s="9"/>
      <c r="S158" s="720" t="str">
        <f>+IF(MAYO!S158=0,"",MAYO!S158)</f>
        <v>2020202-1</v>
      </c>
      <c r="T158" s="694" t="str">
        <f>+IF(MAYO!T158=0,"",MAYO!T158)</f>
        <v>Seguros</v>
      </c>
      <c r="U158" s="27">
        <f>+ENERO!U158</f>
        <v>15745455</v>
      </c>
      <c r="V158" s="15">
        <f>MAYO!V158+JUNIO!AL158</f>
        <v>0</v>
      </c>
      <c r="W158" s="15">
        <f>MAYO!W158+JUNIO!AM158</f>
        <v>5000000</v>
      </c>
      <c r="X158" s="18">
        <f t="shared" ref="X158:X168" si="150">SUM(U158:W158)</f>
        <v>20745455</v>
      </c>
      <c r="Y158" s="19">
        <f>MAYO!AA158</f>
        <v>18029036</v>
      </c>
      <c r="Z158" s="377">
        <v>0</v>
      </c>
      <c r="AA158" s="18">
        <f t="shared" ref="AA158:AA168" si="151">SUM(Y158:Z158)</f>
        <v>18029036</v>
      </c>
      <c r="AB158" s="19">
        <f>MAYO!AD158</f>
        <v>18029036</v>
      </c>
      <c r="AC158" s="377">
        <v>0</v>
      </c>
      <c r="AD158" s="18">
        <f t="shared" ref="AD158:AD168" si="152">SUM(AB158:AC158)</f>
        <v>18029036</v>
      </c>
      <c r="AE158" s="19">
        <f>MAYO!AG158</f>
        <v>11725648</v>
      </c>
      <c r="AF158" s="377">
        <v>4132033</v>
      </c>
      <c r="AG158" s="18">
        <f t="shared" ref="AG158:AG168" si="153">SUM(AE158:AF158)</f>
        <v>15857681</v>
      </c>
      <c r="AH158" s="19">
        <f t="shared" ref="AH158:AH168" si="154">X158-AA158</f>
        <v>2716419</v>
      </c>
      <c r="AI158" s="15">
        <f t="shared" ref="AI158:AI168" si="155">X158-AD158</f>
        <v>2716419</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+IF(MAYO!S159=0,"",MAYO!S159)</f>
        <v>2020202-2</v>
      </c>
      <c r="T159" s="694" t="str">
        <f>+IF(MAYO!T159=0,"",MAYO!T159)</f>
        <v>Impresos y Publicaciones</v>
      </c>
      <c r="U159" s="27">
        <f>+ENERO!U159</f>
        <v>0</v>
      </c>
      <c r="V159" s="15">
        <f>MAYO!V159+JUNIO!AL159</f>
        <v>0</v>
      </c>
      <c r="W159" s="15">
        <f>MAYO!W159+JUNIO!AM159</f>
        <v>0</v>
      </c>
      <c r="X159" s="18">
        <f t="shared" si="150"/>
        <v>0</v>
      </c>
      <c r="Y159" s="19">
        <f>MAYO!AA159</f>
        <v>0</v>
      </c>
      <c r="Z159" s="377">
        <v>0</v>
      </c>
      <c r="AA159" s="18">
        <f t="shared" si="151"/>
        <v>0</v>
      </c>
      <c r="AB159" s="19">
        <f>MAYO!AD159</f>
        <v>0</v>
      </c>
      <c r="AC159" s="377">
        <v>0</v>
      </c>
      <c r="AD159" s="18">
        <f t="shared" si="152"/>
        <v>0</v>
      </c>
      <c r="AE159" s="19">
        <f>MAYO!AG159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+IF(MAYO!S160=0,"",MAYO!S160)</f>
        <v>2020202-3</v>
      </c>
      <c r="T160" s="694" t="str">
        <f>+IF(MAYO!T160=0,"",MAYO!T160)</f>
        <v>Pago a otras IPS</v>
      </c>
      <c r="U160" s="27">
        <f>+ENERO!U160</f>
        <v>893693</v>
      </c>
      <c r="V160" s="15">
        <f>MAYO!V160+JUNIO!AL160</f>
        <v>23000000</v>
      </c>
      <c r="W160" s="15">
        <f>MAYO!W160+JUNIO!AM160</f>
        <v>2000000</v>
      </c>
      <c r="X160" s="18">
        <f t="shared" si="150"/>
        <v>25893693</v>
      </c>
      <c r="Y160" s="19">
        <f>MAYO!AA160</f>
        <v>2969593</v>
      </c>
      <c r="Z160" s="377">
        <v>0</v>
      </c>
      <c r="AA160" s="18">
        <f t="shared" si="151"/>
        <v>2969593</v>
      </c>
      <c r="AB160" s="19">
        <f>MAYO!AD160</f>
        <v>2969593</v>
      </c>
      <c r="AC160" s="377">
        <v>0</v>
      </c>
      <c r="AD160" s="18">
        <f t="shared" si="152"/>
        <v>2969593</v>
      </c>
      <c r="AE160" s="19">
        <f>MAYO!AG160</f>
        <v>55000</v>
      </c>
      <c r="AF160" s="377">
        <v>0</v>
      </c>
      <c r="AG160" s="18">
        <f t="shared" si="153"/>
        <v>55000</v>
      </c>
      <c r="AH160" s="19">
        <f t="shared" si="154"/>
        <v>22924100</v>
      </c>
      <c r="AI160" s="15">
        <f t="shared" si="155"/>
        <v>22924100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+IF(MAYO!S161=0,"",MAYO!S161)</f>
        <v>2020202-4</v>
      </c>
      <c r="T161" s="694" t="str">
        <f>+IF(MAYO!T161=0,"",MAYO!T161)</f>
        <v>Comunicaciones y Transportes</v>
      </c>
      <c r="U161" s="27">
        <f>+ENERO!U161</f>
        <v>9528246</v>
      </c>
      <c r="V161" s="15">
        <f>MAYO!V161+JUNIO!AL161</f>
        <v>0</v>
      </c>
      <c r="W161" s="15">
        <f>MAYO!W161+JUNIO!AM161</f>
        <v>0</v>
      </c>
      <c r="X161" s="18">
        <f t="shared" si="150"/>
        <v>9528246</v>
      </c>
      <c r="Y161" s="19">
        <f>MAYO!AA161</f>
        <v>2360944</v>
      </c>
      <c r="Z161" s="377">
        <v>780512</v>
      </c>
      <c r="AA161" s="18">
        <f t="shared" si="151"/>
        <v>3141456</v>
      </c>
      <c r="AB161" s="19">
        <f>MAYO!AD161</f>
        <v>2360944</v>
      </c>
      <c r="AC161" s="377">
        <v>780512</v>
      </c>
      <c r="AD161" s="18">
        <f t="shared" si="152"/>
        <v>3141456</v>
      </c>
      <c r="AE161" s="19">
        <f>MAYO!AG161</f>
        <v>1533145</v>
      </c>
      <c r="AF161" s="377">
        <v>780512</v>
      </c>
      <c r="AG161" s="18">
        <f t="shared" si="153"/>
        <v>2313657</v>
      </c>
      <c r="AH161" s="19">
        <f t="shared" si="154"/>
        <v>6386790</v>
      </c>
      <c r="AI161" s="15">
        <f t="shared" si="155"/>
        <v>6386790</v>
      </c>
      <c r="AJ161" s="16">
        <f t="shared" si="156"/>
        <v>7214589</v>
      </c>
      <c r="AK161" s="9"/>
      <c r="AL161" s="375">
        <v>0</v>
      </c>
      <c r="AM161" s="378">
        <v>0</v>
      </c>
      <c r="AN161" s="9"/>
    </row>
    <row r="162" spans="1:40" s="385" customFormat="1" ht="24.95" customHeight="1" x14ac:dyDescent="0.2">
      <c r="A162" s="767"/>
      <c r="B162" s="668"/>
      <c r="N162" s="9"/>
      <c r="P162" s="9"/>
      <c r="Q162" s="9"/>
      <c r="R162" s="9"/>
      <c r="S162" s="720" t="str">
        <f>+IF(MAYO!S162=0,"",MAYO!S162)</f>
        <v>2020202-5</v>
      </c>
      <c r="T162" s="694" t="str">
        <f>+IF(MAYO!T162=0,"",MAYO!T162)</f>
        <v>Viáticos y Gastos de Viaje</v>
      </c>
      <c r="U162" s="27">
        <f>+ENERO!U162</f>
        <v>3326745</v>
      </c>
      <c r="V162" s="15">
        <f>MAYO!V162+JUNIO!AL162</f>
        <v>0</v>
      </c>
      <c r="W162" s="15">
        <f>MAYO!W162+JUNIO!AM162</f>
        <v>0</v>
      </c>
      <c r="X162" s="18">
        <f t="shared" si="150"/>
        <v>3326745</v>
      </c>
      <c r="Y162" s="19">
        <f>MAYO!AA162</f>
        <v>403653</v>
      </c>
      <c r="Z162" s="377">
        <v>145912</v>
      </c>
      <c r="AA162" s="18">
        <f t="shared" si="151"/>
        <v>549565</v>
      </c>
      <c r="AB162" s="19">
        <f>MAYO!AD162</f>
        <v>403653</v>
      </c>
      <c r="AC162" s="377">
        <v>145912</v>
      </c>
      <c r="AD162" s="18">
        <f t="shared" si="152"/>
        <v>549565</v>
      </c>
      <c r="AE162" s="19">
        <f>MAYO!AG162</f>
        <v>374414</v>
      </c>
      <c r="AF162" s="377">
        <v>131612</v>
      </c>
      <c r="AG162" s="18">
        <f t="shared" si="153"/>
        <v>506026</v>
      </c>
      <c r="AH162" s="19">
        <f t="shared" si="154"/>
        <v>2777180</v>
      </c>
      <c r="AI162" s="15">
        <f t="shared" si="155"/>
        <v>2777180</v>
      </c>
      <c r="AJ162" s="16">
        <f t="shared" si="156"/>
        <v>2820719</v>
      </c>
      <c r="AK162" s="9"/>
      <c r="AL162" s="375">
        <v>0</v>
      </c>
      <c r="AM162" s="378">
        <v>0</v>
      </c>
      <c r="AN162" s="9"/>
    </row>
    <row r="163" spans="1:40" s="385" customFormat="1" ht="24.95" customHeight="1" x14ac:dyDescent="0.2">
      <c r="A163" s="767"/>
      <c r="B163" s="668"/>
      <c r="N163" s="9"/>
      <c r="P163" s="9"/>
      <c r="Q163" s="9"/>
      <c r="R163" s="9"/>
      <c r="S163" s="720" t="str">
        <f>+IF(MAYO!S163=0,"",MAYO!S163)</f>
        <v>2020202-6</v>
      </c>
      <c r="T163" s="694" t="str">
        <f>+IF(MAYO!T163=0,"",MAYO!T163)</f>
        <v>Plan Integral de Manejo de Residuos Sólidos Hospitalarios</v>
      </c>
      <c r="U163" s="27">
        <f>+ENERO!U163</f>
        <v>10511470</v>
      </c>
      <c r="V163" s="15">
        <f>MAYO!V163+JUNIO!AL163</f>
        <v>0</v>
      </c>
      <c r="W163" s="15">
        <f>MAYO!W163+JUNIO!AM163</f>
        <v>0</v>
      </c>
      <c r="X163" s="18">
        <f t="shared" si="150"/>
        <v>10511470</v>
      </c>
      <c r="Y163" s="19">
        <f>MAYO!AA163</f>
        <v>10511470</v>
      </c>
      <c r="Z163" s="377">
        <v>0</v>
      </c>
      <c r="AA163" s="18">
        <f t="shared" si="151"/>
        <v>10511470</v>
      </c>
      <c r="AB163" s="19">
        <f>MAYO!AD163</f>
        <v>2391035</v>
      </c>
      <c r="AC163" s="377">
        <v>443646</v>
      </c>
      <c r="AD163" s="18">
        <f t="shared" si="152"/>
        <v>2834681</v>
      </c>
      <c r="AE163" s="19">
        <f>MAYO!AG163</f>
        <v>878225</v>
      </c>
      <c r="AF163" s="377">
        <v>0</v>
      </c>
      <c r="AG163" s="18">
        <f t="shared" si="153"/>
        <v>878225</v>
      </c>
      <c r="AH163" s="19">
        <f t="shared" si="154"/>
        <v>0</v>
      </c>
      <c r="AI163" s="15">
        <f t="shared" si="155"/>
        <v>7676789</v>
      </c>
      <c r="AJ163" s="16">
        <f t="shared" si="156"/>
        <v>9633245</v>
      </c>
      <c r="AK163" s="9"/>
      <c r="AL163" s="375">
        <v>0</v>
      </c>
      <c r="AM163" s="378">
        <v>0</v>
      </c>
      <c r="AN163" s="9"/>
    </row>
    <row r="164" spans="1:40" s="385" customFormat="1" ht="24.95" customHeight="1" x14ac:dyDescent="0.2">
      <c r="A164" s="767"/>
      <c r="B164" s="668"/>
      <c r="N164" s="9"/>
      <c r="P164" s="9"/>
      <c r="Q164" s="9"/>
      <c r="R164" s="9"/>
      <c r="S164" s="720" t="str">
        <f>+IF(MAYO!S164=0,"",MAYO!S164)</f>
        <v>2020202-7</v>
      </c>
      <c r="T164" s="694" t="str">
        <f>+IF(MAYO!T164=0,"",MAYO!T164)</f>
        <v>Servicios de Laboratorio contratados con terceros</v>
      </c>
      <c r="U164" s="27">
        <f>+ENERO!U164</f>
        <v>21580478</v>
      </c>
      <c r="V164" s="15">
        <f>MAYO!V164+JUNIO!AL164</f>
        <v>0</v>
      </c>
      <c r="W164" s="15">
        <f>MAYO!W164+JUNIO!AM164</f>
        <v>0</v>
      </c>
      <c r="X164" s="18">
        <f t="shared" si="150"/>
        <v>21580478</v>
      </c>
      <c r="Y164" s="19">
        <f>MAYO!AA164</f>
        <v>11678100</v>
      </c>
      <c r="Z164" s="377">
        <v>2550800</v>
      </c>
      <c r="AA164" s="18">
        <f t="shared" si="151"/>
        <v>14228900</v>
      </c>
      <c r="AB164" s="19">
        <f>MAYO!AD164</f>
        <v>11678100</v>
      </c>
      <c r="AC164" s="377">
        <v>2544800</v>
      </c>
      <c r="AD164" s="18">
        <f t="shared" si="152"/>
        <v>14222900</v>
      </c>
      <c r="AE164" s="19">
        <f>MAYO!AG164</f>
        <v>4493400</v>
      </c>
      <c r="AF164" s="377">
        <v>2806400</v>
      </c>
      <c r="AG164" s="18">
        <f t="shared" si="153"/>
        <v>7299800</v>
      </c>
      <c r="AH164" s="19">
        <f t="shared" si="154"/>
        <v>7351578</v>
      </c>
      <c r="AI164" s="15">
        <f t="shared" si="155"/>
        <v>7357578</v>
      </c>
      <c r="AJ164" s="16">
        <f t="shared" si="156"/>
        <v>14280678</v>
      </c>
      <c r="AK164" s="9"/>
      <c r="AL164" s="375">
        <v>0</v>
      </c>
      <c r="AM164" s="378">
        <v>0</v>
      </c>
      <c r="AN164" s="9"/>
    </row>
    <row r="165" spans="1:40" s="385" customFormat="1" ht="24.95" customHeight="1" x14ac:dyDescent="0.2">
      <c r="A165" s="767"/>
      <c r="B165" s="668"/>
      <c r="N165" s="9"/>
      <c r="P165" s="9"/>
      <c r="Q165" s="9"/>
      <c r="R165" s="9"/>
      <c r="S165" s="720" t="str">
        <f>+IF(MAYO!S165=0,"",MAYO!S165)</f>
        <v>2020202-8</v>
      </c>
      <c r="T165" s="694" t="str">
        <f>+IF(MAYO!T165=0,"",MAYO!T165)</f>
        <v>Servicios de Rayos X e Imaginología contratado con terceros</v>
      </c>
      <c r="U165" s="27">
        <f>+ENERO!U165</f>
        <v>0</v>
      </c>
      <c r="V165" s="15">
        <f>MAYO!V165+JUNIO!AL165</f>
        <v>0</v>
      </c>
      <c r="W165" s="15">
        <f>MAYO!W165+JUNIO!AM165</f>
        <v>0</v>
      </c>
      <c r="X165" s="18">
        <f t="shared" si="150"/>
        <v>0</v>
      </c>
      <c r="Y165" s="19">
        <f>MAYO!AA165</f>
        <v>0</v>
      </c>
      <c r="Z165" s="377">
        <v>0</v>
      </c>
      <c r="AA165" s="18">
        <f t="shared" si="151"/>
        <v>0</v>
      </c>
      <c r="AB165" s="19">
        <f>MAYO!AD165</f>
        <v>0</v>
      </c>
      <c r="AC165" s="377">
        <v>0</v>
      </c>
      <c r="AD165" s="18">
        <f t="shared" si="152"/>
        <v>0</v>
      </c>
      <c r="AE165" s="19">
        <f>MAYO!AG165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+IF(MAYO!S166=0,"",MAYO!S166)</f>
        <v>2020202-9</v>
      </c>
      <c r="T166" s="694" t="str">
        <f>+IF(MAYO!T166=0,"",MAYO!T166)</f>
        <v>Arrendamientos</v>
      </c>
      <c r="U166" s="27">
        <f>+ENERO!U166</f>
        <v>66889324</v>
      </c>
      <c r="V166" s="15">
        <f>MAYO!V166+JUNIO!AL166</f>
        <v>0</v>
      </c>
      <c r="W166" s="15">
        <f>MAYO!W166+JUNIO!AM166</f>
        <v>0</v>
      </c>
      <c r="X166" s="18">
        <f t="shared" si="150"/>
        <v>66889324</v>
      </c>
      <c r="Y166" s="19">
        <f>MAYO!AA166</f>
        <v>63619700</v>
      </c>
      <c r="Z166" s="377">
        <v>0</v>
      </c>
      <c r="AA166" s="18">
        <f t="shared" si="151"/>
        <v>63619700</v>
      </c>
      <c r="AB166" s="19">
        <f>MAYO!AD166</f>
        <v>26415238</v>
      </c>
      <c r="AC166" s="377">
        <v>5068472</v>
      </c>
      <c r="AD166" s="18">
        <f t="shared" si="152"/>
        <v>31483710</v>
      </c>
      <c r="AE166" s="19">
        <f>MAYO!AG166</f>
        <v>16224400</v>
      </c>
      <c r="AF166" s="377">
        <v>5122366</v>
      </c>
      <c r="AG166" s="18">
        <f t="shared" si="153"/>
        <v>21346766</v>
      </c>
      <c r="AH166" s="19">
        <f t="shared" si="154"/>
        <v>3269624</v>
      </c>
      <c r="AI166" s="15">
        <f t="shared" si="155"/>
        <v>35405614</v>
      </c>
      <c r="AJ166" s="16">
        <f t="shared" si="156"/>
        <v>45542558</v>
      </c>
      <c r="AK166" s="9"/>
      <c r="AL166" s="375">
        <v>0</v>
      </c>
      <c r="AM166" s="378">
        <v>0</v>
      </c>
      <c r="AN166" s="9"/>
    </row>
    <row r="167" spans="1:40" s="385" customFormat="1" ht="24.95" customHeight="1" x14ac:dyDescent="0.2">
      <c r="A167" s="767"/>
      <c r="B167" s="668"/>
      <c r="N167" s="9"/>
      <c r="P167" s="9"/>
      <c r="Q167" s="9"/>
      <c r="R167" s="9"/>
      <c r="S167" s="720" t="str">
        <f>+IF(MAYO!S167=0,"",MAYO!S167)</f>
        <v>2020202-10</v>
      </c>
      <c r="T167" s="694" t="str">
        <f>+IF(MAYO!T167=0,"",MAYO!T167)</f>
        <v>Servicios Públicos</v>
      </c>
      <c r="U167" s="27">
        <f>+ENERO!U167</f>
        <v>0</v>
      </c>
      <c r="V167" s="15">
        <f>MAYO!V167+JUNIO!AL167</f>
        <v>0</v>
      </c>
      <c r="W167" s="15">
        <f>MAYO!W167+JUNIO!AM167</f>
        <v>0</v>
      </c>
      <c r="X167" s="18">
        <f>SUM(U167:W167)</f>
        <v>0</v>
      </c>
      <c r="Y167" s="19">
        <f>MAYO!AA167</f>
        <v>0</v>
      </c>
      <c r="Z167" s="377">
        <v>0</v>
      </c>
      <c r="AA167" s="18">
        <f>SUM(Y167:Z167)</f>
        <v>0</v>
      </c>
      <c r="AB167" s="19">
        <f>MAYO!AD167</f>
        <v>0</v>
      </c>
      <c r="AC167" s="377">
        <v>0</v>
      </c>
      <c r="AD167" s="18">
        <f>SUM(AB167:AC167)</f>
        <v>0</v>
      </c>
      <c r="AE167" s="19">
        <f>MAYO!AG167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+IF(MAYO!S168=0,"",MAYO!S168)</f>
        <v>2020299</v>
      </c>
      <c r="T168" s="693" t="str">
        <f>+IF(MAYO!T168=0,"",MAYO!T168)</f>
        <v>Vigencias Anteriores</v>
      </c>
      <c r="U168" s="27">
        <f>+ENERO!U168</f>
        <v>0</v>
      </c>
      <c r="V168" s="15">
        <f>MAYO!V168+JUNIO!AL168</f>
        <v>0</v>
      </c>
      <c r="W168" s="15">
        <f>MAYO!W168+JUNIO!AM168</f>
        <v>28537671</v>
      </c>
      <c r="X168" s="18">
        <f t="shared" si="150"/>
        <v>28537671</v>
      </c>
      <c r="Y168" s="19">
        <f>MAYO!AA168</f>
        <v>28537671</v>
      </c>
      <c r="Z168" s="377">
        <v>0</v>
      </c>
      <c r="AA168" s="18">
        <f t="shared" si="151"/>
        <v>28537671</v>
      </c>
      <c r="AB168" s="19">
        <f>MAYO!AD168</f>
        <v>28537671</v>
      </c>
      <c r="AC168" s="377">
        <v>0</v>
      </c>
      <c r="AD168" s="18">
        <f t="shared" si="152"/>
        <v>28537671</v>
      </c>
      <c r="AE168" s="19">
        <f>MAYO!AG168</f>
        <v>21367637</v>
      </c>
      <c r="AF168" s="377">
        <v>0</v>
      </c>
      <c r="AG168" s="18">
        <f t="shared" si="153"/>
        <v>21367637</v>
      </c>
      <c r="AH168" s="19">
        <f t="shared" si="154"/>
        <v>0</v>
      </c>
      <c r="AI168" s="15">
        <f t="shared" si="155"/>
        <v>0</v>
      </c>
      <c r="AJ168" s="16">
        <f t="shared" si="156"/>
        <v>7170034</v>
      </c>
      <c r="AK168" s="9"/>
      <c r="AL168" s="375">
        <v>0</v>
      </c>
      <c r="AM168" s="378">
        <v>0</v>
      </c>
      <c r="AN168" s="9"/>
    </row>
    <row r="169" spans="1:40" s="385" customFormat="1" ht="24.95" customHeight="1" x14ac:dyDescent="0.2">
      <c r="A169" s="767"/>
      <c r="B169" s="668"/>
      <c r="N169" s="9"/>
      <c r="P169" s="9"/>
      <c r="Q169" s="9"/>
      <c r="R169" s="9"/>
      <c r="S169" s="369" t="str">
        <f>+IF(MAYO!S169=0,"",MAYO!S169)</f>
        <v/>
      </c>
      <c r="T169" s="708" t="str">
        <f>+IF(MAYO!T169=0,"",MAYO!T169)</f>
        <v/>
      </c>
      <c r="U169" s="164"/>
      <c r="V169" s="164"/>
      <c r="W169" s="164"/>
      <c r="X169" s="164"/>
      <c r="Y169" s="164"/>
      <c r="Z169" s="164"/>
      <c r="AA169" s="164"/>
      <c r="AB169" s="164"/>
      <c r="AC169" s="164"/>
      <c r="AD169" s="164"/>
      <c r="AE169" s="164"/>
      <c r="AF169" s="164"/>
      <c r="AG169" s="164"/>
      <c r="AH169" s="164"/>
      <c r="AI169" s="164"/>
      <c r="AJ169" s="169"/>
      <c r="AK169" s="9"/>
      <c r="AL169" s="175"/>
      <c r="AM169" s="176"/>
      <c r="AN169" s="9"/>
    </row>
    <row r="170" spans="1:40" s="385" customFormat="1" ht="24.95" customHeight="1" x14ac:dyDescent="0.2">
      <c r="A170" s="767"/>
      <c r="B170" s="668"/>
      <c r="N170" s="9"/>
      <c r="P170" s="9"/>
      <c r="Q170" s="9"/>
      <c r="R170" s="9"/>
      <c r="S170" s="717">
        <f>+IF(MAYO!S170=0,"",MAYO!S170)</f>
        <v>3000000</v>
      </c>
      <c r="T170" s="697" t="str">
        <f>+IF(MAYO!T170=0,"",MAYO!T170)</f>
        <v>TRANSFERENCIAS CORRIENTES</v>
      </c>
      <c r="U170" s="473">
        <f t="shared" ref="U170:AJ170" si="157">U172+U176+U185</f>
        <v>60072284</v>
      </c>
      <c r="V170" s="474">
        <f t="shared" si="157"/>
        <v>0</v>
      </c>
      <c r="W170" s="474">
        <f t="shared" si="157"/>
        <v>14421810</v>
      </c>
      <c r="X170" s="475">
        <f t="shared" si="157"/>
        <v>74494094</v>
      </c>
      <c r="Y170" s="382">
        <f t="shared" si="157"/>
        <v>28629634</v>
      </c>
      <c r="Z170" s="474">
        <f t="shared" si="157"/>
        <v>2867562</v>
      </c>
      <c r="AA170" s="475">
        <f t="shared" si="157"/>
        <v>31497196</v>
      </c>
      <c r="AB170" s="382">
        <f t="shared" si="157"/>
        <v>28629634</v>
      </c>
      <c r="AC170" s="474">
        <f t="shared" si="157"/>
        <v>2544030</v>
      </c>
      <c r="AD170" s="475">
        <f t="shared" si="157"/>
        <v>31173664</v>
      </c>
      <c r="AE170" s="382">
        <f t="shared" si="157"/>
        <v>23248611</v>
      </c>
      <c r="AF170" s="474">
        <f t="shared" si="157"/>
        <v>0</v>
      </c>
      <c r="AG170" s="475">
        <f t="shared" si="157"/>
        <v>23248611</v>
      </c>
      <c r="AH170" s="382">
        <f t="shared" si="157"/>
        <v>42996898</v>
      </c>
      <c r="AI170" s="474">
        <f t="shared" si="157"/>
        <v>43320430</v>
      </c>
      <c r="AJ170" s="383">
        <f t="shared" si="157"/>
        <v>51245483</v>
      </c>
      <c r="AK170" s="9"/>
      <c r="AL170" s="131">
        <f>AL172+AL176+AL185</f>
        <v>0</v>
      </c>
      <c r="AM170" s="133">
        <f>AM172+AM176+AM185</f>
        <v>0</v>
      </c>
      <c r="AN170" s="9"/>
    </row>
    <row r="171" spans="1:40" s="385" customFormat="1" ht="24.95" customHeight="1" x14ac:dyDescent="0.2">
      <c r="A171" s="767"/>
      <c r="B171" s="668"/>
      <c r="N171" s="9"/>
      <c r="P171" s="9"/>
      <c r="Q171" s="9"/>
      <c r="R171" s="9"/>
      <c r="S171" s="369" t="str">
        <f>+IF(MAYO!S171=0,"",MAYO!S171)</f>
        <v/>
      </c>
      <c r="T171" s="708" t="str">
        <f>+IF(MAYO!T171=0,"",MAYO!T171)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+IF(MAYO!S172=0,"",MAYO!S172)</f>
        <v>3100000</v>
      </c>
      <c r="T172" s="692" t="str">
        <f>+IF(MAYO!T172=0,"",MAYO!T172)</f>
        <v>Transferencias al Sector Público</v>
      </c>
      <c r="U172" s="135">
        <f t="shared" ref="U172:AJ172" si="158">SUM(U173:U174)</f>
        <v>5285000</v>
      </c>
      <c r="V172" s="124">
        <f t="shared" si="158"/>
        <v>0</v>
      </c>
      <c r="W172" s="124">
        <f t="shared" si="158"/>
        <v>243136</v>
      </c>
      <c r="X172" s="132">
        <f t="shared" si="158"/>
        <v>5528136</v>
      </c>
      <c r="Y172" s="131">
        <f t="shared" si="158"/>
        <v>1860796</v>
      </c>
      <c r="Z172" s="124">
        <f t="shared" si="158"/>
        <v>323532</v>
      </c>
      <c r="AA172" s="132">
        <f t="shared" si="158"/>
        <v>2184328</v>
      </c>
      <c r="AB172" s="131">
        <f t="shared" si="158"/>
        <v>1860796</v>
      </c>
      <c r="AC172" s="124">
        <f t="shared" si="158"/>
        <v>0</v>
      </c>
      <c r="AD172" s="132">
        <f t="shared" si="158"/>
        <v>1860796</v>
      </c>
      <c r="AE172" s="131">
        <f t="shared" si="158"/>
        <v>1860796</v>
      </c>
      <c r="AF172" s="124">
        <f t="shared" si="158"/>
        <v>0</v>
      </c>
      <c r="AG172" s="132">
        <f t="shared" si="158"/>
        <v>1860796</v>
      </c>
      <c r="AH172" s="131">
        <f t="shared" si="158"/>
        <v>3343808</v>
      </c>
      <c r="AI172" s="124">
        <f t="shared" si="158"/>
        <v>3667340</v>
      </c>
      <c r="AJ172" s="133">
        <f t="shared" si="158"/>
        <v>3667340</v>
      </c>
      <c r="AK172" s="9"/>
      <c r="AL172" s="131">
        <f>SUM(AL173:AL174)</f>
        <v>0</v>
      </c>
      <c r="AM172" s="133">
        <f>SUM(AM173:AM174)</f>
        <v>0</v>
      </c>
      <c r="AN172" s="9"/>
    </row>
    <row r="173" spans="1:40" s="385" customFormat="1" ht="24.95" customHeight="1" x14ac:dyDescent="0.2">
      <c r="A173" s="767"/>
      <c r="B173" s="668"/>
      <c r="N173" s="9"/>
      <c r="P173" s="9"/>
      <c r="Q173" s="9"/>
      <c r="R173" s="9"/>
      <c r="S173" s="719">
        <f>+IF(MAYO!S173=0,"",MAYO!S173)</f>
        <v>3100003</v>
      </c>
      <c r="T173" s="693" t="str">
        <f>+IF(MAYO!T173=0,"",MAYO!T173)</f>
        <v>Entidades Públicas (Contraloria, Supersalud,…)</v>
      </c>
      <c r="U173" s="27">
        <f>+ENERO!U173</f>
        <v>5285000</v>
      </c>
      <c r="V173" s="15">
        <f>MAYO!V173+JUNIO!AL173</f>
        <v>0</v>
      </c>
      <c r="W173" s="15">
        <f>MAYO!W173+JUNIO!AM173</f>
        <v>0</v>
      </c>
      <c r="X173" s="18">
        <f>SUM(U173:W173)</f>
        <v>5285000</v>
      </c>
      <c r="Y173" s="19">
        <f>MAYO!AA173</f>
        <v>1617660</v>
      </c>
      <c r="Z173" s="377">
        <v>323532</v>
      </c>
      <c r="AA173" s="18">
        <f>SUM(Y173:Z173)</f>
        <v>1941192</v>
      </c>
      <c r="AB173" s="19">
        <f>MAYO!AD173</f>
        <v>1617660</v>
      </c>
      <c r="AC173" s="377">
        <v>0</v>
      </c>
      <c r="AD173" s="18">
        <f>SUM(AB173:AC173)</f>
        <v>1617660</v>
      </c>
      <c r="AE173" s="19">
        <f>MAYO!AG173</f>
        <v>1617660</v>
      </c>
      <c r="AF173" s="377">
        <v>0</v>
      </c>
      <c r="AG173" s="18">
        <f>SUM(AE173:AF173)</f>
        <v>1617660</v>
      </c>
      <c r="AH173" s="19">
        <f>X173-AA173</f>
        <v>3343808</v>
      </c>
      <c r="AI173" s="15">
        <f>X173-AD173</f>
        <v>3667340</v>
      </c>
      <c r="AJ173" s="16">
        <f>X173-AG173</f>
        <v>3667340</v>
      </c>
      <c r="AK173" s="9"/>
      <c r="AL173" s="375">
        <v>0</v>
      </c>
      <c r="AM173" s="378">
        <v>0</v>
      </c>
      <c r="AN173" s="9"/>
    </row>
    <row r="174" spans="1:40" s="385" customFormat="1" ht="24.95" customHeight="1" x14ac:dyDescent="0.2">
      <c r="A174" s="767"/>
      <c r="B174" s="668"/>
      <c r="N174" s="9"/>
      <c r="P174" s="9"/>
      <c r="Q174" s="9"/>
      <c r="R174" s="9"/>
      <c r="S174" s="719">
        <f>+IF(MAYO!S174=0,"",MAYO!S174)</f>
        <v>3199999</v>
      </c>
      <c r="T174" s="693" t="str">
        <f>+IF(MAYO!T174=0,"",MAYO!T174)</f>
        <v>Vigencias Anteriores</v>
      </c>
      <c r="U174" s="27">
        <f>+ENERO!U174</f>
        <v>0</v>
      </c>
      <c r="V174" s="15">
        <f>MAYO!V174+JUNIO!AL174</f>
        <v>0</v>
      </c>
      <c r="W174" s="15">
        <f>MAYO!W174+JUNIO!AM174</f>
        <v>243136</v>
      </c>
      <c r="X174" s="18">
        <f>SUM(U174:W174)</f>
        <v>243136</v>
      </c>
      <c r="Y174" s="19">
        <f>MAYO!AA174</f>
        <v>243136</v>
      </c>
      <c r="Z174" s="377">
        <v>0</v>
      </c>
      <c r="AA174" s="18">
        <f>SUM(Y174:Z174)</f>
        <v>243136</v>
      </c>
      <c r="AB174" s="19">
        <f>MAYO!AD174</f>
        <v>243136</v>
      </c>
      <c r="AC174" s="377">
        <v>0</v>
      </c>
      <c r="AD174" s="18">
        <f>SUM(AB174:AC174)</f>
        <v>243136</v>
      </c>
      <c r="AE174" s="19">
        <f>MAYO!AG174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+IF(MAYO!S175=0,"",MAYO!S175)</f>
        <v/>
      </c>
      <c r="T175" s="708" t="str">
        <f>+IF(MAYO!T175=0,"",MAYO!T175)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+IF(MAYO!S176=0,"",MAYO!S176)</f>
        <v>320000</v>
      </c>
      <c r="T176" s="692" t="str">
        <f>+IF(MAYO!T176=0,"",MAYO!T176)</f>
        <v>Transf. Previsión y Seguridad Social</v>
      </c>
      <c r="U176" s="135">
        <f t="shared" ref="U176:AJ176" si="159">SUM(U177:U183)</f>
        <v>51170820</v>
      </c>
      <c r="V176" s="124">
        <f t="shared" si="159"/>
        <v>0</v>
      </c>
      <c r="W176" s="124">
        <f t="shared" si="159"/>
        <v>8290292</v>
      </c>
      <c r="X176" s="132">
        <f t="shared" si="159"/>
        <v>59461112</v>
      </c>
      <c r="Y176" s="131">
        <f t="shared" si="159"/>
        <v>21011534</v>
      </c>
      <c r="Z176" s="124">
        <f t="shared" si="159"/>
        <v>2544030</v>
      </c>
      <c r="AA176" s="132">
        <f t="shared" si="159"/>
        <v>23555564</v>
      </c>
      <c r="AB176" s="131">
        <f t="shared" si="159"/>
        <v>21011534</v>
      </c>
      <c r="AC176" s="124">
        <f t="shared" si="159"/>
        <v>2544030</v>
      </c>
      <c r="AD176" s="132">
        <f t="shared" si="159"/>
        <v>23555564</v>
      </c>
      <c r="AE176" s="131">
        <f t="shared" si="159"/>
        <v>20999433</v>
      </c>
      <c r="AF176" s="124">
        <f t="shared" si="159"/>
        <v>0</v>
      </c>
      <c r="AG176" s="132">
        <f t="shared" si="159"/>
        <v>20999433</v>
      </c>
      <c r="AH176" s="131">
        <f t="shared" si="159"/>
        <v>35905548</v>
      </c>
      <c r="AI176" s="124">
        <f t="shared" si="159"/>
        <v>35905548</v>
      </c>
      <c r="AJ176" s="133">
        <f t="shared" si="159"/>
        <v>38461679</v>
      </c>
      <c r="AK176" s="9"/>
      <c r="AL176" s="131">
        <f>SUM(AL177:AL183)</f>
        <v>0</v>
      </c>
      <c r="AM176" s="133">
        <f>SUM(AM177:AM183)</f>
        <v>0</v>
      </c>
      <c r="AN176" s="9"/>
    </row>
    <row r="177" spans="1:40" s="385" customFormat="1" ht="24.95" customHeight="1" x14ac:dyDescent="0.2">
      <c r="A177" s="767"/>
      <c r="B177" s="668"/>
      <c r="N177" s="9"/>
      <c r="P177" s="9"/>
      <c r="Q177" s="9"/>
      <c r="R177" s="9"/>
      <c r="S177" s="719">
        <f>+IF(MAYO!S177=0,"",MAYO!S177)</f>
        <v>3200100</v>
      </c>
      <c r="T177" s="693" t="str">
        <f>+IF(MAYO!T177=0,"",MAYO!T177)</f>
        <v>Pensiones y Jubilaciones (Pago Directo)</v>
      </c>
      <c r="U177" s="27">
        <f>+ENERO!U177</f>
        <v>39279816</v>
      </c>
      <c r="V177" s="15">
        <f>MAYO!V177+JUNIO!AL177</f>
        <v>0</v>
      </c>
      <c r="W177" s="15">
        <f>MAYO!W177+JUNIO!AM177</f>
        <v>0</v>
      </c>
      <c r="X177" s="18">
        <f t="shared" ref="X177:X183" si="160">SUM(U177:W177)</f>
        <v>39279816</v>
      </c>
      <c r="Y177" s="19">
        <f>MAYO!AA177</f>
        <v>12721242</v>
      </c>
      <c r="Z177" s="377">
        <v>2544030</v>
      </c>
      <c r="AA177" s="18">
        <f t="shared" ref="AA177:AA183" si="161">SUM(Y177:Z177)</f>
        <v>15265272</v>
      </c>
      <c r="AB177" s="19">
        <f>MAYO!AD177</f>
        <v>12721242</v>
      </c>
      <c r="AC177" s="377">
        <v>2544030</v>
      </c>
      <c r="AD177" s="18">
        <f t="shared" ref="AD177:AD183" si="162">SUM(AB177:AC177)</f>
        <v>15265272</v>
      </c>
      <c r="AE177" s="19">
        <f>MAYO!AG177</f>
        <v>12721242</v>
      </c>
      <c r="AF177" s="377">
        <v>0</v>
      </c>
      <c r="AG177" s="18">
        <f t="shared" ref="AG177:AG183" si="163">SUM(AE177:AF177)</f>
        <v>12721242</v>
      </c>
      <c r="AH177" s="19">
        <f t="shared" ref="AH177:AH183" si="164">X177-AA177</f>
        <v>24014544</v>
      </c>
      <c r="AI177" s="15">
        <f t="shared" ref="AI177:AI183" si="165">X177-AD177</f>
        <v>24014544</v>
      </c>
      <c r="AJ177" s="16">
        <f t="shared" ref="AJ177:AJ183" si="166">X177-AG177</f>
        <v>26558574</v>
      </c>
      <c r="AK177" s="9"/>
      <c r="AL177" s="375">
        <v>0</v>
      </c>
      <c r="AM177" s="378">
        <v>0</v>
      </c>
      <c r="AN177" s="9"/>
    </row>
    <row r="178" spans="1:40" s="385" customFormat="1" ht="24.95" customHeight="1" x14ac:dyDescent="0.2">
      <c r="A178" s="767"/>
      <c r="B178" s="668"/>
      <c r="N178" s="9"/>
      <c r="P178" s="9"/>
      <c r="Q178" s="9"/>
      <c r="R178" s="9"/>
      <c r="S178" s="719">
        <f>+IF(MAYO!S178=0,"",MAYO!S178)</f>
        <v>3200200</v>
      </c>
      <c r="T178" s="693" t="str">
        <f>+IF(MAYO!T178=0,"",MAYO!T178)</f>
        <v>Cesantías Pago Directo (Pago Directo)</v>
      </c>
      <c r="U178" s="27">
        <f>+ENERO!U178</f>
        <v>11891004</v>
      </c>
      <c r="V178" s="15">
        <f>MAYO!V178+JUNIO!AL178</f>
        <v>0</v>
      </c>
      <c r="W178" s="15">
        <f>MAYO!W178+JUNIO!AM178</f>
        <v>0</v>
      </c>
      <c r="X178" s="18">
        <f t="shared" si="160"/>
        <v>11891004</v>
      </c>
      <c r="Y178" s="19">
        <f>MAYO!AA178</f>
        <v>0</v>
      </c>
      <c r="Z178" s="377">
        <v>0</v>
      </c>
      <c r="AA178" s="18">
        <f t="shared" si="161"/>
        <v>0</v>
      </c>
      <c r="AB178" s="19">
        <f>MAYO!AD178</f>
        <v>0</v>
      </c>
      <c r="AC178" s="377">
        <v>0</v>
      </c>
      <c r="AD178" s="18">
        <f t="shared" si="162"/>
        <v>0</v>
      </c>
      <c r="AE178" s="19">
        <f>MAYO!AG178</f>
        <v>0</v>
      </c>
      <c r="AF178" s="377">
        <v>0</v>
      </c>
      <c r="AG178" s="18">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+IF(MAYO!S179=0,"",MAYO!S179)</f>
        <v>3200300</v>
      </c>
      <c r="T179" s="693" t="str">
        <f>+IF(MAYO!T179=0,"",MAYO!T179)</f>
        <v>Bonos, Cuotas de Bonos y cuotas partes jubilatorias</v>
      </c>
      <c r="U179" s="27">
        <f>+ENERO!U179</f>
        <v>0</v>
      </c>
      <c r="V179" s="15">
        <f>MAYO!V179+JUNIO!AL179</f>
        <v>0</v>
      </c>
      <c r="W179" s="15">
        <f>MAYO!W179+JUNIO!AM179</f>
        <v>0</v>
      </c>
      <c r="X179" s="18">
        <f t="shared" si="160"/>
        <v>0</v>
      </c>
      <c r="Y179" s="19">
        <f>MAYO!AA179</f>
        <v>0</v>
      </c>
      <c r="Z179" s="377">
        <v>0</v>
      </c>
      <c r="AA179" s="18">
        <f t="shared" si="161"/>
        <v>0</v>
      </c>
      <c r="AB179" s="19">
        <f>MAYO!AD179</f>
        <v>0</v>
      </c>
      <c r="AC179" s="377">
        <v>0</v>
      </c>
      <c r="AD179" s="18">
        <f t="shared" si="162"/>
        <v>0</v>
      </c>
      <c r="AE179" s="19">
        <f>MAYO!AG179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+IF(MAYO!S180=0,"",MAYO!S180)</f>
        <v>3200400</v>
      </c>
      <c r="T180" s="693" t="str">
        <f>+IF(MAYO!T180=0,"",MAYO!T180)</f>
        <v>Intereses a las cesantias</v>
      </c>
      <c r="U180" s="27">
        <f>+ENERO!U180</f>
        <v>0</v>
      </c>
      <c r="V180" s="15">
        <f>MAYO!V180+JUNIO!AL180</f>
        <v>0</v>
      </c>
      <c r="W180" s="15">
        <f>MAYO!W180+JUNIO!AM180</f>
        <v>0</v>
      </c>
      <c r="X180" s="18">
        <f t="shared" si="160"/>
        <v>0</v>
      </c>
      <c r="Y180" s="19">
        <f>MAYO!AA180</f>
        <v>0</v>
      </c>
      <c r="Z180" s="377">
        <v>0</v>
      </c>
      <c r="AA180" s="18">
        <f t="shared" si="161"/>
        <v>0</v>
      </c>
      <c r="AB180" s="19">
        <f>MAYO!AD180</f>
        <v>0</v>
      </c>
      <c r="AC180" s="377">
        <v>0</v>
      </c>
      <c r="AD180" s="18">
        <f t="shared" si="162"/>
        <v>0</v>
      </c>
      <c r="AE180" s="19">
        <f>MAYO!AG180</f>
        <v>0</v>
      </c>
      <c r="AF180" s="377">
        <v>0</v>
      </c>
      <c r="AG180" s="18">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+IF(MAYO!S181=0,"",MAYO!S181)</f>
        <v/>
      </c>
      <c r="T181" s="693" t="str">
        <f>+IF(MAYO!T181=0,"",MAYO!T181)</f>
        <v/>
      </c>
      <c r="U181" s="27">
        <f>+ENERO!U181</f>
        <v>0</v>
      </c>
      <c r="V181" s="15">
        <f>MAYO!V181+JUNIO!AL181</f>
        <v>0</v>
      </c>
      <c r="W181" s="15">
        <f>MAYO!W181+JUNIO!AM181</f>
        <v>0</v>
      </c>
      <c r="X181" s="18">
        <f t="shared" si="160"/>
        <v>0</v>
      </c>
      <c r="Y181" s="19">
        <f>MAYO!AA181</f>
        <v>0</v>
      </c>
      <c r="Z181" s="377">
        <v>0</v>
      </c>
      <c r="AA181" s="18">
        <f t="shared" si="161"/>
        <v>0</v>
      </c>
      <c r="AB181" s="19">
        <f>MAYO!AD181</f>
        <v>0</v>
      </c>
      <c r="AC181" s="377">
        <v>0</v>
      </c>
      <c r="AD181" s="18">
        <f t="shared" si="162"/>
        <v>0</v>
      </c>
      <c r="AE181" s="19">
        <f>MAYO!AG181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+IF(MAYO!S182=0,"",MAYO!S182)</f>
        <v/>
      </c>
      <c r="T182" s="693" t="str">
        <f>+IF(MAYO!T182=0,"",MAYO!T182)</f>
        <v/>
      </c>
      <c r="U182" s="27">
        <f>+ENERO!U182</f>
        <v>0</v>
      </c>
      <c r="V182" s="15">
        <f>MAYO!V182+JUNIO!AL182</f>
        <v>0</v>
      </c>
      <c r="W182" s="15">
        <f>MAYO!W182+JUNIO!AM182</f>
        <v>0</v>
      </c>
      <c r="X182" s="18">
        <f t="shared" si="160"/>
        <v>0</v>
      </c>
      <c r="Y182" s="19">
        <f>MAYO!AA182</f>
        <v>0</v>
      </c>
      <c r="Z182" s="377">
        <v>0</v>
      </c>
      <c r="AA182" s="18">
        <f t="shared" si="161"/>
        <v>0</v>
      </c>
      <c r="AB182" s="19">
        <f>MAYO!AD182</f>
        <v>0</v>
      </c>
      <c r="AC182" s="377">
        <v>0</v>
      </c>
      <c r="AD182" s="18">
        <f t="shared" si="162"/>
        <v>0</v>
      </c>
      <c r="AE182" s="19">
        <f>MAYO!AG182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+IF(MAYO!S183=0,"",MAYO!S183)</f>
        <v>3299999</v>
      </c>
      <c r="T183" s="693" t="str">
        <f>+IF(MAYO!T183=0,"",MAYO!T183)</f>
        <v>Vigencias Anteriores</v>
      </c>
      <c r="U183" s="27">
        <f>+ENERO!U183</f>
        <v>0</v>
      </c>
      <c r="V183" s="15">
        <f>MAYO!V183+JUNIO!AL183</f>
        <v>0</v>
      </c>
      <c r="W183" s="15">
        <f>MAYO!W183+JUNIO!AM183</f>
        <v>8290292</v>
      </c>
      <c r="X183" s="18">
        <f t="shared" si="160"/>
        <v>8290292</v>
      </c>
      <c r="Y183" s="19">
        <f>MAYO!AA183</f>
        <v>8290292</v>
      </c>
      <c r="Z183" s="377">
        <v>0</v>
      </c>
      <c r="AA183" s="18">
        <f t="shared" si="161"/>
        <v>8290292</v>
      </c>
      <c r="AB183" s="19">
        <f>MAYO!AD183</f>
        <v>8290292</v>
      </c>
      <c r="AC183" s="377">
        <v>0</v>
      </c>
      <c r="AD183" s="18">
        <f t="shared" si="162"/>
        <v>8290292</v>
      </c>
      <c r="AE183" s="19">
        <f>MAYO!AG183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+IF(MAYO!S184=0,"",MAYO!S184)</f>
        <v/>
      </c>
      <c r="T184" s="708" t="str">
        <f>+IF(MAYO!T184=0,"",MAYO!T184)</f>
        <v/>
      </c>
      <c r="U184" s="164"/>
      <c r="V184" s="164"/>
      <c r="W184" s="164"/>
      <c r="X184" s="164"/>
      <c r="Y184" s="164"/>
      <c r="Z184" s="164">
        <v>0</v>
      </c>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+IF(MAYO!S185=0,"",MAYO!S185)</f>
        <v>3300000</v>
      </c>
      <c r="T185" s="692" t="str">
        <f>+IF(MAYO!T185=0,"",MAYO!T185)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388382</v>
      </c>
      <c r="AF185" s="124">
        <f t="shared" si="167"/>
        <v>0</v>
      </c>
      <c r="AG185" s="132">
        <f t="shared" si="167"/>
        <v>388382</v>
      </c>
      <c r="AH185" s="131">
        <f t="shared" si="167"/>
        <v>3747542</v>
      </c>
      <c r="AI185" s="124">
        <f t="shared" si="167"/>
        <v>3747542</v>
      </c>
      <c r="AJ185" s="133">
        <f t="shared" si="167"/>
        <v>9116464</v>
      </c>
      <c r="AK185" s="9"/>
      <c r="AL185" s="131">
        <f>AL186+AL187+AL191</f>
        <v>0</v>
      </c>
      <c r="AM185" s="133">
        <f>AM186+AM187+AM191</f>
        <v>0</v>
      </c>
      <c r="AN185" s="9"/>
    </row>
    <row r="186" spans="1:40" s="385" customFormat="1" ht="24.95" customHeight="1" x14ac:dyDescent="0.2">
      <c r="A186" s="767"/>
      <c r="B186" s="668"/>
      <c r="N186" s="9"/>
      <c r="P186" s="9"/>
      <c r="Q186" s="9"/>
      <c r="R186" s="9"/>
      <c r="S186" s="719">
        <f>+IF(MAYO!S186=0,"",MAYO!S186)</f>
        <v>3300100</v>
      </c>
      <c r="T186" s="693" t="str">
        <f>+IF(MAYO!T186=0,"",MAYO!T186)</f>
        <v>Sentencias y Conciliaciones</v>
      </c>
      <c r="U186" s="27">
        <f>+ENERO!U186</f>
        <v>0</v>
      </c>
      <c r="V186" s="15">
        <f>MAYO!V186+JUNIO!AL186</f>
        <v>0</v>
      </c>
      <c r="W186" s="15">
        <f>MAYO!W186+JUNIO!AM186</f>
        <v>0</v>
      </c>
      <c r="X186" s="18">
        <f>SUM(U186:W186)</f>
        <v>0</v>
      </c>
      <c r="Y186" s="19">
        <f>MAYO!AA186</f>
        <v>0</v>
      </c>
      <c r="Z186" s="377">
        <v>0</v>
      </c>
      <c r="AA186" s="18">
        <f>SUM(Y186:Z186)</f>
        <v>0</v>
      </c>
      <c r="AB186" s="19">
        <f>MAYO!AD186</f>
        <v>0</v>
      </c>
      <c r="AC186" s="377">
        <v>0</v>
      </c>
      <c r="AD186" s="18">
        <f>SUM(AB186:AC186)</f>
        <v>0</v>
      </c>
      <c r="AE186" s="19">
        <f>MAYO!AG186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+IF(MAYO!S187=0,"",MAYO!S187)</f>
        <v>3300200</v>
      </c>
      <c r="T187" s="693" t="str">
        <f>+IF(MAYO!T187=0,"",MAYO!T187)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0</v>
      </c>
      <c r="AF187" s="145">
        <f t="shared" si="168"/>
        <v>0</v>
      </c>
      <c r="AG187" s="18">
        <f t="shared" si="168"/>
        <v>0</v>
      </c>
      <c r="AH187" s="19">
        <f t="shared" si="168"/>
        <v>3747542</v>
      </c>
      <c r="AI187" s="15">
        <f t="shared" si="168"/>
        <v>3747542</v>
      </c>
      <c r="AJ187" s="16">
        <f t="shared" si="168"/>
        <v>9116464</v>
      </c>
      <c r="AK187" s="9"/>
      <c r="AL187" s="29">
        <f t="shared" si="168"/>
        <v>0</v>
      </c>
      <c r="AM187" s="26">
        <f t="shared" si="168"/>
        <v>0</v>
      </c>
      <c r="AN187" s="9"/>
    </row>
    <row r="188" spans="1:40" s="385" customFormat="1" ht="24.95" customHeight="1" x14ac:dyDescent="0.2">
      <c r="A188" s="767"/>
      <c r="B188" s="669"/>
      <c r="N188" s="9"/>
      <c r="P188" s="9"/>
      <c r="Q188" s="9"/>
      <c r="R188" s="9"/>
      <c r="S188" s="720" t="str">
        <f>+IF(MAYO!S188=0,"",MAYO!S188)</f>
        <v>3300200-1</v>
      </c>
      <c r="T188" s="693" t="str">
        <f>+IF(MAYO!T188=0,"",MAYO!T188)</f>
        <v>COHAN</v>
      </c>
      <c r="U188" s="27">
        <f>+ENERO!U188</f>
        <v>793940</v>
      </c>
      <c r="V188" s="15">
        <f>MAYO!V188+JUNIO!AL188</f>
        <v>0</v>
      </c>
      <c r="W188" s="15">
        <f>MAYO!W188+JUNIO!AM188</f>
        <v>5500000</v>
      </c>
      <c r="X188" s="18">
        <f>SUM(U188:W188)</f>
        <v>6293940</v>
      </c>
      <c r="Y188" s="19">
        <f>MAYO!AA188</f>
        <v>2791522</v>
      </c>
      <c r="Z188" s="377">
        <v>0</v>
      </c>
      <c r="AA188" s="18">
        <f>SUM(Y188:Z188)</f>
        <v>2791522</v>
      </c>
      <c r="AB188" s="19">
        <f>MAYO!AD188</f>
        <v>2791522</v>
      </c>
      <c r="AC188" s="377">
        <v>0</v>
      </c>
      <c r="AD188" s="18">
        <f>SUM(AB188:AC188)</f>
        <v>2791522</v>
      </c>
      <c r="AE188" s="19">
        <f>MAYO!AG188</f>
        <v>0</v>
      </c>
      <c r="AF188" s="377">
        <v>0</v>
      </c>
      <c r="AG188" s="18">
        <f>SUM(AE188:AF188)</f>
        <v>0</v>
      </c>
      <c r="AH188" s="19">
        <f>X188-AA188</f>
        <v>3502418</v>
      </c>
      <c r="AI188" s="15">
        <f>X188-AD188</f>
        <v>3502418</v>
      </c>
      <c r="AJ188" s="16">
        <f>X188-AG188</f>
        <v>6293940</v>
      </c>
      <c r="AK188" s="9"/>
      <c r="AL188" s="375">
        <v>0</v>
      </c>
      <c r="AM188" s="378">
        <v>0</v>
      </c>
      <c r="AN188" s="9"/>
    </row>
    <row r="189" spans="1:40" s="385" customFormat="1" ht="24.95" customHeight="1" x14ac:dyDescent="0.2">
      <c r="A189" s="767"/>
      <c r="B189" s="669"/>
      <c r="N189" s="9"/>
      <c r="P189" s="9"/>
      <c r="Q189" s="9"/>
      <c r="R189" s="9"/>
      <c r="S189" s="720" t="str">
        <f>+IF(MAYO!S189=0,"",MAYO!S189)</f>
        <v>3300200-2</v>
      </c>
      <c r="T189" s="693" t="str">
        <f>+IF(MAYO!T189=0,"",MAYO!T189)</f>
        <v>AESA</v>
      </c>
      <c r="U189" s="27">
        <f>+ENERO!U189</f>
        <v>2822524</v>
      </c>
      <c r="V189" s="15">
        <f>MAYO!V189+JUNIO!AL189</f>
        <v>0</v>
      </c>
      <c r="W189" s="15">
        <f>MAYO!W189+JUNIO!AM189</f>
        <v>0</v>
      </c>
      <c r="X189" s="18">
        <f>SUM(U189:W189)</f>
        <v>2822524</v>
      </c>
      <c r="Y189" s="19">
        <f>MAYO!AA189</f>
        <v>2577400</v>
      </c>
      <c r="Z189" s="377">
        <v>0</v>
      </c>
      <c r="AA189" s="18">
        <f>SUM(Y189:Z189)</f>
        <v>2577400</v>
      </c>
      <c r="AB189" s="19">
        <f>MAYO!AD189</f>
        <v>2577400</v>
      </c>
      <c r="AC189" s="377">
        <v>0</v>
      </c>
      <c r="AD189" s="18">
        <f>SUM(AB189:AC189)</f>
        <v>2577400</v>
      </c>
      <c r="AE189" s="19">
        <f>MAYO!AG189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+IF(MAYO!S190=0,"",MAYO!S190)</f>
        <v>3300200-3</v>
      </c>
      <c r="T190" s="693" t="str">
        <f>+IF(MAYO!T190=0,"",MAYO!T190)</f>
        <v xml:space="preserve">OTRAS </v>
      </c>
      <c r="U190" s="27">
        <f>+ENERO!U190</f>
        <v>0</v>
      </c>
      <c r="V190" s="15">
        <f>MAYO!V190+JUNIO!AL190</f>
        <v>0</v>
      </c>
      <c r="W190" s="15">
        <f>MAYO!W190+JUNIO!AM190</f>
        <v>0</v>
      </c>
      <c r="X190" s="18">
        <f>SUM(U190:W190)</f>
        <v>0</v>
      </c>
      <c r="Y190" s="19">
        <f>MAYO!AA190</f>
        <v>0</v>
      </c>
      <c r="Z190" s="377">
        <v>0</v>
      </c>
      <c r="AA190" s="18">
        <f>SUM(Y190:Z190)</f>
        <v>0</v>
      </c>
      <c r="AB190" s="19">
        <f>MAYO!AD190</f>
        <v>0</v>
      </c>
      <c r="AC190" s="377">
        <v>0</v>
      </c>
      <c r="AD190" s="18">
        <f>SUM(AB190:AC190)</f>
        <v>0</v>
      </c>
      <c r="AE190" s="19">
        <f>MAYO!AG190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+IF(MAYO!S191=0,"",MAYO!S191)</f>
        <v>3399999</v>
      </c>
      <c r="T191" s="693" t="str">
        <f>+IF(MAYO!T191=0,"",MAYO!T191)</f>
        <v>Vigencias Anteriores</v>
      </c>
      <c r="U191" s="27">
        <f>+ENERO!U191</f>
        <v>0</v>
      </c>
      <c r="V191" s="15">
        <f>MAYO!V191+JUNIO!AL191</f>
        <v>0</v>
      </c>
      <c r="W191" s="15">
        <f>MAYO!W191+JUNIO!AM191</f>
        <v>388382</v>
      </c>
      <c r="X191" s="18">
        <f>SUM(U191:W191)</f>
        <v>388382</v>
      </c>
      <c r="Y191" s="19">
        <f>MAYO!AA191</f>
        <v>388382</v>
      </c>
      <c r="Z191" s="377">
        <v>0</v>
      </c>
      <c r="AA191" s="18">
        <f>SUM(Y191:Z191)</f>
        <v>388382</v>
      </c>
      <c r="AB191" s="19">
        <f>MAYO!AD191</f>
        <v>388382</v>
      </c>
      <c r="AC191" s="377">
        <v>0</v>
      </c>
      <c r="AD191" s="18">
        <f>SUM(AB191:AC191)</f>
        <v>388382</v>
      </c>
      <c r="AE191" s="19">
        <f>MAYO!AG191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+IF(MAYO!S192=0,"",MAYO!S192)</f>
        <v/>
      </c>
      <c r="T192" s="708" t="str">
        <f>+IF(MAYO!T192=0,"",MAYO!T192)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+IF(MAYO!S193=0,"",MAYO!S193)</f>
        <v>4000000</v>
      </c>
      <c r="T193" s="697" t="str">
        <f>+IF(MAYO!T193=0,"",MAYO!T193)</f>
        <v>GASTOS  DE PRESTACION DE SERVICIOS</v>
      </c>
      <c r="U193" s="473">
        <f t="shared" ref="U193:AJ193" si="169">U194</f>
        <v>272529328</v>
      </c>
      <c r="V193" s="474">
        <f t="shared" si="169"/>
        <v>0</v>
      </c>
      <c r="W193" s="474">
        <f t="shared" si="169"/>
        <v>196423942</v>
      </c>
      <c r="X193" s="475">
        <f t="shared" si="169"/>
        <v>468953270</v>
      </c>
      <c r="Y193" s="382">
        <f t="shared" si="169"/>
        <v>247283421</v>
      </c>
      <c r="Z193" s="474">
        <f t="shared" si="169"/>
        <v>25257303</v>
      </c>
      <c r="AA193" s="475">
        <f t="shared" si="169"/>
        <v>272540724</v>
      </c>
      <c r="AB193" s="382">
        <f t="shared" si="169"/>
        <v>225535104</v>
      </c>
      <c r="AC193" s="474">
        <f t="shared" si="169"/>
        <v>27674855</v>
      </c>
      <c r="AD193" s="475">
        <f t="shared" si="169"/>
        <v>253209959</v>
      </c>
      <c r="AE193" s="382">
        <f t="shared" si="169"/>
        <v>120233522</v>
      </c>
      <c r="AF193" s="474">
        <f t="shared" si="169"/>
        <v>17021448</v>
      </c>
      <c r="AG193" s="475">
        <f t="shared" si="169"/>
        <v>137254970</v>
      </c>
      <c r="AH193" s="382">
        <f t="shared" si="169"/>
        <v>196412546</v>
      </c>
      <c r="AI193" s="474">
        <f t="shared" si="169"/>
        <v>215743311</v>
      </c>
      <c r="AJ193" s="383">
        <f t="shared" si="169"/>
        <v>331698300</v>
      </c>
      <c r="AK193" s="9"/>
      <c r="AL193" s="131">
        <f>AL194</f>
        <v>0</v>
      </c>
      <c r="AM193" s="133">
        <f>AM194</f>
        <v>0</v>
      </c>
      <c r="AN193" s="9"/>
    </row>
    <row r="194" spans="1:40" s="385" customFormat="1" ht="24.95" customHeight="1" x14ac:dyDescent="0.2">
      <c r="A194" s="767"/>
      <c r="B194" s="669"/>
      <c r="N194" s="9"/>
      <c r="P194" s="9"/>
      <c r="Q194" s="9"/>
      <c r="R194" s="9"/>
      <c r="S194" s="718">
        <f>+IF(MAYO!S194=0,"",MAYO!S194)</f>
        <v>4100000</v>
      </c>
      <c r="T194" s="692" t="str">
        <f>+IF(MAYO!T194=0,"",MAYO!T194)</f>
        <v>Insumos y Suministros Hospitalarios</v>
      </c>
      <c r="U194" s="135">
        <f t="shared" ref="U194:AJ194" si="170">U195+U203+U205</f>
        <v>272529328</v>
      </c>
      <c r="V194" s="124">
        <f t="shared" si="170"/>
        <v>0</v>
      </c>
      <c r="W194" s="124">
        <f t="shared" si="170"/>
        <v>196423942</v>
      </c>
      <c r="X194" s="132">
        <f t="shared" si="170"/>
        <v>468953270</v>
      </c>
      <c r="Y194" s="131">
        <f t="shared" si="170"/>
        <v>247283421</v>
      </c>
      <c r="Z194" s="124">
        <f t="shared" si="170"/>
        <v>25257303</v>
      </c>
      <c r="AA194" s="132">
        <f t="shared" si="170"/>
        <v>272540724</v>
      </c>
      <c r="AB194" s="131">
        <f t="shared" si="170"/>
        <v>225535104</v>
      </c>
      <c r="AC194" s="124">
        <f t="shared" si="170"/>
        <v>27674855</v>
      </c>
      <c r="AD194" s="132">
        <f t="shared" si="170"/>
        <v>253209959</v>
      </c>
      <c r="AE194" s="131">
        <f t="shared" si="170"/>
        <v>120233522</v>
      </c>
      <c r="AF194" s="124">
        <f t="shared" si="170"/>
        <v>17021448</v>
      </c>
      <c r="AG194" s="132">
        <f t="shared" si="170"/>
        <v>137254970</v>
      </c>
      <c r="AH194" s="131">
        <f t="shared" si="170"/>
        <v>196412546</v>
      </c>
      <c r="AI194" s="124">
        <f t="shared" si="170"/>
        <v>215743311</v>
      </c>
      <c r="AJ194" s="133">
        <f t="shared" si="170"/>
        <v>331698300</v>
      </c>
      <c r="AK194" s="10"/>
      <c r="AL194" s="131">
        <f>AL195+AL203+AL205</f>
        <v>0</v>
      </c>
      <c r="AM194" s="133">
        <f>AM195+AM203+AM205</f>
        <v>0</v>
      </c>
      <c r="AN194" s="9"/>
    </row>
    <row r="195" spans="1:40" s="385" customFormat="1" ht="24.95" customHeight="1" x14ac:dyDescent="0.2">
      <c r="A195" s="767"/>
      <c r="B195" s="669"/>
      <c r="N195" s="9"/>
      <c r="P195" s="9"/>
      <c r="Q195" s="9"/>
      <c r="R195" s="9"/>
      <c r="S195" s="719">
        <f>+IF(MAYO!S195=0,"",MAYO!S195)</f>
        <v>4100100</v>
      </c>
      <c r="T195" s="693" t="str">
        <f>+IF(MAYO!T195=0,"",MAYO!T195)</f>
        <v>Compra de Bienes para la Prestacion de servicios</v>
      </c>
      <c r="U195" s="27">
        <f t="shared" ref="U195:AJ195" si="171">SUM(U196:U202)</f>
        <v>240561284</v>
      </c>
      <c r="V195" s="15">
        <f t="shared" si="171"/>
        <v>0</v>
      </c>
      <c r="W195" s="15">
        <f t="shared" si="171"/>
        <v>104588010</v>
      </c>
      <c r="X195" s="18">
        <f t="shared" si="171"/>
        <v>345149294</v>
      </c>
      <c r="Y195" s="19">
        <f t="shared" si="171"/>
        <v>140625323</v>
      </c>
      <c r="Z195" s="145">
        <f t="shared" si="171"/>
        <v>22505003</v>
      </c>
      <c r="AA195" s="18">
        <f t="shared" si="171"/>
        <v>163130326</v>
      </c>
      <c r="AB195" s="19">
        <f t="shared" si="171"/>
        <v>118877006</v>
      </c>
      <c r="AC195" s="145">
        <f t="shared" si="171"/>
        <v>24922555</v>
      </c>
      <c r="AD195" s="18">
        <f t="shared" si="171"/>
        <v>143799561</v>
      </c>
      <c r="AE195" s="19">
        <f t="shared" si="171"/>
        <v>18570756</v>
      </c>
      <c r="AF195" s="145">
        <f t="shared" si="171"/>
        <v>13201878</v>
      </c>
      <c r="AG195" s="18">
        <f t="shared" si="171"/>
        <v>31772634</v>
      </c>
      <c r="AH195" s="19">
        <f t="shared" si="171"/>
        <v>182018968</v>
      </c>
      <c r="AI195" s="15">
        <f t="shared" si="171"/>
        <v>201349733</v>
      </c>
      <c r="AJ195" s="16">
        <f t="shared" si="171"/>
        <v>313376660</v>
      </c>
      <c r="AK195" s="9"/>
      <c r="AL195" s="29">
        <f>SUM(AL196:AL202)</f>
        <v>0</v>
      </c>
      <c r="AM195" s="26">
        <f>SUM(AM196:AM202)</f>
        <v>0</v>
      </c>
      <c r="AN195" s="9"/>
    </row>
    <row r="196" spans="1:40" s="385" customFormat="1" ht="24.95" customHeight="1" x14ac:dyDescent="0.2">
      <c r="A196" s="767"/>
      <c r="B196" s="669"/>
      <c r="N196" s="9"/>
      <c r="P196" s="9"/>
      <c r="Q196" s="9"/>
      <c r="R196" s="9"/>
      <c r="S196" s="720" t="str">
        <f>+IF(MAYO!S196=0,"",MAYO!S196)</f>
        <v>4100100-1</v>
      </c>
      <c r="T196" s="694" t="str">
        <f>+IF(MAYO!T196=0,"",MAYO!T196)</f>
        <v>Productos Farmaceuticos</v>
      </c>
      <c r="U196" s="27">
        <f>+ENERO!U196</f>
        <v>145961721</v>
      </c>
      <c r="V196" s="15">
        <f>MAYO!V196+JUNIO!AL196</f>
        <v>0</v>
      </c>
      <c r="W196" s="15">
        <f>MAYO!W196+JUNIO!AM196</f>
        <v>102588010</v>
      </c>
      <c r="X196" s="18">
        <f t="shared" ref="X196:X202" si="172">SUM(U196:W196)</f>
        <v>248549731</v>
      </c>
      <c r="Y196" s="19">
        <f>MAYO!AA196</f>
        <v>95439113</v>
      </c>
      <c r="Z196" s="377">
        <v>12769306</v>
      </c>
      <c r="AA196" s="18">
        <f t="shared" ref="AA196:AA202" si="173">SUM(Y196:Z196)</f>
        <v>108208419</v>
      </c>
      <c r="AB196" s="19">
        <f>MAYO!AD196</f>
        <v>73690796</v>
      </c>
      <c r="AC196" s="377">
        <v>15186858</v>
      </c>
      <c r="AD196" s="18">
        <f t="shared" ref="AD196:AD202" si="174">SUM(AB196:AC196)</f>
        <v>88877654</v>
      </c>
      <c r="AE196" s="19">
        <f>MAYO!AG196</f>
        <v>7679858</v>
      </c>
      <c r="AF196" s="377">
        <v>10532776</v>
      </c>
      <c r="AG196" s="18">
        <f t="shared" ref="AG196:AG202" si="175">SUM(AE196:AF196)</f>
        <v>18212634</v>
      </c>
      <c r="AH196" s="19">
        <f t="shared" ref="AH196:AH202" si="176">X196-AA196</f>
        <v>140341312</v>
      </c>
      <c r="AI196" s="15">
        <f t="shared" ref="AI196:AI202" si="177">X196-AD196</f>
        <v>159672077</v>
      </c>
      <c r="AJ196" s="16">
        <f t="shared" ref="AJ196:AJ202" si="178">X196-AG196</f>
        <v>230337097</v>
      </c>
      <c r="AK196" s="9"/>
      <c r="AL196" s="375">
        <v>0</v>
      </c>
      <c r="AM196" s="378">
        <v>0</v>
      </c>
      <c r="AN196" s="9"/>
    </row>
    <row r="197" spans="1:40" s="385" customFormat="1" ht="24.95" customHeight="1" x14ac:dyDescent="0.2">
      <c r="A197" s="767"/>
      <c r="B197" s="669"/>
      <c r="N197" s="9"/>
      <c r="P197" s="9"/>
      <c r="Q197" s="9"/>
      <c r="R197" s="9"/>
      <c r="S197" s="720" t="str">
        <f>+IF(MAYO!S197=0,"",MAYO!S197)</f>
        <v>4100100-2</v>
      </c>
      <c r="T197" s="694" t="str">
        <f>+IF(MAYO!T197=0,"",MAYO!T197)</f>
        <v>Material Médico Quirúrgico</v>
      </c>
      <c r="U197" s="27">
        <f>+ENERO!U197</f>
        <v>49263202</v>
      </c>
      <c r="V197" s="15">
        <f>MAYO!V197+JUNIO!AL197</f>
        <v>0</v>
      </c>
      <c r="W197" s="15">
        <f>MAYO!W197+JUNIO!AM197</f>
        <v>0</v>
      </c>
      <c r="X197" s="18">
        <f t="shared" si="172"/>
        <v>49263202</v>
      </c>
      <c r="Y197" s="19">
        <f>MAYO!AA197</f>
        <v>24424567</v>
      </c>
      <c r="Z197" s="377">
        <v>4639127</v>
      </c>
      <c r="AA197" s="18">
        <f t="shared" si="173"/>
        <v>29063694</v>
      </c>
      <c r="AB197" s="19">
        <f>MAYO!AD197</f>
        <v>24424567</v>
      </c>
      <c r="AC197" s="377">
        <v>4639127</v>
      </c>
      <c r="AD197" s="18">
        <f t="shared" si="174"/>
        <v>29063694</v>
      </c>
      <c r="AE197" s="19">
        <f>MAYO!AG197</f>
        <v>5646356</v>
      </c>
      <c r="AF197" s="377">
        <v>2409102</v>
      </c>
      <c r="AG197" s="18">
        <f t="shared" si="175"/>
        <v>8055458</v>
      </c>
      <c r="AH197" s="19">
        <f t="shared" si="176"/>
        <v>20199508</v>
      </c>
      <c r="AI197" s="15">
        <f t="shared" si="177"/>
        <v>20199508</v>
      </c>
      <c r="AJ197" s="16">
        <f t="shared" si="178"/>
        <v>41207744</v>
      </c>
      <c r="AK197" s="9"/>
      <c r="AL197" s="375">
        <v>0</v>
      </c>
      <c r="AM197" s="378">
        <v>0</v>
      </c>
      <c r="AN197" s="9"/>
    </row>
    <row r="198" spans="1:40" s="385" customFormat="1" ht="24.95" customHeight="1" x14ac:dyDescent="0.2">
      <c r="A198" s="767"/>
      <c r="B198" s="669"/>
      <c r="N198" s="9"/>
      <c r="P198" s="9"/>
      <c r="Q198" s="9"/>
      <c r="R198" s="9"/>
      <c r="S198" s="720" t="str">
        <f>+IF(MAYO!S198=0,"",MAYO!S198)</f>
        <v>4100100-3</v>
      </c>
      <c r="T198" s="694" t="str">
        <f>+IF(MAYO!T198=0,"",MAYO!T198)</f>
        <v>Material de Laboratorio</v>
      </c>
      <c r="U198" s="27">
        <f>+ENERO!U198</f>
        <v>20729510</v>
      </c>
      <c r="V198" s="15">
        <f>MAYO!V198+JUNIO!AL198</f>
        <v>0</v>
      </c>
      <c r="W198" s="15">
        <f>MAYO!W198+JUNIO!AM198</f>
        <v>0</v>
      </c>
      <c r="X198" s="18">
        <f t="shared" si="172"/>
        <v>20729510</v>
      </c>
      <c r="Y198" s="19">
        <f>MAYO!AA198</f>
        <v>12546154</v>
      </c>
      <c r="Z198" s="377">
        <v>4650754</v>
      </c>
      <c r="AA198" s="18">
        <f t="shared" si="173"/>
        <v>17196908</v>
      </c>
      <c r="AB198" s="19">
        <f>MAYO!AD198</f>
        <v>12546154</v>
      </c>
      <c r="AC198" s="377">
        <v>4650754</v>
      </c>
      <c r="AD198" s="18">
        <f t="shared" si="174"/>
        <v>17196908</v>
      </c>
      <c r="AE198" s="19">
        <f>MAYO!AG198</f>
        <v>2781715</v>
      </c>
      <c r="AF198" s="377">
        <v>260000</v>
      </c>
      <c r="AG198" s="18">
        <f t="shared" si="175"/>
        <v>3041715</v>
      </c>
      <c r="AH198" s="19">
        <f t="shared" si="176"/>
        <v>3532602</v>
      </c>
      <c r="AI198" s="15">
        <f t="shared" si="177"/>
        <v>3532602</v>
      </c>
      <c r="AJ198" s="16">
        <f t="shared" si="178"/>
        <v>17687795</v>
      </c>
      <c r="AK198" s="9"/>
      <c r="AL198" s="375">
        <v>0</v>
      </c>
      <c r="AM198" s="378">
        <v>0</v>
      </c>
      <c r="AN198" s="9"/>
    </row>
    <row r="199" spans="1:40" s="385" customFormat="1" ht="24.95" customHeight="1" x14ac:dyDescent="0.2">
      <c r="A199" s="767"/>
      <c r="B199" s="669"/>
      <c r="N199" s="9"/>
      <c r="P199" s="9"/>
      <c r="Q199" s="9"/>
      <c r="R199" s="9"/>
      <c r="S199" s="720" t="str">
        <f>+IF(MAYO!S199=0,"",MAYO!S199)</f>
        <v>4100100-4</v>
      </c>
      <c r="T199" s="694" t="str">
        <f>+IF(MAYO!T199=0,"",MAYO!T199)</f>
        <v>Material para Odontologia</v>
      </c>
      <c r="U199" s="27">
        <f>+ENERO!U199</f>
        <v>22568185</v>
      </c>
      <c r="V199" s="15">
        <f>MAYO!V199+JUNIO!AL199</f>
        <v>0</v>
      </c>
      <c r="W199" s="15">
        <f>MAYO!W199+JUNIO!AM199</f>
        <v>0</v>
      </c>
      <c r="X199" s="18">
        <f t="shared" si="172"/>
        <v>22568185</v>
      </c>
      <c r="Y199" s="19">
        <f>MAYO!AA199</f>
        <v>8215489</v>
      </c>
      <c r="Z199" s="377">
        <v>445816</v>
      </c>
      <c r="AA199" s="18">
        <f t="shared" si="173"/>
        <v>8661305</v>
      </c>
      <c r="AB199" s="19">
        <f>MAYO!AD199</f>
        <v>8215489</v>
      </c>
      <c r="AC199" s="377">
        <v>445816</v>
      </c>
      <c r="AD199" s="18">
        <f t="shared" si="174"/>
        <v>8661305</v>
      </c>
      <c r="AE199" s="19">
        <f>MAYO!AG199</f>
        <v>2462827</v>
      </c>
      <c r="AF199" s="377">
        <v>0</v>
      </c>
      <c r="AG199" s="18">
        <f t="shared" si="175"/>
        <v>2462827</v>
      </c>
      <c r="AH199" s="19">
        <f t="shared" si="176"/>
        <v>13906880</v>
      </c>
      <c r="AI199" s="15">
        <f t="shared" si="177"/>
        <v>13906880</v>
      </c>
      <c r="AJ199" s="16">
        <f t="shared" si="178"/>
        <v>20105358</v>
      </c>
      <c r="AK199" s="9"/>
      <c r="AL199" s="375">
        <v>0</v>
      </c>
      <c r="AM199" s="378">
        <v>0</v>
      </c>
      <c r="AN199" s="9"/>
    </row>
    <row r="200" spans="1:40" s="385" customFormat="1" ht="24.95" customHeight="1" x14ac:dyDescent="0.2">
      <c r="A200" s="767"/>
      <c r="B200" s="669"/>
      <c r="N200" s="9"/>
      <c r="P200" s="9"/>
      <c r="Q200" s="9"/>
      <c r="R200" s="9"/>
      <c r="S200" s="720" t="str">
        <f>+IF(MAYO!S200=0,"",MAYO!S200)</f>
        <v>4100100-5</v>
      </c>
      <c r="T200" s="694" t="str">
        <f>+IF(MAYO!T200=0,"",MAYO!T200)</f>
        <v>Material para Rayos X</v>
      </c>
      <c r="U200" s="27">
        <f>+ENERO!U200</f>
        <v>2038666</v>
      </c>
      <c r="V200" s="15">
        <f>MAYO!V200+JUNIO!AL200</f>
        <v>0</v>
      </c>
      <c r="W200" s="15">
        <f>MAYO!W200+JUNIO!AM200</f>
        <v>2000000</v>
      </c>
      <c r="X200" s="18">
        <f t="shared" si="172"/>
        <v>4038666</v>
      </c>
      <c r="Y200" s="19">
        <f>MAYO!AA200</f>
        <v>0</v>
      </c>
      <c r="Z200" s="377">
        <v>0</v>
      </c>
      <c r="AA200" s="18">
        <f t="shared" si="173"/>
        <v>0</v>
      </c>
      <c r="AB200" s="19">
        <f>MAYO!AD200</f>
        <v>0</v>
      </c>
      <c r="AC200" s="377">
        <v>0</v>
      </c>
      <c r="AD200" s="18">
        <f t="shared" si="174"/>
        <v>0</v>
      </c>
      <c r="AE200" s="19">
        <f>MAYO!AG200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+IF(MAYO!S201=0,"",MAYO!S201)</f>
        <v/>
      </c>
      <c r="T201" s="694" t="str">
        <f>+IF(MAYO!T201=0,"",MAYO!T201)</f>
        <v/>
      </c>
      <c r="U201" s="27">
        <f>+ENERO!U201</f>
        <v>0</v>
      </c>
      <c r="V201" s="15">
        <f>MAYO!V201+JUNIO!AL201</f>
        <v>0</v>
      </c>
      <c r="W201" s="15">
        <f>MAYO!W201+JUNIO!AM201</f>
        <v>0</v>
      </c>
      <c r="X201" s="18">
        <f t="shared" si="172"/>
        <v>0</v>
      </c>
      <c r="Y201" s="19">
        <f>MAYO!AA201</f>
        <v>0</v>
      </c>
      <c r="Z201" s="377">
        <v>0</v>
      </c>
      <c r="AA201" s="18">
        <f t="shared" si="173"/>
        <v>0</v>
      </c>
      <c r="AB201" s="19">
        <f>MAYO!AD201</f>
        <v>0</v>
      </c>
      <c r="AC201" s="377">
        <v>0</v>
      </c>
      <c r="AD201" s="18">
        <f t="shared" si="174"/>
        <v>0</v>
      </c>
      <c r="AE201" s="19">
        <f>MAYO!AG201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+IF(MAYO!S202=0,"",MAYO!S202)</f>
        <v/>
      </c>
      <c r="T202" s="694" t="str">
        <f>+IF(MAYO!T202=0,"",MAYO!T202)</f>
        <v/>
      </c>
      <c r="U202" s="27">
        <f>+ENERO!U202</f>
        <v>0</v>
      </c>
      <c r="V202" s="15">
        <f>MAYO!V202+JUNIO!AL202</f>
        <v>0</v>
      </c>
      <c r="W202" s="15">
        <f>MAYO!W202+JUNIO!AM202</f>
        <v>0</v>
      </c>
      <c r="X202" s="18">
        <f t="shared" si="172"/>
        <v>0</v>
      </c>
      <c r="Y202" s="19">
        <f>MAYO!AA202</f>
        <v>0</v>
      </c>
      <c r="Z202" s="377">
        <v>0</v>
      </c>
      <c r="AA202" s="18">
        <f t="shared" si="173"/>
        <v>0</v>
      </c>
      <c r="AB202" s="19">
        <f>MAYO!AD202</f>
        <v>0</v>
      </c>
      <c r="AC202" s="377">
        <v>0</v>
      </c>
      <c r="AD202" s="18">
        <f t="shared" si="174"/>
        <v>0</v>
      </c>
      <c r="AE202" s="19">
        <f>MAYO!AG202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+IF(MAYO!S203=0,"",MAYO!S203)</f>
        <v>4100200</v>
      </c>
      <c r="T203" s="693" t="str">
        <f>+IF(MAYO!T203=0,"",MAYO!T203)</f>
        <v>Gastos Complementarios e Intermedios</v>
      </c>
      <c r="U203" s="27">
        <f t="shared" ref="U203:AJ203" si="179">U204</f>
        <v>31968044</v>
      </c>
      <c r="V203" s="15">
        <f t="shared" si="179"/>
        <v>0</v>
      </c>
      <c r="W203" s="15">
        <f t="shared" si="179"/>
        <v>0</v>
      </c>
      <c r="X203" s="18">
        <f t="shared" si="179"/>
        <v>31968044</v>
      </c>
      <c r="Y203" s="19">
        <f t="shared" si="179"/>
        <v>14822166</v>
      </c>
      <c r="Z203" s="145">
        <f t="shared" si="179"/>
        <v>2752300</v>
      </c>
      <c r="AA203" s="18">
        <f t="shared" si="179"/>
        <v>17574466</v>
      </c>
      <c r="AB203" s="19">
        <f t="shared" si="179"/>
        <v>14822166</v>
      </c>
      <c r="AC203" s="145">
        <f t="shared" si="179"/>
        <v>2752300</v>
      </c>
      <c r="AD203" s="18">
        <f t="shared" si="179"/>
        <v>17574466</v>
      </c>
      <c r="AE203" s="19">
        <f t="shared" si="179"/>
        <v>10834066</v>
      </c>
      <c r="AF203" s="145">
        <f t="shared" si="179"/>
        <v>3038700</v>
      </c>
      <c r="AG203" s="18">
        <f t="shared" si="179"/>
        <v>13872766</v>
      </c>
      <c r="AH203" s="19">
        <f t="shared" si="179"/>
        <v>14393578</v>
      </c>
      <c r="AI203" s="15">
        <f t="shared" si="179"/>
        <v>14393578</v>
      </c>
      <c r="AJ203" s="16">
        <f t="shared" si="179"/>
        <v>18095278</v>
      </c>
      <c r="AK203" s="9"/>
      <c r="AL203" s="29">
        <f>AL204</f>
        <v>0</v>
      </c>
      <c r="AM203" s="26">
        <f>AM204</f>
        <v>0</v>
      </c>
      <c r="AN203" s="9"/>
    </row>
    <row r="204" spans="1:40" s="385" customFormat="1" ht="24.95" customHeight="1" x14ac:dyDescent="0.2">
      <c r="A204" s="767"/>
      <c r="B204" s="669"/>
      <c r="N204" s="9"/>
      <c r="P204" s="9"/>
      <c r="Q204" s="9"/>
      <c r="R204" s="9"/>
      <c r="S204" s="720" t="str">
        <f>+IF(MAYO!S204=0,"",MAYO!S204)</f>
        <v>4100200-1</v>
      </c>
      <c r="T204" s="694" t="str">
        <f>+IF(MAYO!T204=0,"",MAYO!T204)</f>
        <v>Alimentación</v>
      </c>
      <c r="U204" s="27">
        <f>+ENERO!U204</f>
        <v>31968044</v>
      </c>
      <c r="V204" s="15">
        <f>MAYO!V204+JUNIO!AL204</f>
        <v>0</v>
      </c>
      <c r="W204" s="15">
        <f>MAYO!W204+JUNIO!AM204</f>
        <v>0</v>
      </c>
      <c r="X204" s="18">
        <f>SUM(U204:W204)</f>
        <v>31968044</v>
      </c>
      <c r="Y204" s="19">
        <f>MAYO!AA204</f>
        <v>14822166</v>
      </c>
      <c r="Z204" s="377">
        <v>2752300</v>
      </c>
      <c r="AA204" s="18">
        <f>SUM(Y204:Z204)</f>
        <v>17574466</v>
      </c>
      <c r="AB204" s="19">
        <f>MAYO!AD204</f>
        <v>14822166</v>
      </c>
      <c r="AC204" s="377">
        <v>2752300</v>
      </c>
      <c r="AD204" s="18">
        <f>SUM(AB204:AC204)</f>
        <v>17574466</v>
      </c>
      <c r="AE204" s="19">
        <f>MAYO!AG204</f>
        <v>10834066</v>
      </c>
      <c r="AF204" s="377">
        <v>3038700</v>
      </c>
      <c r="AG204" s="18">
        <f>SUM(AE204:AF204)</f>
        <v>13872766</v>
      </c>
      <c r="AH204" s="19">
        <f>X204-AA204</f>
        <v>14393578</v>
      </c>
      <c r="AI204" s="15">
        <f>X204-AD204</f>
        <v>14393578</v>
      </c>
      <c r="AJ204" s="16">
        <f>X204-AG204</f>
        <v>18095278</v>
      </c>
      <c r="AK204" s="9"/>
      <c r="AL204" s="375">
        <v>0</v>
      </c>
      <c r="AM204" s="378">
        <v>0</v>
      </c>
      <c r="AN204" s="9"/>
    </row>
    <row r="205" spans="1:40" s="385" customFormat="1" ht="24.95" customHeight="1" thickBot="1" x14ac:dyDescent="0.25">
      <c r="A205" s="767"/>
      <c r="B205" s="669"/>
      <c r="N205" s="9"/>
      <c r="P205" s="9"/>
      <c r="Q205" s="9"/>
      <c r="R205" s="9"/>
      <c r="S205" s="724">
        <f>+IF(MAYO!S205=0,"",MAYO!S205)</f>
        <v>4199999</v>
      </c>
      <c r="T205" s="699" t="str">
        <f>+IF(MAYO!T205=0,"",MAYO!T205)</f>
        <v>Vigencias Anteriores</v>
      </c>
      <c r="U205" s="136">
        <f>+ENERO!U205</f>
        <v>0</v>
      </c>
      <c r="V205" s="123">
        <f>MAYO!V205+JUNIO!AL205</f>
        <v>0</v>
      </c>
      <c r="W205" s="123">
        <f>MAYO!W205+JUNIO!AM205</f>
        <v>91835932</v>
      </c>
      <c r="X205" s="129">
        <f>SUM(U205:W205)</f>
        <v>91835932</v>
      </c>
      <c r="Y205" s="127">
        <f>MAYO!AA205</f>
        <v>91835932</v>
      </c>
      <c r="Z205" s="391">
        <v>0</v>
      </c>
      <c r="AA205" s="129">
        <f>SUM(Y205:Z205)</f>
        <v>91835932</v>
      </c>
      <c r="AB205" s="127">
        <f>MAYO!AD205</f>
        <v>91835932</v>
      </c>
      <c r="AC205" s="391">
        <v>0</v>
      </c>
      <c r="AD205" s="129">
        <f>SUM(AB205:AC205)</f>
        <v>91835932</v>
      </c>
      <c r="AE205" s="127">
        <f>MAYO!AG205</f>
        <v>90828700</v>
      </c>
      <c r="AF205" s="391">
        <v>780870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+IF(MAYO!S206=0,"",MAYO!S206)</f>
        <v/>
      </c>
      <c r="T206" s="700" t="str">
        <f>+IF(MAYO!T206=0,"",MAYO!T206)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+IF(MAYO!S207=0,"",MAYO!S207)</f>
        <v>B</v>
      </c>
      <c r="T207" s="709" t="str">
        <f>+IF(MAYO!T207=0,"",MAYO!T207)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+IF(MAYO!S209=0,"",MAYO!S209)</f>
        <v>5000000</v>
      </c>
      <c r="T209" s="741" t="str">
        <f>+IF(MAYO!T209=0,"",MAYO!T209)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+IF(MAYO!S210=0,"",MAYO!S210)</f>
        <v>5100000</v>
      </c>
      <c r="T210" s="692" t="str">
        <f>+IF(MAYO!T210=0,"",MAYO!T210)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+IF(MAYO!S211=0,"",MAYO!S211)</f>
        <v>5100100</v>
      </c>
      <c r="T211" s="693" t="str">
        <f>+IF(MAYO!T211=0,"",MAYO!T211)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+IF(MAYO!S212=0,"",MAYO!S212)</f>
        <v>5100100-1</v>
      </c>
      <c r="T212" s="694" t="str">
        <f>+IF(MAYO!T212=0,"",MAYO!T212)</f>
        <v>Productos Farmaceuticos</v>
      </c>
      <c r="U212" s="27">
        <f>+ENERO!U212</f>
        <v>0</v>
      </c>
      <c r="V212" s="15">
        <f>MAYO!V212+JUNIO!AL212</f>
        <v>0</v>
      </c>
      <c r="W212" s="15">
        <f>MAYO!W212+JUNIO!AM212</f>
        <v>0</v>
      </c>
      <c r="X212" s="18">
        <f t="shared" ref="X212:X218" si="184">SUM(U212:W212)</f>
        <v>0</v>
      </c>
      <c r="Y212" s="19">
        <f>MAYO!AA212</f>
        <v>0</v>
      </c>
      <c r="Z212" s="377">
        <v>0</v>
      </c>
      <c r="AA212" s="18">
        <f t="shared" ref="AA212:AA218" si="185">SUM(Y212:Z212)</f>
        <v>0</v>
      </c>
      <c r="AB212" s="19">
        <f>MAYO!AD212</f>
        <v>0</v>
      </c>
      <c r="AC212" s="377">
        <v>0</v>
      </c>
      <c r="AD212" s="18">
        <f t="shared" ref="AD212:AD218" si="186">SUM(AB212:AC212)</f>
        <v>0</v>
      </c>
      <c r="AE212" s="19">
        <f>MAYO!AG212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+IF(MAYO!S213=0,"",MAYO!S213)</f>
        <v>5100100-2</v>
      </c>
      <c r="T213" s="694" t="str">
        <f>+IF(MAYO!T213=0,"",MAYO!T213)</f>
        <v>Material Médico Quirúrgico</v>
      </c>
      <c r="U213" s="27">
        <f>+ENERO!U213</f>
        <v>0</v>
      </c>
      <c r="V213" s="15">
        <f>MAYO!V213+JUNIO!AL213</f>
        <v>0</v>
      </c>
      <c r="W213" s="15">
        <f>MAYO!W213+JUNIO!AM213</f>
        <v>0</v>
      </c>
      <c r="X213" s="18">
        <f t="shared" si="184"/>
        <v>0</v>
      </c>
      <c r="Y213" s="19">
        <f>MAYO!AA213</f>
        <v>0</v>
      </c>
      <c r="Z213" s="377">
        <v>0</v>
      </c>
      <c r="AA213" s="18">
        <f t="shared" si="185"/>
        <v>0</v>
      </c>
      <c r="AB213" s="19">
        <f>MAYO!AD213</f>
        <v>0</v>
      </c>
      <c r="AC213" s="377">
        <v>0</v>
      </c>
      <c r="AD213" s="18">
        <f t="shared" si="186"/>
        <v>0</v>
      </c>
      <c r="AE213" s="19">
        <f>MAYO!AG213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+IF(MAYO!S214=0,"",MAYO!S214)</f>
        <v>5100100-3</v>
      </c>
      <c r="T214" s="694" t="str">
        <f>+IF(MAYO!T214=0,"",MAYO!T214)</f>
        <v>Material de Laboratorio</v>
      </c>
      <c r="U214" s="27">
        <f>+ENERO!U214</f>
        <v>0</v>
      </c>
      <c r="V214" s="15">
        <f>MAYO!V214+JUNIO!AL214</f>
        <v>0</v>
      </c>
      <c r="W214" s="15">
        <f>MAYO!W214+JUNIO!AM214</f>
        <v>0</v>
      </c>
      <c r="X214" s="18">
        <f t="shared" si="184"/>
        <v>0</v>
      </c>
      <c r="Y214" s="19">
        <f>MAYO!AA214</f>
        <v>0</v>
      </c>
      <c r="Z214" s="377">
        <v>0</v>
      </c>
      <c r="AA214" s="18">
        <f t="shared" si="185"/>
        <v>0</v>
      </c>
      <c r="AB214" s="19">
        <f>MAYO!AD214</f>
        <v>0</v>
      </c>
      <c r="AC214" s="377">
        <v>0</v>
      </c>
      <c r="AD214" s="18">
        <f t="shared" si="186"/>
        <v>0</v>
      </c>
      <c r="AE214" s="19">
        <f>MAYO!AG214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+IF(MAYO!S215=0,"",MAYO!S215)</f>
        <v>5100100-4</v>
      </c>
      <c r="T215" s="694" t="str">
        <f>+IF(MAYO!T215=0,"",MAYO!T215)</f>
        <v>Material para Odontologia</v>
      </c>
      <c r="U215" s="27">
        <f>+ENERO!U215</f>
        <v>0</v>
      </c>
      <c r="V215" s="15">
        <f>MAYO!V215+JUNIO!AL215</f>
        <v>0</v>
      </c>
      <c r="W215" s="15">
        <f>MAYO!W215+JUNIO!AM215</f>
        <v>0</v>
      </c>
      <c r="X215" s="18">
        <f t="shared" si="184"/>
        <v>0</v>
      </c>
      <c r="Y215" s="19">
        <f>MAYO!AA215</f>
        <v>0</v>
      </c>
      <c r="Z215" s="377">
        <v>0</v>
      </c>
      <c r="AA215" s="18">
        <f t="shared" si="185"/>
        <v>0</v>
      </c>
      <c r="AB215" s="19">
        <f>MAYO!AD215</f>
        <v>0</v>
      </c>
      <c r="AC215" s="377">
        <v>0</v>
      </c>
      <c r="AD215" s="18">
        <f t="shared" si="186"/>
        <v>0</v>
      </c>
      <c r="AE215" s="19">
        <f>MAYO!AG215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+IF(MAYO!S216=0,"",MAYO!S216)</f>
        <v>5100100-5</v>
      </c>
      <c r="T216" s="694" t="str">
        <f>+IF(MAYO!T216=0,"",MAYO!T216)</f>
        <v>Material para Rayos X</v>
      </c>
      <c r="U216" s="27">
        <f>+ENERO!U216</f>
        <v>0</v>
      </c>
      <c r="V216" s="15">
        <f>MAYO!V216+JUNIO!AL216</f>
        <v>0</v>
      </c>
      <c r="W216" s="15">
        <f>MAYO!W216+JUNIO!AM216</f>
        <v>0</v>
      </c>
      <c r="X216" s="18">
        <f t="shared" si="184"/>
        <v>0</v>
      </c>
      <c r="Y216" s="19">
        <f>MAYO!AA216</f>
        <v>0</v>
      </c>
      <c r="Z216" s="377">
        <v>0</v>
      </c>
      <c r="AA216" s="18">
        <f t="shared" si="185"/>
        <v>0</v>
      </c>
      <c r="AB216" s="19">
        <f>MAYO!AD216</f>
        <v>0</v>
      </c>
      <c r="AC216" s="377">
        <v>0</v>
      </c>
      <c r="AD216" s="18">
        <f t="shared" si="186"/>
        <v>0</v>
      </c>
      <c r="AE216" s="19">
        <f>MAYO!AG216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+IF(MAYO!S217=0,"",MAYO!S217)</f>
        <v>5100100-6</v>
      </c>
      <c r="T217" s="694" t="str">
        <f>+IF(MAYO!T217=0,"",MAYO!T217)</f>
        <v>Material aseo personal, etc.</v>
      </c>
      <c r="U217" s="27">
        <f>+ENERO!U217</f>
        <v>0</v>
      </c>
      <c r="V217" s="15">
        <f>MAYO!V217+JUNIO!AL217</f>
        <v>0</v>
      </c>
      <c r="W217" s="15">
        <f>MAYO!W217+JUNIO!AM217</f>
        <v>0</v>
      </c>
      <c r="X217" s="18">
        <f t="shared" si="184"/>
        <v>0</v>
      </c>
      <c r="Y217" s="19">
        <f>MAYO!AA217</f>
        <v>0</v>
      </c>
      <c r="Z217" s="377">
        <v>0</v>
      </c>
      <c r="AA217" s="18">
        <f t="shared" si="185"/>
        <v>0</v>
      </c>
      <c r="AB217" s="19">
        <f>MAYO!AD217</f>
        <v>0</v>
      </c>
      <c r="AC217" s="377">
        <v>0</v>
      </c>
      <c r="AD217" s="18">
        <f t="shared" si="186"/>
        <v>0</v>
      </c>
      <c r="AE217" s="19">
        <f>MAYO!AG217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+IF(MAYO!S218=0,"",MAYO!S218)</f>
        <v>5199999</v>
      </c>
      <c r="T218" s="710" t="str">
        <f>+IF(MAYO!T218=0,"",MAYO!T218)</f>
        <v>Vigencias Anteriores</v>
      </c>
      <c r="U218" s="136">
        <f>+ENERO!U218</f>
        <v>0</v>
      </c>
      <c r="V218" s="123">
        <f>MAYO!V218+JUNIO!AL218</f>
        <v>0</v>
      </c>
      <c r="W218" s="123">
        <f>MAYO!W218+JUNIO!AM218</f>
        <v>0</v>
      </c>
      <c r="X218" s="129">
        <f t="shared" si="184"/>
        <v>0</v>
      </c>
      <c r="Y218" s="127">
        <f>MAYO!AA218</f>
        <v>0</v>
      </c>
      <c r="Z218" s="391">
        <v>0</v>
      </c>
      <c r="AA218" s="129">
        <f t="shared" si="185"/>
        <v>0</v>
      </c>
      <c r="AB218" s="127">
        <f>MAYO!AD218</f>
        <v>0</v>
      </c>
      <c r="AC218" s="391">
        <v>0</v>
      </c>
      <c r="AD218" s="129">
        <f t="shared" si="186"/>
        <v>0</v>
      </c>
      <c r="AE218" s="127">
        <f>MAYO!AG218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+IF(MAYO!S219=0,"",MAYO!S219)</f>
        <v/>
      </c>
      <c r="T219" s="707" t="str">
        <f>+IF(MAYO!T219=0,"",MAYO!T219)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+IF(MAYO!S220=0,"",MAYO!S220)</f>
        <v>C</v>
      </c>
      <c r="T220" s="688" t="str">
        <f>+IF(MAYO!T220=0,"",MAYO!T220)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+IF(MAYO!S221=0,"",MAYO!S221)</f>
        <v/>
      </c>
      <c r="T221" s="708" t="str">
        <f>+IF(MAYO!T221=0,"",MAYO!T221)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+IF(MAYO!S222=0,"",MAYO!S222)</f>
        <v>7001000</v>
      </c>
      <c r="T222" s="692" t="str">
        <f>+IF(MAYO!T222=0,"",MAYO!T222)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+IF(MAYO!S223=0,"",MAYO!S223)</f>
        <v>7001100</v>
      </c>
      <c r="T223" s="693" t="str">
        <f>+IF(MAYO!T223=0,"",MAYO!T223)</f>
        <v>Amortización deuda Pública Interna</v>
      </c>
      <c r="U223" s="27">
        <f>+ENERO!U223</f>
        <v>0</v>
      </c>
      <c r="V223" s="15">
        <f>MAYO!V223+JUNIO!AL223</f>
        <v>0</v>
      </c>
      <c r="W223" s="15">
        <f>MAYO!W223+JUNIO!AM223</f>
        <v>0</v>
      </c>
      <c r="X223" s="18">
        <f>SUM(U223:W223)</f>
        <v>0</v>
      </c>
      <c r="Y223" s="19">
        <f>MAYO!AA223</f>
        <v>0</v>
      </c>
      <c r="Z223" s="377">
        <v>0</v>
      </c>
      <c r="AA223" s="18">
        <f>SUM(Y223:Z223)</f>
        <v>0</v>
      </c>
      <c r="AB223" s="19">
        <f>MAYO!AD223</f>
        <v>0</v>
      </c>
      <c r="AC223" s="377">
        <v>0</v>
      </c>
      <c r="AD223" s="18">
        <f>SUM(AB223:AC223)</f>
        <v>0</v>
      </c>
      <c r="AE223" s="19">
        <f>MAYO!AG223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+IF(MAYO!S224=0,"",MAYO!S224)</f>
        <v>7001200</v>
      </c>
      <c r="T224" s="693" t="str">
        <f>+IF(MAYO!T224=0,"",MAYO!T224)</f>
        <v>Intereses Comisiones y gastos de la Deuda Pública</v>
      </c>
      <c r="U224" s="27">
        <f>+ENERO!U224</f>
        <v>0</v>
      </c>
      <c r="V224" s="15">
        <f>MAYO!V224+JUNIO!AL224</f>
        <v>0</v>
      </c>
      <c r="W224" s="15">
        <f>MAYO!W224+JUNIO!AM224</f>
        <v>0</v>
      </c>
      <c r="X224" s="18">
        <f>SUM(U224:W224)</f>
        <v>0</v>
      </c>
      <c r="Y224" s="19">
        <f>MAYO!AA224</f>
        <v>0</v>
      </c>
      <c r="Z224" s="377">
        <v>0</v>
      </c>
      <c r="AA224" s="18">
        <f>SUM(Y224:Z224)</f>
        <v>0</v>
      </c>
      <c r="AB224" s="19">
        <f>MAYO!AD224</f>
        <v>0</v>
      </c>
      <c r="AC224" s="377">
        <v>0</v>
      </c>
      <c r="AD224" s="18">
        <f>SUM(AB224:AC224)</f>
        <v>0</v>
      </c>
      <c r="AE224" s="19">
        <f>MAYO!AG224</f>
        <v>0</v>
      </c>
      <c r="AF224" s="377">
        <v>0</v>
      </c>
      <c r="AG224" s="18">
        <f>SUM(AE224:AF224)</f>
        <v>0</v>
      </c>
      <c r="AH224" s="19">
        <f>X224-AA224</f>
        <v>0</v>
      </c>
      <c r="AI224" s="15">
        <f>X224-AD224</f>
        <v>0</v>
      </c>
      <c r="AJ224" s="16">
        <f>X224-AG224</f>
        <v>0</v>
      </c>
      <c r="AK224" s="9"/>
      <c r="AL224" s="375">
        <v>0</v>
      </c>
      <c r="AM224" s="378">
        <v>0</v>
      </c>
      <c r="AN224" s="9"/>
    </row>
    <row r="225" spans="1:40" s="385" customFormat="1" ht="24.95" customHeight="1" x14ac:dyDescent="0.2">
      <c r="A225" s="767"/>
      <c r="B225" s="669"/>
      <c r="N225" s="9"/>
      <c r="P225" s="9"/>
      <c r="Q225" s="9"/>
      <c r="R225" s="9"/>
      <c r="S225" s="719">
        <f>+IF(MAYO!S225=0,"",MAYO!S225)</f>
        <v>7001999</v>
      </c>
      <c r="T225" s="693" t="str">
        <f>+IF(MAYO!T225=0,"",MAYO!T225)</f>
        <v>Vigencias Anteriores</v>
      </c>
      <c r="U225" s="27">
        <f>+ENERO!U225</f>
        <v>0</v>
      </c>
      <c r="V225" s="15">
        <f>MAYO!V225+JUNIO!AL225</f>
        <v>0</v>
      </c>
      <c r="W225" s="15">
        <f>MAYO!W225+JUNIO!AM225</f>
        <v>0</v>
      </c>
      <c r="X225" s="18">
        <f>SUM(U225:W225)</f>
        <v>0</v>
      </c>
      <c r="Y225" s="19">
        <f>MAYO!AA225</f>
        <v>0</v>
      </c>
      <c r="Z225" s="377">
        <v>0</v>
      </c>
      <c r="AA225" s="18">
        <f>SUM(Y225:Z225)</f>
        <v>0</v>
      </c>
      <c r="AB225" s="19">
        <f>MAYO!AD225</f>
        <v>0</v>
      </c>
      <c r="AC225" s="377">
        <v>0</v>
      </c>
      <c r="AD225" s="18">
        <f>SUM(AB225:AC225)</f>
        <v>0</v>
      </c>
      <c r="AE225" s="19">
        <f>MAYO!AG225</f>
        <v>0</v>
      </c>
      <c r="AF225" s="377">
        <v>0</v>
      </c>
      <c r="AG225" s="18">
        <f>SUM(AE225:AF225)</f>
        <v>0</v>
      </c>
      <c r="AH225" s="19">
        <f>X225-AA225</f>
        <v>0</v>
      </c>
      <c r="AI225" s="15">
        <f>X225-AD225</f>
        <v>0</v>
      </c>
      <c r="AJ225" s="16">
        <f>X225-AG225</f>
        <v>0</v>
      </c>
      <c r="AK225" s="9"/>
      <c r="AL225" s="375">
        <v>0</v>
      </c>
      <c r="AM225" s="378">
        <v>0</v>
      </c>
      <c r="AN225" s="9"/>
    </row>
    <row r="226" spans="1:40" s="385" customFormat="1" ht="24.95" customHeight="1" x14ac:dyDescent="0.2">
      <c r="A226" s="767"/>
      <c r="B226" s="669"/>
      <c r="N226" s="9"/>
      <c r="P226" s="9"/>
      <c r="Q226" s="9"/>
      <c r="R226" s="9"/>
      <c r="S226" s="369" t="str">
        <f>+IF(MAYO!S226=0,"",MAYO!S226)</f>
        <v/>
      </c>
      <c r="T226" s="708" t="str">
        <f>+IF(MAYO!T226=0,"",MAYO!T226)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40" s="385" customFormat="1" ht="24.95" customHeight="1" x14ac:dyDescent="0.2">
      <c r="A227" s="767"/>
      <c r="B227" s="669"/>
      <c r="N227" s="9"/>
      <c r="P227" s="9"/>
      <c r="Q227" s="9"/>
      <c r="R227" s="9"/>
      <c r="S227" s="718">
        <f>+IF(MAYO!S227=0,"",MAYO!S227)</f>
        <v>7002001</v>
      </c>
      <c r="T227" s="692" t="str">
        <f>+IF(MAYO!T227=0,"",MAYO!T227)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40" s="385" customFormat="1" ht="24.95" customHeight="1" x14ac:dyDescent="0.2">
      <c r="A228" s="767"/>
      <c r="B228" s="669"/>
      <c r="N228" s="9"/>
      <c r="P228" s="9"/>
      <c r="Q228" s="9"/>
      <c r="R228" s="9"/>
      <c r="S228" s="719">
        <f>+IF(MAYO!S228=0,"",MAYO!S228)</f>
        <v>7002100</v>
      </c>
      <c r="T228" s="693" t="str">
        <f>+IF(MAYO!T228=0,"",MAYO!T228)</f>
        <v>Amortización deuda Pública Externa</v>
      </c>
      <c r="U228" s="27">
        <f>+ENERO!U228</f>
        <v>0</v>
      </c>
      <c r="V228" s="15">
        <f>MAYO!V228+JUNIO!AL228</f>
        <v>0</v>
      </c>
      <c r="W228" s="15">
        <f>MAYO!W228+JUNIO!AM228</f>
        <v>0</v>
      </c>
      <c r="X228" s="18">
        <f>SUM(U228:W228)</f>
        <v>0</v>
      </c>
      <c r="Y228" s="19">
        <f>MAYO!AA228</f>
        <v>0</v>
      </c>
      <c r="Z228" s="377">
        <v>0</v>
      </c>
      <c r="AA228" s="18">
        <f>SUM(Y228:Z228)</f>
        <v>0</v>
      </c>
      <c r="AB228" s="19">
        <f>MAYO!AD228</f>
        <v>0</v>
      </c>
      <c r="AC228" s="377">
        <v>0</v>
      </c>
      <c r="AD228" s="18">
        <f>SUM(AB228:AC228)</f>
        <v>0</v>
      </c>
      <c r="AE228" s="19">
        <f>MAYO!AG228</f>
        <v>0</v>
      </c>
      <c r="AF228" s="377">
        <v>0</v>
      </c>
      <c r="AG228" s="18">
        <f>SUM(AE228:AF228)</f>
        <v>0</v>
      </c>
      <c r="AH228" s="19">
        <f>X228-AA228</f>
        <v>0</v>
      </c>
      <c r="AI228" s="15">
        <f>X228-AD228</f>
        <v>0</v>
      </c>
      <c r="AJ228" s="16">
        <f>X228-AG228</f>
        <v>0</v>
      </c>
      <c r="AK228" s="9"/>
      <c r="AL228" s="375">
        <v>0</v>
      </c>
      <c r="AM228" s="378">
        <v>0</v>
      </c>
      <c r="AN228" s="9"/>
    </row>
    <row r="229" spans="1:40" s="385" customFormat="1" ht="24.95" customHeight="1" x14ac:dyDescent="0.2">
      <c r="A229" s="767"/>
      <c r="B229" s="669"/>
      <c r="N229" s="9"/>
      <c r="P229" s="9"/>
      <c r="Q229" s="9"/>
      <c r="R229" s="9"/>
      <c r="S229" s="719">
        <f>+IF(MAYO!S229=0,"",MAYO!S229)</f>
        <v>7002200</v>
      </c>
      <c r="T229" s="693" t="str">
        <f>+IF(MAYO!T229=0,"",MAYO!T229)</f>
        <v>Intereses Comisiones y gastos de la Deuda Pública</v>
      </c>
      <c r="U229" s="27">
        <f>+ENERO!U229</f>
        <v>0</v>
      </c>
      <c r="V229" s="15">
        <f>MAYO!V229+JUNIO!AL229</f>
        <v>0</v>
      </c>
      <c r="W229" s="15">
        <f>MAYO!W229+JUNIO!AM229</f>
        <v>0</v>
      </c>
      <c r="X229" s="18">
        <f>SUM(U229:W229)</f>
        <v>0</v>
      </c>
      <c r="Y229" s="19">
        <f>MAYO!AA229</f>
        <v>0</v>
      </c>
      <c r="Z229" s="377">
        <v>0</v>
      </c>
      <c r="AA229" s="18">
        <f>SUM(Y229:Z229)</f>
        <v>0</v>
      </c>
      <c r="AB229" s="19">
        <f>MAYO!AD229</f>
        <v>0</v>
      </c>
      <c r="AC229" s="377">
        <v>0</v>
      </c>
      <c r="AD229" s="18">
        <f>SUM(AB229:AC229)</f>
        <v>0</v>
      </c>
      <c r="AE229" s="19">
        <f>MAYO!AG229</f>
        <v>0</v>
      </c>
      <c r="AF229" s="377">
        <v>0</v>
      </c>
      <c r="AG229" s="18">
        <f>SUM(AE229:AF229)</f>
        <v>0</v>
      </c>
      <c r="AH229" s="19">
        <f>X229-AA229</f>
        <v>0</v>
      </c>
      <c r="AI229" s="15">
        <f>X229-AD229</f>
        <v>0</v>
      </c>
      <c r="AJ229" s="16">
        <f>X229-AG229</f>
        <v>0</v>
      </c>
      <c r="AK229" s="9"/>
      <c r="AL229" s="375">
        <v>0</v>
      </c>
      <c r="AM229" s="378">
        <v>0</v>
      </c>
      <c r="AN229" s="9"/>
    </row>
    <row r="230" spans="1:40" s="385" customFormat="1" ht="24.95" customHeight="1" thickBot="1" x14ac:dyDescent="0.25">
      <c r="A230" s="767"/>
      <c r="B230" s="669"/>
      <c r="N230" s="9"/>
      <c r="P230" s="9"/>
      <c r="Q230" s="9"/>
      <c r="R230" s="9"/>
      <c r="S230" s="724">
        <f>+IF(MAYO!S230=0,"",MAYO!S230)</f>
        <v>7002999</v>
      </c>
      <c r="T230" s="699" t="str">
        <f>+IF(MAYO!T230=0,"",MAYO!T230)</f>
        <v>Vigencias Anteriores</v>
      </c>
      <c r="U230" s="136">
        <f>+ENERO!U230</f>
        <v>0</v>
      </c>
      <c r="V230" s="123">
        <f>MAYO!V230+JUNIO!AL230</f>
        <v>0</v>
      </c>
      <c r="W230" s="123">
        <f>MAYO!W230+JUNIO!AM230</f>
        <v>0</v>
      </c>
      <c r="X230" s="129">
        <f>SUM(U230:W230)</f>
        <v>0</v>
      </c>
      <c r="Y230" s="127">
        <f>MAYO!AA230</f>
        <v>0</v>
      </c>
      <c r="Z230" s="391">
        <v>0</v>
      </c>
      <c r="AA230" s="129">
        <f>SUM(Y230:Z230)</f>
        <v>0</v>
      </c>
      <c r="AB230" s="127">
        <f>MAYO!AD230</f>
        <v>0</v>
      </c>
      <c r="AC230" s="391">
        <v>0</v>
      </c>
      <c r="AD230" s="129">
        <f>SUM(AB230:AC230)</f>
        <v>0</v>
      </c>
      <c r="AE230" s="127">
        <f>MAYO!AG230</f>
        <v>0</v>
      </c>
      <c r="AF230" s="391">
        <v>0</v>
      </c>
      <c r="AG230" s="129">
        <f>SUM(AE230:AF230)</f>
        <v>0</v>
      </c>
      <c r="AH230" s="127">
        <f>X230-AA230</f>
        <v>0</v>
      </c>
      <c r="AI230" s="123">
        <f>X230-AD230</f>
        <v>0</v>
      </c>
      <c r="AJ230" s="128">
        <f>X230-AG230</f>
        <v>0</v>
      </c>
      <c r="AK230" s="9"/>
      <c r="AL230" s="507">
        <v>0</v>
      </c>
      <c r="AM230" s="508">
        <v>0</v>
      </c>
      <c r="AN230" s="9"/>
    </row>
    <row r="231" spans="1:40" s="385" customFormat="1" ht="24.95" customHeight="1" x14ac:dyDescent="0.2">
      <c r="A231" s="767"/>
      <c r="B231" s="669"/>
      <c r="N231" s="9"/>
      <c r="P231" s="9"/>
      <c r="Q231" s="9"/>
      <c r="R231" s="9"/>
      <c r="S231" s="492" t="str">
        <f>+IF(MAYO!S231=0,"",MAYO!S231)</f>
        <v/>
      </c>
      <c r="T231" s="700" t="str">
        <f>+IF(MAYO!T231=0,"",MAYO!T231)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40" s="385" customFormat="1" ht="24.95" customHeight="1" x14ac:dyDescent="0.2">
      <c r="A232" s="767"/>
      <c r="B232" s="669"/>
      <c r="N232" s="9"/>
      <c r="P232" s="9"/>
      <c r="Q232" s="9"/>
      <c r="R232" s="9"/>
      <c r="S232" s="511" t="str">
        <f>+IF(MAYO!S232=0,"",MAYO!S232)</f>
        <v>D</v>
      </c>
      <c r="T232" s="709" t="str">
        <f>+IF(MAYO!T232=0,"",MAYO!T232)</f>
        <v>INVERSION</v>
      </c>
      <c r="U232" s="473">
        <f t="shared" ref="U232:AJ232" si="194">U234</f>
        <v>303000000</v>
      </c>
      <c r="V232" s="474">
        <f t="shared" si="194"/>
        <v>-69000000</v>
      </c>
      <c r="W232" s="474">
        <f t="shared" si="194"/>
        <v>178000000</v>
      </c>
      <c r="X232" s="475">
        <f t="shared" si="194"/>
        <v>412000000</v>
      </c>
      <c r="Y232" s="382">
        <f t="shared" si="194"/>
        <v>80680000</v>
      </c>
      <c r="Z232" s="474">
        <f t="shared" si="194"/>
        <v>39481334</v>
      </c>
      <c r="AA232" s="475">
        <f t="shared" si="194"/>
        <v>120161334</v>
      </c>
      <c r="AB232" s="382">
        <f t="shared" si="194"/>
        <v>14280000</v>
      </c>
      <c r="AC232" s="474">
        <f t="shared" si="194"/>
        <v>10500000</v>
      </c>
      <c r="AD232" s="475">
        <f t="shared" si="194"/>
        <v>24780000</v>
      </c>
      <c r="AE232" s="382">
        <f t="shared" si="194"/>
        <v>12900000</v>
      </c>
      <c r="AF232" s="474">
        <f t="shared" si="194"/>
        <v>8430000</v>
      </c>
      <c r="AG232" s="475">
        <f t="shared" si="194"/>
        <v>21330000</v>
      </c>
      <c r="AH232" s="382">
        <f t="shared" si="194"/>
        <v>291838666</v>
      </c>
      <c r="AI232" s="474">
        <f t="shared" si="194"/>
        <v>387220000</v>
      </c>
      <c r="AJ232" s="383">
        <f t="shared" si="194"/>
        <v>390670000</v>
      </c>
      <c r="AK232" s="506"/>
      <c r="AL232" s="382">
        <f>AL234</f>
        <v>-24000000</v>
      </c>
      <c r="AM232" s="383">
        <f>AM234</f>
        <v>0</v>
      </c>
      <c r="AN232" s="9"/>
    </row>
    <row r="233" spans="1:40" s="385" customFormat="1" ht="24.95" customHeight="1" x14ac:dyDescent="0.2">
      <c r="A233" s="767"/>
      <c r="B233" s="669"/>
      <c r="N233" s="9"/>
      <c r="P233" s="9"/>
      <c r="Q233" s="9"/>
      <c r="R233" s="9"/>
      <c r="S233" s="369" t="str">
        <f>+IF(MAYO!S233=0,"",MAYO!S233)</f>
        <v/>
      </c>
      <c r="T233" s="708" t="str">
        <f>+IF(MAYO!T233=0,"",MAYO!T233)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40" s="385" customFormat="1" ht="24.95" customHeight="1" x14ac:dyDescent="0.2">
      <c r="A234" s="767"/>
      <c r="B234" s="669"/>
      <c r="N234" s="9"/>
      <c r="P234" s="9"/>
      <c r="Q234" s="9"/>
      <c r="R234" s="9"/>
      <c r="S234" s="718">
        <f>+IF(MAYO!S234=0,"",MAYO!S234)</f>
        <v>8000000</v>
      </c>
      <c r="T234" s="692" t="str">
        <f>+IF(MAYO!T234=0,"",MAYO!T234)</f>
        <v>Programas de Inversión</v>
      </c>
      <c r="U234" s="135">
        <f t="shared" ref="U234:AJ234" si="195">U235+U243</f>
        <v>303000000</v>
      </c>
      <c r="V234" s="124">
        <f t="shared" si="195"/>
        <v>-69000000</v>
      </c>
      <c r="W234" s="124">
        <f t="shared" si="195"/>
        <v>178000000</v>
      </c>
      <c r="X234" s="132">
        <f t="shared" si="195"/>
        <v>412000000</v>
      </c>
      <c r="Y234" s="131">
        <f t="shared" si="195"/>
        <v>80680000</v>
      </c>
      <c r="Z234" s="124">
        <f t="shared" si="195"/>
        <v>39481334</v>
      </c>
      <c r="AA234" s="132">
        <f t="shared" si="195"/>
        <v>120161334</v>
      </c>
      <c r="AB234" s="131">
        <f t="shared" si="195"/>
        <v>14280000</v>
      </c>
      <c r="AC234" s="124">
        <f t="shared" si="195"/>
        <v>10500000</v>
      </c>
      <c r="AD234" s="132">
        <f t="shared" si="195"/>
        <v>24780000</v>
      </c>
      <c r="AE234" s="131">
        <f t="shared" si="195"/>
        <v>12900000</v>
      </c>
      <c r="AF234" s="124">
        <f t="shared" si="195"/>
        <v>8430000</v>
      </c>
      <c r="AG234" s="132">
        <f t="shared" si="195"/>
        <v>21330000</v>
      </c>
      <c r="AH234" s="131">
        <f t="shared" si="195"/>
        <v>291838666</v>
      </c>
      <c r="AI234" s="124">
        <f t="shared" si="195"/>
        <v>387220000</v>
      </c>
      <c r="AJ234" s="133">
        <f t="shared" si="195"/>
        <v>390670000</v>
      </c>
      <c r="AK234" s="9"/>
      <c r="AL234" s="131">
        <f>AL235+AL243</f>
        <v>-24000000</v>
      </c>
      <c r="AM234" s="133">
        <f>AM235+AM243</f>
        <v>0</v>
      </c>
      <c r="AN234" s="9"/>
    </row>
    <row r="235" spans="1:40" s="385" customFormat="1" ht="24.95" customHeight="1" x14ac:dyDescent="0.2">
      <c r="A235" s="767"/>
      <c r="B235" s="669"/>
      <c r="N235" s="9"/>
      <c r="P235" s="9"/>
      <c r="Q235" s="9"/>
      <c r="R235" s="9"/>
      <c r="S235" s="719">
        <f>+IF(MAYO!S235=0,"",MAYO!S235)</f>
        <v>8001000</v>
      </c>
      <c r="T235" s="693" t="str">
        <f>+IF(MAYO!T235=0,"",MAYO!T235)</f>
        <v>Formación Bruta del Capital</v>
      </c>
      <c r="U235" s="27">
        <f t="shared" ref="U235:AJ235" si="196">SUM(U236:U241)</f>
        <v>185000000</v>
      </c>
      <c r="V235" s="15">
        <f t="shared" si="196"/>
        <v>23000000</v>
      </c>
      <c r="W235" s="15">
        <f t="shared" si="196"/>
        <v>0</v>
      </c>
      <c r="X235" s="18">
        <f t="shared" si="196"/>
        <v>208000000</v>
      </c>
      <c r="Y235" s="19">
        <f t="shared" si="196"/>
        <v>0</v>
      </c>
      <c r="Z235" s="145">
        <f t="shared" si="196"/>
        <v>22968000</v>
      </c>
      <c r="AA235" s="18">
        <f t="shared" si="196"/>
        <v>22968000</v>
      </c>
      <c r="AB235" s="19">
        <f t="shared" si="196"/>
        <v>0</v>
      </c>
      <c r="AC235" s="145">
        <f t="shared" si="196"/>
        <v>0</v>
      </c>
      <c r="AD235" s="18">
        <f t="shared" si="196"/>
        <v>0</v>
      </c>
      <c r="AE235" s="19">
        <f t="shared" si="196"/>
        <v>0</v>
      </c>
      <c r="AF235" s="145">
        <f t="shared" si="196"/>
        <v>0</v>
      </c>
      <c r="AG235" s="18">
        <f t="shared" si="196"/>
        <v>0</v>
      </c>
      <c r="AH235" s="19">
        <f t="shared" si="196"/>
        <v>185032000</v>
      </c>
      <c r="AI235" s="15">
        <f t="shared" si="196"/>
        <v>208000000</v>
      </c>
      <c r="AJ235" s="16">
        <f t="shared" si="196"/>
        <v>208000000</v>
      </c>
      <c r="AK235" s="9"/>
      <c r="AL235" s="29">
        <f>SUM(AL236:AL241)</f>
        <v>0</v>
      </c>
      <c r="AM235" s="26">
        <f>SUM(AM236:AM241)</f>
        <v>0</v>
      </c>
      <c r="AN235" s="9"/>
    </row>
    <row r="236" spans="1:40" s="385" customFormat="1" ht="24.95" customHeight="1" x14ac:dyDescent="0.2">
      <c r="A236" s="767"/>
      <c r="B236" s="669"/>
      <c r="N236" s="9"/>
      <c r="P236" s="9"/>
      <c r="Q236" s="9"/>
      <c r="R236" s="9"/>
      <c r="S236" s="720" t="str">
        <f>+IF(MAYO!S236=0,"",MAYO!S236)</f>
        <v>8001000-1</v>
      </c>
      <c r="T236" s="694" t="str">
        <f>+IF(MAYO!T236=0,"",MAYO!T236)</f>
        <v>Subprogr.Diseño Proyecto plan maestro, remodelacion y adec.primer piso</v>
      </c>
      <c r="U236" s="27">
        <f>+ENERO!U236</f>
        <v>60000000</v>
      </c>
      <c r="V236" s="15">
        <f>MAYO!V236+JUNIO!AL236</f>
        <v>0</v>
      </c>
      <c r="W236" s="15">
        <f>MAYO!W236+JUNIO!AM236</f>
        <v>0</v>
      </c>
      <c r="X236" s="18">
        <f t="shared" ref="X236:X241" si="197">SUM(U236:W236)</f>
        <v>60000000</v>
      </c>
      <c r="Y236" s="19">
        <f>MAYO!AA236</f>
        <v>0</v>
      </c>
      <c r="Z236" s="377">
        <v>0</v>
      </c>
      <c r="AA236" s="18">
        <f t="shared" ref="AA236:AA241" si="198">SUM(Y236:Z236)</f>
        <v>0</v>
      </c>
      <c r="AB236" s="19">
        <f>MAYO!AD236</f>
        <v>0</v>
      </c>
      <c r="AC236" s="377">
        <v>0</v>
      </c>
      <c r="AD236" s="18">
        <f t="shared" ref="AD236:AD241" si="199">SUM(AB236:AC236)</f>
        <v>0</v>
      </c>
      <c r="AE236" s="19">
        <f>MAYO!AG236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40" s="385" customFormat="1" ht="24.95" customHeight="1" x14ac:dyDescent="0.2">
      <c r="A237" s="767"/>
      <c r="B237" s="669"/>
      <c r="N237" s="9"/>
      <c r="P237" s="9"/>
      <c r="Q237" s="9"/>
      <c r="R237" s="9"/>
      <c r="S237" s="720" t="str">
        <f>+IF(MAYO!S237=0,"",MAYO!S237)</f>
        <v>8001000-2</v>
      </c>
      <c r="T237" s="694" t="str">
        <f>+IF(MAYO!T237=0,"",MAYO!T237)</f>
        <v>Subprogr.Adquisicion de ambulancia</v>
      </c>
      <c r="U237" s="27">
        <f>+ENERO!U237</f>
        <v>50000000</v>
      </c>
      <c r="V237" s="15">
        <f>MAYO!V237+JUNIO!AL237</f>
        <v>0</v>
      </c>
      <c r="W237" s="15">
        <f>MAYO!W237+JUNIO!AM237</f>
        <v>0</v>
      </c>
      <c r="X237" s="18">
        <f t="shared" si="197"/>
        <v>50000000</v>
      </c>
      <c r="Y237" s="19">
        <f>MAYO!AA237</f>
        <v>0</v>
      </c>
      <c r="Z237" s="377">
        <v>0</v>
      </c>
      <c r="AA237" s="18">
        <f t="shared" si="198"/>
        <v>0</v>
      </c>
      <c r="AB237" s="19">
        <f>MAYO!AD237</f>
        <v>0</v>
      </c>
      <c r="AC237" s="377">
        <v>0</v>
      </c>
      <c r="AD237" s="18">
        <f t="shared" si="199"/>
        <v>0</v>
      </c>
      <c r="AE237" s="19">
        <f>MAYO!AG237</f>
        <v>0</v>
      </c>
      <c r="AF237" s="377">
        <v>0</v>
      </c>
      <c r="AG237" s="18">
        <f t="shared" si="200"/>
        <v>0</v>
      </c>
      <c r="AH237" s="19">
        <f t="shared" si="201"/>
        <v>50000000</v>
      </c>
      <c r="AI237" s="15">
        <f t="shared" si="202"/>
        <v>50000000</v>
      </c>
      <c r="AJ237" s="16">
        <f t="shared" si="203"/>
        <v>50000000</v>
      </c>
      <c r="AK237" s="9"/>
      <c r="AL237" s="375">
        <v>0</v>
      </c>
      <c r="AM237" s="378">
        <v>0</v>
      </c>
      <c r="AN237" s="9"/>
    </row>
    <row r="238" spans="1:40" s="385" customFormat="1" ht="24.95" customHeight="1" x14ac:dyDescent="0.2">
      <c r="A238" s="767"/>
      <c r="B238" s="669"/>
      <c r="N238" s="9"/>
      <c r="P238" s="9"/>
      <c r="Q238" s="9"/>
      <c r="R238" s="9"/>
      <c r="S238" s="720" t="str">
        <f>+IF(MAYO!S238=0,"",MAYO!S238)</f>
        <v>8001000-3</v>
      </c>
      <c r="T238" s="694" t="str">
        <f>+IF(MAYO!T238=0,"",MAYO!T238)</f>
        <v>Subprogr.Actualizacion software hacia NICSP y Adquisicion de Historias clinicas</v>
      </c>
      <c r="U238" s="27">
        <f>+ENERO!U238</f>
        <v>75000000</v>
      </c>
      <c r="V238" s="15">
        <f>MAYO!V238+JUNIO!AL238</f>
        <v>0</v>
      </c>
      <c r="W238" s="15">
        <f>MAYO!W238+JUNIO!AM238</f>
        <v>0</v>
      </c>
      <c r="X238" s="18">
        <f t="shared" si="197"/>
        <v>75000000</v>
      </c>
      <c r="Y238" s="19">
        <f>MAYO!AA238</f>
        <v>0</v>
      </c>
      <c r="Z238" s="377">
        <v>0</v>
      </c>
      <c r="AA238" s="18">
        <f t="shared" si="198"/>
        <v>0</v>
      </c>
      <c r="AB238" s="19">
        <f>MAYO!AD238</f>
        <v>0</v>
      </c>
      <c r="AC238" s="377">
        <v>0</v>
      </c>
      <c r="AD238" s="18">
        <f t="shared" si="199"/>
        <v>0</v>
      </c>
      <c r="AE238" s="19">
        <f>MAYO!AG238</f>
        <v>0</v>
      </c>
      <c r="AF238" s="377">
        <v>0</v>
      </c>
      <c r="AG238" s="18">
        <f t="shared" si="200"/>
        <v>0</v>
      </c>
      <c r="AH238" s="19">
        <f t="shared" si="201"/>
        <v>75000000</v>
      </c>
      <c r="AI238" s="15">
        <f t="shared" si="202"/>
        <v>75000000</v>
      </c>
      <c r="AJ238" s="16">
        <f t="shared" si="203"/>
        <v>75000000</v>
      </c>
      <c r="AK238" s="9"/>
      <c r="AL238" s="375">
        <v>0</v>
      </c>
      <c r="AM238" s="378">
        <v>0</v>
      </c>
      <c r="AN238" s="9"/>
    </row>
    <row r="239" spans="1:40" s="385" customFormat="1" ht="24.95" customHeight="1" x14ac:dyDescent="0.2">
      <c r="A239" s="767"/>
      <c r="B239" s="669"/>
      <c r="N239" s="9"/>
      <c r="P239" s="9"/>
      <c r="Q239" s="9"/>
      <c r="S239" s="720" t="str">
        <f>+IF(MAYO!S239=0,"",MAYO!S239)</f>
        <v>8001000-4</v>
      </c>
      <c r="T239" s="694" t="str">
        <f>+IF(MAYO!T239=0,"",MAYO!T239)</f>
        <v>Subprogr.Construc. Remodelac. Adecuación y Apliac.4</v>
      </c>
      <c r="U239" s="27">
        <f>+ENERO!U239</f>
        <v>0</v>
      </c>
      <c r="V239" s="15">
        <f>MAYO!V239+JUNIO!AL239</f>
        <v>23000000</v>
      </c>
      <c r="W239" s="15">
        <f>MAYO!W239+JUNIO!AM239</f>
        <v>0</v>
      </c>
      <c r="X239" s="18">
        <f t="shared" si="197"/>
        <v>23000000</v>
      </c>
      <c r="Y239" s="19">
        <f>MAYO!AA239</f>
        <v>0</v>
      </c>
      <c r="Z239" s="377">
        <v>22968000</v>
      </c>
      <c r="AA239" s="18">
        <f t="shared" si="198"/>
        <v>22968000</v>
      </c>
      <c r="AB239" s="19">
        <f>MAYO!AD239</f>
        <v>0</v>
      </c>
      <c r="AC239" s="377">
        <v>0</v>
      </c>
      <c r="AD239" s="18">
        <f t="shared" si="199"/>
        <v>0</v>
      </c>
      <c r="AE239" s="19">
        <f>MAYO!AG239</f>
        <v>0</v>
      </c>
      <c r="AF239" s="377">
        <v>0</v>
      </c>
      <c r="AG239" s="18">
        <f t="shared" si="200"/>
        <v>0</v>
      </c>
      <c r="AH239" s="19">
        <f t="shared" si="201"/>
        <v>32000</v>
      </c>
      <c r="AI239" s="15">
        <f t="shared" si="202"/>
        <v>23000000</v>
      </c>
      <c r="AJ239" s="16">
        <f t="shared" si="203"/>
        <v>23000000</v>
      </c>
      <c r="AK239" s="9"/>
      <c r="AL239" s="375">
        <v>0</v>
      </c>
      <c r="AM239" s="378">
        <v>0</v>
      </c>
      <c r="AN239" s="9"/>
    </row>
    <row r="240" spans="1:40" s="385" customFormat="1" ht="24.95" customHeight="1" x14ac:dyDescent="0.2">
      <c r="A240" s="767"/>
      <c r="B240" s="669"/>
      <c r="N240" s="9"/>
      <c r="P240" s="9"/>
      <c r="Q240" s="9"/>
      <c r="S240" s="720" t="str">
        <f>+IF(MAYO!S240=0,"",MAYO!S240)</f>
        <v>8001000-7</v>
      </c>
      <c r="T240" s="694" t="str">
        <f>+IF(MAYO!T240=0,"",MAYO!T240)</f>
        <v>Subprogr.Construc. Remodelac. Adecuación y Apliac.5</v>
      </c>
      <c r="U240" s="27">
        <f>+ENERO!U240</f>
        <v>0</v>
      </c>
      <c r="V240" s="15">
        <f>MAYO!V240+JUNIO!AL240</f>
        <v>0</v>
      </c>
      <c r="W240" s="15">
        <f>MAYO!W240+JUNIO!AM240</f>
        <v>0</v>
      </c>
      <c r="X240" s="18">
        <f t="shared" si="197"/>
        <v>0</v>
      </c>
      <c r="Y240" s="19">
        <f>MAYO!AA240</f>
        <v>0</v>
      </c>
      <c r="Z240" s="377">
        <v>0</v>
      </c>
      <c r="AA240" s="18">
        <f t="shared" si="198"/>
        <v>0</v>
      </c>
      <c r="AB240" s="19">
        <f>MAYO!AD240</f>
        <v>0</v>
      </c>
      <c r="AC240" s="377">
        <v>0</v>
      </c>
      <c r="AD240" s="18">
        <f t="shared" si="199"/>
        <v>0</v>
      </c>
      <c r="AE240" s="19">
        <f>MAYO!AG240</f>
        <v>0</v>
      </c>
      <c r="AF240" s="377">
        <v>0</v>
      </c>
      <c r="AG240" s="18">
        <f t="shared" si="200"/>
        <v>0</v>
      </c>
      <c r="AH240" s="19">
        <f t="shared" si="201"/>
        <v>0</v>
      </c>
      <c r="AI240" s="15">
        <f t="shared" si="202"/>
        <v>0</v>
      </c>
      <c r="AJ240" s="16">
        <f t="shared" si="203"/>
        <v>0</v>
      </c>
      <c r="AK240" s="9"/>
      <c r="AL240" s="375">
        <v>0</v>
      </c>
      <c r="AM240" s="378">
        <v>0</v>
      </c>
      <c r="AN240" s="9"/>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+IF(MAYO!S241=0,"",MAYO!S241)</f>
        <v>8001999</v>
      </c>
      <c r="T241" s="694" t="str">
        <f>+IF(MAYO!T241=0,"",MAYO!T241)</f>
        <v>Vigencias Anteriores</v>
      </c>
      <c r="U241" s="27">
        <f>+ENERO!U241</f>
        <v>0</v>
      </c>
      <c r="V241" s="15">
        <f>MAYO!V241+JUNIO!AL241</f>
        <v>0</v>
      </c>
      <c r="W241" s="15">
        <f>MAYO!W241+JUNIO!AM241</f>
        <v>0</v>
      </c>
      <c r="X241" s="18">
        <f t="shared" si="197"/>
        <v>0</v>
      </c>
      <c r="Y241" s="19">
        <f>MAYO!AA241</f>
        <v>0</v>
      </c>
      <c r="Z241" s="377">
        <v>0</v>
      </c>
      <c r="AA241" s="18">
        <f t="shared" si="198"/>
        <v>0</v>
      </c>
      <c r="AB241" s="19">
        <f>MAYO!AD241</f>
        <v>0</v>
      </c>
      <c r="AC241" s="377">
        <v>0</v>
      </c>
      <c r="AD241" s="18">
        <f t="shared" si="199"/>
        <v>0</v>
      </c>
      <c r="AE241" s="19">
        <f>MAYO!AG241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+IF(MAYO!S242=0,"",MAYO!S242)</f>
        <v/>
      </c>
      <c r="T242" s="708" t="str">
        <f>+IF(MAYO!T242=0,"",MAYO!T242)</f>
        <v/>
      </c>
      <c r="U242" s="164"/>
      <c r="V242" s="164"/>
      <c r="W242" s="164"/>
      <c r="X242" s="164"/>
      <c r="Y242" s="164"/>
      <c r="Z242" s="164"/>
      <c r="AA242" s="164"/>
      <c r="AB242" s="164"/>
      <c r="AC242" s="164"/>
      <c r="AD242" s="164"/>
      <c r="AE242" s="164"/>
      <c r="AF242" s="164"/>
      <c r="AG242" s="164"/>
      <c r="AH242" s="164"/>
      <c r="AI242" s="164"/>
      <c r="AJ242" s="169"/>
      <c r="AK242" s="9"/>
      <c r="AL242" s="175"/>
      <c r="AM242" s="176"/>
      <c r="BM242" s="385"/>
      <c r="BN242" s="385"/>
      <c r="BO242" s="385"/>
      <c r="BP242" s="385"/>
      <c r="BQ242" s="385"/>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+IF(MAYO!S243=0,"",MAYO!S243)</f>
        <v>8002001</v>
      </c>
      <c r="T243" s="693" t="str">
        <f>+IF(MAYO!T243=0,"",MAYO!T243)</f>
        <v>Gastos Operativos de Inversion   (Programas Especiales)</v>
      </c>
      <c r="U243" s="27">
        <f t="shared" ref="U243:AJ243" si="204">SUM(U244:U256)</f>
        <v>118000000</v>
      </c>
      <c r="V243" s="15">
        <f t="shared" si="204"/>
        <v>-92000000</v>
      </c>
      <c r="W243" s="15">
        <f t="shared" si="204"/>
        <v>178000000</v>
      </c>
      <c r="X243" s="18">
        <f t="shared" si="204"/>
        <v>204000000</v>
      </c>
      <c r="Y243" s="19">
        <f t="shared" si="204"/>
        <v>80680000</v>
      </c>
      <c r="Z243" s="145">
        <f t="shared" si="204"/>
        <v>16513334</v>
      </c>
      <c r="AA243" s="18">
        <f t="shared" si="204"/>
        <v>97193334</v>
      </c>
      <c r="AB243" s="19">
        <f t="shared" si="204"/>
        <v>14280000</v>
      </c>
      <c r="AC243" s="145">
        <f t="shared" si="204"/>
        <v>10500000</v>
      </c>
      <c r="AD243" s="18">
        <f t="shared" si="204"/>
        <v>24780000</v>
      </c>
      <c r="AE243" s="19">
        <f t="shared" si="204"/>
        <v>12900000</v>
      </c>
      <c r="AF243" s="145">
        <f t="shared" si="204"/>
        <v>8430000</v>
      </c>
      <c r="AG243" s="18">
        <f t="shared" si="204"/>
        <v>21330000</v>
      </c>
      <c r="AH243" s="19">
        <f t="shared" si="204"/>
        <v>106806666</v>
      </c>
      <c r="AI243" s="15">
        <f t="shared" si="204"/>
        <v>179220000</v>
      </c>
      <c r="AJ243" s="16">
        <f t="shared" si="204"/>
        <v>182670000</v>
      </c>
      <c r="AK243" s="9"/>
      <c r="AL243" s="19">
        <f>SUM(AL244:AL256)</f>
        <v>-24000000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+IF(MAYO!S244=0,"",MAYO!S244)</f>
        <v>8002100-1</v>
      </c>
      <c r="T244" s="694" t="str">
        <f>+IF(MAYO!T244=0,"",MAYO!T244)</f>
        <v>Fondo de la Vivienda</v>
      </c>
      <c r="U244" s="27">
        <f>+ENERO!U244</f>
        <v>0</v>
      </c>
      <c r="V244" s="15">
        <f>MAYO!V244+JUNIO!AL244</f>
        <v>0</v>
      </c>
      <c r="W244" s="15">
        <f>MAYO!W244+JUNIO!AM244</f>
        <v>0</v>
      </c>
      <c r="X244" s="18">
        <f t="shared" ref="X244:X256" si="205">SUM(U244:W244)</f>
        <v>0</v>
      </c>
      <c r="Y244" s="19">
        <f>MAYO!AA244</f>
        <v>0</v>
      </c>
      <c r="Z244" s="377">
        <v>0</v>
      </c>
      <c r="AA244" s="18">
        <f t="shared" ref="AA244:AA256" si="206">SUM(Y244:Z244)</f>
        <v>0</v>
      </c>
      <c r="AB244" s="19">
        <f>MAYO!AD244</f>
        <v>0</v>
      </c>
      <c r="AC244" s="377">
        <v>0</v>
      </c>
      <c r="AD244" s="18">
        <f t="shared" ref="AD244:AD256" si="207">SUM(AB244:AC244)</f>
        <v>0</v>
      </c>
      <c r="AE244" s="19">
        <f>MAYO!AG244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+IF(MAYO!S245=0,"",MAYO!S245)</f>
        <v>8002100-2</v>
      </c>
      <c r="T245" s="694" t="str">
        <f>+IF(MAYO!T245=0,"",MAYO!T245)</f>
        <v>Programas Especial 01 Convenio APS Municipio</v>
      </c>
      <c r="U245" s="27">
        <f>+ENERO!U245</f>
        <v>94000000</v>
      </c>
      <c r="V245" s="15">
        <f>MAYO!V245+JUNIO!AL245</f>
        <v>-68000000</v>
      </c>
      <c r="W245" s="15">
        <f>MAYO!W245+JUNIO!AM245</f>
        <v>94000000</v>
      </c>
      <c r="X245" s="18">
        <f t="shared" si="205"/>
        <v>120000000</v>
      </c>
      <c r="Y245" s="19">
        <f>MAYO!AA245</f>
        <v>62050000</v>
      </c>
      <c r="Z245" s="377">
        <v>12323334</v>
      </c>
      <c r="AA245" s="18">
        <f t="shared" si="206"/>
        <v>74373334</v>
      </c>
      <c r="AB245" s="19">
        <f>MAYO!AD245</f>
        <v>12900000</v>
      </c>
      <c r="AC245" s="377">
        <v>7050000</v>
      </c>
      <c r="AD245" s="18">
        <f t="shared" si="207"/>
        <v>19950000</v>
      </c>
      <c r="AE245" s="19">
        <f>MAYO!AG245</f>
        <v>12900000</v>
      </c>
      <c r="AF245" s="377">
        <v>7050000</v>
      </c>
      <c r="AG245" s="18">
        <f t="shared" si="208"/>
        <v>19950000</v>
      </c>
      <c r="AH245" s="19">
        <f t="shared" si="209"/>
        <v>45626666</v>
      </c>
      <c r="AI245" s="15">
        <f t="shared" si="210"/>
        <v>100050000</v>
      </c>
      <c r="AJ245" s="16">
        <f t="shared" si="211"/>
        <v>100050000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+IF(MAYO!S246=0,"",MAYO!S246)</f>
        <v>8002100-3</v>
      </c>
      <c r="T246" s="694" t="str">
        <f>+IF(MAYO!T246=0,"",MAYO!T246)</f>
        <v>Programas Especial 02 Convenios APS  Departamento</v>
      </c>
      <c r="U246" s="27">
        <f>+ENERO!U246</f>
        <v>0</v>
      </c>
      <c r="V246" s="15">
        <f>MAYO!V246+JUNIO!AL246</f>
        <v>0</v>
      </c>
      <c r="W246" s="15">
        <f>MAYO!W246+JUNIO!AM246</f>
        <v>50000000</v>
      </c>
      <c r="X246" s="18">
        <f t="shared" si="205"/>
        <v>50000000</v>
      </c>
      <c r="Y246" s="19">
        <f>MAYO!AA246</f>
        <v>18630000</v>
      </c>
      <c r="Z246" s="377">
        <v>4190000</v>
      </c>
      <c r="AA246" s="18">
        <f t="shared" si="206"/>
        <v>22820000</v>
      </c>
      <c r="AB246" s="19">
        <f>MAYO!AD246</f>
        <v>1380000</v>
      </c>
      <c r="AC246" s="377">
        <v>3450000</v>
      </c>
      <c r="AD246" s="18">
        <f t="shared" si="207"/>
        <v>4830000</v>
      </c>
      <c r="AE246" s="19">
        <f>MAYO!AG246</f>
        <v>0</v>
      </c>
      <c r="AF246" s="377">
        <v>1380000</v>
      </c>
      <c r="AG246" s="18">
        <f t="shared" si="208"/>
        <v>1380000</v>
      </c>
      <c r="AH246" s="19">
        <f t="shared" si="209"/>
        <v>27180000</v>
      </c>
      <c r="AI246" s="15">
        <f t="shared" si="210"/>
        <v>45170000</v>
      </c>
      <c r="AJ246" s="16">
        <f t="shared" si="211"/>
        <v>48620000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+IF(MAYO!S247=0,"",MAYO!S247)</f>
        <v>8002100-4</v>
      </c>
      <c r="T247" s="694" t="str">
        <f>+IF(MAYO!T247=0,"",MAYO!T247)</f>
        <v>Subprogr. Implementacion Normas Internacionales de Contabilidad Publica</v>
      </c>
      <c r="U247" s="27">
        <f>+ENERO!U247</f>
        <v>0</v>
      </c>
      <c r="V247" s="15">
        <f>MAYO!V247+JUNIO!AL247</f>
        <v>0</v>
      </c>
      <c r="W247" s="15">
        <f>MAYO!W247+JUNIO!AM247</f>
        <v>0</v>
      </c>
      <c r="X247" s="18">
        <f t="shared" si="205"/>
        <v>0</v>
      </c>
      <c r="Y247" s="19">
        <f>MAYO!AA247</f>
        <v>0</v>
      </c>
      <c r="Z247" s="377">
        <v>0</v>
      </c>
      <c r="AA247" s="18">
        <f t="shared" si="206"/>
        <v>0</v>
      </c>
      <c r="AB247" s="19">
        <f>MAYO!AD247</f>
        <v>0</v>
      </c>
      <c r="AC247" s="377">
        <v>0</v>
      </c>
      <c r="AD247" s="18">
        <f t="shared" si="207"/>
        <v>0</v>
      </c>
      <c r="AE247" s="19">
        <f>MAYO!AG247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+IF(MAYO!S248=0,"",MAYO!S248)</f>
        <v>8002100-5</v>
      </c>
      <c r="T248" s="694" t="str">
        <f>+IF(MAYO!T248=0,"",MAYO!T248)</f>
        <v>Programas Especial 04 Convenio Puestos de Salud</v>
      </c>
      <c r="U248" s="27">
        <f>+ENERO!U248</f>
        <v>24000000</v>
      </c>
      <c r="V248" s="15">
        <f>MAYO!V248+JUNIO!AL248</f>
        <v>-24000000</v>
      </c>
      <c r="W248" s="15">
        <f>MAYO!W248+JUNIO!AM248</f>
        <v>34000000</v>
      </c>
      <c r="X248" s="18">
        <f t="shared" si="205"/>
        <v>34000000</v>
      </c>
      <c r="Y248" s="19">
        <f>MAYO!AA248</f>
        <v>0</v>
      </c>
      <c r="Z248" s="377">
        <v>0</v>
      </c>
      <c r="AA248" s="18">
        <f t="shared" si="206"/>
        <v>0</v>
      </c>
      <c r="AB248" s="19">
        <f>MAYO!AD248</f>
        <v>0</v>
      </c>
      <c r="AC248" s="377">
        <v>0</v>
      </c>
      <c r="AD248" s="18">
        <f t="shared" si="207"/>
        <v>0</v>
      </c>
      <c r="AE248" s="19">
        <f>MAYO!AG248</f>
        <v>0</v>
      </c>
      <c r="AF248" s="377">
        <v>0</v>
      </c>
      <c r="AG248" s="18">
        <f t="shared" si="208"/>
        <v>0</v>
      </c>
      <c r="AH248" s="19">
        <f t="shared" si="209"/>
        <v>34000000</v>
      </c>
      <c r="AI248" s="15">
        <f t="shared" si="210"/>
        <v>34000000</v>
      </c>
      <c r="AJ248" s="16">
        <f t="shared" si="211"/>
        <v>34000000</v>
      </c>
      <c r="AK248" s="9"/>
      <c r="AL248" s="375">
        <v>-24000000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+IF(MAYO!S249=0,"",MAYO!S249)</f>
        <v>8002100-6</v>
      </c>
      <c r="T249" s="694" t="str">
        <f>+IF(MAYO!T249=0,"",MAYO!T249)</f>
        <v>Programas Especial 05</v>
      </c>
      <c r="U249" s="27">
        <f>+ENERO!U249</f>
        <v>0</v>
      </c>
      <c r="V249" s="15">
        <f>MAYO!V249+JUNIO!AL249</f>
        <v>0</v>
      </c>
      <c r="W249" s="15">
        <f>MAYO!W249+JUNIO!AM249</f>
        <v>0</v>
      </c>
      <c r="X249" s="18">
        <f t="shared" si="205"/>
        <v>0</v>
      </c>
      <c r="Y249" s="19">
        <f>MAYO!AA249</f>
        <v>0</v>
      </c>
      <c r="Z249" s="377">
        <v>0</v>
      </c>
      <c r="AA249" s="18">
        <f t="shared" si="206"/>
        <v>0</v>
      </c>
      <c r="AB249" s="19">
        <f>MAYO!AD249</f>
        <v>0</v>
      </c>
      <c r="AC249" s="377">
        <v>0</v>
      </c>
      <c r="AD249" s="18">
        <f t="shared" si="207"/>
        <v>0</v>
      </c>
      <c r="AE249" s="19">
        <f>MAYO!AG249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+IF(MAYO!S250=0,"",MAYO!S250)</f>
        <v>8002100-7</v>
      </c>
      <c r="T250" s="694" t="str">
        <f>+IF(MAYO!T250=0,"",MAYO!T250)</f>
        <v>Programas Especial 06</v>
      </c>
      <c r="U250" s="27">
        <f>+ENERO!U250</f>
        <v>0</v>
      </c>
      <c r="V250" s="15">
        <f>MAYO!V250+JUNIO!AL250</f>
        <v>0</v>
      </c>
      <c r="W250" s="15">
        <f>MAYO!W250+JUNIO!AM250</f>
        <v>0</v>
      </c>
      <c r="X250" s="18">
        <f>SUM(U250:W250)</f>
        <v>0</v>
      </c>
      <c r="Y250" s="19">
        <f>MAYO!AA250</f>
        <v>0</v>
      </c>
      <c r="Z250" s="377">
        <v>0</v>
      </c>
      <c r="AA250" s="18">
        <f>SUM(Y250:Z250)</f>
        <v>0</v>
      </c>
      <c r="AB250" s="19">
        <f>MAYO!AD250</f>
        <v>0</v>
      </c>
      <c r="AC250" s="377">
        <v>0</v>
      </c>
      <c r="AD250" s="18">
        <f>SUM(AB250:AC250)</f>
        <v>0</v>
      </c>
      <c r="AE250" s="19">
        <f>MAYO!AG250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+IF(MAYO!S251=0,"",MAYO!S251)</f>
        <v>8002100-8</v>
      </c>
      <c r="T251" s="694" t="str">
        <f>+IF(MAYO!T251=0,"",MAYO!T251)</f>
        <v>Programas Especial 07</v>
      </c>
      <c r="U251" s="27">
        <f>+ENERO!U251</f>
        <v>0</v>
      </c>
      <c r="V251" s="15">
        <f>MAYO!V251+JUNIO!AL251</f>
        <v>0</v>
      </c>
      <c r="W251" s="15">
        <f>MAYO!W251+JUNIO!AM251</f>
        <v>0</v>
      </c>
      <c r="X251" s="18">
        <f>SUM(U251:W251)</f>
        <v>0</v>
      </c>
      <c r="Y251" s="19">
        <f>MAYO!AA251</f>
        <v>0</v>
      </c>
      <c r="Z251" s="377">
        <v>0</v>
      </c>
      <c r="AA251" s="18">
        <f>SUM(Y251:Z251)</f>
        <v>0</v>
      </c>
      <c r="AB251" s="19">
        <f>MAYO!AD251</f>
        <v>0</v>
      </c>
      <c r="AC251" s="377">
        <v>0</v>
      </c>
      <c r="AD251" s="18">
        <f>SUM(AB251:AC251)</f>
        <v>0</v>
      </c>
      <c r="AE251" s="19">
        <f>MAYO!AG251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+IF(MAYO!S252=0,"",MAYO!S252)</f>
        <v>8002100-9</v>
      </c>
      <c r="T252" s="694" t="str">
        <f>+IF(MAYO!T252=0,"",MAYO!T252)</f>
        <v>Programas Especial 08</v>
      </c>
      <c r="U252" s="27">
        <f>+ENERO!U252</f>
        <v>0</v>
      </c>
      <c r="V252" s="15">
        <f>MAYO!V252+JUNIO!AL252</f>
        <v>0</v>
      </c>
      <c r="W252" s="15">
        <f>MAYO!W252+JUNIO!AM252</f>
        <v>0</v>
      </c>
      <c r="X252" s="18">
        <f>SUM(U252:W252)</f>
        <v>0</v>
      </c>
      <c r="Y252" s="19">
        <f>MAYO!AA252</f>
        <v>0</v>
      </c>
      <c r="Z252" s="377">
        <v>0</v>
      </c>
      <c r="AA252" s="18">
        <f>SUM(Y252:Z252)</f>
        <v>0</v>
      </c>
      <c r="AB252" s="19">
        <f>MAYO!AD252</f>
        <v>0</v>
      </c>
      <c r="AC252" s="377">
        <v>0</v>
      </c>
      <c r="AD252" s="18">
        <f>SUM(AB252:AC252)</f>
        <v>0</v>
      </c>
      <c r="AE252" s="19">
        <f>MAYO!AG252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+IF(MAYO!S253=0,"",MAYO!S253)</f>
        <v>8002100-10</v>
      </c>
      <c r="T253" s="694" t="str">
        <f>+IF(MAYO!T253=0,"",MAYO!T253)</f>
        <v>Programas Especial 09</v>
      </c>
      <c r="U253" s="27">
        <f>+ENERO!U253</f>
        <v>0</v>
      </c>
      <c r="V253" s="15">
        <f>MAYO!V253+JUNIO!AL253</f>
        <v>0</v>
      </c>
      <c r="W253" s="15">
        <f>MAYO!W253+JUNIO!AM253</f>
        <v>0</v>
      </c>
      <c r="X253" s="18">
        <f>SUM(U253:W253)</f>
        <v>0</v>
      </c>
      <c r="Y253" s="19">
        <f>MAYO!AA253</f>
        <v>0</v>
      </c>
      <c r="Z253" s="377">
        <v>0</v>
      </c>
      <c r="AA253" s="18">
        <f>SUM(Y253:Z253)</f>
        <v>0</v>
      </c>
      <c r="AB253" s="19">
        <f>MAYO!AD253</f>
        <v>0</v>
      </c>
      <c r="AC253" s="377">
        <v>0</v>
      </c>
      <c r="AD253" s="18">
        <f>SUM(AB253:AC253)</f>
        <v>0</v>
      </c>
      <c r="AE253" s="19">
        <f>MAYO!AG253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+IF(MAYO!S254=0,"",MAYO!S254)</f>
        <v>8002100-11</v>
      </c>
      <c r="T254" s="694" t="str">
        <f>+IF(MAYO!T254=0,"",MAYO!T254)</f>
        <v>Programas Especial 10</v>
      </c>
      <c r="U254" s="27">
        <f>+ENERO!U254</f>
        <v>0</v>
      </c>
      <c r="V254" s="15">
        <f>MAYO!V254+JUNIO!AL254</f>
        <v>0</v>
      </c>
      <c r="W254" s="15">
        <f>MAYO!W254+JUNIO!AM254</f>
        <v>0</v>
      </c>
      <c r="X254" s="18">
        <f>SUM(U254:W254)</f>
        <v>0</v>
      </c>
      <c r="Y254" s="19">
        <f>MAYO!AA254</f>
        <v>0</v>
      </c>
      <c r="Z254" s="377">
        <v>0</v>
      </c>
      <c r="AA254" s="18">
        <f>SUM(Y254:Z254)</f>
        <v>0</v>
      </c>
      <c r="AB254" s="19">
        <f>MAYO!AD254</f>
        <v>0</v>
      </c>
      <c r="AC254" s="377">
        <v>0</v>
      </c>
      <c r="AD254" s="18">
        <f>SUM(AB254:AC254)</f>
        <v>0</v>
      </c>
      <c r="AE254" s="19">
        <f>MAYO!AG254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+IF(MAYO!S255=0,"",MAYO!S255)</f>
        <v>8002100-12</v>
      </c>
      <c r="T255" s="694" t="str">
        <f>+IF(MAYO!T255=0,"",MAYO!T255)</f>
        <v>Programas Especial 11</v>
      </c>
      <c r="U255" s="27">
        <f>+ENERO!U255</f>
        <v>0</v>
      </c>
      <c r="V255" s="15">
        <f>MAYO!V255+JUNIO!AL255</f>
        <v>0</v>
      </c>
      <c r="W255" s="15">
        <f>MAYO!W255+JUNIO!AM255</f>
        <v>0</v>
      </c>
      <c r="X255" s="18">
        <f t="shared" si="205"/>
        <v>0</v>
      </c>
      <c r="Y255" s="19">
        <f>MAYO!AA255</f>
        <v>0</v>
      </c>
      <c r="Z255" s="377">
        <v>0</v>
      </c>
      <c r="AA255" s="18">
        <f t="shared" si="206"/>
        <v>0</v>
      </c>
      <c r="AB255" s="19">
        <f>MAYO!AD255</f>
        <v>0</v>
      </c>
      <c r="AC255" s="377">
        <v>0</v>
      </c>
      <c r="AD255" s="18">
        <f t="shared" si="207"/>
        <v>0</v>
      </c>
      <c r="AE255" s="19">
        <f>MAYO!AG255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+IF(MAYO!S256=0,"",MAYO!S256)</f>
        <v>8002999</v>
      </c>
      <c r="T256" s="710" t="str">
        <f>+IF(MAYO!T256=0,"",MAYO!T256)</f>
        <v>Vigencias Anteriores</v>
      </c>
      <c r="U256" s="136">
        <f>+ENERO!U256</f>
        <v>0</v>
      </c>
      <c r="V256" s="123">
        <f>MAYO!V256+JUNIO!AL256</f>
        <v>0</v>
      </c>
      <c r="W256" s="123">
        <f>MAYO!W256+JUNIO!AM256</f>
        <v>0</v>
      </c>
      <c r="X256" s="129">
        <f t="shared" si="205"/>
        <v>0</v>
      </c>
      <c r="Y256" s="127">
        <f>MAYO!AA256</f>
        <v>0</v>
      </c>
      <c r="Z256" s="391">
        <v>0</v>
      </c>
      <c r="AA256" s="129">
        <f t="shared" si="206"/>
        <v>0</v>
      </c>
      <c r="AB256" s="127">
        <f>MAYO!AD256</f>
        <v>0</v>
      </c>
      <c r="AC256" s="391">
        <v>0</v>
      </c>
      <c r="AD256" s="129">
        <f t="shared" si="207"/>
        <v>0</v>
      </c>
      <c r="AE256" s="127">
        <f>MAYO!AG256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+IF(MAYO!S257=0,"",MAYO!S257)</f>
        <v/>
      </c>
      <c r="T257" s="707" t="str">
        <f>+IF(MAYO!T257=0,"",MAYO!T257)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+IF(MAYO!S258=0,"",MAYO!S258)</f>
        <v>E</v>
      </c>
      <c r="T258" s="711" t="str">
        <f>+IF(MAYO!T258=0,"",MAYO!T258)</f>
        <v>DISPONIBILIDAD FINAL</v>
      </c>
      <c r="U258" s="341">
        <f t="shared" ref="U258:AJ258" si="212">+(C10+C17+C113)-(U10+U207+U220+U232)</f>
        <v>0</v>
      </c>
      <c r="V258" s="341">
        <f t="shared" si="212"/>
        <v>0</v>
      </c>
      <c r="W258" s="341">
        <f t="shared" si="212"/>
        <v>0</v>
      </c>
      <c r="X258" s="341">
        <f t="shared" si="212"/>
        <v>0</v>
      </c>
      <c r="Y258" s="341">
        <f t="shared" si="212"/>
        <v>104159086</v>
      </c>
      <c r="Z258" s="341">
        <f t="shared" si="212"/>
        <v>-104143630</v>
      </c>
      <c r="AA258" s="341">
        <f t="shared" si="212"/>
        <v>15456</v>
      </c>
      <c r="AB258" s="341">
        <f t="shared" si="212"/>
        <v>-325966750</v>
      </c>
      <c r="AC258" s="341">
        <f t="shared" si="212"/>
        <v>-58375757</v>
      </c>
      <c r="AD258" s="341">
        <f t="shared" si="212"/>
        <v>-384342507</v>
      </c>
      <c r="AE258" s="341">
        <f t="shared" si="212"/>
        <v>588858450</v>
      </c>
      <c r="AF258" s="341">
        <f t="shared" si="212"/>
        <v>2332922227</v>
      </c>
      <c r="AG258" s="341">
        <f t="shared" si="212"/>
        <v>-1368771190</v>
      </c>
      <c r="AH258" s="341">
        <f t="shared" si="212"/>
        <v>-1759920394</v>
      </c>
      <c r="AI258" s="341">
        <f t="shared" si="212"/>
        <v>-2146304422</v>
      </c>
      <c r="AJ258" s="341">
        <f t="shared" si="212"/>
        <v>-2521829557</v>
      </c>
      <c r="AK258" s="9"/>
      <c r="AL258" s="341">
        <v>0</v>
      </c>
      <c r="AM258" s="342">
        <v>0</v>
      </c>
    </row>
    <row r="259" spans="1:39" ht="24.95" customHeight="1" thickBot="1" x14ac:dyDescent="0.25">
      <c r="S259" s="912" t="str">
        <f>+IF(MAYO!S259=0,"",MAYO!S259)</f>
        <v>TOTAL VIGENCIAS ANTERIORES</v>
      </c>
      <c r="T259" s="913"/>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295744421</v>
      </c>
      <c r="AF259" s="115">
        <f t="shared" si="213"/>
        <v>780870</v>
      </c>
      <c r="AG259" s="126">
        <f t="shared" si="213"/>
        <v>296525291</v>
      </c>
      <c r="AH259" s="125">
        <f t="shared" si="213"/>
        <v>0</v>
      </c>
      <c r="AI259" s="115">
        <f t="shared" si="213"/>
        <v>0</v>
      </c>
      <c r="AJ259" s="116">
        <f t="shared" si="213"/>
        <v>45838765</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376" sheet="1" objects="1" scenarios="1" formatCells="0" formatColumns="0"/>
  <mergeCells count="49">
    <mergeCell ref="J5:L5"/>
    <mergeCell ref="S259:T259"/>
    <mergeCell ref="Q3:Q5"/>
    <mergeCell ref="S5:S6"/>
    <mergeCell ref="T5:T6"/>
    <mergeCell ref="AL2:AM2"/>
    <mergeCell ref="N3:N4"/>
    <mergeCell ref="Y2:AG2"/>
    <mergeCell ref="AH3:AI4"/>
    <mergeCell ref="T3:T4"/>
    <mergeCell ref="P3:P5"/>
    <mergeCell ref="AH2:AI2"/>
    <mergeCell ref="V3:X4"/>
    <mergeCell ref="V2:X2"/>
    <mergeCell ref="Y3:AG4"/>
    <mergeCell ref="AM3:AM5"/>
    <mergeCell ref="AL3:AL5"/>
    <mergeCell ref="AE5:AG5"/>
    <mergeCell ref="AJ3:AJ4"/>
    <mergeCell ref="AH5:AJ5"/>
    <mergeCell ref="AB5:AD5"/>
    <mergeCell ref="Y5:AA5"/>
    <mergeCell ref="A1:B1"/>
    <mergeCell ref="K1:N1"/>
    <mergeCell ref="P2:Q2"/>
    <mergeCell ref="C1:J1"/>
    <mergeCell ref="L2:M2"/>
    <mergeCell ref="D2:E2"/>
    <mergeCell ref="M5:N5"/>
    <mergeCell ref="A5:A6"/>
    <mergeCell ref="B5:B6"/>
    <mergeCell ref="C5:F5"/>
    <mergeCell ref="G5:I5"/>
    <mergeCell ref="B3:B4"/>
    <mergeCell ref="D3:E4"/>
    <mergeCell ref="L3:M4"/>
    <mergeCell ref="F3:K4"/>
    <mergeCell ref="BF5:BF6"/>
    <mergeCell ref="BB3:BC3"/>
    <mergeCell ref="AW19:AZ19"/>
    <mergeCell ref="BM5:BM6"/>
    <mergeCell ref="BM2:BO2"/>
    <mergeCell ref="BM3:BO3"/>
    <mergeCell ref="BL5:BL6"/>
    <mergeCell ref="AW4:AZ4"/>
    <mergeCell ref="BG3:BI3"/>
    <mergeCell ref="BG2:BI2"/>
    <mergeCell ref="BB2:BC2"/>
    <mergeCell ref="BH5:BK5"/>
  </mergeCells>
  <phoneticPr fontId="1" type="noConversion"/>
  <conditionalFormatting sqref="B5:B7">
    <cfRule type="expression" dxfId="6" priority="1" stopIfTrue="1">
      <formula>$B$5="OJO - RECUERDE RECAUDAR LA DISPONIBLIDAD INICIAL EN ESTE TRIMESTRE, haga clik en H9 para ampliar la información"</formula>
    </cfRule>
  </conditionalFormatting>
  <dataValidations count="4">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BS260"/>
  <sheetViews>
    <sheetView showGridLines="0" topLeftCell="A114" zoomScale="80" zoomScaleNormal="80" workbookViewId="0">
      <selection activeCell="K123" sqref="K123"/>
    </sheetView>
  </sheetViews>
  <sheetFormatPr baseColWidth="10" defaultColWidth="0" defaultRowHeight="24.95" customHeight="1" x14ac:dyDescent="0.2"/>
  <cols>
    <col min="1" max="1" width="16" style="768" customWidth="1"/>
    <col min="2" max="2" width="50.42578125" style="670" customWidth="1"/>
    <col min="3" max="3" width="14.42578125" style="275" customWidth="1"/>
    <col min="4" max="4" width="16.140625" style="275" customWidth="1"/>
    <col min="5" max="6" width="14.42578125" style="275" customWidth="1"/>
    <col min="7" max="7" width="15.28515625" style="275" customWidth="1"/>
    <col min="8" max="9" width="14.42578125" style="275" customWidth="1"/>
    <col min="10" max="10" width="16.28515625"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140625" style="712" customWidth="1"/>
    <col min="20" max="20" width="60.140625" style="686" customWidth="1"/>
    <col min="2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0.140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35.25"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7</v>
      </c>
      <c r="AP2" s="283" t="s">
        <v>8</v>
      </c>
      <c r="AQ2" s="284"/>
      <c r="AR2" s="3"/>
      <c r="AS2" s="3"/>
      <c r="AT2" s="3"/>
      <c r="AU2" s="3"/>
      <c r="AV2" s="3"/>
      <c r="AW2" s="3"/>
      <c r="AX2" s="3"/>
      <c r="AY2" s="3"/>
      <c r="AZ2" s="4"/>
      <c r="BB2" s="899" t="s">
        <v>404</v>
      </c>
      <c r="BC2" s="901"/>
      <c r="BD2" s="51" t="s">
        <v>392</v>
      </c>
      <c r="BE2" s="281" t="str">
        <f>+L3</f>
        <v>JULIO</v>
      </c>
      <c r="BF2" s="276"/>
      <c r="BG2" s="899" t="s">
        <v>405</v>
      </c>
      <c r="BH2" s="901"/>
      <c r="BI2" s="901"/>
      <c r="BJ2" s="51" t="s">
        <v>392</v>
      </c>
      <c r="BK2" s="281" t="str">
        <f>+BE2</f>
        <v>JULIO</v>
      </c>
      <c r="BM2" s="899" t="s">
        <v>405</v>
      </c>
      <c r="BN2" s="901"/>
      <c r="BO2" s="901"/>
      <c r="BP2" s="51" t="s">
        <v>392</v>
      </c>
      <c r="BQ2" s="281" t="str">
        <f>+BK2</f>
        <v>JULIO</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375</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JULIO</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298"/>
    </row>
    <row r="5" spans="1:69" ht="42" customHeight="1" thickBot="1" x14ac:dyDescent="0.3">
      <c r="A5" s="935" t="s">
        <v>19</v>
      </c>
      <c r="B5" s="937" t="s">
        <v>20</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896"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5" t="str">
        <f>+CONCATENATE("ACUMULADO ",N3)</f>
        <v>ACUMULADO 2015</v>
      </c>
      <c r="BI5" s="876"/>
      <c r="BJ5" s="876"/>
      <c r="BK5" s="877"/>
      <c r="BM5" s="910" t="s">
        <v>34</v>
      </c>
      <c r="BN5" s="311" t="str">
        <f>+CONCATENATE("ACUMULADO ",BQ3)</f>
        <v>ACUMULADO 2015</v>
      </c>
      <c r="BO5" s="312"/>
      <c r="BP5" s="313"/>
      <c r="BQ5" s="314"/>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7"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JULIO</v>
      </c>
      <c r="AS6" s="319" t="str">
        <f>AR6</f>
        <v>JULIO</v>
      </c>
      <c r="AT6" s="319" t="str">
        <f>AR6</f>
        <v>JULIO</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1182483287</v>
      </c>
      <c r="AS7" s="330">
        <f>L22</f>
        <v>634073123</v>
      </c>
      <c r="AT7" s="13"/>
      <c r="AU7" s="331">
        <f t="shared" ref="AU7:AU17" si="0">IF(AQ7=0," ",AR7/AQ7)</f>
        <v>0.67234100072352132</v>
      </c>
      <c r="AV7" s="331">
        <f t="shared" ref="AV7:AV17" si="1">IF(AQ7=0," ",AS7/AQ7)</f>
        <v>0.36052379152967129</v>
      </c>
      <c r="AW7" s="330">
        <f>I23/AO$2*12+I24</f>
        <v>1736141016.2857141</v>
      </c>
      <c r="AX7" s="330">
        <f>L23/AO$2*12+L24</f>
        <v>796009306.57142854</v>
      </c>
      <c r="AY7" s="330">
        <f t="shared" ref="AY7:AY16" si="2">AW7-AQ7</f>
        <v>-22614266.714285851</v>
      </c>
      <c r="AZ7" s="332">
        <f t="shared" ref="AZ7:AZ16" si="3">AX7-AQ7</f>
        <v>-962745976.42857146</v>
      </c>
      <c r="BB7" s="333" t="s">
        <v>55</v>
      </c>
      <c r="BC7" s="54">
        <f>F10</f>
        <v>90342061</v>
      </c>
      <c r="BD7" s="55">
        <f>I10</f>
        <v>90342061</v>
      </c>
      <c r="BE7" s="56">
        <f>K10</f>
        <v>0</v>
      </c>
      <c r="BF7" s="57"/>
      <c r="BG7" s="91" t="s">
        <v>56</v>
      </c>
      <c r="BH7" s="117">
        <f>+SUM(BH8:BH11)</f>
        <v>2793119353</v>
      </c>
      <c r="BI7" s="117">
        <f>+SUM(BI8:BI11)</f>
        <v>1653007045</v>
      </c>
      <c r="BJ7" s="117">
        <f>+SUM(BJ8:BJ11)</f>
        <v>1437852053</v>
      </c>
      <c r="BK7" s="117">
        <f>+SUM(BK8:BK11)</f>
        <v>208903849</v>
      </c>
      <c r="BM7" s="61" t="s">
        <v>56</v>
      </c>
      <c r="BN7" s="62">
        <f>BN8+BN15+BN22</f>
        <v>2793119353</v>
      </c>
      <c r="BO7" s="63">
        <f>BO8+BO15+BO22</f>
        <v>1653007045</v>
      </c>
      <c r="BP7" s="63">
        <f>BP8+BP15+BP22</f>
        <v>1437852053</v>
      </c>
      <c r="BQ7" s="64">
        <f>BQ8+BQ15+BQ22</f>
        <v>208903849</v>
      </c>
    </row>
    <row r="8" spans="1:69" s="9" customFormat="1" ht="24.95" customHeight="1" thickBot="1" x14ac:dyDescent="0.3">
      <c r="A8" s="744">
        <f>+IF(JUNIO!A8=0,"",JUNIO!A8)</f>
        <v>1</v>
      </c>
      <c r="B8" s="643" t="str">
        <f>+IF(JUNIO!B8=0,"",JUNIO!B8)</f>
        <v>INGRESOS</v>
      </c>
      <c r="C8" s="334">
        <f>C10+C17+C113</f>
        <v>3135701014</v>
      </c>
      <c r="D8" s="334">
        <f t="shared" ref="D8:Q8" si="4">D10+D17+D113</f>
        <v>0</v>
      </c>
      <c r="E8" s="334">
        <f t="shared" si="4"/>
        <v>754899733</v>
      </c>
      <c r="F8" s="334">
        <f t="shared" si="4"/>
        <v>3890600747</v>
      </c>
      <c r="G8" s="334">
        <f t="shared" si="4"/>
        <v>2130695809</v>
      </c>
      <c r="H8" s="334">
        <f t="shared" si="4"/>
        <v>366717804</v>
      </c>
      <c r="I8" s="334">
        <f t="shared" si="4"/>
        <v>2497413613</v>
      </c>
      <c r="J8" s="334">
        <f t="shared" si="4"/>
        <v>1359953818</v>
      </c>
      <c r="K8" s="334">
        <f t="shared" si="4"/>
        <v>353191101</v>
      </c>
      <c r="L8" s="334">
        <f t="shared" si="4"/>
        <v>1713144919</v>
      </c>
      <c r="M8" s="334">
        <f t="shared" si="4"/>
        <v>1393187134</v>
      </c>
      <c r="N8" s="334">
        <f t="shared" si="4"/>
        <v>2177455828</v>
      </c>
      <c r="O8" s="336"/>
      <c r="P8" s="337">
        <f t="shared" si="4"/>
        <v>0</v>
      </c>
      <c r="Q8" s="335">
        <f t="shared" si="4"/>
        <v>0</v>
      </c>
      <c r="S8" s="715" t="str">
        <f>+IF(JUNIO!S8=0,"",JUNIO!S8)</f>
        <v/>
      </c>
      <c r="T8" s="687" t="str">
        <f>+IF(JUNIO!T8=0,"",JUNIO!T8)</f>
        <v>GASTOS</v>
      </c>
      <c r="U8" s="338">
        <f t="shared" ref="U8:AM8" si="5">U10+U207+U220+U232</f>
        <v>3135701014</v>
      </c>
      <c r="V8" s="339">
        <f t="shared" si="5"/>
        <v>0</v>
      </c>
      <c r="W8" s="339">
        <f t="shared" si="5"/>
        <v>754899733</v>
      </c>
      <c r="X8" s="340">
        <f t="shared" si="5"/>
        <v>3890600747</v>
      </c>
      <c r="Y8" s="341">
        <f t="shared" si="5"/>
        <v>2130680353</v>
      </c>
      <c r="Z8" s="339">
        <f t="shared" si="5"/>
        <v>191173331</v>
      </c>
      <c r="AA8" s="340">
        <f t="shared" si="5"/>
        <v>2321853684</v>
      </c>
      <c r="AB8" s="341">
        <f t="shared" si="5"/>
        <v>1744296325</v>
      </c>
      <c r="AC8" s="339">
        <f t="shared" si="5"/>
        <v>268436654</v>
      </c>
      <c r="AD8" s="340">
        <f t="shared" si="5"/>
        <v>2012732979</v>
      </c>
      <c r="AE8" s="341">
        <f t="shared" si="5"/>
        <v>1368771190</v>
      </c>
      <c r="AF8" s="339">
        <f t="shared" si="5"/>
        <v>240424398</v>
      </c>
      <c r="AG8" s="340">
        <f t="shared" si="5"/>
        <v>1609195588</v>
      </c>
      <c r="AH8" s="341">
        <f t="shared" si="5"/>
        <v>1568747063</v>
      </c>
      <c r="AI8" s="339">
        <f t="shared" si="5"/>
        <v>1877867768</v>
      </c>
      <c r="AJ8" s="342">
        <f t="shared" si="5"/>
        <v>2281405159</v>
      </c>
      <c r="AL8" s="343">
        <f t="shared" si="5"/>
        <v>0</v>
      </c>
      <c r="AM8" s="344">
        <f t="shared" si="5"/>
        <v>0</v>
      </c>
      <c r="AO8" s="21"/>
      <c r="AP8" s="11" t="s">
        <v>58</v>
      </c>
      <c r="AQ8" s="12">
        <f>F25</f>
        <v>945539330</v>
      </c>
      <c r="AR8" s="12">
        <f>I25</f>
        <v>528492280</v>
      </c>
      <c r="AS8" s="12">
        <f>L25</f>
        <v>366431269</v>
      </c>
      <c r="AT8" s="13"/>
      <c r="AU8" s="345">
        <f t="shared" si="0"/>
        <v>0.55893209645758468</v>
      </c>
      <c r="AV8" s="345">
        <f t="shared" si="1"/>
        <v>0.38753678178569262</v>
      </c>
      <c r="AW8" s="12">
        <f>I26/AO$2*12+I27</f>
        <v>877002692.14285719</v>
      </c>
      <c r="AX8" s="12">
        <f>L26/AO$2*12+L27</f>
        <v>599183816.14285707</v>
      </c>
      <c r="AY8" s="12">
        <f t="shared" si="2"/>
        <v>-68536637.857142806</v>
      </c>
      <c r="AZ8" s="346">
        <f t="shared" si="3"/>
        <v>-346355513.85714293</v>
      </c>
      <c r="BB8" s="143" t="s">
        <v>59</v>
      </c>
      <c r="BC8" s="65">
        <f>BC9+BC19</f>
        <v>3195036512</v>
      </c>
      <c r="BD8" s="66">
        <f>BD9+BD19</f>
        <v>1881341613</v>
      </c>
      <c r="BE8" s="67">
        <f>BE9+BE19</f>
        <v>332967650</v>
      </c>
      <c r="BF8" s="57"/>
      <c r="BG8" s="68" t="s">
        <v>60</v>
      </c>
      <c r="BH8" s="69">
        <f>BN9+BN13</f>
        <v>1686852065</v>
      </c>
      <c r="BI8" s="69">
        <f>BO9+BO13</f>
        <v>876013559</v>
      </c>
      <c r="BJ8" s="69">
        <f>BP9+BP13</f>
        <v>876013559</v>
      </c>
      <c r="BK8" s="69">
        <f>BQ9+BQ13</f>
        <v>120206725</v>
      </c>
      <c r="BM8" s="71" t="s">
        <v>61</v>
      </c>
      <c r="BN8" s="72">
        <f>BN9+BN14+BN13</f>
        <v>2077181582</v>
      </c>
      <c r="BO8" s="69">
        <f>BO9+BO14+BO13</f>
        <v>1231527059</v>
      </c>
      <c r="BP8" s="69">
        <f>BP9+BP14+BP13</f>
        <v>1070959339</v>
      </c>
      <c r="BQ8" s="70">
        <f>BQ9+BQ14+BQ13</f>
        <v>165658923</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190982967</v>
      </c>
      <c r="AS9" s="12">
        <f>L28+L75</f>
        <v>175860384</v>
      </c>
      <c r="AT9" s="13"/>
      <c r="AU9" s="353">
        <f t="shared" si="0"/>
        <v>0.54453481100681578</v>
      </c>
      <c r="AV9" s="353">
        <f t="shared" si="1"/>
        <v>0.50141697172934829</v>
      </c>
      <c r="AW9" s="354">
        <f>(I30+I33+I36+I76)/AO$2*12+I31+I34+I37+I38+I39+I40+I77</f>
        <v>194456983.42857143</v>
      </c>
      <c r="AX9" s="354">
        <f>(L30+L33+L36+L76)/AO$2*12+L31+L34+L37+L38+L39+L40+L77</f>
        <v>177396709</v>
      </c>
      <c r="AY9" s="354">
        <f t="shared" si="2"/>
        <v>-156269844.57142857</v>
      </c>
      <c r="AZ9" s="355">
        <f t="shared" si="3"/>
        <v>-173330119</v>
      </c>
      <c r="BB9" s="356" t="s">
        <v>437</v>
      </c>
      <c r="BC9" s="73">
        <f>BC10+BC18</f>
        <v>3087854833</v>
      </c>
      <c r="BD9" s="74">
        <f>BD10+BD18</f>
        <v>1819468077</v>
      </c>
      <c r="BE9" s="75">
        <f>BE10+BE18</f>
        <v>322283700</v>
      </c>
      <c r="BF9" s="76"/>
      <c r="BG9" s="77" t="s">
        <v>64</v>
      </c>
      <c r="BH9" s="78">
        <f t="shared" ref="BH9:BK10" si="6">BN14</f>
        <v>390329517</v>
      </c>
      <c r="BI9" s="78">
        <f t="shared" si="6"/>
        <v>355513500</v>
      </c>
      <c r="BJ9" s="78">
        <f t="shared" si="6"/>
        <v>194945780</v>
      </c>
      <c r="BK9" s="78">
        <f t="shared" si="6"/>
        <v>45452198</v>
      </c>
      <c r="BM9" s="140" t="s">
        <v>65</v>
      </c>
      <c r="BN9" s="80">
        <f>SUM(BN10:BN12)</f>
        <v>1233304402</v>
      </c>
      <c r="BO9" s="78">
        <f>SUM(BO10:BO12)</f>
        <v>646542907</v>
      </c>
      <c r="BP9" s="78">
        <f>SUM(BP10:BP12)</f>
        <v>646542907</v>
      </c>
      <c r="BQ9" s="79">
        <f>SUM(BQ10:BQ12)</f>
        <v>92190745</v>
      </c>
    </row>
    <row r="10" spans="1:69" s="9" customFormat="1" ht="24.95" customHeight="1" x14ac:dyDescent="0.2">
      <c r="A10" s="745">
        <f>+IF(JUNIO!A10=0,"",JUNIO!A10)</f>
        <v>10</v>
      </c>
      <c r="B10" s="645" t="str">
        <f>+IF(JUNIO!B10=0,"",JUNIO!B10)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+IF(JUNIO!S10=0,"",JUNIO!S10)</f>
        <v>A</v>
      </c>
      <c r="T10" s="688" t="str">
        <f>+IF(JUNIO!T10=0,"",JUNIO!T10)</f>
        <v>GASTOS DE FUNCIONAMIENTO</v>
      </c>
      <c r="U10" s="361">
        <f t="shared" ref="U10:AJ10" si="8">U12+U110+U170+U193</f>
        <v>2832701014</v>
      </c>
      <c r="V10" s="362">
        <f t="shared" si="8"/>
        <v>103000000</v>
      </c>
      <c r="W10" s="362">
        <f t="shared" si="8"/>
        <v>576899733</v>
      </c>
      <c r="X10" s="365">
        <f t="shared" si="8"/>
        <v>3512600747</v>
      </c>
      <c r="Y10" s="364">
        <f t="shared" si="8"/>
        <v>2010519019</v>
      </c>
      <c r="Z10" s="362">
        <f t="shared" si="8"/>
        <v>191173331</v>
      </c>
      <c r="AA10" s="365">
        <f t="shared" si="8"/>
        <v>2201692350</v>
      </c>
      <c r="AB10" s="364">
        <f t="shared" si="8"/>
        <v>1719516325</v>
      </c>
      <c r="AC10" s="362">
        <f t="shared" si="8"/>
        <v>249418654</v>
      </c>
      <c r="AD10" s="365">
        <f t="shared" si="8"/>
        <v>1968934979</v>
      </c>
      <c r="AE10" s="364">
        <f t="shared" si="8"/>
        <v>1347441190</v>
      </c>
      <c r="AF10" s="362">
        <f t="shared" si="8"/>
        <v>225209398</v>
      </c>
      <c r="AG10" s="365">
        <f t="shared" si="8"/>
        <v>1572650588</v>
      </c>
      <c r="AH10" s="364">
        <f t="shared" si="8"/>
        <v>1310908397</v>
      </c>
      <c r="AI10" s="362">
        <f t="shared" si="8"/>
        <v>1543665768</v>
      </c>
      <c r="AJ10" s="363">
        <f t="shared" si="8"/>
        <v>1939950159</v>
      </c>
      <c r="AL10" s="366">
        <f>AL12+AL110+AL170+AL193</f>
        <v>34000000</v>
      </c>
      <c r="AM10" s="367">
        <f>AM12+AM110+AM170+AM193</f>
        <v>0</v>
      </c>
      <c r="AO10" s="352"/>
      <c r="AP10" s="11" t="s">
        <v>67</v>
      </c>
      <c r="AQ10" s="12">
        <f>F42</f>
        <v>111280673</v>
      </c>
      <c r="AR10" s="12">
        <f>I42</f>
        <v>47972944</v>
      </c>
      <c r="AS10" s="12">
        <f>L42</f>
        <v>43286304</v>
      </c>
      <c r="AT10" s="13"/>
      <c r="AU10" s="353">
        <f t="shared" si="0"/>
        <v>0.43109861494097901</v>
      </c>
      <c r="AV10" s="353">
        <f t="shared" si="1"/>
        <v>0.38898312557832931</v>
      </c>
      <c r="AW10" s="354">
        <f>I43/AO$2*12+I44</f>
        <v>82239332.571428567</v>
      </c>
      <c r="AX10" s="354">
        <f>L43/AO$2*12+L44</f>
        <v>74205092.571428567</v>
      </c>
      <c r="AY10" s="354">
        <f t="shared" si="2"/>
        <v>-29041340.428571433</v>
      </c>
      <c r="AZ10" s="355">
        <f t="shared" si="3"/>
        <v>-37075580.428571433</v>
      </c>
      <c r="BB10" s="368" t="s">
        <v>438</v>
      </c>
      <c r="BC10" s="73">
        <f>BC11+BC12+BC13+BC14+BC16+BC17+BC15</f>
        <v>3013140862</v>
      </c>
      <c r="BD10" s="74">
        <f>BD11+BD12+BD13+BD14+BD16+BD17+BD15</f>
        <v>1683162947</v>
      </c>
      <c r="BE10" s="75">
        <f>BE11+BE12+BE13+BE14+BE16+BE17+BE15</f>
        <v>247283700</v>
      </c>
      <c r="BF10" s="76"/>
      <c r="BG10" s="68" t="s">
        <v>68</v>
      </c>
      <c r="BH10" s="81">
        <f t="shared" si="6"/>
        <v>650365487</v>
      </c>
      <c r="BI10" s="81">
        <f t="shared" si="6"/>
        <v>396024416</v>
      </c>
      <c r="BJ10" s="81">
        <f t="shared" si="6"/>
        <v>341760676</v>
      </c>
      <c r="BK10" s="81">
        <f t="shared" si="6"/>
        <v>37761769</v>
      </c>
      <c r="BM10" s="137" t="s">
        <v>450</v>
      </c>
      <c r="BN10" s="83">
        <f>X17+X66</f>
        <v>943171180</v>
      </c>
      <c r="BO10" s="81">
        <f>AA17+AA66</f>
        <v>540242917</v>
      </c>
      <c r="BP10" s="81">
        <f>AD17+AD66</f>
        <v>540242917</v>
      </c>
      <c r="BQ10" s="82">
        <f>AF17+AF66</f>
        <v>75265871</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559</v>
      </c>
      <c r="AQ11" s="12">
        <f>F88</f>
        <v>0</v>
      </c>
      <c r="AR11" s="12">
        <f>I88</f>
        <v>0</v>
      </c>
      <c r="AS11" s="12">
        <f>L88</f>
        <v>0</v>
      </c>
      <c r="AT11" s="374">
        <f>AO2/12</f>
        <v>0.58333333333333337</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487914577</v>
      </c>
      <c r="BE11" s="75">
        <f>K26</f>
        <v>60226443</v>
      </c>
      <c r="BF11" s="76"/>
      <c r="BG11" s="68" t="s">
        <v>69</v>
      </c>
      <c r="BH11" s="84">
        <f>BN22</f>
        <v>65572284</v>
      </c>
      <c r="BI11" s="84">
        <f>BO22</f>
        <v>25455570</v>
      </c>
      <c r="BJ11" s="84">
        <f>BP22</f>
        <v>25132038</v>
      </c>
      <c r="BK11" s="84">
        <f>BQ22</f>
        <v>5483157</v>
      </c>
      <c r="BM11" s="138" t="s">
        <v>451</v>
      </c>
      <c r="BN11" s="86">
        <f>X18+X67</f>
        <v>117639980</v>
      </c>
      <c r="BO11" s="84">
        <f>AA18+AA67</f>
        <v>91502304</v>
      </c>
      <c r="BP11" s="84">
        <f>AD18+AD67</f>
        <v>91502304</v>
      </c>
      <c r="BQ11" s="85">
        <f>AF18+AF67</f>
        <v>12347470</v>
      </c>
    </row>
    <row r="12" spans="1:69" s="9" customFormat="1" ht="24.95" customHeight="1" x14ac:dyDescent="0.2">
      <c r="A12" s="618">
        <f>+IF(JUNIO!A12=0,"",JUNIO!A12)</f>
        <v>1001</v>
      </c>
      <c r="B12" s="646" t="str">
        <f>+IF(JUNIO!B12=0,"",JUNIO!B12)</f>
        <v>Bienestar Social (Caja, Bancos, Inversiones Tempor.) a Dic-31-2014</v>
      </c>
      <c r="C12" s="375">
        <f>+ENERO!C12</f>
        <v>0</v>
      </c>
      <c r="D12" s="376">
        <f>JUNIO!D12+JULIO!P12</f>
        <v>0</v>
      </c>
      <c r="E12" s="376">
        <f>JUNIO!E12+JULIO!Q12</f>
        <v>81553</v>
      </c>
      <c r="F12" s="146">
        <f>SUM(C12:E12)</f>
        <v>81553</v>
      </c>
      <c r="G12" s="222">
        <f>JUNIO!I12</f>
        <v>81553</v>
      </c>
      <c r="H12" s="377">
        <v>0</v>
      </c>
      <c r="I12" s="146">
        <f>SUM(G12:H12)</f>
        <v>81553</v>
      </c>
      <c r="J12" s="222">
        <f>JUNIO!L12</f>
        <v>81553</v>
      </c>
      <c r="K12" s="134">
        <v>0</v>
      </c>
      <c r="L12" s="146">
        <f>SUM(J12:K12)</f>
        <v>81553</v>
      </c>
      <c r="M12" s="222">
        <f>F12-I12</f>
        <v>0</v>
      </c>
      <c r="N12" s="146">
        <f>F12-L12</f>
        <v>0</v>
      </c>
      <c r="O12" s="297"/>
      <c r="P12" s="375">
        <v>0</v>
      </c>
      <c r="Q12" s="378">
        <v>0</v>
      </c>
      <c r="S12" s="716">
        <f>+IF(JUNIO!S12=0,"",JUNIO!S12)</f>
        <v>1000000</v>
      </c>
      <c r="T12" s="690" t="str">
        <f>+IF(JUNIO!T12=0,"",JUNIO!T12)</f>
        <v>GASTOS DE PERSONAL</v>
      </c>
      <c r="U12" s="379">
        <f t="shared" ref="U12:AJ12" si="9">U14+U63</f>
        <v>1994472741</v>
      </c>
      <c r="V12" s="380">
        <f t="shared" si="9"/>
        <v>69300000</v>
      </c>
      <c r="W12" s="380">
        <f t="shared" si="9"/>
        <v>152721141</v>
      </c>
      <c r="X12" s="381">
        <f t="shared" si="9"/>
        <v>2216493882</v>
      </c>
      <c r="Y12" s="366">
        <f t="shared" si="9"/>
        <v>1247543962</v>
      </c>
      <c r="Z12" s="380">
        <f t="shared" si="9"/>
        <v>123295397</v>
      </c>
      <c r="AA12" s="381">
        <f t="shared" si="9"/>
        <v>1370839359</v>
      </c>
      <c r="AB12" s="366">
        <f t="shared" si="9"/>
        <v>1048223502</v>
      </c>
      <c r="AC12" s="380">
        <f t="shared" si="9"/>
        <v>162048137</v>
      </c>
      <c r="AD12" s="381">
        <f t="shared" si="9"/>
        <v>1210271639</v>
      </c>
      <c r="AE12" s="366">
        <f t="shared" si="9"/>
        <v>915338758</v>
      </c>
      <c r="AF12" s="380">
        <f t="shared" si="9"/>
        <v>167508923</v>
      </c>
      <c r="AG12" s="381">
        <f t="shared" si="9"/>
        <v>1082847681</v>
      </c>
      <c r="AH12" s="366">
        <f t="shared" si="9"/>
        <v>845654523</v>
      </c>
      <c r="AI12" s="380">
        <f t="shared" si="9"/>
        <v>1006222243</v>
      </c>
      <c r="AJ12" s="367">
        <f t="shared" si="9"/>
        <v>1133646201</v>
      </c>
      <c r="AK12" s="10"/>
      <c r="AL12" s="382">
        <f>AL14+AL63</f>
        <v>25300000</v>
      </c>
      <c r="AM12" s="383">
        <f>AM14+AM63</f>
        <v>0</v>
      </c>
      <c r="AO12" s="373"/>
      <c r="AP12" s="536" t="s">
        <v>560</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775120821</v>
      </c>
      <c r="BE12" s="75">
        <f>K23</f>
        <v>118783040</v>
      </c>
      <c r="BF12" s="76"/>
      <c r="BG12" s="384" t="s">
        <v>395</v>
      </c>
      <c r="BH12" s="84">
        <f>BN25</f>
        <v>377117338</v>
      </c>
      <c r="BI12" s="15">
        <f>BO25</f>
        <v>206321249</v>
      </c>
      <c r="BJ12" s="84">
        <f>BP25</f>
        <v>188718870</v>
      </c>
      <c r="BK12" s="84">
        <f>BQ25</f>
        <v>12017553</v>
      </c>
      <c r="BM12" s="139" t="s">
        <v>452</v>
      </c>
      <c r="BN12" s="86">
        <f>X16+X65-X81-X33-BN10-BN11</f>
        <v>172493242</v>
      </c>
      <c r="BO12" s="84">
        <f>AA16+AA65-AA81-AA33-BO10-BO11</f>
        <v>14797686</v>
      </c>
      <c r="BP12" s="84">
        <f>AD16+AD65-AD81-AD33-BP10-BP11</f>
        <v>14797686</v>
      </c>
      <c r="BQ12" s="85">
        <f>AF16+AF65-AF81-AF33-BQ10-BQ11</f>
        <v>4577404</v>
      </c>
    </row>
    <row r="13" spans="1:69" s="9" customFormat="1" ht="24.95" customHeight="1" x14ac:dyDescent="0.25">
      <c r="A13" s="618">
        <f>+IF(JUNIO!A13=0,"",JUNIO!A13)</f>
        <v>1002</v>
      </c>
      <c r="B13" s="646" t="str">
        <f>+IF(JUNIO!B13=0,"",JUNIO!B13)</f>
        <v>Fondo Vivienda (Caja, Bancos, Inversiones Tempor.) a Dic-31-2014</v>
      </c>
      <c r="C13" s="375">
        <f>+ENERO!C13</f>
        <v>0</v>
      </c>
      <c r="D13" s="376">
        <f>JUNIO!D13+JULIO!P13</f>
        <v>0</v>
      </c>
      <c r="E13" s="376">
        <f>JUNIO!E13+JULIO!Q13</f>
        <v>0</v>
      </c>
      <c r="F13" s="146">
        <f>SUM(C13:E13)</f>
        <v>0</v>
      </c>
      <c r="G13" s="222">
        <f>JUNIO!I13</f>
        <v>0</v>
      </c>
      <c r="H13" s="377">
        <v>0</v>
      </c>
      <c r="I13" s="146">
        <f>SUM(G13:H13)</f>
        <v>0</v>
      </c>
      <c r="J13" s="222">
        <f>JUNIO!L13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561</v>
      </c>
      <c r="AQ13" s="12">
        <f>F90</f>
        <v>24000000</v>
      </c>
      <c r="AR13" s="12">
        <f>I90</f>
        <v>7200000</v>
      </c>
      <c r="AS13" s="12">
        <f>L90</f>
        <v>7200000</v>
      </c>
      <c r="AT13" s="13"/>
      <c r="AU13" s="353">
        <f t="shared" si="0"/>
        <v>0.3</v>
      </c>
      <c r="AV13" s="353">
        <f t="shared" si="1"/>
        <v>0.3</v>
      </c>
      <c r="AW13" s="354">
        <f>I90</f>
        <v>7200000</v>
      </c>
      <c r="AX13" s="354">
        <f>L90</f>
        <v>7200000</v>
      </c>
      <c r="AY13" s="354">
        <f t="shared" si="2"/>
        <v>-16800000</v>
      </c>
      <c r="AZ13" s="355">
        <f t="shared" si="3"/>
        <v>-16800000</v>
      </c>
      <c r="BA13" s="385"/>
      <c r="BB13" s="386" t="s">
        <v>441</v>
      </c>
      <c r="BC13" s="87">
        <f>+F30+F33+F36+F38+F39+F40</f>
        <v>350726828</v>
      </c>
      <c r="BD13" s="88">
        <f>+I30+I33+I36+I38+I39+I40</f>
        <v>190982967</v>
      </c>
      <c r="BE13" s="89">
        <f>+K30+K33+K36+K38+K39+K40</f>
        <v>26966502</v>
      </c>
      <c r="BF13" s="90"/>
      <c r="BG13" s="91" t="s">
        <v>72</v>
      </c>
      <c r="BH13" s="84">
        <f t="shared" ref="BH13:BK15" si="10">BN29</f>
        <v>378000000</v>
      </c>
      <c r="BI13" s="84">
        <f t="shared" si="10"/>
        <v>120161334</v>
      </c>
      <c r="BJ13" s="84">
        <f t="shared" si="10"/>
        <v>43798000</v>
      </c>
      <c r="BK13" s="84">
        <f t="shared" si="10"/>
        <v>15215000</v>
      </c>
      <c r="BM13" s="142" t="s">
        <v>453</v>
      </c>
      <c r="BN13" s="83">
        <f>X43-X55+X57-X61+X90-X102+X104-X108</f>
        <v>453547663</v>
      </c>
      <c r="BO13" s="81">
        <f>AA43-AA55+AA57-AA61+AA90-AA102+AA104-AA108</f>
        <v>229470652</v>
      </c>
      <c r="BP13" s="81">
        <f>AD43-AD55+AD57-AD61+AD90-AD102+AD104-AD108</f>
        <v>229470652</v>
      </c>
      <c r="BQ13" s="82">
        <f>AF43-AF55+AF57-AF61+AF90-AF102+AF104-AF108</f>
        <v>28015980</v>
      </c>
    </row>
    <row r="14" spans="1:69" s="9" customFormat="1" ht="24.95" customHeight="1" x14ac:dyDescent="0.25">
      <c r="A14" s="618">
        <f>+IF(JUNIO!A14=0,"",JUNIO!A14)</f>
        <v>1003</v>
      </c>
      <c r="B14" s="646" t="str">
        <f>+IF(JUNIO!B14=0,"",JUNIO!B14)</f>
        <v>Fondos Comunes y Especiales (Caja, Bancos, Invers. Tempor.) a Dic-31-2014</v>
      </c>
      <c r="C14" s="375">
        <f>+ENERO!C14</f>
        <v>0</v>
      </c>
      <c r="D14" s="376">
        <f>JUNIO!D14+JULIO!P14</f>
        <v>0</v>
      </c>
      <c r="E14" s="376">
        <f>JUNIO!E14+JULIO!Q14</f>
        <v>11310362</v>
      </c>
      <c r="F14" s="146">
        <f>SUM(C14:E14)</f>
        <v>11310362</v>
      </c>
      <c r="G14" s="222">
        <f>JUNIO!I14</f>
        <v>11310362</v>
      </c>
      <c r="H14" s="377">
        <v>0</v>
      </c>
      <c r="I14" s="146">
        <f>SUM(G14:H14)</f>
        <v>11310362</v>
      </c>
      <c r="J14" s="222">
        <f>JUNIO!L14</f>
        <v>11310362</v>
      </c>
      <c r="K14" s="134">
        <v>0</v>
      </c>
      <c r="L14" s="146">
        <f>SUM(J14:K14)</f>
        <v>11310362</v>
      </c>
      <c r="M14" s="222">
        <f>F14-I14</f>
        <v>0</v>
      </c>
      <c r="N14" s="146">
        <f>F14-L14</f>
        <v>0</v>
      </c>
      <c r="O14" s="385"/>
      <c r="P14" s="375">
        <v>0</v>
      </c>
      <c r="Q14" s="378">
        <v>0</v>
      </c>
      <c r="S14" s="717">
        <f>+IF(JUNIO!S14=0,"",JUNIO!S14)</f>
        <v>1010000</v>
      </c>
      <c r="T14" s="691" t="str">
        <f>+IF(JUNIO!T14=0,"",JUNIO!T14)</f>
        <v>Gastos de Administración</v>
      </c>
      <c r="U14" s="135">
        <f t="shared" ref="U14:AJ14" si="11">U16+U35+U43+U57</f>
        <v>717551072</v>
      </c>
      <c r="V14" s="124">
        <f t="shared" si="11"/>
        <v>0</v>
      </c>
      <c r="W14" s="124">
        <f t="shared" si="11"/>
        <v>74426723</v>
      </c>
      <c r="X14" s="132">
        <f t="shared" si="11"/>
        <v>791977795</v>
      </c>
      <c r="Y14" s="131">
        <f t="shared" si="11"/>
        <v>483249763</v>
      </c>
      <c r="Z14" s="124">
        <f t="shared" si="11"/>
        <v>34503780</v>
      </c>
      <c r="AA14" s="132">
        <f t="shared" si="11"/>
        <v>517753543</v>
      </c>
      <c r="AB14" s="131">
        <f t="shared" si="11"/>
        <v>364679303</v>
      </c>
      <c r="AC14" s="124">
        <f t="shared" si="11"/>
        <v>59156520</v>
      </c>
      <c r="AD14" s="132">
        <f t="shared" si="11"/>
        <v>423835823</v>
      </c>
      <c r="AE14" s="131">
        <f t="shared" si="11"/>
        <v>312034348</v>
      </c>
      <c r="AF14" s="124">
        <f t="shared" si="11"/>
        <v>60094678</v>
      </c>
      <c r="AG14" s="132">
        <f t="shared" si="11"/>
        <v>372129026</v>
      </c>
      <c r="AH14" s="131">
        <f t="shared" si="11"/>
        <v>274224252</v>
      </c>
      <c r="AI14" s="124">
        <f t="shared" si="11"/>
        <v>368141972</v>
      </c>
      <c r="AJ14" s="133">
        <f t="shared" si="11"/>
        <v>419848769</v>
      </c>
      <c r="AK14" s="10"/>
      <c r="AL14" s="131">
        <f>AL16+AL35+AL43+AL57</f>
        <v>0</v>
      </c>
      <c r="AM14" s="133">
        <f>AM16+AM35+AM43+AM57</f>
        <v>0</v>
      </c>
      <c r="AO14" s="21"/>
      <c r="AP14" s="11" t="s">
        <v>75</v>
      </c>
      <c r="AQ14" s="12">
        <f>F19-AQ7-AQ8-AQ9-AQ10-AQ11-AQ12-AQ13</f>
        <v>318225176</v>
      </c>
      <c r="AR14" s="12">
        <f>I19-AR7-AR8-AR9-AR10-AR11-AR12-AR13</f>
        <v>194728961</v>
      </c>
      <c r="AS14" s="12">
        <f>L19-AS7-AS8-AS9-AS10-AS11-AS12-AS13</f>
        <v>148070008</v>
      </c>
      <c r="AT14" s="385"/>
      <c r="AU14" s="353">
        <f t="shared" si="0"/>
        <v>0.61192192097334253</v>
      </c>
      <c r="AV14" s="353">
        <f t="shared" si="1"/>
        <v>0.46529947712245118</v>
      </c>
      <c r="AW14" s="354">
        <f>(I41+I46+I49+I52+I55+I58+I61+I64+I67+I70+I73+I78+I81+I82+I83+I85+I94+I104)/AO$2*12+I47+I50+I53+I56+I59+I62+I65+I68+I71+I74</f>
        <v>685867958.71428573</v>
      </c>
      <c r="AX14" s="354">
        <f>(L41+L46+L49+L52+L55+L58+L61+L64+L67+L70+L73+L78+L81+L82+L83+L85+L94+L104)/AO$2*12+L47+L50+L53+L56+L59+L62+L65+L68+L71+L74</f>
        <v>593316594.14285707</v>
      </c>
      <c r="AY14" s="354">
        <f t="shared" si="2"/>
        <v>367642782.71428573</v>
      </c>
      <c r="AZ14" s="355">
        <f t="shared" si="3"/>
        <v>275091418.14285707</v>
      </c>
      <c r="BB14" s="386" t="s">
        <v>442</v>
      </c>
      <c r="BC14" s="92">
        <f>+F64</f>
        <v>22951026</v>
      </c>
      <c r="BD14" s="93">
        <f>+I64</f>
        <v>18412175</v>
      </c>
      <c r="BE14" s="94">
        <f>K64</f>
        <v>1220950</v>
      </c>
      <c r="BF14" s="95"/>
      <c r="BG14" s="91" t="s">
        <v>76</v>
      </c>
      <c r="BH14" s="81">
        <f t="shared" si="10"/>
        <v>0</v>
      </c>
      <c r="BI14" s="81">
        <f t="shared" si="10"/>
        <v>0</v>
      </c>
      <c r="BJ14" s="81">
        <f t="shared" si="10"/>
        <v>0</v>
      </c>
      <c r="BK14" s="81">
        <f t="shared" si="10"/>
        <v>0</v>
      </c>
      <c r="BM14" s="141" t="s">
        <v>449</v>
      </c>
      <c r="BN14" s="86">
        <f>X35-X41+X83-X88</f>
        <v>390329517</v>
      </c>
      <c r="BO14" s="84">
        <f>AA35-AA41+AA83-AA88</f>
        <v>355513500</v>
      </c>
      <c r="BP14" s="84">
        <f>AD35-AD41+AD83-AD88</f>
        <v>194945780</v>
      </c>
      <c r="BQ14" s="85">
        <f>AF35-AF41+AF83-AF88</f>
        <v>45452198</v>
      </c>
    </row>
    <row r="15" spans="1:69" s="9" customFormat="1" ht="24.95" customHeight="1" thickBot="1" x14ac:dyDescent="0.3">
      <c r="A15" s="619">
        <f>+IF(JUNIO!A15=0,"",JUNIO!A15)</f>
        <v>1004</v>
      </c>
      <c r="B15" s="646" t="str">
        <f>+IF(JUNIO!B15=0,"",JUNIO!B15)</f>
        <v>Cesantias Ley 50/1990 a Dic-31-2014</v>
      </c>
      <c r="C15" s="387">
        <f>+ENERO!C15</f>
        <v>0</v>
      </c>
      <c r="D15" s="388">
        <f>JUNIO!D15+JULIO!P15</f>
        <v>0</v>
      </c>
      <c r="E15" s="388">
        <f>JUNIO!E15+JULIO!Q15</f>
        <v>78950146</v>
      </c>
      <c r="F15" s="389">
        <f>SUM(C15:E15)</f>
        <v>78950146</v>
      </c>
      <c r="G15" s="390">
        <f>JUNIO!I15</f>
        <v>78950146</v>
      </c>
      <c r="H15" s="391">
        <v>0</v>
      </c>
      <c r="I15" s="389">
        <f>SUM(G15:H15)</f>
        <v>78950146</v>
      </c>
      <c r="J15" s="390">
        <f>JUNIO!L15</f>
        <v>78950146</v>
      </c>
      <c r="K15" s="168">
        <v>0</v>
      </c>
      <c r="L15" s="389">
        <f>SUM(J15:K15)</f>
        <v>78950146</v>
      </c>
      <c r="M15" s="390">
        <f>F15-I15</f>
        <v>0</v>
      </c>
      <c r="N15" s="389">
        <f>F15-L15</f>
        <v>0</v>
      </c>
      <c r="O15" s="385"/>
      <c r="P15" s="387">
        <v>0</v>
      </c>
      <c r="Q15" s="392">
        <v>0</v>
      </c>
      <c r="S15" s="369" t="str">
        <f>+IF(JUNIO!S15=0,"",JUNIO!S15)</f>
        <v/>
      </c>
      <c r="T15" s="708" t="str">
        <f>+IF(JUNIO!T15=0,"",JUNIO!T15)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42293761</v>
      </c>
      <c r="AS15" s="12">
        <f>L113</f>
        <v>42293761</v>
      </c>
      <c r="AT15" s="13"/>
      <c r="AU15" s="345">
        <f t="shared" si="0"/>
        <v>0.70683101368870704</v>
      </c>
      <c r="AV15" s="353">
        <f t="shared" si="1"/>
        <v>0.70683101368870704</v>
      </c>
      <c r="AW15" s="12">
        <f>+AR15</f>
        <v>42293761</v>
      </c>
      <c r="AX15" s="12">
        <f>+AS15</f>
        <v>42293761</v>
      </c>
      <c r="AY15" s="12">
        <f t="shared" si="2"/>
        <v>-17541985</v>
      </c>
      <c r="AZ15" s="346">
        <f t="shared" si="3"/>
        <v>-17541985</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4287996</v>
      </c>
      <c r="BM15" s="71" t="s">
        <v>68</v>
      </c>
      <c r="BN15" s="83">
        <f>SUM(BN16:BN21)</f>
        <v>650365487</v>
      </c>
      <c r="BO15" s="81">
        <f>SUM(BO16:BO21)</f>
        <v>396024416</v>
      </c>
      <c r="BP15" s="81">
        <f>SUM(BP16:BP21)</f>
        <v>341760676</v>
      </c>
      <c r="BQ15" s="82">
        <f>SUM(BQ16:BQ21)</f>
        <v>37761769</v>
      </c>
    </row>
    <row r="16" spans="1:69" s="9" customFormat="1" ht="24.95" customHeight="1" thickBot="1" x14ac:dyDescent="0.3">
      <c r="A16" s="746" t="str">
        <f>+IF(JUNIO!A16=0,"",JUNIO!A16)</f>
        <v/>
      </c>
      <c r="B16" s="647" t="str">
        <f>+IF(JUNIO!B16=0,"",JUNIO!B16)</f>
        <v/>
      </c>
      <c r="C16" s="393"/>
      <c r="D16" s="393"/>
      <c r="E16" s="393"/>
      <c r="F16" s="393"/>
      <c r="G16" s="393"/>
      <c r="H16" s="393"/>
      <c r="I16" s="393"/>
      <c r="J16" s="393"/>
      <c r="K16" s="393"/>
      <c r="L16" s="393"/>
      <c r="M16" s="393"/>
      <c r="N16" s="394"/>
      <c r="O16" s="385"/>
      <c r="P16" s="395"/>
      <c r="Q16" s="396"/>
      <c r="S16" s="718">
        <f>+IF(JUNIO!S16=0,"",JUNIO!S16)</f>
        <v>1010100</v>
      </c>
      <c r="T16" s="692" t="str">
        <f>+IF(JUNIO!T16=0,"",JUNIO!T16)</f>
        <v>Servicios Personales Asociados a Nómina</v>
      </c>
      <c r="U16" s="135">
        <f t="shared" ref="U16:AJ16" si="12">SUM(U17:U20)+U33</f>
        <v>372660589</v>
      </c>
      <c r="V16" s="124">
        <f t="shared" si="12"/>
        <v>0</v>
      </c>
      <c r="W16" s="124">
        <f t="shared" si="12"/>
        <v>2702630</v>
      </c>
      <c r="X16" s="132">
        <f t="shared" si="12"/>
        <v>375363219</v>
      </c>
      <c r="Y16" s="131">
        <f t="shared" si="12"/>
        <v>164482976</v>
      </c>
      <c r="Z16" s="124">
        <f t="shared" si="12"/>
        <v>26615024</v>
      </c>
      <c r="AA16" s="132">
        <f t="shared" si="12"/>
        <v>191098000</v>
      </c>
      <c r="AB16" s="131">
        <f t="shared" si="12"/>
        <v>164482976</v>
      </c>
      <c r="AC16" s="124">
        <f t="shared" si="12"/>
        <v>26615024</v>
      </c>
      <c r="AD16" s="132">
        <f t="shared" si="12"/>
        <v>191098000</v>
      </c>
      <c r="AE16" s="131">
        <f t="shared" si="12"/>
        <v>163740624</v>
      </c>
      <c r="AF16" s="124">
        <f t="shared" si="12"/>
        <v>26615024</v>
      </c>
      <c r="AG16" s="132">
        <f t="shared" si="12"/>
        <v>190355648</v>
      </c>
      <c r="AH16" s="131">
        <f t="shared" si="12"/>
        <v>184265219</v>
      </c>
      <c r="AI16" s="124">
        <f t="shared" si="12"/>
        <v>184265219</v>
      </c>
      <c r="AJ16" s="133">
        <f t="shared" si="12"/>
        <v>185007571</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47972944</v>
      </c>
      <c r="BE16" s="75">
        <f>K43</f>
        <v>8358676</v>
      </c>
      <c r="BF16" s="76"/>
      <c r="BG16" s="91" t="s">
        <v>84</v>
      </c>
      <c r="BH16" s="96">
        <f>BH7+BH12+BH13+BH14+BH15</f>
        <v>3890600747</v>
      </c>
      <c r="BI16" s="96">
        <f>BI7+BI12+BI13+BI14+BI15</f>
        <v>2321853684</v>
      </c>
      <c r="BJ16" s="96">
        <f>BJ7+BJ12+BJ13+BJ14+BJ15</f>
        <v>2012732979</v>
      </c>
      <c r="BK16" s="96">
        <f>BK7+BK12+BK13+BK14+BK15</f>
        <v>240424398</v>
      </c>
      <c r="BM16" s="140" t="s">
        <v>85</v>
      </c>
      <c r="BN16" s="83">
        <f>X114-X121+X147-X148-X153</f>
        <v>169444119</v>
      </c>
      <c r="BO16" s="81">
        <f>AA114-AA121+AA147-AA148-AA153</f>
        <v>85575791</v>
      </c>
      <c r="BP16" s="81">
        <f>AD114-AD121+AD147-AD148-AD153</f>
        <v>85575791</v>
      </c>
      <c r="BQ16" s="82">
        <f>AF114-AF121+AF147-AF148-AF153</f>
        <v>2506993</v>
      </c>
    </row>
    <row r="17" spans="1:70" s="385" customFormat="1" ht="24.95" customHeight="1" thickBot="1" x14ac:dyDescent="0.3">
      <c r="A17" s="745">
        <f>+IF(JUNIO!A17=0,"",JUNIO!A17)</f>
        <v>11</v>
      </c>
      <c r="B17" s="648" t="str">
        <f>+IF(JUNIO!B17=0,"",JUNIO!B17)</f>
        <v>INGRESOS  CORRIENTES</v>
      </c>
      <c r="C17" s="337">
        <f>C19+C94+C104</f>
        <v>3103041868</v>
      </c>
      <c r="D17" s="334">
        <f t="shared" ref="D17:Q17" si="13">D19+D94+D104</f>
        <v>0</v>
      </c>
      <c r="E17" s="334">
        <f t="shared" si="13"/>
        <v>637381072</v>
      </c>
      <c r="F17" s="334">
        <f t="shared" si="13"/>
        <v>3740422940</v>
      </c>
      <c r="G17" s="334">
        <f t="shared" si="13"/>
        <v>2018176649</v>
      </c>
      <c r="H17" s="334">
        <f t="shared" si="13"/>
        <v>346601142</v>
      </c>
      <c r="I17" s="334">
        <f t="shared" si="13"/>
        <v>2364777791</v>
      </c>
      <c r="J17" s="334">
        <f t="shared" si="13"/>
        <v>1247434658</v>
      </c>
      <c r="K17" s="334">
        <f t="shared" si="13"/>
        <v>333074439</v>
      </c>
      <c r="L17" s="334">
        <f t="shared" si="13"/>
        <v>1580509097</v>
      </c>
      <c r="M17" s="334">
        <f t="shared" si="13"/>
        <v>1375645149</v>
      </c>
      <c r="N17" s="335">
        <f t="shared" si="13"/>
        <v>2159913843</v>
      </c>
      <c r="P17" s="177">
        <f t="shared" si="13"/>
        <v>0</v>
      </c>
      <c r="Q17" s="178">
        <f t="shared" si="13"/>
        <v>0</v>
      </c>
      <c r="R17" s="9"/>
      <c r="S17" s="719">
        <f>+IF(JUNIO!S17=0,"",JUNIO!S17)</f>
        <v>1010101</v>
      </c>
      <c r="T17" s="693" t="str">
        <f>+IF(JUNIO!T17=0,"",JUNIO!T17)</f>
        <v>Sueldos del Personal de nómina</v>
      </c>
      <c r="U17" s="27">
        <f>+ENERO!U17</f>
        <v>304405836</v>
      </c>
      <c r="V17" s="15">
        <f>JUNIO!V17+JULIO!AL17</f>
        <v>0</v>
      </c>
      <c r="W17" s="15">
        <f>JUNIO!W17+JULIO!AM17</f>
        <v>0</v>
      </c>
      <c r="X17" s="18">
        <f>SUM(U17:W17)</f>
        <v>304405836</v>
      </c>
      <c r="Y17" s="19">
        <f>JUNIO!AA17</f>
        <v>150634009</v>
      </c>
      <c r="Z17" s="377">
        <v>25441153</v>
      </c>
      <c r="AA17" s="18">
        <f>SUM(Y17:Z17)</f>
        <v>176075162</v>
      </c>
      <c r="AB17" s="19">
        <f>JUNIO!AD17</f>
        <v>150634009</v>
      </c>
      <c r="AC17" s="377">
        <v>25441153</v>
      </c>
      <c r="AD17" s="18">
        <f>SUM(AB17:AC17)</f>
        <v>176075162</v>
      </c>
      <c r="AE17" s="19">
        <f>JUNIO!AG17</f>
        <v>150634008</v>
      </c>
      <c r="AF17" s="377">
        <v>25441153</v>
      </c>
      <c r="AG17" s="18">
        <f>SUM(AE17:AF17)</f>
        <v>176075161</v>
      </c>
      <c r="AH17" s="19">
        <f>X17-AA17</f>
        <v>128330674</v>
      </c>
      <c r="AI17" s="15">
        <f>X17-AD17</f>
        <v>128330674</v>
      </c>
      <c r="AJ17" s="16">
        <f>X17-AG17</f>
        <v>128330675</v>
      </c>
      <c r="AK17" s="9"/>
      <c r="AL17" s="375">
        <v>0</v>
      </c>
      <c r="AM17" s="378">
        <v>0</v>
      </c>
      <c r="AN17" s="9"/>
      <c r="AO17" s="352"/>
      <c r="AP17" s="402" t="s">
        <v>87</v>
      </c>
      <c r="AQ17" s="403">
        <f>SUM(AQ7:AQ16)</f>
        <v>3708705097</v>
      </c>
      <c r="AR17" s="404">
        <f>SUM(AR7:AR16)</f>
        <v>2299154947</v>
      </c>
      <c r="AS17" s="405">
        <f>SUM(AS7:AS16)</f>
        <v>1514886253</v>
      </c>
      <c r="AT17" s="406"/>
      <c r="AU17" s="404">
        <f t="shared" si="0"/>
        <v>0.61993469064439877</v>
      </c>
      <c r="AV17" s="404">
        <f t="shared" si="1"/>
        <v>0.40846770324914838</v>
      </c>
      <c r="AW17" s="407">
        <f>SUM(AX7:AX16)</f>
        <v>2387276683.4285712</v>
      </c>
      <c r="AX17" s="407">
        <f>SUM(AX7:AX16)</f>
        <v>2387276683.4285712</v>
      </c>
      <c r="AY17" s="407">
        <f>SUM(AY7:AY16)</f>
        <v>21497394.142857075</v>
      </c>
      <c r="AZ17" s="408">
        <f>SUM(AZ7:AZ16)</f>
        <v>-1321428413.5714288</v>
      </c>
      <c r="BA17" s="9"/>
      <c r="BB17" s="368" t="s">
        <v>444</v>
      </c>
      <c r="BC17" s="73">
        <f>F41+F52+F55+F58+F61+F67+F70+F73+F76+F79+F82+F86+F87+F88+F89+F90+F91</f>
        <v>331051770</v>
      </c>
      <c r="BD17" s="74">
        <f>I41+I52+I55+I58+I61+I67+I70+I73+I76+I79+I82+I86+I87+I88+I89+I90+I91</f>
        <v>162759463</v>
      </c>
      <c r="BE17" s="75">
        <f>K41+K52+K55+K58+K61+K67+K70+K73+K76+K79+K82+K86+K87+K88+K89+K90+K91</f>
        <v>31728089</v>
      </c>
      <c r="BF17" s="76"/>
      <c r="BG17" s="98" t="s">
        <v>88</v>
      </c>
      <c r="BH17" s="99">
        <f>BC23-BH16</f>
        <v>-3890600747</v>
      </c>
      <c r="BI17" s="99"/>
      <c r="BJ17" s="99"/>
      <c r="BK17" s="99"/>
      <c r="BM17" s="140" t="s">
        <v>459</v>
      </c>
      <c r="BN17" s="83">
        <f>X123-X126-X139+X155-X156-X167-X168</f>
        <v>257863207</v>
      </c>
      <c r="BO17" s="81">
        <f>AA123-AA126-AA139+AA155-AA156-AA167-AA168</f>
        <v>169700539</v>
      </c>
      <c r="BP17" s="81">
        <f>AD123-AD126-AD139+AD155-AD156-AD167-AD168</f>
        <v>132508045</v>
      </c>
      <c r="BQ17" s="82">
        <f>AF123-AF126-AF139+AF155-AF156-AF167-AF168</f>
        <v>15680874</v>
      </c>
      <c r="BR17" s="9"/>
    </row>
    <row r="18" spans="1:70" s="9" customFormat="1" ht="24.95" customHeight="1" thickBot="1" x14ac:dyDescent="0.25">
      <c r="A18" s="618" t="str">
        <f>+IF(JUNIO!A18=0,"",JUNIO!A18)</f>
        <v/>
      </c>
      <c r="B18" s="649" t="str">
        <f>+IF(JUNIO!B18=0,"",JUNIO!B18)</f>
        <v/>
      </c>
      <c r="C18" s="297"/>
      <c r="D18" s="297"/>
      <c r="E18" s="297"/>
      <c r="F18" s="297"/>
      <c r="G18" s="297"/>
      <c r="H18" s="297"/>
      <c r="I18" s="297"/>
      <c r="J18" s="297"/>
      <c r="K18" s="297"/>
      <c r="L18" s="297"/>
      <c r="M18" s="297"/>
      <c r="N18" s="466"/>
      <c r="P18" s="410"/>
      <c r="Q18" s="409"/>
      <c r="S18" s="719">
        <f>+IF(JUNIO!S18=0,"",JUNIO!S18)</f>
        <v>1010102</v>
      </c>
      <c r="T18" s="693" t="str">
        <f>+IF(JUNIO!T18=0,"",JUNIO!T18)</f>
        <v>Horas Extras,Dominic.,Festivos y Rec. Nocturnos</v>
      </c>
      <c r="U18" s="27">
        <f>+ENERO!U18</f>
        <v>12090252</v>
      </c>
      <c r="V18" s="15">
        <f>JUNIO!V18+JULIO!AL18</f>
        <v>0</v>
      </c>
      <c r="W18" s="15">
        <f>JUNIO!W18+JULIO!AM18</f>
        <v>0</v>
      </c>
      <c r="X18" s="18">
        <f>SUM(U18:W18)</f>
        <v>12090252</v>
      </c>
      <c r="Y18" s="19">
        <f>JUNIO!AA18</f>
        <v>8293514</v>
      </c>
      <c r="Z18" s="377">
        <v>1147471</v>
      </c>
      <c r="AA18" s="18">
        <f>SUM(Y18:Z18)</f>
        <v>9440985</v>
      </c>
      <c r="AB18" s="19">
        <f>JUNIO!AD18</f>
        <v>8293514</v>
      </c>
      <c r="AC18" s="377">
        <v>1147471</v>
      </c>
      <c r="AD18" s="18">
        <f>SUM(AB18:AC18)</f>
        <v>9440985</v>
      </c>
      <c r="AE18" s="19">
        <f>JUNIO!AG18</f>
        <v>8293515</v>
      </c>
      <c r="AF18" s="377">
        <v>1147471</v>
      </c>
      <c r="AG18" s="18">
        <f>SUM(AE18:AF18)</f>
        <v>9440986</v>
      </c>
      <c r="AH18" s="19">
        <f>X18-AA18</f>
        <v>2649267</v>
      </c>
      <c r="AI18" s="15">
        <f>X18-AD18</f>
        <v>2649267</v>
      </c>
      <c r="AJ18" s="16">
        <f>X18-AG18</f>
        <v>2649266</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136305130</v>
      </c>
      <c r="BE18" s="75">
        <f>+K95+K96+K97+K99+K100+K101</f>
        <v>75000000</v>
      </c>
      <c r="BF18" s="95"/>
      <c r="BM18" s="140" t="s">
        <v>89</v>
      </c>
      <c r="BN18" s="83">
        <f>X148+X156</f>
        <v>156785051</v>
      </c>
      <c r="BO18" s="81">
        <f>AA148+AA156</f>
        <v>104057345</v>
      </c>
      <c r="BP18" s="81">
        <f>AD148+AD156</f>
        <v>86986099</v>
      </c>
      <c r="BQ18" s="82">
        <f>AF148+AF156</f>
        <v>11945482</v>
      </c>
      <c r="BR18" s="385"/>
    </row>
    <row r="19" spans="1:70" s="9" customFormat="1" ht="24.95" customHeight="1" thickBot="1" x14ac:dyDescent="0.3">
      <c r="A19" s="747">
        <f>+IF(JUNIO!A19=0,"",JUNIO!A19)</f>
        <v>113</v>
      </c>
      <c r="B19" s="650" t="str">
        <f>+IF(JUNIO!B19=0,"",JUNIO!B19)</f>
        <v>VENTA DE SERVICIOS</v>
      </c>
      <c r="C19" s="337">
        <f t="shared" ref="C19:N19" si="14">C21+C85</f>
        <v>2995860189</v>
      </c>
      <c r="D19" s="334">
        <f t="shared" si="14"/>
        <v>0</v>
      </c>
      <c r="E19" s="334">
        <f t="shared" si="14"/>
        <v>562667101</v>
      </c>
      <c r="F19" s="335">
        <f t="shared" si="14"/>
        <v>3558527290</v>
      </c>
      <c r="G19" s="337">
        <f t="shared" si="14"/>
        <v>1905601933</v>
      </c>
      <c r="H19" s="334">
        <f t="shared" si="14"/>
        <v>260917192</v>
      </c>
      <c r="I19" s="335">
        <f t="shared" si="14"/>
        <v>2166519125</v>
      </c>
      <c r="J19" s="337">
        <f t="shared" si="14"/>
        <v>1134859942</v>
      </c>
      <c r="K19" s="334">
        <f t="shared" si="14"/>
        <v>247390489</v>
      </c>
      <c r="L19" s="335">
        <f t="shared" si="14"/>
        <v>1382250431</v>
      </c>
      <c r="M19" s="337">
        <f t="shared" si="14"/>
        <v>1392008165</v>
      </c>
      <c r="N19" s="335">
        <f t="shared" si="14"/>
        <v>2176276859</v>
      </c>
      <c r="O19" s="385"/>
      <c r="P19" s="43">
        <f>P21+P85</f>
        <v>0</v>
      </c>
      <c r="Q19" s="45">
        <f>Q21+Q85</f>
        <v>0</v>
      </c>
      <c r="S19" s="719">
        <f>+IF(JUNIO!S19=0,"",JUNIO!S19)</f>
        <v>1010103</v>
      </c>
      <c r="T19" s="693" t="str">
        <f>+IF(JUNIO!T19=0,"",JUNIO!T19)</f>
        <v>Prima Técnica</v>
      </c>
      <c r="U19" s="27">
        <f>+ENERO!U19</f>
        <v>0</v>
      </c>
      <c r="V19" s="15">
        <f>JUNIO!V19+JULIO!AL19</f>
        <v>0</v>
      </c>
      <c r="W19" s="15">
        <f>JUNIO!W19+JULIO!AM19</f>
        <v>0</v>
      </c>
      <c r="X19" s="18">
        <f>SUM(U19:W19)</f>
        <v>0</v>
      </c>
      <c r="Y19" s="19">
        <f>JUNIO!AA19</f>
        <v>0</v>
      </c>
      <c r="Z19" s="377">
        <v>0</v>
      </c>
      <c r="AA19" s="18">
        <f>SUM(Y19:Z19)</f>
        <v>0</v>
      </c>
      <c r="AB19" s="19">
        <f>JUNIO!AD19</f>
        <v>0</v>
      </c>
      <c r="AC19" s="377">
        <v>0</v>
      </c>
      <c r="AD19" s="18">
        <f>SUM(AB19:AC19)</f>
        <v>0</v>
      </c>
      <c r="AE19" s="19">
        <f>JUNIO!AG19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61873536</v>
      </c>
      <c r="BE19" s="94">
        <f>+K105+K106+K107+K108+K109+K110+K98</f>
        <v>10683950</v>
      </c>
      <c r="BF19" s="57"/>
      <c r="BG19" s="385"/>
      <c r="BH19" s="385">
        <f>BN33</f>
        <v>0</v>
      </c>
      <c r="BI19" s="385"/>
      <c r="BJ19" s="385"/>
      <c r="BK19" s="385"/>
      <c r="BM19" s="140" t="s">
        <v>96</v>
      </c>
      <c r="BN19" s="83">
        <f>X126+X167</f>
        <v>55492147</v>
      </c>
      <c r="BO19" s="81">
        <f>AA126+AA167</f>
        <v>32854630</v>
      </c>
      <c r="BP19" s="81">
        <f>AD126+AD167</f>
        <v>32854630</v>
      </c>
      <c r="BQ19" s="82">
        <f>AF126+AF167</f>
        <v>7628420</v>
      </c>
    </row>
    <row r="20" spans="1:70" s="425" customFormat="1" ht="24.95" customHeight="1" thickBot="1" x14ac:dyDescent="0.3">
      <c r="A20" s="618" t="str">
        <f>+IF(JUNIO!A20=0,"",JUNIO!A20)</f>
        <v/>
      </c>
      <c r="B20" s="651" t="str">
        <f>+IF(JUNIO!B20=0,"",JUNIO!B20)</f>
        <v/>
      </c>
      <c r="C20" s="297"/>
      <c r="D20" s="297"/>
      <c r="E20" s="297"/>
      <c r="F20" s="297"/>
      <c r="G20" s="297"/>
      <c r="H20" s="297"/>
      <c r="I20" s="297"/>
      <c r="J20" s="297"/>
      <c r="K20" s="297"/>
      <c r="L20" s="297"/>
      <c r="M20" s="297"/>
      <c r="N20" s="466"/>
      <c r="O20" s="9"/>
      <c r="P20" s="410"/>
      <c r="Q20" s="409"/>
      <c r="R20" s="9"/>
      <c r="S20" s="719">
        <f>+IF(JUNIO!S20=0,"",JUNIO!S20)</f>
        <v>1010104</v>
      </c>
      <c r="T20" s="693" t="str">
        <f>+IF(JUNIO!T20=0,"",JUNIO!T20)</f>
        <v>Otros</v>
      </c>
      <c r="U20" s="27">
        <f t="shared" ref="U20:AJ20" si="15">SUM(U21:U32)</f>
        <v>56164501</v>
      </c>
      <c r="V20" s="15">
        <f t="shared" si="15"/>
        <v>0</v>
      </c>
      <c r="W20" s="15">
        <f t="shared" si="15"/>
        <v>0</v>
      </c>
      <c r="X20" s="18">
        <f t="shared" si="15"/>
        <v>56164501</v>
      </c>
      <c r="Y20" s="19">
        <f t="shared" si="15"/>
        <v>2852823</v>
      </c>
      <c r="Z20" s="145">
        <f t="shared" si="15"/>
        <v>26400</v>
      </c>
      <c r="AA20" s="18">
        <f t="shared" si="15"/>
        <v>2879223</v>
      </c>
      <c r="AB20" s="19">
        <f t="shared" si="15"/>
        <v>2852823</v>
      </c>
      <c r="AC20" s="145">
        <f t="shared" si="15"/>
        <v>26400</v>
      </c>
      <c r="AD20" s="18">
        <f t="shared" si="15"/>
        <v>2879223</v>
      </c>
      <c r="AE20" s="19">
        <f t="shared" si="15"/>
        <v>2852822</v>
      </c>
      <c r="AF20" s="145">
        <f t="shared" si="15"/>
        <v>26400</v>
      </c>
      <c r="AG20" s="18">
        <f t="shared" si="15"/>
        <v>2879222</v>
      </c>
      <c r="AH20" s="19">
        <f t="shared" si="15"/>
        <v>53285278</v>
      </c>
      <c r="AI20" s="15">
        <f t="shared" si="15"/>
        <v>53285278</v>
      </c>
      <c r="AJ20" s="16">
        <f t="shared" si="15"/>
        <v>53285279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40673981</v>
      </c>
      <c r="BE20" s="67">
        <f>+K115+K117+K119+K120+K121+K123+K124</f>
        <v>20044862</v>
      </c>
      <c r="BF20" s="57"/>
      <c r="BG20" s="385"/>
      <c r="BH20" s="385">
        <f>BH19-BH16</f>
        <v>-3890600747</v>
      </c>
      <c r="BI20" s="385"/>
      <c r="BJ20" s="385"/>
      <c r="BK20" s="385"/>
      <c r="BL20" s="385"/>
      <c r="BM20" s="142" t="s">
        <v>454</v>
      </c>
      <c r="BN20" s="83">
        <f>+X141-X143</f>
        <v>10780963</v>
      </c>
      <c r="BO20" s="81">
        <f>+AA141-AA143</f>
        <v>3836111</v>
      </c>
      <c r="BP20" s="81">
        <f>+AD141-AD143</f>
        <v>3836111</v>
      </c>
      <c r="BQ20" s="82">
        <f>+AF141-AF143</f>
        <v>0</v>
      </c>
      <c r="BR20" s="9"/>
    </row>
    <row r="21" spans="1:70" s="425" customFormat="1" ht="24.95" customHeight="1" thickBot="1" x14ac:dyDescent="0.3">
      <c r="A21" s="748">
        <f>+IF(JUNIO!A21=0,"",JUNIO!A21)</f>
        <v>11301</v>
      </c>
      <c r="B21" s="652" t="str">
        <f>+IF(JUNIO!B21=0,"",JUNIO!B21)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1885423247</v>
      </c>
      <c r="H21" s="357">
        <f t="shared" si="16"/>
        <v>259237192</v>
      </c>
      <c r="I21" s="357">
        <f t="shared" si="16"/>
        <v>2144660439</v>
      </c>
      <c r="J21" s="357">
        <f t="shared" si="16"/>
        <v>1125130599</v>
      </c>
      <c r="K21" s="357">
        <f t="shared" si="16"/>
        <v>242590489</v>
      </c>
      <c r="L21" s="357">
        <f t="shared" si="16"/>
        <v>1367721088</v>
      </c>
      <c r="M21" s="357">
        <f t="shared" si="16"/>
        <v>1339866851</v>
      </c>
      <c r="N21" s="178">
        <f t="shared" si="16"/>
        <v>2116806202</v>
      </c>
      <c r="O21" s="385"/>
      <c r="P21" s="43">
        <f>P22+P25+P28+P41+P42+P45+P48+P51+P54+P57+P60+P63+P66+P69+P72+P75+P78+P81</f>
        <v>0</v>
      </c>
      <c r="Q21" s="45">
        <f>Q22+Q25+Q28+Q41+Q42+Q45+Q48+Q51+Q54+Q57+Q60+Q63+Q66+Q69+Q72+Q75+Q78+Q81</f>
        <v>0</v>
      </c>
      <c r="R21" s="9"/>
      <c r="S21" s="720" t="str">
        <f>+IF(JUNIO!S21=0,"",JUNIO!S21)</f>
        <v>1010104-1</v>
      </c>
      <c r="T21" s="694" t="str">
        <f>+IF(JUNIO!T21=0,"",JUNIO!T21)</f>
        <v xml:space="preserve">Prima de Navidad </v>
      </c>
      <c r="U21" s="27">
        <f>+ENERO!U21</f>
        <v>27481083</v>
      </c>
      <c r="V21" s="15">
        <f>JUNIO!V21+JULIO!AL21</f>
        <v>0</v>
      </c>
      <c r="W21" s="15">
        <f>JUNIO!W21+JULIO!AM21</f>
        <v>0</v>
      </c>
      <c r="X21" s="18">
        <f t="shared" ref="X21:X33" si="17">SUM(U21:W21)</f>
        <v>27481083</v>
      </c>
      <c r="Y21" s="19">
        <f>JUNIO!AA21</f>
        <v>0</v>
      </c>
      <c r="Z21" s="377">
        <v>0</v>
      </c>
      <c r="AA21" s="18">
        <f t="shared" ref="AA21:AA33" si="18">SUM(Y21:Z21)</f>
        <v>0</v>
      </c>
      <c r="AB21" s="19">
        <f>JUNIO!AD21</f>
        <v>0</v>
      </c>
      <c r="AC21" s="377">
        <v>0</v>
      </c>
      <c r="AD21" s="18">
        <f t="shared" ref="AD21:AD33" si="19">SUM(AB21:AC21)</f>
        <v>0</v>
      </c>
      <c r="AE21" s="19">
        <f>JUNIO!AG21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JULIO</v>
      </c>
      <c r="AS21" s="429" t="str">
        <f>AR6</f>
        <v>JULIO</v>
      </c>
      <c r="AT21" s="428" t="str">
        <f>AR6</f>
        <v>JULIO</v>
      </c>
      <c r="AU21" s="428" t="s">
        <v>46</v>
      </c>
      <c r="AV21" s="428" t="s">
        <v>24</v>
      </c>
      <c r="AW21" s="430"/>
      <c r="AX21" s="430"/>
      <c r="AY21" s="428" t="s">
        <v>46</v>
      </c>
      <c r="AZ21" s="431" t="s">
        <v>24</v>
      </c>
      <c r="BA21" s="9"/>
      <c r="BB21" s="101" t="s">
        <v>447</v>
      </c>
      <c r="BC21" s="65">
        <f>SUMIF($B8:B122,$B24,F8:F122)+F122</f>
        <v>577451227</v>
      </c>
      <c r="BD21" s="66">
        <f>SUMIF($B8:B122,$B24,I8:I122)+I122</f>
        <v>485055958</v>
      </c>
      <c r="BE21" s="67">
        <f>SUMIF($B8:B122,$B24,K8:K122)+K122</f>
        <v>178589</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+IF(JUNIO!A22=0,"",JUNIO!A22)</f>
        <v>1130101</v>
      </c>
      <c r="B22" s="653" t="str">
        <f>+IF(JUNIO!B22=0,"",JUNIO!B22)</f>
        <v>EPS - REGIMEN CONTRIBUTIVO</v>
      </c>
      <c r="C22" s="43">
        <f t="shared" ref="C22:N22" si="24">SUM(C23:C24)</f>
        <v>1323143662</v>
      </c>
      <c r="D22" s="44">
        <f t="shared" si="24"/>
        <v>0</v>
      </c>
      <c r="E22" s="44">
        <f t="shared" si="24"/>
        <v>435611621</v>
      </c>
      <c r="F22" s="44">
        <f t="shared" si="24"/>
        <v>1758755283</v>
      </c>
      <c r="G22" s="44">
        <f t="shared" si="24"/>
        <v>1062634167</v>
      </c>
      <c r="H22" s="44">
        <f t="shared" si="24"/>
        <v>119849120</v>
      </c>
      <c r="I22" s="44">
        <f t="shared" si="24"/>
        <v>1182483287</v>
      </c>
      <c r="J22" s="44">
        <f t="shared" si="24"/>
        <v>515290083</v>
      </c>
      <c r="K22" s="44">
        <f t="shared" si="24"/>
        <v>118783040</v>
      </c>
      <c r="L22" s="44">
        <f t="shared" si="24"/>
        <v>634073123</v>
      </c>
      <c r="M22" s="44">
        <f t="shared" si="24"/>
        <v>576271996</v>
      </c>
      <c r="N22" s="45">
        <f t="shared" si="24"/>
        <v>1124682160</v>
      </c>
      <c r="P22" s="43">
        <f>SUM(P23:P24)</f>
        <v>0</v>
      </c>
      <c r="Q22" s="45">
        <f>SUM(Q23:Q24)</f>
        <v>0</v>
      </c>
      <c r="S22" s="720" t="str">
        <f>+IF(JUNIO!S22=0,"",JUNIO!S22)</f>
        <v>1010104-2</v>
      </c>
      <c r="T22" s="694" t="str">
        <f>+IF(JUNIO!T22=0,"",JUNIO!T22)</f>
        <v>Prima Vida Cara</v>
      </c>
      <c r="U22" s="27">
        <f>+ENERO!U22</f>
        <v>0</v>
      </c>
      <c r="V22" s="15">
        <f>JUNIO!V22+JULIO!AL22</f>
        <v>0</v>
      </c>
      <c r="W22" s="15">
        <f>JUNIO!W22+JULIO!AM22</f>
        <v>0</v>
      </c>
      <c r="X22" s="18">
        <f t="shared" si="17"/>
        <v>0</v>
      </c>
      <c r="Y22" s="19">
        <f>JUNIO!AA22</f>
        <v>0</v>
      </c>
      <c r="Z22" s="377">
        <v>0</v>
      </c>
      <c r="AA22" s="18">
        <f t="shared" si="18"/>
        <v>0</v>
      </c>
      <c r="AB22" s="19">
        <f>JUNIO!AD22</f>
        <v>0</v>
      </c>
      <c r="AC22" s="377">
        <v>0</v>
      </c>
      <c r="AD22" s="18">
        <f t="shared" si="19"/>
        <v>0</v>
      </c>
      <c r="AE22" s="19">
        <f>JUNIO!AG22</f>
        <v>0</v>
      </c>
      <c r="AF22" s="377">
        <v>0</v>
      </c>
      <c r="AG22" s="18">
        <f t="shared" si="20"/>
        <v>0</v>
      </c>
      <c r="AH22" s="19">
        <f t="shared" si="21"/>
        <v>0</v>
      </c>
      <c r="AI22" s="15">
        <f t="shared" si="22"/>
        <v>0</v>
      </c>
      <c r="AJ22" s="16">
        <f t="shared" si="23"/>
        <v>0</v>
      </c>
      <c r="AL22" s="375">
        <v>0</v>
      </c>
      <c r="AM22" s="378">
        <v>0</v>
      </c>
      <c r="AO22" s="21"/>
      <c r="AP22" s="432" t="s">
        <v>106</v>
      </c>
      <c r="AQ22" s="433">
        <f>X17+X66</f>
        <v>943171180</v>
      </c>
      <c r="AR22" s="433">
        <f>AD17+AD66</f>
        <v>540242917</v>
      </c>
      <c r="AS22" s="433">
        <f>AG17+AG66</f>
        <v>516124341</v>
      </c>
      <c r="AT22" s="434"/>
      <c r="AU22" s="435">
        <f t="shared" ref="AU22:AU32" si="25">IF(AQ22=0," ",AR22/AQ22)</f>
        <v>0.57279413160185833</v>
      </c>
      <c r="AV22" s="435">
        <f t="shared" ref="AV22:AV32" si="26">IF(AQ22=0," ",AS22/AQ22)</f>
        <v>0.54722234091164657</v>
      </c>
      <c r="AW22" s="436">
        <f>AR22/$AO$2*12</f>
        <v>926130714.85714281</v>
      </c>
      <c r="AX22" s="436">
        <f>AS22/$AO$2*12</f>
        <v>884784584.57142854</v>
      </c>
      <c r="AY22" s="436">
        <f t="shared" ref="AY22:AY31" si="27">AW22-AQ22</f>
        <v>-17040465.142857194</v>
      </c>
      <c r="AZ22" s="437">
        <f t="shared" ref="AZ22:AZ31" si="28">AQ22-AX22</f>
        <v>58386595.428571463</v>
      </c>
      <c r="BA22" s="385"/>
      <c r="BB22" s="102" t="s">
        <v>111</v>
      </c>
      <c r="BC22" s="103">
        <f>BC7+BC8+BC20+BC21</f>
        <v>3890600747</v>
      </c>
      <c r="BD22" s="104">
        <f>BD7+BD8+BD20+BD21</f>
        <v>2497413613</v>
      </c>
      <c r="BE22" s="105">
        <f>BE7+BE8+BE20+BE21</f>
        <v>353191101</v>
      </c>
      <c r="BF22" s="57"/>
      <c r="BG22" s="385"/>
      <c r="BH22" s="385"/>
      <c r="BI22" s="385"/>
      <c r="BJ22" s="385"/>
      <c r="BK22" s="385"/>
      <c r="BM22" s="71" t="s">
        <v>69</v>
      </c>
      <c r="BN22" s="83">
        <f>BN23+BN24</f>
        <v>65572284</v>
      </c>
      <c r="BO22" s="81">
        <f>BO23+BO24</f>
        <v>25455570</v>
      </c>
      <c r="BP22" s="81">
        <f>BP23+BP24</f>
        <v>25132038</v>
      </c>
      <c r="BQ22" s="82">
        <f>BQ23+BQ24</f>
        <v>5483157</v>
      </c>
      <c r="BR22" s="385"/>
    </row>
    <row r="23" spans="1:70" s="425" customFormat="1" ht="24.95" customHeight="1" x14ac:dyDescent="0.2">
      <c r="A23" s="618" t="str">
        <f>+IF(JUNIO!A23=0,"",JUNIO!A23)</f>
        <v>1130101-1</v>
      </c>
      <c r="B23" s="654" t="str">
        <f>+CONCATENATE("Vigencia ",INSTRUCCIONES!$F$3)</f>
        <v>Vigencia 2015</v>
      </c>
      <c r="C23" s="375">
        <f>+ENERO!C23</f>
        <v>1323143662</v>
      </c>
      <c r="D23" s="376">
        <f>JUNIO!D23+JULIO!P23</f>
        <v>0</v>
      </c>
      <c r="E23" s="376">
        <f>JUNIO!E23+JULIO!Q23</f>
        <v>0</v>
      </c>
      <c r="F23" s="376">
        <f>SUM(C23:E23)</f>
        <v>1323143662</v>
      </c>
      <c r="G23" s="376">
        <f>JUNIO!I23</f>
        <v>655271701</v>
      </c>
      <c r="H23" s="377">
        <v>119849120</v>
      </c>
      <c r="I23" s="376">
        <f>SUM(G23:H23)</f>
        <v>775120821</v>
      </c>
      <c r="J23" s="376">
        <f>JUNIO!L23</f>
        <v>107927617</v>
      </c>
      <c r="K23" s="377">
        <v>118783040</v>
      </c>
      <c r="L23" s="376">
        <f>SUM(J23:K23)</f>
        <v>226710657</v>
      </c>
      <c r="M23" s="376">
        <f>F23-I23</f>
        <v>548022841</v>
      </c>
      <c r="N23" s="146">
        <f>F23-L23</f>
        <v>1096433005</v>
      </c>
      <c r="O23" s="9"/>
      <c r="P23" s="375">
        <v>0</v>
      </c>
      <c r="Q23" s="378">
        <v>0</v>
      </c>
      <c r="R23" s="9"/>
      <c r="S23" s="720" t="str">
        <f>+IF(JUNIO!S23=0,"",JUNIO!S23)</f>
        <v>1010104-3</v>
      </c>
      <c r="T23" s="694" t="str">
        <f>+IF(JUNIO!T23=0,"",JUNIO!T23)</f>
        <v>Prima de Vacaciones</v>
      </c>
      <c r="U23" s="27">
        <f>+ENERO!U23</f>
        <v>12683577</v>
      </c>
      <c r="V23" s="15">
        <f>JUNIO!V23+JULIO!AL23</f>
        <v>0</v>
      </c>
      <c r="W23" s="15">
        <f>JUNIO!W23+JULIO!AM23</f>
        <v>0</v>
      </c>
      <c r="X23" s="18">
        <f t="shared" si="17"/>
        <v>12683577</v>
      </c>
      <c r="Y23" s="19">
        <f>JUNIO!AA23</f>
        <v>2128961</v>
      </c>
      <c r="Z23" s="377">
        <v>0</v>
      </c>
      <c r="AA23" s="18">
        <f t="shared" si="18"/>
        <v>2128961</v>
      </c>
      <c r="AB23" s="19">
        <f>JUNIO!AD23</f>
        <v>2128961</v>
      </c>
      <c r="AC23" s="377">
        <v>0</v>
      </c>
      <c r="AD23" s="18">
        <f t="shared" si="19"/>
        <v>2128961</v>
      </c>
      <c r="AE23" s="19">
        <f>JUNIO!AG23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306491529</v>
      </c>
      <c r="AR23" s="439">
        <f>AD16+AD65-AR22</f>
        <v>122658297</v>
      </c>
      <c r="AS23" s="439">
        <f>AG16+AG65-AS22</f>
        <v>109896691</v>
      </c>
      <c r="AT23" s="330"/>
      <c r="AU23" s="345">
        <f t="shared" si="25"/>
        <v>0.40020126298498776</v>
      </c>
      <c r="AV23" s="345">
        <f t="shared" si="26"/>
        <v>0.35856355103373838</v>
      </c>
      <c r="AW23" s="439">
        <f>(AR23-AD21-AD22-AD23-AD25-AD30-AD33-AD70-AD71-AD72-AD74-AD78-AD81)/$AO$2*12+AX22/12*2.5+AD30+AD33+AD78+AD81</f>
        <v>361404406.5</v>
      </c>
      <c r="AX23" s="439">
        <f>(AS23-AG21-AG22-AG23-AG25-AG30-AG33-AG70-AG71-AG72-AG74-AG78-AG81)/$AO$2*12+AX22/12*2.5+AG30+AG33+AG78+AG81</f>
        <v>344718460.5</v>
      </c>
      <c r="AY23" s="439">
        <f t="shared" si="27"/>
        <v>54912877.5</v>
      </c>
      <c r="AZ23" s="46">
        <f t="shared" si="28"/>
        <v>-38226931.5</v>
      </c>
      <c r="BA23" s="385"/>
      <c r="BF23" s="385"/>
      <c r="BG23" s="385"/>
      <c r="BH23" s="385"/>
      <c r="BI23" s="385"/>
      <c r="BJ23" s="385"/>
      <c r="BK23" s="385"/>
      <c r="BL23" s="385"/>
      <c r="BM23" s="140" t="s">
        <v>107</v>
      </c>
      <c r="BN23" s="83">
        <f>X177</f>
        <v>39279816</v>
      </c>
      <c r="BO23" s="81">
        <f>AA177</f>
        <v>17809302</v>
      </c>
      <c r="BP23" s="81">
        <f>AD177</f>
        <v>17809302</v>
      </c>
      <c r="BQ23" s="82">
        <f>AF177</f>
        <v>5088060</v>
      </c>
      <c r="BR23" s="9"/>
    </row>
    <row r="24" spans="1:70" s="425" customFormat="1" ht="24.95" customHeight="1" x14ac:dyDescent="0.2">
      <c r="A24" s="618" t="str">
        <f>+IF(JUNIO!A24=0,"",JUNIO!A24)</f>
        <v>1130101-2</v>
      </c>
      <c r="B24" s="654" t="str">
        <f>+IF(JUNIO!B24=0,"",JUNIO!B24)</f>
        <v>Vigencia Anterior</v>
      </c>
      <c r="C24" s="375">
        <f>+ENERO!C24</f>
        <v>0</v>
      </c>
      <c r="D24" s="376">
        <f>JUNIO!D24+JULIO!P24</f>
        <v>0</v>
      </c>
      <c r="E24" s="376">
        <f>JUNIO!E24+JULIO!Q24</f>
        <v>435611621</v>
      </c>
      <c r="F24" s="376">
        <f>SUM(C24:E24)</f>
        <v>435611621</v>
      </c>
      <c r="G24" s="376">
        <f>JUNIO!I24</f>
        <v>407362466</v>
      </c>
      <c r="H24" s="377">
        <v>0</v>
      </c>
      <c r="I24" s="376">
        <f>SUM(G24:H24)</f>
        <v>407362466</v>
      </c>
      <c r="J24" s="376">
        <f>JUNIO!L24</f>
        <v>407362466</v>
      </c>
      <c r="K24" s="377">
        <v>0</v>
      </c>
      <c r="L24" s="376">
        <f>SUM(J24:K24)</f>
        <v>407362466</v>
      </c>
      <c r="M24" s="376">
        <f>F24-I24</f>
        <v>28249155</v>
      </c>
      <c r="N24" s="146">
        <f>F24-L24</f>
        <v>28249155</v>
      </c>
      <c r="O24" s="385"/>
      <c r="P24" s="375">
        <v>0</v>
      </c>
      <c r="Q24" s="378">
        <v>0</v>
      </c>
      <c r="R24" s="9"/>
      <c r="S24" s="720" t="str">
        <f>+IF(JUNIO!S24=0,"",JUNIO!S24)</f>
        <v>1010104-4</v>
      </c>
      <c r="T24" s="694" t="str">
        <f>+IF(JUNIO!T24=0,"",JUNIO!T24)</f>
        <v>Prima Clima</v>
      </c>
      <c r="U24" s="27">
        <f>+ENERO!U24</f>
        <v>0</v>
      </c>
      <c r="V24" s="15">
        <f>JUNIO!V24+JULIO!AL24</f>
        <v>0</v>
      </c>
      <c r="W24" s="15">
        <f>JUNIO!W24+JULIO!AM24</f>
        <v>0</v>
      </c>
      <c r="X24" s="18">
        <f t="shared" si="17"/>
        <v>0</v>
      </c>
      <c r="Y24" s="19">
        <f>JUNIO!AA24</f>
        <v>0</v>
      </c>
      <c r="Z24" s="377">
        <v>0</v>
      </c>
      <c r="AA24" s="18">
        <f t="shared" si="18"/>
        <v>0</v>
      </c>
      <c r="AB24" s="19">
        <f>JUNIO!AD24</f>
        <v>0</v>
      </c>
      <c r="AC24" s="377">
        <v>0</v>
      </c>
      <c r="AD24" s="18">
        <f t="shared" si="19"/>
        <v>0</v>
      </c>
      <c r="AE24" s="19">
        <f>JUNIO!AG24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228900258</v>
      </c>
      <c r="AS24" s="434">
        <f>AG35+AG83</f>
        <v>187251122</v>
      </c>
      <c r="AT24" s="434"/>
      <c r="AU24" s="376">
        <f t="shared" si="25"/>
        <v>0.53949774372233861</v>
      </c>
      <c r="AV24" s="376">
        <f t="shared" si="26"/>
        <v>0.4413343991446107</v>
      </c>
      <c r="AW24" s="376">
        <f>(AR24-AD41-AD88)/$AO$2*12+AD41+AD88</f>
        <v>368147243.71428573</v>
      </c>
      <c r="AX24" s="376">
        <f>(AS24-AG41-AG88)/$AO$2*12+AG41+AG88</f>
        <v>301712906.28571427</v>
      </c>
      <c r="AY24" s="376">
        <f t="shared" si="27"/>
        <v>-56136751.285714269</v>
      </c>
      <c r="AZ24" s="146">
        <f t="shared" si="28"/>
        <v>122571088.71428573</v>
      </c>
      <c r="BA24" s="9"/>
      <c r="BB24" s="440"/>
      <c r="BC24" s="385"/>
      <c r="BD24" s="385"/>
      <c r="BE24" s="385"/>
      <c r="BF24" s="385"/>
      <c r="BG24" s="385"/>
      <c r="BH24" s="385"/>
      <c r="BI24" s="385"/>
      <c r="BJ24" s="385"/>
      <c r="BK24" s="385"/>
      <c r="BL24" s="385"/>
      <c r="BM24" s="140" t="s">
        <v>112</v>
      </c>
      <c r="BN24" s="83">
        <f>X170-X177-X174-X183-X191</f>
        <v>26292468</v>
      </c>
      <c r="BO24" s="81">
        <f>AA170-AA177-AA174-AA183-AA191</f>
        <v>7646268</v>
      </c>
      <c r="BP24" s="81">
        <f>AD170-AD177-AD174-AD183-AD191</f>
        <v>7322736</v>
      </c>
      <c r="BQ24" s="82">
        <f>AF170-AF177-AF174-AF183-AF191</f>
        <v>395097</v>
      </c>
      <c r="BR24" s="385"/>
    </row>
    <row r="25" spans="1:70" s="385" customFormat="1" ht="24.95" customHeight="1" x14ac:dyDescent="0.25">
      <c r="A25" s="747">
        <f>+IF(JUNIO!A25=0,"",JUNIO!A25)</f>
        <v>1130102</v>
      </c>
      <c r="B25" s="653" t="str">
        <f>+IF(JUNIO!B25=0,"",JUNIO!B25)</f>
        <v>ARS - REGIMEN SUBSIDIADO</v>
      </c>
      <c r="C25" s="43">
        <f t="shared" ref="C25:N25" si="29">SUM(C26:C27)</f>
        <v>873986903</v>
      </c>
      <c r="D25" s="44">
        <f t="shared" si="29"/>
        <v>0</v>
      </c>
      <c r="E25" s="44">
        <f t="shared" si="29"/>
        <v>71552427</v>
      </c>
      <c r="F25" s="44">
        <f t="shared" si="29"/>
        <v>945539330</v>
      </c>
      <c r="G25" s="44">
        <f t="shared" si="29"/>
        <v>455822209</v>
      </c>
      <c r="H25" s="44">
        <f t="shared" si="29"/>
        <v>72670071</v>
      </c>
      <c r="I25" s="44">
        <f t="shared" si="29"/>
        <v>528492280</v>
      </c>
      <c r="J25" s="44">
        <f t="shared" si="29"/>
        <v>306098037</v>
      </c>
      <c r="K25" s="44">
        <f t="shared" si="29"/>
        <v>60333232</v>
      </c>
      <c r="L25" s="44">
        <f t="shared" si="29"/>
        <v>366431269</v>
      </c>
      <c r="M25" s="44">
        <f t="shared" si="29"/>
        <v>417047050</v>
      </c>
      <c r="N25" s="45">
        <f t="shared" si="29"/>
        <v>579108061</v>
      </c>
      <c r="P25" s="43">
        <f>SUM(P26:P27)</f>
        <v>0</v>
      </c>
      <c r="Q25" s="45">
        <f>SUM(Q26:Q27)</f>
        <v>0</v>
      </c>
      <c r="R25" s="9"/>
      <c r="S25" s="720" t="str">
        <f>+IF(JUNIO!S25=0,"",JUNIO!S25)</f>
        <v>1010104-5</v>
      </c>
      <c r="T25" s="694" t="str">
        <f>+IF(JUNIO!T25=0,"",JUNIO!T25)</f>
        <v>Prima de Servicios</v>
      </c>
      <c r="U25" s="27">
        <f>+ENERO!U25</f>
        <v>12683577</v>
      </c>
      <c r="V25" s="15">
        <f>JUNIO!V25+JULIO!AL25</f>
        <v>0</v>
      </c>
      <c r="W25" s="15">
        <f>JUNIO!W25+JULIO!AM25</f>
        <v>0</v>
      </c>
      <c r="X25" s="18">
        <f t="shared" si="17"/>
        <v>12683577</v>
      </c>
      <c r="Y25" s="19">
        <f>JUNIO!AA25</f>
        <v>0</v>
      </c>
      <c r="Z25" s="377">
        <v>0</v>
      </c>
      <c r="AA25" s="18">
        <f t="shared" si="18"/>
        <v>0</v>
      </c>
      <c r="AB25" s="19">
        <f>JUNIO!AD25</f>
        <v>0</v>
      </c>
      <c r="AC25" s="377">
        <v>0</v>
      </c>
      <c r="AD25" s="18">
        <f t="shared" si="19"/>
        <v>0</v>
      </c>
      <c r="AE25" s="19">
        <f>JUNIO!AG25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318470167</v>
      </c>
      <c r="AS25" s="376">
        <f>AG43+AG57+AG90+AG104</f>
        <v>269575527</v>
      </c>
      <c r="AT25" s="434"/>
      <c r="AU25" s="376">
        <f t="shared" si="25"/>
        <v>0.58699073539370616</v>
      </c>
      <c r="AV25" s="376">
        <f t="shared" si="26"/>
        <v>0.49687020397698944</v>
      </c>
      <c r="AW25" s="376">
        <f>(AR25-AD55-AD61-AD102-AD108)/$AO$2*12+AD55+AD61+AD102+AD108</f>
        <v>482377775.57142854</v>
      </c>
      <c r="AX25" s="376">
        <f>(AS25-AG55-AG61-AG102-AG108)/$AO$2*12+AG55+AG61+AG102+AG108</f>
        <v>399967620.57142854</v>
      </c>
      <c r="AY25" s="376">
        <f t="shared" si="27"/>
        <v>-60169402.428571463</v>
      </c>
      <c r="AZ25" s="146">
        <f t="shared" si="28"/>
        <v>142579557.42857146</v>
      </c>
      <c r="BM25" s="143" t="s">
        <v>455</v>
      </c>
      <c r="BN25" s="106">
        <f>+SUM(BN26:BN28)</f>
        <v>377117338</v>
      </c>
      <c r="BO25" s="107">
        <f>+SUM(BO26:BO28)</f>
        <v>206321249</v>
      </c>
      <c r="BP25" s="107">
        <f>+SUM(BP26:BP28)</f>
        <v>188718870</v>
      </c>
      <c r="BQ25" s="108">
        <f>+SUM(BQ26:BQ28)</f>
        <v>12017553</v>
      </c>
    </row>
    <row r="26" spans="1:70" s="9" customFormat="1" ht="24.95" customHeight="1" x14ac:dyDescent="0.2">
      <c r="A26" s="618" t="str">
        <f>+IF(JUNIO!A26=0,"",JUNIO!A26)</f>
        <v>1130102-1</v>
      </c>
      <c r="B26" s="654" t="str">
        <f>+CONCATENATE("Vigencia ",INSTRUCCIONES!$F$3)</f>
        <v>Vigencia 2015</v>
      </c>
      <c r="C26" s="375">
        <f>+ENERO!C26</f>
        <v>873986903</v>
      </c>
      <c r="D26" s="376">
        <f>JUNIO!D26+JULIO!P26</f>
        <v>0</v>
      </c>
      <c r="E26" s="376">
        <f>JUNIO!E26+JULIO!Q26</f>
        <v>0</v>
      </c>
      <c r="F26" s="376">
        <f>SUM(C26:E26)</f>
        <v>873986903</v>
      </c>
      <c r="G26" s="376">
        <f>JUNIO!I26</f>
        <v>415351295</v>
      </c>
      <c r="H26" s="377">
        <v>72563282</v>
      </c>
      <c r="I26" s="376">
        <f>SUM(G26:H26)</f>
        <v>487914577</v>
      </c>
      <c r="J26" s="376">
        <f>JUNIO!L26</f>
        <v>265627123</v>
      </c>
      <c r="K26" s="377">
        <v>60226443</v>
      </c>
      <c r="L26" s="376">
        <f>SUM(J26:K26)</f>
        <v>325853566</v>
      </c>
      <c r="M26" s="376">
        <f>F26-I26</f>
        <v>386072326</v>
      </c>
      <c r="N26" s="146">
        <f>F26-L26</f>
        <v>548133337</v>
      </c>
      <c r="P26" s="375">
        <v>0</v>
      </c>
      <c r="Q26" s="378">
        <v>0</v>
      </c>
      <c r="S26" s="720" t="str">
        <f>+IF(JUNIO!S26=0,"",JUNIO!S26)</f>
        <v>1010104-8</v>
      </c>
      <c r="T26" s="694" t="str">
        <f>+IF(JUNIO!T26=0,"",JUNIO!T26)</f>
        <v>Bonific. por Servicios Prestados (Convencional)</v>
      </c>
      <c r="U26" s="27">
        <f>+ENERO!U26</f>
        <v>0</v>
      </c>
      <c r="V26" s="15">
        <f>JUNIO!V26+JULIO!AL26</f>
        <v>0</v>
      </c>
      <c r="W26" s="15">
        <f>JUNIO!W26+JULIO!AM26</f>
        <v>0</v>
      </c>
      <c r="X26" s="18">
        <f t="shared" si="17"/>
        <v>0</v>
      </c>
      <c r="Y26" s="19">
        <f>JUNIO!AA26</f>
        <v>0</v>
      </c>
      <c r="Z26" s="377">
        <v>0</v>
      </c>
      <c r="AA26" s="18">
        <f t="shared" si="18"/>
        <v>0</v>
      </c>
      <c r="AB26" s="19">
        <f>JUNIO!AD26</f>
        <v>0</v>
      </c>
      <c r="AC26" s="377">
        <v>0</v>
      </c>
      <c r="AD26" s="18">
        <f t="shared" si="19"/>
        <v>0</v>
      </c>
      <c r="AE26" s="19">
        <f>JUNIO!AG26</f>
        <v>0</v>
      </c>
      <c r="AF26" s="377">
        <v>0</v>
      </c>
      <c r="AG26" s="18">
        <f t="shared" si="20"/>
        <v>0</v>
      </c>
      <c r="AH26" s="19">
        <f t="shared" si="21"/>
        <v>0</v>
      </c>
      <c r="AI26" s="15">
        <f t="shared" si="22"/>
        <v>0</v>
      </c>
      <c r="AJ26" s="16">
        <f t="shared" si="23"/>
        <v>0</v>
      </c>
      <c r="AL26" s="375">
        <v>0</v>
      </c>
      <c r="AM26" s="378">
        <v>0</v>
      </c>
      <c r="AO26" s="21"/>
      <c r="AP26" s="442" t="s">
        <v>122</v>
      </c>
      <c r="AQ26" s="330">
        <f>X110</f>
        <v>752659501</v>
      </c>
      <c r="AR26" s="330">
        <f>AD110</f>
        <v>444054690</v>
      </c>
      <c r="AS26" s="330">
        <f>AG110</f>
        <v>311798616</v>
      </c>
      <c r="AT26" s="374">
        <f>AO2/12</f>
        <v>0.58333333333333337</v>
      </c>
      <c r="AU26" s="345">
        <f t="shared" si="25"/>
        <v>0.58998084712943788</v>
      </c>
      <c r="AV26" s="345">
        <f t="shared" si="26"/>
        <v>0.41426251257804825</v>
      </c>
      <c r="AW26" s="439">
        <f>(AR26-AD121-AD139-AD143-AD153-AD168)/$AO$2*12+AD121+AD139+AD143+AD153+AD168</f>
        <v>688169458.57142854</v>
      </c>
      <c r="AX26" s="439">
        <f>(AS26-AG121-AG139-AG143-AG153-AG168)/$AO$2*12+AG121+AG139+AG143+AG153+AG168</f>
        <v>479389048.14285713</v>
      </c>
      <c r="AY26" s="439">
        <f t="shared" si="27"/>
        <v>-64490042.428571463</v>
      </c>
      <c r="AZ26" s="46">
        <f t="shared" si="28"/>
        <v>273270452.85714287</v>
      </c>
      <c r="BA26" s="385"/>
      <c r="BB26" s="385"/>
      <c r="BC26" s="385"/>
      <c r="BD26" s="385"/>
      <c r="BE26" s="385"/>
      <c r="BF26" s="385"/>
      <c r="BG26" s="385"/>
      <c r="BH26" s="385"/>
      <c r="BI26" s="385"/>
      <c r="BJ26" s="385"/>
      <c r="BK26" s="385"/>
      <c r="BM26" s="109" t="s">
        <v>456</v>
      </c>
      <c r="BN26" s="86">
        <f>+X196+X212</f>
        <v>248549731</v>
      </c>
      <c r="BO26" s="84">
        <f>+AA196+AA212</f>
        <v>122602293</v>
      </c>
      <c r="BP26" s="84">
        <f>+AD196+AD212</f>
        <v>104999914</v>
      </c>
      <c r="BQ26" s="85">
        <f>+AF196+AF212</f>
        <v>3381026</v>
      </c>
      <c r="BR26" s="385"/>
    </row>
    <row r="27" spans="1:70" s="425" customFormat="1" ht="24.95" customHeight="1" x14ac:dyDescent="0.2">
      <c r="A27" s="618" t="str">
        <f>+IF(JUNIO!A27=0,"",JUNIO!A27)</f>
        <v>1130102-2</v>
      </c>
      <c r="B27" s="654" t="str">
        <f>+IF(JUNIO!B27=0,"",JUNIO!B27)</f>
        <v>Vigencia Anterior</v>
      </c>
      <c r="C27" s="375">
        <f>+ENERO!C27</f>
        <v>0</v>
      </c>
      <c r="D27" s="376">
        <f>JUNIO!D27+JULIO!P27</f>
        <v>0</v>
      </c>
      <c r="E27" s="376">
        <f>JUNIO!E27+JULIO!Q27</f>
        <v>71552427</v>
      </c>
      <c r="F27" s="376">
        <f>SUM(C27:E27)</f>
        <v>71552427</v>
      </c>
      <c r="G27" s="376">
        <f>JUNIO!I27</f>
        <v>40470914</v>
      </c>
      <c r="H27" s="377">
        <v>106789</v>
      </c>
      <c r="I27" s="376">
        <f>SUM(G27:H27)</f>
        <v>40577703</v>
      </c>
      <c r="J27" s="376">
        <f>JUNIO!L27</f>
        <v>40470914</v>
      </c>
      <c r="K27" s="377">
        <v>106789</v>
      </c>
      <c r="L27" s="376">
        <f>SUM(J27:K27)</f>
        <v>40577703</v>
      </c>
      <c r="M27" s="376">
        <f>F27-I27</f>
        <v>30974724</v>
      </c>
      <c r="N27" s="146">
        <f>F27-L27</f>
        <v>30974724</v>
      </c>
      <c r="O27" s="385"/>
      <c r="P27" s="375">
        <v>0</v>
      </c>
      <c r="Q27" s="378">
        <v>0</v>
      </c>
      <c r="R27" s="9"/>
      <c r="S27" s="720" t="str">
        <f>+IF(JUNIO!S27=0,"",JUNIO!S27)</f>
        <v>1010104-9</v>
      </c>
      <c r="T27" s="694" t="str">
        <f>+IF(JUNIO!T27=0,"",JUNIO!T27)</f>
        <v>Auxilio de Transporte</v>
      </c>
      <c r="U27" s="27">
        <f>+ENERO!U27</f>
        <v>1625120</v>
      </c>
      <c r="V27" s="15">
        <f>JUNIO!V27+JULIO!AL27</f>
        <v>0</v>
      </c>
      <c r="W27" s="15">
        <f>JUNIO!W27+JULIO!AM27</f>
        <v>0</v>
      </c>
      <c r="X27" s="18">
        <f t="shared" si="17"/>
        <v>1625120</v>
      </c>
      <c r="Y27" s="19">
        <f>JUNIO!AA27</f>
        <v>440000</v>
      </c>
      <c r="Z27" s="377">
        <v>26400</v>
      </c>
      <c r="AA27" s="18">
        <f t="shared" si="18"/>
        <v>466400</v>
      </c>
      <c r="AB27" s="19">
        <f>JUNIO!AD27</f>
        <v>440000</v>
      </c>
      <c r="AC27" s="377">
        <v>26400</v>
      </c>
      <c r="AD27" s="18">
        <f t="shared" si="19"/>
        <v>466400</v>
      </c>
      <c r="AE27" s="19">
        <f>JUNIO!AG27</f>
        <v>439999</v>
      </c>
      <c r="AF27" s="377">
        <v>26400</v>
      </c>
      <c r="AG27" s="18">
        <f t="shared" si="20"/>
        <v>466399</v>
      </c>
      <c r="AH27" s="19">
        <f t="shared" si="21"/>
        <v>1158720</v>
      </c>
      <c r="AI27" s="15">
        <f t="shared" si="22"/>
        <v>1158720</v>
      </c>
      <c r="AJ27" s="16">
        <f t="shared" si="23"/>
        <v>1158721</v>
      </c>
      <c r="AK27" s="9"/>
      <c r="AL27" s="375">
        <v>0</v>
      </c>
      <c r="AM27" s="378">
        <v>0</v>
      </c>
      <c r="AN27" s="9"/>
      <c r="AO27" s="352"/>
      <c r="AP27" s="441" t="s">
        <v>126</v>
      </c>
      <c r="AQ27" s="376">
        <f>X170</f>
        <v>74494094</v>
      </c>
      <c r="AR27" s="376">
        <f>AD170</f>
        <v>34053848</v>
      </c>
      <c r="AS27" s="376">
        <f>AG170</f>
        <v>28731768</v>
      </c>
      <c r="AT27" s="434"/>
      <c r="AU27" s="376">
        <f t="shared" si="25"/>
        <v>0.45713487031602801</v>
      </c>
      <c r="AV27" s="376">
        <f t="shared" si="26"/>
        <v>0.38569189122563191</v>
      </c>
      <c r="AW27" s="376">
        <f>(AR27-AD174-AD183-AD191)/$AO$2*12+AD174+AD183+AD191</f>
        <v>52005303.714285716</v>
      </c>
      <c r="AX27" s="376">
        <f>(AS27-AG174-AG183-AG191)/$AO$2*12+AG174+AG183+AG191</f>
        <v>42890381.571428567</v>
      </c>
      <c r="AY27" s="376">
        <f t="shared" si="27"/>
        <v>-22488790.285714284</v>
      </c>
      <c r="AZ27" s="146">
        <f t="shared" si="28"/>
        <v>31603712.428571433</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+IF(JUNIO!A28=0,"",JUNIO!A28)</f>
        <v>1130103</v>
      </c>
      <c r="B28" s="630" t="str">
        <f>+IF(JUNIO!B28=0,"",JUNIO!B28)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166714400</v>
      </c>
      <c r="H28" s="44">
        <f t="shared" si="30"/>
        <v>24268567</v>
      </c>
      <c r="I28" s="44">
        <f t="shared" si="30"/>
        <v>190982967</v>
      </c>
      <c r="J28" s="44">
        <f t="shared" si="30"/>
        <v>148893882</v>
      </c>
      <c r="K28" s="44">
        <f t="shared" si="30"/>
        <v>26966502</v>
      </c>
      <c r="L28" s="44">
        <f t="shared" si="30"/>
        <v>175860384</v>
      </c>
      <c r="M28" s="44">
        <f t="shared" si="30"/>
        <v>159743861</v>
      </c>
      <c r="N28" s="45">
        <f t="shared" si="30"/>
        <v>174866444</v>
      </c>
      <c r="O28" s="385"/>
      <c r="P28" s="43">
        <f>P29+P32+P35+P38+P39+P940</f>
        <v>0</v>
      </c>
      <c r="Q28" s="45">
        <f>Q29+Q32+Q35+Q38+Q39+Q40</f>
        <v>0</v>
      </c>
      <c r="R28" s="9"/>
      <c r="S28" s="720" t="str">
        <f>+IF(JUNIO!S28=0,"",JUNIO!S28)</f>
        <v>1010104-10</v>
      </c>
      <c r="T28" s="694" t="str">
        <f>+IF(JUNIO!T28=0,"",JUNIO!T28)</f>
        <v>Subsidio de Alimentación</v>
      </c>
      <c r="U28" s="27">
        <f>+ENERO!U28</f>
        <v>0</v>
      </c>
      <c r="V28" s="15">
        <f>JUNIO!V28+JULIO!AL28</f>
        <v>0</v>
      </c>
      <c r="W28" s="15">
        <f>JUNIO!W28+JULIO!AM28</f>
        <v>0</v>
      </c>
      <c r="X28" s="18">
        <f t="shared" si="17"/>
        <v>0</v>
      </c>
      <c r="Y28" s="19">
        <f>JUNIO!AA28</f>
        <v>0</v>
      </c>
      <c r="Z28" s="377">
        <v>0</v>
      </c>
      <c r="AA28" s="18">
        <f t="shared" si="18"/>
        <v>0</v>
      </c>
      <c r="AB28" s="19">
        <f>JUNIO!AD28</f>
        <v>0</v>
      </c>
      <c r="AC28" s="377">
        <v>0</v>
      </c>
      <c r="AD28" s="18">
        <f t="shared" si="19"/>
        <v>0</v>
      </c>
      <c r="AE28" s="19">
        <f>JUNIO!AG28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468953270</v>
      </c>
      <c r="AR28" s="434">
        <f>AD193</f>
        <v>280554802</v>
      </c>
      <c r="AS28" s="434">
        <f>AG193</f>
        <v>149272523</v>
      </c>
      <c r="AT28" s="434"/>
      <c r="AU28" s="376">
        <f t="shared" si="25"/>
        <v>0.59825748096393483</v>
      </c>
      <c r="AV28" s="376">
        <f t="shared" si="26"/>
        <v>0.31831001626238792</v>
      </c>
      <c r="AW28" s="376">
        <f>(AR28-AD205)/$AO$2*12+AD205</f>
        <v>415353994.85714287</v>
      </c>
      <c r="AX28" s="376">
        <f>(AS28-AG205)/$AO$2*12+AG205</f>
        <v>190460346.57142857</v>
      </c>
      <c r="AY28" s="376">
        <f t="shared" si="27"/>
        <v>-53599275.142857134</v>
      </c>
      <c r="AZ28" s="146">
        <f t="shared" si="28"/>
        <v>278492923.42857146</v>
      </c>
      <c r="BA28" s="385"/>
      <c r="BB28" s="385"/>
      <c r="BC28" s="385"/>
      <c r="BD28" s="385"/>
      <c r="BE28" s="385"/>
      <c r="BF28" s="385"/>
      <c r="BG28" s="385"/>
      <c r="BH28" s="385"/>
      <c r="BI28" s="385"/>
      <c r="BJ28" s="385"/>
      <c r="BK28" s="385"/>
      <c r="BL28" s="385"/>
      <c r="BM28" s="71" t="s">
        <v>458</v>
      </c>
      <c r="BN28" s="83">
        <f>+X194-X196-X205</f>
        <v>128567607</v>
      </c>
      <c r="BO28" s="81">
        <f>+AA194-AA196-AA205</f>
        <v>83718956</v>
      </c>
      <c r="BP28" s="81">
        <f>+AD194-AD196-AD205</f>
        <v>83718956</v>
      </c>
      <c r="BQ28" s="82">
        <f>+AF194-AF196-AF205</f>
        <v>8636527</v>
      </c>
      <c r="BR28" s="9"/>
    </row>
    <row r="29" spans="1:70" s="9" customFormat="1" ht="24.95" customHeight="1" x14ac:dyDescent="0.25">
      <c r="A29" s="618" t="str">
        <f>+IF(JUNIO!A29=0,"",JUNIO!A29)</f>
        <v>1130103-1</v>
      </c>
      <c r="B29" s="655" t="str">
        <f>+IF(JUNIO!B29=0,"",JUNIO!B29)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-547080</v>
      </c>
      <c r="I29" s="15">
        <f t="shared" si="31"/>
        <v>4863623</v>
      </c>
      <c r="J29" s="15">
        <f t="shared" si="31"/>
        <v>0</v>
      </c>
      <c r="K29" s="15">
        <f t="shared" si="31"/>
        <v>2150855</v>
      </c>
      <c r="L29" s="15">
        <f t="shared" si="31"/>
        <v>2150855</v>
      </c>
      <c r="M29" s="15">
        <f t="shared" si="31"/>
        <v>19232205</v>
      </c>
      <c r="N29" s="16">
        <f t="shared" si="31"/>
        <v>21944973</v>
      </c>
      <c r="O29" s="385"/>
      <c r="P29" s="147">
        <f>SUM(P30:P31)</f>
        <v>0</v>
      </c>
      <c r="Q29" s="148">
        <f>SUM(Q30:Q31)</f>
        <v>0</v>
      </c>
      <c r="S29" s="720" t="str">
        <f>+IF(JUNIO!S29=0,"",JUNIO!S29)</f>
        <v>1010104-11</v>
      </c>
      <c r="T29" s="694" t="str">
        <f>+IF(JUNIO!T29=0,"",JUNIO!T29)</f>
        <v>Gastos de Representación</v>
      </c>
      <c r="U29" s="27">
        <f>+ENERO!U29</f>
        <v>0</v>
      </c>
      <c r="V29" s="15">
        <f>JUNIO!V29+JULIO!AL29</f>
        <v>0</v>
      </c>
      <c r="W29" s="15">
        <f>JUNIO!W29+JULIO!AM29</f>
        <v>0</v>
      </c>
      <c r="X29" s="18">
        <f t="shared" si="17"/>
        <v>0</v>
      </c>
      <c r="Y29" s="19">
        <f>JUNIO!AA29</f>
        <v>0</v>
      </c>
      <c r="Z29" s="377">
        <v>0</v>
      </c>
      <c r="AA29" s="18">
        <f t="shared" si="18"/>
        <v>0</v>
      </c>
      <c r="AB29" s="19">
        <f>JUNIO!AD29</f>
        <v>0</v>
      </c>
      <c r="AC29" s="377">
        <v>0</v>
      </c>
      <c r="AD29" s="18">
        <f t="shared" si="19"/>
        <v>0</v>
      </c>
      <c r="AE29" s="19">
        <f>JUNIO!AG29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378000000</v>
      </c>
      <c r="BO29" s="107">
        <f>AA232-AA256-AA241</f>
        <v>120161334</v>
      </c>
      <c r="BP29" s="107">
        <f>AD232-AD256-AD241</f>
        <v>43798000</v>
      </c>
      <c r="BQ29" s="108">
        <f>AF232-AF256-AF241</f>
        <v>15215000</v>
      </c>
      <c r="BR29" s="385"/>
    </row>
    <row r="30" spans="1:70" s="425" customFormat="1" ht="24.95" customHeight="1" x14ac:dyDescent="0.25">
      <c r="A30" s="618" t="str">
        <f>+IF(JUNIO!A30=0,"",JUNIO!A30)</f>
        <v>1130103-1-1</v>
      </c>
      <c r="B30" s="654" t="str">
        <f>+CONCATENATE("Vigencia ",INSTRUCCIONES!$F$3)</f>
        <v>Vigencia 2015</v>
      </c>
      <c r="C30" s="375">
        <f>+ENERO!C30</f>
        <v>24095828</v>
      </c>
      <c r="D30" s="376">
        <f>JUNIO!D30+JULIO!P30</f>
        <v>0</v>
      </c>
      <c r="E30" s="376">
        <f>JUNIO!E30+JULIO!Q30</f>
        <v>0</v>
      </c>
      <c r="F30" s="376">
        <f>SUM(C30:E30)</f>
        <v>24095828</v>
      </c>
      <c r="G30" s="376">
        <f>JUNIO!I30</f>
        <v>5410703</v>
      </c>
      <c r="H30" s="377">
        <v>-547080</v>
      </c>
      <c r="I30" s="376">
        <f>SUM(G30:H30)</f>
        <v>4863623</v>
      </c>
      <c r="J30" s="376">
        <f>JUNIO!L30</f>
        <v>0</v>
      </c>
      <c r="K30" s="377">
        <v>2150855</v>
      </c>
      <c r="L30" s="376">
        <f>SUM(J30:K30)</f>
        <v>2150855</v>
      </c>
      <c r="M30" s="376">
        <f>F30-I30</f>
        <v>19232205</v>
      </c>
      <c r="N30" s="146">
        <f>F30-L30</f>
        <v>21944973</v>
      </c>
      <c r="O30" s="9"/>
      <c r="P30" s="375">
        <v>0</v>
      </c>
      <c r="Q30" s="378">
        <v>0</v>
      </c>
      <c r="R30" s="9"/>
      <c r="S30" s="720" t="str">
        <f>+IF(JUNIO!S30=0,"",JUNIO!S30)</f>
        <v>1010104-12</v>
      </c>
      <c r="T30" s="694" t="str">
        <f>+IF(JUNIO!T30=0,"",JUNIO!T30)</f>
        <v xml:space="preserve"> Indemnizaciones por Vacaciones o Supresión de Cargos por Reestructuración</v>
      </c>
      <c r="U30" s="27">
        <f>+ENERO!U30</f>
        <v>0</v>
      </c>
      <c r="V30" s="15">
        <f>JUNIO!V30+JULIO!AL30</f>
        <v>0</v>
      </c>
      <c r="W30" s="15">
        <f>JUNIO!W30+JULIO!AM30</f>
        <v>0</v>
      </c>
      <c r="X30" s="18">
        <f t="shared" si="17"/>
        <v>0</v>
      </c>
      <c r="Y30" s="19">
        <f>JUNIO!AA30</f>
        <v>0</v>
      </c>
      <c r="Z30" s="377">
        <v>0</v>
      </c>
      <c r="AA30" s="18">
        <f t="shared" si="18"/>
        <v>0</v>
      </c>
      <c r="AB30" s="19">
        <f>JUNIO!AD30</f>
        <v>0</v>
      </c>
      <c r="AC30" s="377">
        <v>0</v>
      </c>
      <c r="AD30" s="18">
        <f t="shared" si="19"/>
        <v>0</v>
      </c>
      <c r="AE30" s="19">
        <f>JUNIO!AG30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378000000</v>
      </c>
      <c r="AR30" s="376">
        <f>AD220+AD232</f>
        <v>43798000</v>
      </c>
      <c r="AS30" s="376">
        <f>AG220+AG232</f>
        <v>36545000</v>
      </c>
      <c r="AT30" s="434"/>
      <c r="AU30" s="376">
        <f t="shared" si="25"/>
        <v>0.11586772486772487</v>
      </c>
      <c r="AV30" s="376">
        <f t="shared" si="26"/>
        <v>9.6679894179894185E-2</v>
      </c>
      <c r="AW30" s="376">
        <f>(AR30-AD225-AD230-AD241-AD256)/$AO$2*12+AD225+AD230+AD241+AD256</f>
        <v>75082285.714285716</v>
      </c>
      <c r="AX30" s="376">
        <f>(AS30-AG225-AG230-AG241-AG256)/$AO$2*12+AG225+AG230+AG241+AG256</f>
        <v>62648571.428571425</v>
      </c>
      <c r="AY30" s="376">
        <f t="shared" si="27"/>
        <v>-302917714.28571427</v>
      </c>
      <c r="AZ30" s="146">
        <f t="shared" si="28"/>
        <v>315351428.5714286</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+IF(JUNIO!A31=0,"",JUNIO!A31)</f>
        <v>1130103-1-2</v>
      </c>
      <c r="B31" s="654" t="str">
        <f>+IF(JUNIO!B31=0,"",JUNIO!B31)</f>
        <v>Vigencia Anterior</v>
      </c>
      <c r="C31" s="375">
        <f>+ENERO!C31</f>
        <v>0</v>
      </c>
      <c r="D31" s="376">
        <f>JUNIO!D31+JULIO!P31</f>
        <v>0</v>
      </c>
      <c r="E31" s="376">
        <f>JUNIO!E31+JULIO!Q31</f>
        <v>0</v>
      </c>
      <c r="F31" s="376">
        <f>SUM(C31:E31)</f>
        <v>0</v>
      </c>
      <c r="G31" s="376">
        <f>JUNIO!I31</f>
        <v>0</v>
      </c>
      <c r="H31" s="377">
        <v>0</v>
      </c>
      <c r="I31" s="376">
        <f>SUM(G31:H31)</f>
        <v>0</v>
      </c>
      <c r="J31" s="376">
        <f>JUNIO!L31</f>
        <v>0</v>
      </c>
      <c r="K31" s="377">
        <v>0</v>
      </c>
      <c r="L31" s="376">
        <f>SUM(J31:K31)</f>
        <v>0</v>
      </c>
      <c r="M31" s="376">
        <f>F31-I31</f>
        <v>0</v>
      </c>
      <c r="N31" s="146">
        <f>F31-L31</f>
        <v>0</v>
      </c>
      <c r="O31" s="385"/>
      <c r="P31" s="375">
        <v>0</v>
      </c>
      <c r="Q31" s="378">
        <v>0</v>
      </c>
      <c r="R31" s="9"/>
      <c r="S31" s="720" t="str">
        <f>+IF(JUNIO!S31=0,"",JUNIO!S31)</f>
        <v>1010104-13</v>
      </c>
      <c r="T31" s="694" t="str">
        <f>+IF(JUNIO!T31=0,"",JUNIO!T31)</f>
        <v>Bonificación Especial por Recreación</v>
      </c>
      <c r="U31" s="27">
        <f>+ENERO!U31</f>
        <v>1691144</v>
      </c>
      <c r="V31" s="15">
        <f>JUNIO!V31+JULIO!AL31</f>
        <v>0</v>
      </c>
      <c r="W31" s="15">
        <f>JUNIO!W31+JULIO!AM31</f>
        <v>0</v>
      </c>
      <c r="X31" s="18">
        <f t="shared" si="17"/>
        <v>1691144</v>
      </c>
      <c r="Y31" s="19">
        <f>JUNIO!AA31</f>
        <v>283862</v>
      </c>
      <c r="Z31" s="377">
        <v>0</v>
      </c>
      <c r="AA31" s="18">
        <f t="shared" si="18"/>
        <v>283862</v>
      </c>
      <c r="AB31" s="19">
        <f>JUNIO!AD31</f>
        <v>283862</v>
      </c>
      <c r="AC31" s="377">
        <v>0</v>
      </c>
      <c r="AD31" s="18">
        <f t="shared" si="19"/>
        <v>283862</v>
      </c>
      <c r="AE31" s="19">
        <f>JUNIO!AG31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-299588060</v>
      </c>
      <c r="AS31" s="434">
        <f>AG258</f>
        <v>-1609195588</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4287996</v>
      </c>
      <c r="BR31" s="9"/>
    </row>
    <row r="32" spans="1:70" s="9" customFormat="1" ht="24.95" customHeight="1" thickBot="1" x14ac:dyDescent="0.3">
      <c r="A32" s="618" t="str">
        <f>+IF(JUNIO!A32=0,"",JUNIO!A32)</f>
        <v>1130103-2</v>
      </c>
      <c r="B32" s="655" t="str">
        <f>+IF(JUNIO!B32=0,"",JUNIO!B32)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+IF(JUNIO!S32=0,"",JUNIO!S32)</f>
        <v>1010104-14</v>
      </c>
      <c r="T32" s="694" t="str">
        <f>+IF(JUNIO!T32=0,"",JUNIO!T32)</f>
        <v/>
      </c>
      <c r="U32" s="27">
        <f>+ENERO!U32</f>
        <v>0</v>
      </c>
      <c r="V32" s="15">
        <f>JUNIO!V32+JULIO!AL32</f>
        <v>0</v>
      </c>
      <c r="W32" s="15">
        <f>JUNIO!W32+JULIO!AM32</f>
        <v>0</v>
      </c>
      <c r="X32" s="18">
        <f t="shared" si="17"/>
        <v>0</v>
      </c>
      <c r="Y32" s="19">
        <f>JUNIO!AA32</f>
        <v>0</v>
      </c>
      <c r="Z32" s="377">
        <v>0</v>
      </c>
      <c r="AA32" s="18">
        <f t="shared" si="18"/>
        <v>0</v>
      </c>
      <c r="AB32" s="19">
        <f>JUNIO!AD32</f>
        <v>0</v>
      </c>
      <c r="AC32" s="377">
        <v>0</v>
      </c>
      <c r="AD32" s="18">
        <f t="shared" si="19"/>
        <v>0</v>
      </c>
      <c r="AE32" s="19">
        <f>JUNIO!AG32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1713144919</v>
      </c>
      <c r="AS32" s="398">
        <f>SUM(AS22:AS31)</f>
        <v>0</v>
      </c>
      <c r="AT32" s="444"/>
      <c r="AU32" s="445">
        <f t="shared" si="25"/>
        <v>0.44032914976459292</v>
      </c>
      <c r="AV32" s="445">
        <f t="shared" si="26"/>
        <v>0</v>
      </c>
      <c r="AW32" s="354">
        <f>SUM(AW22:AW31)</f>
        <v>3368671183.5000005</v>
      </c>
      <c r="AX32" s="354">
        <f>SUM(AX22:AX31)</f>
        <v>2706571919.6428576</v>
      </c>
      <c r="AY32" s="354">
        <f>SUM(AY22:AY31)</f>
        <v>-521929563.50000006</v>
      </c>
      <c r="AZ32" s="355">
        <f>SUM(AZ22:AZ31)</f>
        <v>1184028827.3571429</v>
      </c>
      <c r="BA32" s="385"/>
      <c r="BB32" s="425"/>
      <c r="BC32" s="425"/>
      <c r="BD32" s="425"/>
      <c r="BE32" s="425"/>
      <c r="BF32" s="425"/>
      <c r="BG32" s="385"/>
      <c r="BH32" s="385"/>
      <c r="BI32" s="385"/>
      <c r="BJ32" s="385"/>
      <c r="BK32" s="385"/>
      <c r="BM32" s="110" t="s">
        <v>140</v>
      </c>
      <c r="BN32" s="106">
        <f>+BN7+BN25+BN29+BN30+BN31</f>
        <v>3890600747</v>
      </c>
      <c r="BO32" s="107">
        <f>+BO7+BO25+BO29+BO30+BO31</f>
        <v>2321853684</v>
      </c>
      <c r="BP32" s="107">
        <f>+BP7+BP25+BP29+BP30+BP31</f>
        <v>2012732979</v>
      </c>
      <c r="BQ32" s="108">
        <f>+BQ7+BQ25+BQ29+BQ30+BQ31</f>
        <v>240424398</v>
      </c>
      <c r="BR32" s="385"/>
    </row>
    <row r="33" spans="1:70" s="425" customFormat="1" ht="24.95" customHeight="1" thickBot="1" x14ac:dyDescent="0.3">
      <c r="A33" s="618" t="str">
        <f>+IF(JUNIO!A33=0,"",JUNIO!A33)</f>
        <v>1130103-2-1</v>
      </c>
      <c r="B33" s="654" t="str">
        <f>+CONCATENATE("Vigencia ",INSTRUCCIONES!$F$3)</f>
        <v>Vigencia 2015</v>
      </c>
      <c r="C33" s="375">
        <f>+ENERO!C33</f>
        <v>0</v>
      </c>
      <c r="D33" s="376">
        <f>JUNIO!D33+JULIO!P33</f>
        <v>0</v>
      </c>
      <c r="E33" s="376">
        <f>JUNIO!E33+JULIO!Q33</f>
        <v>0</v>
      </c>
      <c r="F33" s="376">
        <f>SUM(C33:E33)</f>
        <v>0</v>
      </c>
      <c r="G33" s="376">
        <f>JUNIO!I33</f>
        <v>0</v>
      </c>
      <c r="H33" s="377">
        <v>0</v>
      </c>
      <c r="I33" s="376">
        <f>SUM(G33:H33)</f>
        <v>0</v>
      </c>
      <c r="J33" s="376">
        <f>JUNIO!L33</f>
        <v>0</v>
      </c>
      <c r="K33" s="377">
        <v>0</v>
      </c>
      <c r="L33" s="376">
        <f>SUM(J33:K33)</f>
        <v>0</v>
      </c>
      <c r="M33" s="376">
        <f>F33-I33</f>
        <v>0</v>
      </c>
      <c r="N33" s="146">
        <f>F33-L33</f>
        <v>0</v>
      </c>
      <c r="O33" s="9"/>
      <c r="P33" s="375">
        <v>0</v>
      </c>
      <c r="Q33" s="378">
        <v>0</v>
      </c>
      <c r="R33" s="9"/>
      <c r="S33" s="719">
        <f>+IF(JUNIO!S33=0,"",JUNIO!S33)</f>
        <v>1010199</v>
      </c>
      <c r="T33" s="693" t="str">
        <f>+IF(JUNIO!T33=0,"",JUNIO!T33)</f>
        <v>Vigencias Anteriores</v>
      </c>
      <c r="U33" s="27">
        <f>+ENERO!U33</f>
        <v>0</v>
      </c>
      <c r="V33" s="15">
        <f>JUNIO!V33+JULIO!AL33</f>
        <v>0</v>
      </c>
      <c r="W33" s="15">
        <f>JUNIO!W33+JULIO!AM33</f>
        <v>2702630</v>
      </c>
      <c r="X33" s="18">
        <f t="shared" si="17"/>
        <v>2702630</v>
      </c>
      <c r="Y33" s="19">
        <f>JUNIO!AA33</f>
        <v>2702630</v>
      </c>
      <c r="Z33" s="377">
        <v>0</v>
      </c>
      <c r="AA33" s="18">
        <f t="shared" si="18"/>
        <v>2702630</v>
      </c>
      <c r="AB33" s="19">
        <f>JUNIO!AD33</f>
        <v>2702630</v>
      </c>
      <c r="AC33" s="377">
        <v>0</v>
      </c>
      <c r="AD33" s="18">
        <f t="shared" si="19"/>
        <v>2702630</v>
      </c>
      <c r="AE33" s="19">
        <f>JUNIO!AG33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175559929</v>
      </c>
      <c r="BP33" s="113">
        <f>AD258</f>
        <v>-299588060</v>
      </c>
      <c r="BQ33" s="114">
        <f>AF258</f>
        <v>1937031430</v>
      </c>
      <c r="BR33" s="385"/>
    </row>
    <row r="34" spans="1:70" s="425" customFormat="1" ht="24.95" customHeight="1" thickBot="1" x14ac:dyDescent="0.25">
      <c r="A34" s="618" t="str">
        <f>+IF(JUNIO!A34=0,"",JUNIO!A34)</f>
        <v>1130103-2-2</v>
      </c>
      <c r="B34" s="654" t="str">
        <f>+IF(JUNIO!B34=0,"",JUNIO!B34)</f>
        <v>Vigencia Anterior</v>
      </c>
      <c r="C34" s="375">
        <f>+ENERO!C34</f>
        <v>0</v>
      </c>
      <c r="D34" s="376">
        <f>JUNIO!D34+JULIO!P34</f>
        <v>0</v>
      </c>
      <c r="E34" s="376">
        <f>JUNIO!E34+JULIO!Q34</f>
        <v>0</v>
      </c>
      <c r="F34" s="376">
        <f>SUM(C34:E34)</f>
        <v>0</v>
      </c>
      <c r="G34" s="376">
        <f>JUNIO!I34</f>
        <v>0</v>
      </c>
      <c r="H34" s="377">
        <v>0</v>
      </c>
      <c r="I34" s="376">
        <f>SUM(G34:H34)</f>
        <v>0</v>
      </c>
      <c r="J34" s="376">
        <f>JUNIO!L34</f>
        <v>0</v>
      </c>
      <c r="K34" s="377">
        <v>0</v>
      </c>
      <c r="L34" s="376">
        <f>SUM(J34:K34)</f>
        <v>0</v>
      </c>
      <c r="M34" s="376">
        <f>F34-I34</f>
        <v>0</v>
      </c>
      <c r="N34" s="146">
        <f>F34-L34</f>
        <v>0</v>
      </c>
      <c r="O34" s="385"/>
      <c r="P34" s="375">
        <v>0</v>
      </c>
      <c r="Q34" s="378">
        <v>0</v>
      </c>
      <c r="R34" s="9"/>
      <c r="S34" s="369" t="str">
        <f>+IF(JUNIO!S34=0,"",JUNIO!S34)</f>
        <v/>
      </c>
      <c r="T34" s="708" t="str">
        <f>+IF(JUNIO!T34=0,"",JUNIO!T34)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+IF(JUNIO!A35=0,"",JUNIO!A35)</f>
        <v>1130103-3</v>
      </c>
      <c r="B35" s="655" t="str">
        <f>+IF(JUNIO!B35=0,"",JUNIO!B35)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+IF(JUNIO!S35=0,"",JUNIO!S35)</f>
        <v>1010200</v>
      </c>
      <c r="T35" s="692" t="str">
        <f>+IF(JUNIO!T35=0,"",JUNIO!T35)</f>
        <v>Servicios Personales Indirectos</v>
      </c>
      <c r="U35" s="135">
        <f t="shared" ref="U35:AJ35" si="34">SUM(U36:U41)</f>
        <v>215072393</v>
      </c>
      <c r="V35" s="124">
        <f t="shared" si="34"/>
        <v>0</v>
      </c>
      <c r="W35" s="124">
        <f t="shared" si="34"/>
        <v>27070478</v>
      </c>
      <c r="X35" s="132">
        <f t="shared" si="34"/>
        <v>242142871</v>
      </c>
      <c r="Y35" s="131">
        <f t="shared" si="34"/>
        <v>226800978</v>
      </c>
      <c r="Z35" s="124">
        <f t="shared" si="34"/>
        <v>40000</v>
      </c>
      <c r="AA35" s="132">
        <f t="shared" si="34"/>
        <v>226840978</v>
      </c>
      <c r="AB35" s="131">
        <f t="shared" si="34"/>
        <v>108230518</v>
      </c>
      <c r="AC35" s="124">
        <f t="shared" si="34"/>
        <v>24692740</v>
      </c>
      <c r="AD35" s="132">
        <f t="shared" si="34"/>
        <v>132923258</v>
      </c>
      <c r="AE35" s="131">
        <f t="shared" si="34"/>
        <v>73496924</v>
      </c>
      <c r="AF35" s="124">
        <f t="shared" si="34"/>
        <v>25627198</v>
      </c>
      <c r="AG35" s="132">
        <f t="shared" si="34"/>
        <v>99124122</v>
      </c>
      <c r="AH35" s="131">
        <f t="shared" si="34"/>
        <v>15301893</v>
      </c>
      <c r="AI35" s="124">
        <f t="shared" si="34"/>
        <v>109219613</v>
      </c>
      <c r="AJ35" s="133">
        <f t="shared" si="34"/>
        <v>143018749</v>
      </c>
      <c r="AK35" s="9"/>
      <c r="AL35" s="131">
        <f>SUM(AL36:AL41)</f>
        <v>0</v>
      </c>
      <c r="AM35" s="133">
        <f>SUM(AM36:AM41)</f>
        <v>0</v>
      </c>
      <c r="AN35" s="9"/>
      <c r="AO35" s="352"/>
      <c r="AP35" s="453"/>
      <c r="AQ35" s="295"/>
      <c r="AR35" s="454"/>
      <c r="AS35" s="454"/>
      <c r="AT35" s="454"/>
      <c r="AU35" s="455">
        <f>AR17-AR32</f>
        <v>586010028</v>
      </c>
      <c r="AV35" s="456">
        <f>AS17-AR32</f>
        <v>-198258666</v>
      </c>
      <c r="AW35" s="456" t="s">
        <v>158</v>
      </c>
      <c r="AX35" s="457"/>
      <c r="AY35" s="456">
        <f>AY17+AY32</f>
        <v>-500432169.35714298</v>
      </c>
      <c r="AZ35" s="458">
        <f>AZ17+AY32</f>
        <v>-1843357977.0714288</v>
      </c>
      <c r="BB35" s="425"/>
      <c r="BC35" s="425"/>
      <c r="BD35" s="425"/>
      <c r="BE35" s="425"/>
      <c r="BF35" s="425"/>
    </row>
    <row r="36" spans="1:70" s="385" customFormat="1" ht="24.95" customHeight="1" thickBot="1" x14ac:dyDescent="0.25">
      <c r="A36" s="618" t="str">
        <f>+IF(JUNIO!A36=0,"",JUNIO!A36)</f>
        <v>1130103-3-1</v>
      </c>
      <c r="B36" s="654" t="str">
        <f>+CONCATENATE("Vigencia ",INSTRUCCIONES!$F$3)</f>
        <v>Vigencia 2015</v>
      </c>
      <c r="C36" s="375">
        <f>+ENERO!C36</f>
        <v>0</v>
      </c>
      <c r="D36" s="376">
        <f>JUNIO!D36+JULIO!P36</f>
        <v>0</v>
      </c>
      <c r="E36" s="376">
        <f>JUNIO!E36+JULIO!Q36</f>
        <v>0</v>
      </c>
      <c r="F36" s="376">
        <f t="shared" ref="F36:F41" si="35">SUM(C36:E36)</f>
        <v>0</v>
      </c>
      <c r="G36" s="376">
        <f>JUNIO!I36</f>
        <v>0</v>
      </c>
      <c r="H36" s="377">
        <v>0</v>
      </c>
      <c r="I36" s="376">
        <f t="shared" ref="I36:I41" si="36">SUM(G36:H36)</f>
        <v>0</v>
      </c>
      <c r="J36" s="376">
        <f>JUNIO!L36</f>
        <v>0</v>
      </c>
      <c r="K36" s="377">
        <v>0</v>
      </c>
      <c r="L36" s="376">
        <f t="shared" ref="L36:L41" si="37">SUM(J36:K36)</f>
        <v>0</v>
      </c>
      <c r="M36" s="376">
        <f t="shared" ref="M36:M41" si="38">F36-I36</f>
        <v>0</v>
      </c>
      <c r="N36" s="146">
        <f t="shared" ref="N36:N41" si="39">F36-L36</f>
        <v>0</v>
      </c>
      <c r="O36" s="9"/>
      <c r="P36" s="375">
        <v>0</v>
      </c>
      <c r="Q36" s="378">
        <v>0</v>
      </c>
      <c r="R36" s="9"/>
      <c r="S36" s="719" t="str">
        <f>+IF(JUNIO!S36=0,"",JUNIO!S36)</f>
        <v>1010200-1</v>
      </c>
      <c r="T36" s="693" t="str">
        <f>+IF(JUNIO!T36=0,"",JUNIO!T36)</f>
        <v>Remuneración y Honorarios por Servicios Técnicos y Profesionales</v>
      </c>
      <c r="U36" s="27">
        <f>+ENERO!U36</f>
        <v>213224393</v>
      </c>
      <c r="V36" s="15">
        <f>JUNIO!V36+JULIO!AL36</f>
        <v>0</v>
      </c>
      <c r="W36" s="15">
        <f>JUNIO!W36+JULIO!AM36</f>
        <v>0</v>
      </c>
      <c r="X36" s="18">
        <f t="shared" ref="X36:X41" si="40">SUM(U36:W36)</f>
        <v>213224393</v>
      </c>
      <c r="Y36" s="19">
        <f>JUNIO!AA36</f>
        <v>199730500</v>
      </c>
      <c r="Z36" s="377">
        <v>40000</v>
      </c>
      <c r="AA36" s="18">
        <f t="shared" ref="AA36:AA41" si="41">SUM(Y36:Z36)</f>
        <v>199770500</v>
      </c>
      <c r="AB36" s="19">
        <f>JUNIO!AD36</f>
        <v>81160040</v>
      </c>
      <c r="AC36" s="377">
        <v>24692740</v>
      </c>
      <c r="AD36" s="18">
        <f t="shared" ref="AD36:AD41" si="42">SUM(AB36:AC36)</f>
        <v>105852780</v>
      </c>
      <c r="AE36" s="19">
        <f>JUNIO!AG36</f>
        <v>55226300</v>
      </c>
      <c r="AF36" s="377">
        <v>23777198</v>
      </c>
      <c r="AG36" s="18">
        <f t="shared" ref="AG36:AG41" si="43">SUM(AE36:AF36)</f>
        <v>79003498</v>
      </c>
      <c r="AH36" s="19">
        <f t="shared" ref="AH36:AH41" si="44">X36-AA36</f>
        <v>13453893</v>
      </c>
      <c r="AI36" s="15">
        <f t="shared" ref="AI36:AI41" si="45">X36-AD36</f>
        <v>107371613</v>
      </c>
      <c r="AJ36" s="16">
        <f t="shared" ref="AJ36:AJ41" si="46">X36-AG36</f>
        <v>134220895</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+IF(JUNIO!A37=0,"",JUNIO!A37)</f>
        <v>1130103-3-2</v>
      </c>
      <c r="B37" s="654" t="str">
        <f>+IF(JUNIO!B37=0,"",JUNIO!B37)</f>
        <v>Vigencia Anterior</v>
      </c>
      <c r="C37" s="375">
        <f>+ENERO!C37</f>
        <v>0</v>
      </c>
      <c r="D37" s="376">
        <f>JUNIO!D37+JULIO!P37</f>
        <v>0</v>
      </c>
      <c r="E37" s="376">
        <f>JUNIO!E37+JULIO!Q37</f>
        <v>0</v>
      </c>
      <c r="F37" s="376">
        <f t="shared" si="35"/>
        <v>0</v>
      </c>
      <c r="G37" s="376">
        <f>JUNIO!I37</f>
        <v>0</v>
      </c>
      <c r="H37" s="377">
        <v>0</v>
      </c>
      <c r="I37" s="376">
        <f t="shared" si="36"/>
        <v>0</v>
      </c>
      <c r="J37" s="376">
        <f>JUNIO!L37</f>
        <v>0</v>
      </c>
      <c r="K37" s="377">
        <v>0</v>
      </c>
      <c r="L37" s="376">
        <f t="shared" si="37"/>
        <v>0</v>
      </c>
      <c r="M37" s="376">
        <f t="shared" si="38"/>
        <v>0</v>
      </c>
      <c r="N37" s="146">
        <f t="shared" si="39"/>
        <v>0</v>
      </c>
      <c r="P37" s="375">
        <v>0</v>
      </c>
      <c r="Q37" s="378">
        <v>0</v>
      </c>
      <c r="R37" s="9"/>
      <c r="S37" s="719" t="str">
        <f>+IF(JUNIO!S37=0,"",JUNIO!S37)</f>
        <v>1010200-2</v>
      </c>
      <c r="T37" s="693" t="str">
        <f>+IF(JUNIO!T37=0,"",JUNIO!T37)</f>
        <v>Personal Supernumerario</v>
      </c>
      <c r="U37" s="27">
        <f>+ENERO!U37</f>
        <v>0</v>
      </c>
      <c r="V37" s="15">
        <f>JUNIO!V37+JULIO!AL37</f>
        <v>0</v>
      </c>
      <c r="W37" s="15">
        <f>JUNIO!W37+JULIO!AM37</f>
        <v>0</v>
      </c>
      <c r="X37" s="18">
        <f t="shared" si="40"/>
        <v>0</v>
      </c>
      <c r="Y37" s="19">
        <f>JUNIO!AA37</f>
        <v>0</v>
      </c>
      <c r="Z37" s="377">
        <v>0</v>
      </c>
      <c r="AA37" s="18">
        <f t="shared" si="41"/>
        <v>0</v>
      </c>
      <c r="AB37" s="19">
        <f>JUNIO!AD37</f>
        <v>0</v>
      </c>
      <c r="AC37" s="377">
        <v>0</v>
      </c>
      <c r="AD37" s="18">
        <f t="shared" si="42"/>
        <v>0</v>
      </c>
      <c r="AE37" s="19">
        <f>JUNIO!AG37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+IF(JUNIO!A38=0,"",JUNIO!A38)</f>
        <v>1130103-4</v>
      </c>
      <c r="B38" s="656" t="str">
        <f>+IF(JUNIO!B38=0,"",JUNIO!B38)</f>
        <v xml:space="preserve"> Aportes Patronales  1o. Nivel</v>
      </c>
      <c r="C38" s="375">
        <f>+ENERO!C38</f>
        <v>326631000</v>
      </c>
      <c r="D38" s="376">
        <f>JUNIO!D38+JULIO!P38</f>
        <v>0</v>
      </c>
      <c r="E38" s="376">
        <f>JUNIO!E38+JULIO!Q38</f>
        <v>0</v>
      </c>
      <c r="F38" s="376">
        <f t="shared" si="35"/>
        <v>326631000</v>
      </c>
      <c r="G38" s="376">
        <f>JUNIO!I38</f>
        <v>161303697</v>
      </c>
      <c r="H38" s="377">
        <v>24815647</v>
      </c>
      <c r="I38" s="376">
        <f t="shared" si="36"/>
        <v>186119344</v>
      </c>
      <c r="J38" s="376">
        <f>JUNIO!L38</f>
        <v>148893882</v>
      </c>
      <c r="K38" s="377">
        <v>24815647</v>
      </c>
      <c r="L38" s="376">
        <f t="shared" si="37"/>
        <v>173709529</v>
      </c>
      <c r="M38" s="376">
        <f t="shared" si="38"/>
        <v>140511656</v>
      </c>
      <c r="N38" s="146">
        <f t="shared" si="39"/>
        <v>152921471</v>
      </c>
      <c r="O38" s="533"/>
      <c r="P38" s="375">
        <v>0</v>
      </c>
      <c r="Q38" s="378">
        <v>0</v>
      </c>
      <c r="R38" s="9"/>
      <c r="S38" s="719" t="str">
        <f>+IF(JUNIO!S38=0,"",JUNIO!S38)</f>
        <v>1010200-3</v>
      </c>
      <c r="T38" s="693" t="str">
        <f>+IF(JUNIO!T38=0,"",JUNIO!T38)</f>
        <v>Honorarios de la Junta Directiva</v>
      </c>
      <c r="U38" s="27">
        <f>+ENERO!U38</f>
        <v>1848000</v>
      </c>
      <c r="V38" s="15">
        <f>JUNIO!V38+JULIO!AL38</f>
        <v>0</v>
      </c>
      <c r="W38" s="15">
        <f>JUNIO!W38+JULIO!AM38</f>
        <v>0</v>
      </c>
      <c r="X38" s="18">
        <f t="shared" si="40"/>
        <v>1848000</v>
      </c>
      <c r="Y38" s="19">
        <f>JUNIO!AA38</f>
        <v>0</v>
      </c>
      <c r="Z38" s="377">
        <v>0</v>
      </c>
      <c r="AA38" s="18">
        <f t="shared" si="41"/>
        <v>0</v>
      </c>
      <c r="AB38" s="19">
        <f>JUNIO!AD38</f>
        <v>0</v>
      </c>
      <c r="AC38" s="377">
        <v>0</v>
      </c>
      <c r="AD38" s="18">
        <f t="shared" si="42"/>
        <v>0</v>
      </c>
      <c r="AE38" s="19">
        <f>JUNIO!AG38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+IF(JUNIO!A39=0,"",JUNIO!A39)</f>
        <v>1130103-5</v>
      </c>
      <c r="B39" s="656" t="str">
        <f>+IF(JUNIO!B39=0,"",JUNIO!B39)</f>
        <v xml:space="preserve"> Aportes Patronales  2o. Nivel</v>
      </c>
      <c r="C39" s="375">
        <f>+ENERO!C39</f>
        <v>0</v>
      </c>
      <c r="D39" s="376">
        <f>JUNIO!D39+JULIO!P39</f>
        <v>0</v>
      </c>
      <c r="E39" s="376">
        <f>JUNIO!E39+JULIO!Q39</f>
        <v>0</v>
      </c>
      <c r="F39" s="376">
        <f t="shared" si="35"/>
        <v>0</v>
      </c>
      <c r="G39" s="376">
        <f>JUNIO!I39</f>
        <v>0</v>
      </c>
      <c r="H39" s="377">
        <v>0</v>
      </c>
      <c r="I39" s="376">
        <f t="shared" si="36"/>
        <v>0</v>
      </c>
      <c r="J39" s="376">
        <f>JUNIO!L39</f>
        <v>0</v>
      </c>
      <c r="K39" s="377">
        <v>0</v>
      </c>
      <c r="L39" s="376">
        <f t="shared" si="37"/>
        <v>0</v>
      </c>
      <c r="M39" s="376">
        <f t="shared" si="38"/>
        <v>0</v>
      </c>
      <c r="N39" s="146">
        <f t="shared" si="39"/>
        <v>0</v>
      </c>
      <c r="O39" s="533"/>
      <c r="P39" s="375">
        <v>0</v>
      </c>
      <c r="Q39" s="378">
        <v>0</v>
      </c>
      <c r="R39" s="9"/>
      <c r="S39" s="719" t="str">
        <f>+IF(JUNIO!S39=0,"",JUNIO!S39)</f>
        <v>1010200-4</v>
      </c>
      <c r="T39" s="693" t="str">
        <f>+IF(JUNIO!T39=0,"",JUNIO!T39)</f>
        <v>Otros Honorarios (Servicios de Cooperativa)</v>
      </c>
      <c r="U39" s="27">
        <f>+ENERO!U39</f>
        <v>0</v>
      </c>
      <c r="V39" s="15">
        <f>JUNIO!V39+JULIO!AL39</f>
        <v>0</v>
      </c>
      <c r="W39" s="15">
        <f>JUNIO!W39+JULIO!AM39</f>
        <v>0</v>
      </c>
      <c r="X39" s="18">
        <f t="shared" si="40"/>
        <v>0</v>
      </c>
      <c r="Y39" s="19">
        <f>JUNIO!AA39</f>
        <v>0</v>
      </c>
      <c r="Z39" s="377">
        <v>0</v>
      </c>
      <c r="AA39" s="18">
        <f t="shared" si="41"/>
        <v>0</v>
      </c>
      <c r="AB39" s="19">
        <f>JUNIO!AD39</f>
        <v>0</v>
      </c>
      <c r="AC39" s="377">
        <v>0</v>
      </c>
      <c r="AD39" s="18">
        <f t="shared" si="42"/>
        <v>0</v>
      </c>
      <c r="AE39" s="19">
        <f>JUNIO!AG39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+IF(JUNIO!A40=0,"",JUNIO!A40)</f>
        <v>1130103-6</v>
      </c>
      <c r="B40" s="656" t="str">
        <f>+IF(JUNIO!B40=0,"",JUNIO!B40)</f>
        <v xml:space="preserve"> Aportes Patronales  3er. Nivel</v>
      </c>
      <c r="C40" s="375">
        <f>+ENERO!C40</f>
        <v>0</v>
      </c>
      <c r="D40" s="376">
        <f>JUNIO!D40+JULIO!P40</f>
        <v>0</v>
      </c>
      <c r="E40" s="376">
        <f>JUNIO!E40+JULIO!Q40</f>
        <v>0</v>
      </c>
      <c r="F40" s="376">
        <f t="shared" si="35"/>
        <v>0</v>
      </c>
      <c r="G40" s="376">
        <f>JUNIO!I40</f>
        <v>0</v>
      </c>
      <c r="H40" s="377">
        <v>0</v>
      </c>
      <c r="I40" s="376">
        <f t="shared" si="36"/>
        <v>0</v>
      </c>
      <c r="J40" s="376">
        <f>JUNIO!L40</f>
        <v>0</v>
      </c>
      <c r="K40" s="377">
        <v>0</v>
      </c>
      <c r="L40" s="376">
        <f t="shared" si="37"/>
        <v>0</v>
      </c>
      <c r="M40" s="376">
        <f t="shared" si="38"/>
        <v>0</v>
      </c>
      <c r="N40" s="146">
        <f t="shared" si="39"/>
        <v>0</v>
      </c>
      <c r="O40" s="533"/>
      <c r="P40" s="375">
        <v>0</v>
      </c>
      <c r="Q40" s="378">
        <v>0</v>
      </c>
      <c r="R40" s="9"/>
      <c r="S40" s="719" t="str">
        <f>+IF(JUNIO!S40=0,"",JUNIO!S40)</f>
        <v>1010200-6</v>
      </c>
      <c r="T40" s="693" t="str">
        <f>+IF(JUNIO!T40=0,"",JUNIO!T40)</f>
        <v>Certificación, Habilitación y Acreditación</v>
      </c>
      <c r="U40" s="27">
        <f>+ENERO!U40</f>
        <v>0</v>
      </c>
      <c r="V40" s="15">
        <f>JUNIO!V40+JULIO!AL40</f>
        <v>0</v>
      </c>
      <c r="W40" s="15">
        <f>JUNIO!W40+JULIO!AM40</f>
        <v>0</v>
      </c>
      <c r="X40" s="18">
        <f t="shared" si="40"/>
        <v>0</v>
      </c>
      <c r="Y40" s="19">
        <f>JUNIO!AA40</f>
        <v>0</v>
      </c>
      <c r="Z40" s="377">
        <v>0</v>
      </c>
      <c r="AA40" s="18">
        <f t="shared" si="41"/>
        <v>0</v>
      </c>
      <c r="AB40" s="19">
        <f>JUNIO!AD40</f>
        <v>0</v>
      </c>
      <c r="AC40" s="377">
        <v>0</v>
      </c>
      <c r="AD40" s="18">
        <f t="shared" si="42"/>
        <v>0</v>
      </c>
      <c r="AE40" s="19">
        <f>JUNIO!AG40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+IF(JUNIO!A41=0,"",JUNIO!A41)</f>
        <v>1130104</v>
      </c>
      <c r="B41" s="653" t="str">
        <f>+IF(JUNIO!B41=0,"",JUNIO!B41)</f>
        <v>SUBSIDIO A LA OFERTA- ACTIVIDADES NO POS-S</v>
      </c>
      <c r="C41" s="375">
        <f>+ENERO!C41</f>
        <v>0</v>
      </c>
      <c r="D41" s="124">
        <f>JUNIO!D41+JULIO!P41</f>
        <v>0</v>
      </c>
      <c r="E41" s="124">
        <f>JUNIO!E41+JULIO!Q41</f>
        <v>0</v>
      </c>
      <c r="F41" s="124">
        <f t="shared" si="35"/>
        <v>0</v>
      </c>
      <c r="G41" s="124">
        <f>JUNIO!I41</f>
        <v>0</v>
      </c>
      <c r="H41" s="377">
        <v>0</v>
      </c>
      <c r="I41" s="124">
        <f t="shared" si="36"/>
        <v>0</v>
      </c>
      <c r="J41" s="124">
        <f>JUNIO!L41</f>
        <v>0</v>
      </c>
      <c r="K41" s="377">
        <v>0</v>
      </c>
      <c r="L41" s="124">
        <f t="shared" si="37"/>
        <v>0</v>
      </c>
      <c r="M41" s="124">
        <f t="shared" si="38"/>
        <v>0</v>
      </c>
      <c r="N41" s="133">
        <f t="shared" si="39"/>
        <v>0</v>
      </c>
      <c r="O41" s="385"/>
      <c r="P41" s="377">
        <v>0</v>
      </c>
      <c r="Q41" s="378">
        <v>0</v>
      </c>
      <c r="R41" s="9"/>
      <c r="S41" s="719">
        <f>+IF(JUNIO!S41=0,"",JUNIO!S41)</f>
        <v>1010299</v>
      </c>
      <c r="T41" s="693" t="str">
        <f>+IF(JUNIO!T41=0,"",JUNIO!T41)</f>
        <v>Vigencias Anteriores</v>
      </c>
      <c r="U41" s="27">
        <f>+ENERO!U41</f>
        <v>0</v>
      </c>
      <c r="V41" s="15">
        <f>JUNIO!V41+JULIO!AL41</f>
        <v>0</v>
      </c>
      <c r="W41" s="15">
        <f>JUNIO!W41+JULIO!AM41</f>
        <v>27070478</v>
      </c>
      <c r="X41" s="18">
        <f t="shared" si="40"/>
        <v>27070478</v>
      </c>
      <c r="Y41" s="19">
        <f>JUNIO!AA41</f>
        <v>27070478</v>
      </c>
      <c r="Z41" s="377">
        <v>0</v>
      </c>
      <c r="AA41" s="18">
        <f t="shared" si="41"/>
        <v>27070478</v>
      </c>
      <c r="AB41" s="19">
        <f>JUNIO!AD41</f>
        <v>27070478</v>
      </c>
      <c r="AC41" s="377">
        <v>0</v>
      </c>
      <c r="AD41" s="18">
        <f t="shared" si="42"/>
        <v>27070478</v>
      </c>
      <c r="AE41" s="19">
        <f>JUNIO!AG41</f>
        <v>18270624</v>
      </c>
      <c r="AF41" s="377">
        <v>1850000</v>
      </c>
      <c r="AG41" s="18">
        <f t="shared" si="43"/>
        <v>20120624</v>
      </c>
      <c r="AH41" s="19">
        <f t="shared" si="44"/>
        <v>0</v>
      </c>
      <c r="AI41" s="15">
        <f t="shared" si="45"/>
        <v>0</v>
      </c>
      <c r="AJ41" s="16">
        <f t="shared" si="46"/>
        <v>6949854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+IF(JUNIO!A42=0,"",JUNIO!A42)</f>
        <v>1130106</v>
      </c>
      <c r="B42" s="653" t="str">
        <f>+IF(JUNIO!B42=0,"",JUNIO!B42)</f>
        <v>SALUD PUBLICA - PLAN DE INTERVENCIONES COLECTIVAS</v>
      </c>
      <c r="C42" s="43">
        <f t="shared" ref="C42:N42" si="47">SUM(C43:C44)</f>
        <v>94000000</v>
      </c>
      <c r="D42" s="44">
        <f t="shared" si="47"/>
        <v>0</v>
      </c>
      <c r="E42" s="44">
        <f t="shared" si="47"/>
        <v>17280673</v>
      </c>
      <c r="F42" s="44">
        <f t="shared" si="47"/>
        <v>111280673</v>
      </c>
      <c r="G42" s="44">
        <f t="shared" si="47"/>
        <v>35094180</v>
      </c>
      <c r="H42" s="44">
        <f t="shared" si="47"/>
        <v>12878764</v>
      </c>
      <c r="I42" s="44">
        <f t="shared" si="47"/>
        <v>47972944</v>
      </c>
      <c r="J42" s="44">
        <f t="shared" si="47"/>
        <v>34927628</v>
      </c>
      <c r="K42" s="44">
        <f t="shared" si="47"/>
        <v>8358676</v>
      </c>
      <c r="L42" s="44">
        <f t="shared" si="47"/>
        <v>43286304</v>
      </c>
      <c r="M42" s="44">
        <f t="shared" si="47"/>
        <v>63307729</v>
      </c>
      <c r="N42" s="45">
        <f t="shared" si="47"/>
        <v>67994369</v>
      </c>
      <c r="P42" s="43">
        <f>SUM(P43:P44)</f>
        <v>0</v>
      </c>
      <c r="Q42" s="45">
        <f>SUM(Q43:Q44)</f>
        <v>0</v>
      </c>
      <c r="R42" s="9"/>
      <c r="S42" s="369" t="str">
        <f>+IF(JUNIO!S42=0,"",JUNIO!S42)</f>
        <v/>
      </c>
      <c r="T42" s="708" t="str">
        <f>+IF(JUNIO!T42=0,"",JUNIO!T42)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+IF(JUNIO!A43=0,"",JUNIO!A43)</f>
        <v>1130106-1</v>
      </c>
      <c r="B43" s="654" t="str">
        <f>+CONCATENATE("Vigencia ",INSTRUCCIONES!$F$3)</f>
        <v>Vigencia 2015</v>
      </c>
      <c r="C43" s="375">
        <f>+ENERO!C43</f>
        <v>94000000</v>
      </c>
      <c r="D43" s="376">
        <f>JUNIO!D43+JULIO!P43</f>
        <v>0</v>
      </c>
      <c r="E43" s="376">
        <f>JUNIO!E43+JULIO!Q43</f>
        <v>17280673</v>
      </c>
      <c r="F43" s="376">
        <f>SUM(C43:E43)</f>
        <v>111280673</v>
      </c>
      <c r="G43" s="376">
        <f>JUNIO!I43</f>
        <v>35094180</v>
      </c>
      <c r="H43" s="377">
        <v>12878764</v>
      </c>
      <c r="I43" s="376">
        <f>SUM(G43:H43)</f>
        <v>47972944</v>
      </c>
      <c r="J43" s="376">
        <f>JUNIO!L43</f>
        <v>34927628</v>
      </c>
      <c r="K43" s="377">
        <v>8358676</v>
      </c>
      <c r="L43" s="376">
        <f>SUM(J43:K43)</f>
        <v>43286304</v>
      </c>
      <c r="M43" s="376">
        <f>F43-I43</f>
        <v>63307729</v>
      </c>
      <c r="N43" s="146">
        <f>F43-L43</f>
        <v>67994369</v>
      </c>
      <c r="O43" s="385"/>
      <c r="P43" s="375">
        <v>0</v>
      </c>
      <c r="Q43" s="378">
        <v>0</v>
      </c>
      <c r="R43" s="9"/>
      <c r="S43" s="718">
        <f>+IF(JUNIO!S43=0,"",JUNIO!S43)</f>
        <v>1010300</v>
      </c>
      <c r="T43" s="692" t="str">
        <f>+IF(JUNIO!T43=0,"",JUNIO!T43)</f>
        <v>Contribuciones Inherentes nómina al Sector Privado</v>
      </c>
      <c r="U43" s="135">
        <f t="shared" ref="U43:AJ43" si="48">U44+U49+U55</f>
        <v>111328187</v>
      </c>
      <c r="V43" s="124">
        <f t="shared" si="48"/>
        <v>0</v>
      </c>
      <c r="W43" s="124">
        <f t="shared" si="48"/>
        <v>43373015</v>
      </c>
      <c r="X43" s="132">
        <f t="shared" si="48"/>
        <v>154701202</v>
      </c>
      <c r="Y43" s="131">
        <f t="shared" si="48"/>
        <v>82376009</v>
      </c>
      <c r="Z43" s="124">
        <f t="shared" si="48"/>
        <v>6583056</v>
      </c>
      <c r="AA43" s="132">
        <f t="shared" si="48"/>
        <v>88959065</v>
      </c>
      <c r="AB43" s="131">
        <f t="shared" si="48"/>
        <v>82376009</v>
      </c>
      <c r="AC43" s="124">
        <f t="shared" si="48"/>
        <v>6583056</v>
      </c>
      <c r="AD43" s="132">
        <f t="shared" si="48"/>
        <v>88959065</v>
      </c>
      <c r="AE43" s="131">
        <f t="shared" si="48"/>
        <v>66474700</v>
      </c>
      <c r="AF43" s="124">
        <f t="shared" si="48"/>
        <v>6584756</v>
      </c>
      <c r="AG43" s="132">
        <f t="shared" si="48"/>
        <v>73059456</v>
      </c>
      <c r="AH43" s="131">
        <f t="shared" si="48"/>
        <v>65742137</v>
      </c>
      <c r="AI43" s="124">
        <f t="shared" si="48"/>
        <v>65742137</v>
      </c>
      <c r="AJ43" s="133">
        <f t="shared" si="48"/>
        <v>81641746</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+IF(JUNIO!A44=0,"",JUNIO!A44)</f>
        <v>1130106-2</v>
      </c>
      <c r="B44" s="654" t="str">
        <f>+IF(JUNIO!B44=0,"",JUNIO!B44)</f>
        <v>Vigencia Anterior</v>
      </c>
      <c r="C44" s="375">
        <f>+ENERO!C44</f>
        <v>0</v>
      </c>
      <c r="D44" s="376">
        <f>JUNIO!D44+JULIO!P44</f>
        <v>0</v>
      </c>
      <c r="E44" s="376">
        <f>JUNIO!E44+JULIO!Q44</f>
        <v>0</v>
      </c>
      <c r="F44" s="376">
        <f>SUM(C44:E44)</f>
        <v>0</v>
      </c>
      <c r="G44" s="376">
        <f>JUNIO!I44</f>
        <v>0</v>
      </c>
      <c r="H44" s="377">
        <v>0</v>
      </c>
      <c r="I44" s="376">
        <f>SUM(G44:H44)</f>
        <v>0</v>
      </c>
      <c r="J44" s="376">
        <f>JUNIO!L44</f>
        <v>0</v>
      </c>
      <c r="K44" s="377">
        <v>0</v>
      </c>
      <c r="L44" s="376">
        <f>SUM(J44:K44)</f>
        <v>0</v>
      </c>
      <c r="M44" s="376">
        <f>F44-I44</f>
        <v>0</v>
      </c>
      <c r="N44" s="146">
        <f>F44-L44</f>
        <v>0</v>
      </c>
      <c r="O44" s="385"/>
      <c r="P44" s="375">
        <v>0</v>
      </c>
      <c r="Q44" s="378">
        <v>0</v>
      </c>
      <c r="R44" s="9"/>
      <c r="S44" s="719">
        <f>+IF(JUNIO!S44=0,"",JUNIO!S44)</f>
        <v>1010301</v>
      </c>
      <c r="T44" s="693" t="str">
        <f>+IF(JUNIO!T44=0,"",JUNIO!T44)</f>
        <v>Contribuciones - Sin Situación de Fondos</v>
      </c>
      <c r="U44" s="27">
        <f t="shared" ref="U44:AJ44" si="49">SUM(U45:U48)</f>
        <v>96536264</v>
      </c>
      <c r="V44" s="15">
        <f t="shared" si="49"/>
        <v>0</v>
      </c>
      <c r="W44" s="15">
        <f t="shared" si="49"/>
        <v>0</v>
      </c>
      <c r="X44" s="18">
        <f t="shared" si="49"/>
        <v>96536264</v>
      </c>
      <c r="Y44" s="19">
        <f t="shared" si="49"/>
        <v>33292594</v>
      </c>
      <c r="Z44" s="145">
        <f t="shared" si="49"/>
        <v>5570656</v>
      </c>
      <c r="AA44" s="18">
        <f t="shared" si="49"/>
        <v>38863250</v>
      </c>
      <c r="AB44" s="19">
        <f t="shared" si="49"/>
        <v>33292594</v>
      </c>
      <c r="AC44" s="145">
        <f t="shared" si="49"/>
        <v>5570656</v>
      </c>
      <c r="AD44" s="18">
        <f t="shared" si="49"/>
        <v>38863250</v>
      </c>
      <c r="AE44" s="19">
        <f t="shared" si="49"/>
        <v>32007340</v>
      </c>
      <c r="AF44" s="145">
        <f t="shared" si="49"/>
        <v>5570656</v>
      </c>
      <c r="AG44" s="18">
        <f t="shared" si="49"/>
        <v>37577996</v>
      </c>
      <c r="AH44" s="19">
        <f t="shared" si="49"/>
        <v>57673014</v>
      </c>
      <c r="AI44" s="15">
        <f t="shared" si="49"/>
        <v>57673014</v>
      </c>
      <c r="AJ44" s="16">
        <f t="shared" si="49"/>
        <v>58958268</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+IF(JUNIO!A45=0,"",JUNIO!A45)</f>
        <v>1130107</v>
      </c>
      <c r="B45" s="653" t="str">
        <f>+IF(JUNIO!B45=0,"",JUNIO!B45)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+IF(JUNIO!S45=0,"",JUNIO!S45)</f>
        <v>1010301-1</v>
      </c>
      <c r="T45" s="694" t="str">
        <f>+IF(JUNIO!T45=0,"",JUNIO!T45)</f>
        <v>Aportes a E.P.S.- Sin sit. Fondos</v>
      </c>
      <c r="U45" s="27">
        <f>+ENERO!U45</f>
        <v>26843256</v>
      </c>
      <c r="V45" s="15">
        <f>JUNIO!V45+JULIO!AL45</f>
        <v>0</v>
      </c>
      <c r="W45" s="15">
        <f>JUNIO!W45+JULIO!AM45</f>
        <v>0</v>
      </c>
      <c r="X45" s="18">
        <f>SUM(U45:W45)</f>
        <v>26843256</v>
      </c>
      <c r="Y45" s="19">
        <f>JUNIO!AA45</f>
        <v>13479933</v>
      </c>
      <c r="Z45" s="377">
        <v>2253742</v>
      </c>
      <c r="AA45" s="18">
        <f>SUM(Y45:Z45)</f>
        <v>15733675</v>
      </c>
      <c r="AB45" s="19">
        <f>JUNIO!AD45</f>
        <v>13479933</v>
      </c>
      <c r="AC45" s="377">
        <v>2253742</v>
      </c>
      <c r="AD45" s="18">
        <f>SUM(AB45:AC45)</f>
        <v>15733675</v>
      </c>
      <c r="AE45" s="19">
        <f>JUNIO!AG45</f>
        <v>13479933</v>
      </c>
      <c r="AF45" s="377">
        <v>2253742</v>
      </c>
      <c r="AG45" s="18">
        <f>SUM(AE45:AF45)</f>
        <v>15733675</v>
      </c>
      <c r="AH45" s="19">
        <f>X45-AA45</f>
        <v>11109581</v>
      </c>
      <c r="AI45" s="15">
        <f>X45-AD45</f>
        <v>11109581</v>
      </c>
      <c r="AJ45" s="16">
        <f>X45-AG45</f>
        <v>11109581</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+IF(JUNIO!A46=0,"",JUNIO!A46)</f>
        <v>1130107-1</v>
      </c>
      <c r="B46" s="654" t="str">
        <f>+CONCATENATE("Vigencia ",INSTRUCCIONES!$F$3)</f>
        <v>Vigencia 2015</v>
      </c>
      <c r="C46" s="375">
        <f>+ENERO!C46</f>
        <v>0</v>
      </c>
      <c r="D46" s="376">
        <f>JUNIO!D46+JULIO!P46</f>
        <v>0</v>
      </c>
      <c r="E46" s="376">
        <f>JUNIO!E46+JULIO!Q46</f>
        <v>0</v>
      </c>
      <c r="F46" s="376">
        <f>SUM(C46:E46)</f>
        <v>0</v>
      </c>
      <c r="G46" s="376">
        <f>JUNIO!I46</f>
        <v>0</v>
      </c>
      <c r="H46" s="377">
        <v>0</v>
      </c>
      <c r="I46" s="376">
        <f>SUM(G46:H46)</f>
        <v>0</v>
      </c>
      <c r="J46" s="376">
        <f>JUNIO!L46</f>
        <v>0</v>
      </c>
      <c r="K46" s="377">
        <v>0</v>
      </c>
      <c r="L46" s="376">
        <f>SUM(J46:K46)</f>
        <v>0</v>
      </c>
      <c r="M46" s="376">
        <f>F46-I46</f>
        <v>0</v>
      </c>
      <c r="N46" s="146">
        <f>F46-L46</f>
        <v>0</v>
      </c>
      <c r="O46" s="385"/>
      <c r="P46" s="375">
        <v>0</v>
      </c>
      <c r="Q46" s="378">
        <v>0</v>
      </c>
      <c r="R46" s="9"/>
      <c r="S46" s="720" t="str">
        <f>+IF(JUNIO!S46=0,"",JUNIO!S46)</f>
        <v>1010301-2</v>
      </c>
      <c r="T46" s="694" t="str">
        <f>+IF(JUNIO!T46=0,"",JUNIO!T46)</f>
        <v>Aportes Fondos Pensionales - Sin Sit. Fondos</v>
      </c>
      <c r="U46" s="27">
        <f>+ENERO!U46</f>
        <v>37896396</v>
      </c>
      <c r="V46" s="15">
        <f>JUNIO!V46+JULIO!AL46</f>
        <v>0</v>
      </c>
      <c r="W46" s="15">
        <f>JUNIO!W46+JULIO!AM46</f>
        <v>0</v>
      </c>
      <c r="X46" s="18">
        <f>SUM(U46:W46)</f>
        <v>37896396</v>
      </c>
      <c r="Y46" s="19">
        <f>JUNIO!AA46</f>
        <v>19030494</v>
      </c>
      <c r="Z46" s="377">
        <v>3181755</v>
      </c>
      <c r="AA46" s="18">
        <f>SUM(Y46:Z46)</f>
        <v>22212249</v>
      </c>
      <c r="AB46" s="19">
        <f>JUNIO!AD46</f>
        <v>19030494</v>
      </c>
      <c r="AC46" s="377">
        <v>3181755</v>
      </c>
      <c r="AD46" s="18">
        <f>SUM(AB46:AC46)</f>
        <v>22212249</v>
      </c>
      <c r="AE46" s="19">
        <f>JUNIO!AG46</f>
        <v>17745240</v>
      </c>
      <c r="AF46" s="377">
        <v>3181755</v>
      </c>
      <c r="AG46" s="18">
        <f>SUM(AE46:AF46)</f>
        <v>20926995</v>
      </c>
      <c r="AH46" s="19">
        <f>X46-AA46</f>
        <v>15684147</v>
      </c>
      <c r="AI46" s="15">
        <f>X46-AD46</f>
        <v>15684147</v>
      </c>
      <c r="AJ46" s="16">
        <f>X46-AG46</f>
        <v>16969401</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+IF(JUNIO!A47=0,"",JUNIO!A47)</f>
        <v>1130107-2</v>
      </c>
      <c r="B47" s="654" t="str">
        <f>+IF(JUNIO!B47=0,"",JUNIO!B47)</f>
        <v>Vigencia Anterior</v>
      </c>
      <c r="C47" s="375">
        <f>+ENERO!C47</f>
        <v>0</v>
      </c>
      <c r="D47" s="376">
        <f>JUNIO!D47+JULIO!P47</f>
        <v>0</v>
      </c>
      <c r="E47" s="376">
        <f>JUNIO!E47+JULIO!Q47</f>
        <v>0</v>
      </c>
      <c r="F47" s="376">
        <f>SUM(C47:E47)</f>
        <v>0</v>
      </c>
      <c r="G47" s="376">
        <f>JUNIO!I47</f>
        <v>0</v>
      </c>
      <c r="H47" s="377">
        <v>0</v>
      </c>
      <c r="I47" s="376">
        <f>SUM(G47:H47)</f>
        <v>0</v>
      </c>
      <c r="J47" s="376">
        <f>JUNIO!L47</f>
        <v>0</v>
      </c>
      <c r="K47" s="377">
        <v>0</v>
      </c>
      <c r="L47" s="376">
        <f>SUM(J47:K47)</f>
        <v>0</v>
      </c>
      <c r="M47" s="376">
        <f>F47-I47</f>
        <v>0</v>
      </c>
      <c r="N47" s="146">
        <f>F47-L47</f>
        <v>0</v>
      </c>
      <c r="O47" s="385"/>
      <c r="P47" s="375">
        <v>0</v>
      </c>
      <c r="Q47" s="378">
        <v>0</v>
      </c>
      <c r="R47" s="9"/>
      <c r="S47" s="720" t="str">
        <f>+IF(JUNIO!S47=0,"",JUNIO!S47)</f>
        <v>1010301-3</v>
      </c>
      <c r="T47" s="694" t="str">
        <f>+IF(JUNIO!T47=0,"",JUNIO!T47)</f>
        <v xml:space="preserve">Aportes a Fondos de Cesantia - Sin Sit. de Fondos </v>
      </c>
      <c r="U47" s="27">
        <f>+ENERO!U47</f>
        <v>30148119</v>
      </c>
      <c r="V47" s="15">
        <f>JUNIO!V47+JULIO!AL47</f>
        <v>0</v>
      </c>
      <c r="W47" s="15">
        <f>JUNIO!W47+JULIO!AM47</f>
        <v>0</v>
      </c>
      <c r="X47" s="18">
        <f>SUM(U47:W47)</f>
        <v>30148119</v>
      </c>
      <c r="Y47" s="19">
        <f>JUNIO!AA47</f>
        <v>0</v>
      </c>
      <c r="Z47" s="377">
        <v>0</v>
      </c>
      <c r="AA47" s="18">
        <f>SUM(Y47:Z47)</f>
        <v>0</v>
      </c>
      <c r="AB47" s="19">
        <f>JUNIO!AD47</f>
        <v>0</v>
      </c>
      <c r="AC47" s="377">
        <v>0</v>
      </c>
      <c r="AD47" s="18">
        <f>SUM(AB47:AC47)</f>
        <v>0</v>
      </c>
      <c r="AE47" s="19">
        <f>JUNIO!AG47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+IF(JUNIO!A48=0,"",JUNIO!A48)</f>
        <v>1130108</v>
      </c>
      <c r="B48" s="653" t="str">
        <f>+IF(JUNIO!B48=0,"",JUNIO!B48)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+IF(JUNIO!S48=0,"",JUNIO!S48)</f>
        <v>1010301-4</v>
      </c>
      <c r="T48" s="694" t="str">
        <f>+IF(JUNIO!T48=0,"",JUNIO!T48)</f>
        <v xml:space="preserve">Aporte a ARL. - Sin Sit. de Fondos </v>
      </c>
      <c r="U48" s="27">
        <f>+ENERO!U48</f>
        <v>1648493</v>
      </c>
      <c r="V48" s="15">
        <f>JUNIO!V48+JULIO!AL48</f>
        <v>0</v>
      </c>
      <c r="W48" s="15">
        <f>JUNIO!W48+JULIO!AM48</f>
        <v>0</v>
      </c>
      <c r="X48" s="18">
        <f>SUM(U48:W48)</f>
        <v>1648493</v>
      </c>
      <c r="Y48" s="19">
        <f>JUNIO!AA48</f>
        <v>782167</v>
      </c>
      <c r="Z48" s="377">
        <v>135159</v>
      </c>
      <c r="AA48" s="18">
        <f>SUM(Y48:Z48)</f>
        <v>917326</v>
      </c>
      <c r="AB48" s="19">
        <f>JUNIO!AD48</f>
        <v>782167</v>
      </c>
      <c r="AC48" s="377">
        <v>135159</v>
      </c>
      <c r="AD48" s="18">
        <f>SUM(AB48:AC48)</f>
        <v>917326</v>
      </c>
      <c r="AE48" s="19">
        <f>JUNIO!AG48</f>
        <v>782167</v>
      </c>
      <c r="AF48" s="377">
        <v>135159</v>
      </c>
      <c r="AG48" s="18">
        <f>SUM(AE48:AF48)</f>
        <v>917326</v>
      </c>
      <c r="AH48" s="19">
        <f>X48-AA48</f>
        <v>731167</v>
      </c>
      <c r="AI48" s="15">
        <f>X48-AD48</f>
        <v>731167</v>
      </c>
      <c r="AJ48" s="16">
        <f>X48-AG48</f>
        <v>731167</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+IF(JUNIO!A49=0,"",JUNIO!A49)</f>
        <v>1130108-1</v>
      </c>
      <c r="B49" s="654" t="str">
        <f>+CONCATENATE("Vigencia ",INSTRUCCIONES!$F$3)</f>
        <v>Vigencia 2015</v>
      </c>
      <c r="C49" s="375">
        <f>+ENERO!C49</f>
        <v>0</v>
      </c>
      <c r="D49" s="376">
        <f>JUNIO!D49+JULIO!P49</f>
        <v>0</v>
      </c>
      <c r="E49" s="376">
        <f>JUNIO!E49+JULIO!Q49</f>
        <v>0</v>
      </c>
      <c r="F49" s="376">
        <f>SUM(C49:E49)</f>
        <v>0</v>
      </c>
      <c r="G49" s="376">
        <f>JUNIO!I49</f>
        <v>0</v>
      </c>
      <c r="H49" s="377">
        <v>0</v>
      </c>
      <c r="I49" s="376">
        <f>SUM(G49:H49)</f>
        <v>0</v>
      </c>
      <c r="J49" s="376">
        <f>JUNIO!L49</f>
        <v>0</v>
      </c>
      <c r="K49" s="377">
        <v>0</v>
      </c>
      <c r="L49" s="376">
        <f>SUM(J49:K49)</f>
        <v>0</v>
      </c>
      <c r="M49" s="376">
        <f>F49-I49</f>
        <v>0</v>
      </c>
      <c r="N49" s="146">
        <f>F49-L49</f>
        <v>0</v>
      </c>
      <c r="O49" s="385"/>
      <c r="P49" s="375">
        <v>0</v>
      </c>
      <c r="Q49" s="378">
        <v>0</v>
      </c>
      <c r="R49" s="9"/>
      <c r="S49" s="719">
        <f>+IF(JUNIO!S49=0,"",JUNIO!S49)</f>
        <v>1010302</v>
      </c>
      <c r="T49" s="693" t="str">
        <f>+IF(JUNIO!T49=0,"",JUNIO!T49)</f>
        <v>Contribuciones - Otros</v>
      </c>
      <c r="U49" s="27">
        <f t="shared" ref="U49:AJ49" si="52">SUM(U50:U54)</f>
        <v>14791923</v>
      </c>
      <c r="V49" s="15">
        <f t="shared" si="52"/>
        <v>0</v>
      </c>
      <c r="W49" s="15">
        <f t="shared" si="52"/>
        <v>13408841</v>
      </c>
      <c r="X49" s="18">
        <f t="shared" si="52"/>
        <v>28200764</v>
      </c>
      <c r="Y49" s="19">
        <f t="shared" si="52"/>
        <v>19119241</v>
      </c>
      <c r="Z49" s="145">
        <f t="shared" si="52"/>
        <v>1012400</v>
      </c>
      <c r="AA49" s="18">
        <f t="shared" si="52"/>
        <v>20131641</v>
      </c>
      <c r="AB49" s="19">
        <f t="shared" si="52"/>
        <v>19119241</v>
      </c>
      <c r="AC49" s="145">
        <f t="shared" si="52"/>
        <v>1012400</v>
      </c>
      <c r="AD49" s="18">
        <f t="shared" si="52"/>
        <v>20131641</v>
      </c>
      <c r="AE49" s="19">
        <f t="shared" si="52"/>
        <v>4696300</v>
      </c>
      <c r="AF49" s="145">
        <f t="shared" si="52"/>
        <v>1014100</v>
      </c>
      <c r="AG49" s="18">
        <f t="shared" si="52"/>
        <v>5710400</v>
      </c>
      <c r="AH49" s="19">
        <f t="shared" si="52"/>
        <v>8069123</v>
      </c>
      <c r="AI49" s="15">
        <f t="shared" si="52"/>
        <v>8069123</v>
      </c>
      <c r="AJ49" s="16">
        <f t="shared" si="52"/>
        <v>22490364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+IF(JUNIO!A50=0,"",JUNIO!A50)</f>
        <v>1130108-2</v>
      </c>
      <c r="B50" s="654" t="str">
        <f>+IF(JUNIO!B50=0,"",JUNIO!B50)</f>
        <v>Vigencia Anterior</v>
      </c>
      <c r="C50" s="375">
        <f>+ENERO!C50</f>
        <v>0</v>
      </c>
      <c r="D50" s="376">
        <f>JUNIO!D50+JULIO!P50</f>
        <v>0</v>
      </c>
      <c r="E50" s="376">
        <f>JUNIO!E50+JULIO!Q50</f>
        <v>0</v>
      </c>
      <c r="F50" s="376">
        <f>SUM(C50:E50)</f>
        <v>0</v>
      </c>
      <c r="G50" s="376">
        <f>JUNIO!I50</f>
        <v>0</v>
      </c>
      <c r="H50" s="377">
        <v>0</v>
      </c>
      <c r="I50" s="376">
        <f>SUM(G50:H50)</f>
        <v>0</v>
      </c>
      <c r="J50" s="376">
        <f>JUNIO!L50</f>
        <v>0</v>
      </c>
      <c r="K50" s="377">
        <v>0</v>
      </c>
      <c r="L50" s="376">
        <f>SUM(J50:K50)</f>
        <v>0</v>
      </c>
      <c r="M50" s="376">
        <f>F50-I50</f>
        <v>0</v>
      </c>
      <c r="N50" s="146">
        <f>F50-L50</f>
        <v>0</v>
      </c>
      <c r="O50" s="385"/>
      <c r="P50" s="375">
        <v>0</v>
      </c>
      <c r="Q50" s="378">
        <v>0</v>
      </c>
      <c r="R50" s="9"/>
      <c r="S50" s="720" t="str">
        <f>+IF(JUNIO!S50=0,"",JUNIO!S50)</f>
        <v>1010302-1</v>
      </c>
      <c r="T50" s="694" t="str">
        <f>+IF(JUNIO!T50=0,"",JUNIO!T50)</f>
        <v>Aportes a E.P.S.- Con sit. Fondos</v>
      </c>
      <c r="U50" s="27">
        <f>+ENERO!U50</f>
        <v>0</v>
      </c>
      <c r="V50" s="15">
        <f>JUNIO!V50+JULIO!AL50</f>
        <v>0</v>
      </c>
      <c r="W50" s="15">
        <f>JUNIO!W50+JULIO!AM50</f>
        <v>13408841</v>
      </c>
      <c r="X50" s="18">
        <f t="shared" ref="X50:X55" si="53">SUM(U50:W50)</f>
        <v>13408841</v>
      </c>
      <c r="Y50" s="19">
        <f>JUNIO!AA50</f>
        <v>13408841</v>
      </c>
      <c r="Z50" s="377">
        <v>0</v>
      </c>
      <c r="AA50" s="18">
        <f t="shared" ref="AA50:AA55" si="54">SUM(Y50:Z50)</f>
        <v>13408841</v>
      </c>
      <c r="AB50" s="19">
        <f>JUNIO!AD50</f>
        <v>13408841</v>
      </c>
      <c r="AC50" s="377">
        <v>0</v>
      </c>
      <c r="AD50" s="18">
        <f t="shared" ref="AD50:AD55" si="55">SUM(AB50:AC50)</f>
        <v>13408841</v>
      </c>
      <c r="AE50" s="19">
        <f>JUNIO!AG50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+IF(JUNIO!A51=0,"",JUNIO!A51)</f>
        <v>1130109</v>
      </c>
      <c r="B51" s="653" t="str">
        <f>+IF(JUNIO!B51=0,"",JUNIO!B51)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+IF(JUNIO!S51=0,"",JUNIO!S51)</f>
        <v>1010302-2</v>
      </c>
      <c r="T51" s="694" t="str">
        <f>+IF(JUNIO!T51=0,"",JUNIO!T51)</f>
        <v>Aportes Fondos Pensionales - Con Sit. Fondos</v>
      </c>
      <c r="U51" s="27">
        <f>+ENERO!U51</f>
        <v>0</v>
      </c>
      <c r="V51" s="15">
        <f>JUNIO!V51+JULIO!AL51</f>
        <v>0</v>
      </c>
      <c r="W51" s="15">
        <f>JUNIO!W51+JULIO!AM51</f>
        <v>0</v>
      </c>
      <c r="X51" s="18">
        <f t="shared" si="53"/>
        <v>0</v>
      </c>
      <c r="Y51" s="19">
        <f>JUNIO!AA51</f>
        <v>0</v>
      </c>
      <c r="Z51" s="377">
        <v>0</v>
      </c>
      <c r="AA51" s="18">
        <f t="shared" si="54"/>
        <v>0</v>
      </c>
      <c r="AB51" s="19">
        <f>JUNIO!AD51</f>
        <v>0</v>
      </c>
      <c r="AC51" s="377">
        <v>0</v>
      </c>
      <c r="AD51" s="18">
        <f t="shared" si="55"/>
        <v>0</v>
      </c>
      <c r="AE51" s="19">
        <f>JUNIO!AG51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+IF(JUNIO!A52=0,"",JUNIO!A52)</f>
        <v>1130109-1</v>
      </c>
      <c r="B52" s="654" t="str">
        <f>+CONCATENATE("Vigencia ",INSTRUCCIONES!$F$3)</f>
        <v>Vigencia 2015</v>
      </c>
      <c r="C52" s="375">
        <f>+ENERO!C52</f>
        <v>0</v>
      </c>
      <c r="D52" s="376">
        <f>JUNIO!D52+JULIO!P52</f>
        <v>0</v>
      </c>
      <c r="E52" s="376">
        <f>JUNIO!E52+JULIO!Q52</f>
        <v>0</v>
      </c>
      <c r="F52" s="376">
        <f>SUM(C52:E52)</f>
        <v>0</v>
      </c>
      <c r="G52" s="376">
        <f>JUNIO!I52</f>
        <v>0</v>
      </c>
      <c r="H52" s="377">
        <v>0</v>
      </c>
      <c r="I52" s="376">
        <f>SUM(G52:H52)</f>
        <v>0</v>
      </c>
      <c r="J52" s="376">
        <f>JUNIO!L52</f>
        <v>0</v>
      </c>
      <c r="K52" s="377">
        <v>0</v>
      </c>
      <c r="L52" s="376">
        <f>SUM(J52:K52)</f>
        <v>0</v>
      </c>
      <c r="M52" s="376">
        <f>F52-I52</f>
        <v>0</v>
      </c>
      <c r="N52" s="146">
        <f>F52-L52</f>
        <v>0</v>
      </c>
      <c r="O52" s="385"/>
      <c r="P52" s="375">
        <v>0</v>
      </c>
      <c r="Q52" s="378">
        <v>0</v>
      </c>
      <c r="R52" s="9"/>
      <c r="S52" s="720" t="str">
        <f>+IF(JUNIO!S52=0,"",JUNIO!S52)</f>
        <v>1010302-3</v>
      </c>
      <c r="T52" s="694" t="str">
        <f>+IF(JUNIO!T52=0,"",JUNIO!T52)</f>
        <v xml:space="preserve">Aportes a Fondos de Cesantia - Con Sit. de Fondos </v>
      </c>
      <c r="U52" s="27">
        <f>+ENERO!U52</f>
        <v>0</v>
      </c>
      <c r="V52" s="15">
        <f>JUNIO!V52+JULIO!AL52</f>
        <v>0</v>
      </c>
      <c r="W52" s="15">
        <f>JUNIO!W52+JULIO!AM52</f>
        <v>0</v>
      </c>
      <c r="X52" s="18">
        <f t="shared" si="53"/>
        <v>0</v>
      </c>
      <c r="Y52" s="19">
        <f>JUNIO!AA52</f>
        <v>0</v>
      </c>
      <c r="Z52" s="377">
        <v>0</v>
      </c>
      <c r="AA52" s="18">
        <f t="shared" si="54"/>
        <v>0</v>
      </c>
      <c r="AB52" s="19">
        <f>JUNIO!AD52</f>
        <v>0</v>
      </c>
      <c r="AC52" s="377">
        <v>0</v>
      </c>
      <c r="AD52" s="18">
        <f t="shared" si="55"/>
        <v>0</v>
      </c>
      <c r="AE52" s="19">
        <f>JUNIO!AG52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+IF(JUNIO!A53=0,"",JUNIO!A53)</f>
        <v>1130109-2</v>
      </c>
      <c r="B53" s="654" t="str">
        <f>+IF(JUNIO!B53=0,"",JUNIO!B53)</f>
        <v>Vigencia Anterior</v>
      </c>
      <c r="C53" s="375">
        <f>+ENERO!C53</f>
        <v>0</v>
      </c>
      <c r="D53" s="376">
        <f>JUNIO!D53+JULIO!P53</f>
        <v>0</v>
      </c>
      <c r="E53" s="376">
        <f>JUNIO!E53+JULIO!Q53</f>
        <v>0</v>
      </c>
      <c r="F53" s="376">
        <f>SUM(C53:E53)</f>
        <v>0</v>
      </c>
      <c r="G53" s="376">
        <f>JUNIO!I53</f>
        <v>0</v>
      </c>
      <c r="H53" s="377">
        <v>0</v>
      </c>
      <c r="I53" s="376">
        <f>SUM(G53:H53)</f>
        <v>0</v>
      </c>
      <c r="J53" s="376">
        <f>JUNIO!L53</f>
        <v>0</v>
      </c>
      <c r="K53" s="377">
        <v>0</v>
      </c>
      <c r="L53" s="376">
        <f>SUM(J53:K53)</f>
        <v>0</v>
      </c>
      <c r="M53" s="376">
        <f>F53-I53</f>
        <v>0</v>
      </c>
      <c r="N53" s="146">
        <f>F53-L53</f>
        <v>0</v>
      </c>
      <c r="O53" s="385"/>
      <c r="P53" s="375">
        <v>0</v>
      </c>
      <c r="Q53" s="378">
        <v>0</v>
      </c>
      <c r="R53" s="9"/>
      <c r="S53" s="720" t="str">
        <f>+IF(JUNIO!S53=0,"",JUNIO!S53)</f>
        <v>1010302-4</v>
      </c>
      <c r="T53" s="694" t="str">
        <f>+IF(JUNIO!T53=0,"",JUNIO!T53)</f>
        <v>Aporte a ARL. - Con Sit. de Fondos</v>
      </c>
      <c r="U53" s="27">
        <f>+ENERO!U53</f>
        <v>0</v>
      </c>
      <c r="V53" s="15">
        <f>JUNIO!V53+JULIO!AL53</f>
        <v>0</v>
      </c>
      <c r="W53" s="15">
        <f>JUNIO!W53+JULIO!AM53</f>
        <v>0</v>
      </c>
      <c r="X53" s="18">
        <f t="shared" si="53"/>
        <v>0</v>
      </c>
      <c r="Y53" s="19">
        <f>JUNIO!AA53</f>
        <v>0</v>
      </c>
      <c r="Z53" s="377">
        <v>0</v>
      </c>
      <c r="AA53" s="18">
        <f t="shared" si="54"/>
        <v>0</v>
      </c>
      <c r="AB53" s="19">
        <f>JUNIO!AD53</f>
        <v>0</v>
      </c>
      <c r="AC53" s="377">
        <v>0</v>
      </c>
      <c r="AD53" s="18">
        <f t="shared" si="55"/>
        <v>0</v>
      </c>
      <c r="AE53" s="19">
        <f>JUNIO!AG53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+IF(JUNIO!A54=0,"",JUNIO!A54)</f>
        <v>1130110</v>
      </c>
      <c r="B54" s="653" t="str">
        <f>+IF(JUNIO!B54=0,"",JUNIO!B54)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+IF(JUNIO!S54=0,"",JUNIO!S54)</f>
        <v>1010302-5</v>
      </c>
      <c r="T54" s="694" t="str">
        <f>+IF(JUNIO!T54=0,"",JUNIO!T54)</f>
        <v>Aporte a Caja Compensación Familiar</v>
      </c>
      <c r="U54" s="27">
        <f>+ENERO!U54</f>
        <v>14791923</v>
      </c>
      <c r="V54" s="15">
        <f>JUNIO!V54+JULIO!AL54</f>
        <v>0</v>
      </c>
      <c r="W54" s="15">
        <f>JUNIO!W54+JULIO!AM54</f>
        <v>0</v>
      </c>
      <c r="X54" s="18">
        <f t="shared" si="53"/>
        <v>14791923</v>
      </c>
      <c r="Y54" s="19">
        <f>JUNIO!AA54</f>
        <v>5710400</v>
      </c>
      <c r="Z54" s="377">
        <v>1012400</v>
      </c>
      <c r="AA54" s="18">
        <f t="shared" si="54"/>
        <v>6722800</v>
      </c>
      <c r="AB54" s="19">
        <f>JUNIO!AD54</f>
        <v>5710400</v>
      </c>
      <c r="AC54" s="377">
        <v>1012400</v>
      </c>
      <c r="AD54" s="18">
        <f t="shared" si="55"/>
        <v>6722800</v>
      </c>
      <c r="AE54" s="19">
        <f>JUNIO!AG54</f>
        <v>4696300</v>
      </c>
      <c r="AF54" s="377">
        <v>1014100</v>
      </c>
      <c r="AG54" s="18">
        <f t="shared" si="56"/>
        <v>5710400</v>
      </c>
      <c r="AH54" s="19">
        <f t="shared" si="57"/>
        <v>8069123</v>
      </c>
      <c r="AI54" s="15">
        <f t="shared" si="58"/>
        <v>8069123</v>
      </c>
      <c r="AJ54" s="16">
        <f t="shared" si="59"/>
        <v>9081523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+IF(JUNIO!A55=0,"",JUNIO!A55)</f>
        <v>1130110-1</v>
      </c>
      <c r="B55" s="654" t="str">
        <f>+CONCATENATE("Vigencia ",INSTRUCCIONES!$F$3)</f>
        <v>Vigencia 2015</v>
      </c>
      <c r="C55" s="375">
        <f>+ENERO!C55</f>
        <v>0</v>
      </c>
      <c r="D55" s="376">
        <f>JUNIO!D55+JULIO!P55</f>
        <v>0</v>
      </c>
      <c r="E55" s="376">
        <f>JUNIO!E55+JULIO!Q55</f>
        <v>0</v>
      </c>
      <c r="F55" s="376">
        <f>SUM(C55:E55)</f>
        <v>0</v>
      </c>
      <c r="G55" s="376">
        <f>JUNIO!I55</f>
        <v>0</v>
      </c>
      <c r="H55" s="377">
        <v>0</v>
      </c>
      <c r="I55" s="376">
        <f>SUM(G55:H55)</f>
        <v>0</v>
      </c>
      <c r="J55" s="376">
        <f>JUNIO!L55</f>
        <v>0</v>
      </c>
      <c r="K55" s="377">
        <v>0</v>
      </c>
      <c r="L55" s="376">
        <f>SUM(J55:K55)</f>
        <v>0</v>
      </c>
      <c r="M55" s="376">
        <f>F55-I55</f>
        <v>0</v>
      </c>
      <c r="N55" s="146">
        <f>F55-L55</f>
        <v>0</v>
      </c>
      <c r="O55" s="385"/>
      <c r="P55" s="375">
        <v>0</v>
      </c>
      <c r="Q55" s="378">
        <v>0</v>
      </c>
      <c r="R55" s="9"/>
      <c r="S55" s="719">
        <f>+IF(JUNIO!S55=0,"",JUNIO!S55)</f>
        <v>1010399</v>
      </c>
      <c r="T55" s="693" t="str">
        <f>+IF(JUNIO!T55=0,"",JUNIO!T55)</f>
        <v>Vigencias Anteriores</v>
      </c>
      <c r="U55" s="27">
        <f>+ENERO!U55</f>
        <v>0</v>
      </c>
      <c r="V55" s="15">
        <f>JUNIO!V55+JULIO!AL55</f>
        <v>0</v>
      </c>
      <c r="W55" s="15">
        <f>JUNIO!W55+JULIO!AM55</f>
        <v>29964174</v>
      </c>
      <c r="X55" s="18">
        <f t="shared" si="53"/>
        <v>29964174</v>
      </c>
      <c r="Y55" s="19">
        <f>JUNIO!AA55</f>
        <v>29964174</v>
      </c>
      <c r="Z55" s="377">
        <v>0</v>
      </c>
      <c r="AA55" s="18">
        <f t="shared" si="54"/>
        <v>29964174</v>
      </c>
      <c r="AB55" s="19">
        <f>JUNIO!AD55</f>
        <v>29964174</v>
      </c>
      <c r="AC55" s="377">
        <v>0</v>
      </c>
      <c r="AD55" s="18">
        <f t="shared" si="55"/>
        <v>29964174</v>
      </c>
      <c r="AE55" s="19">
        <f>JUNIO!AG55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+IF(JUNIO!A56=0,"",JUNIO!A56)</f>
        <v>1130110-2</v>
      </c>
      <c r="B56" s="654" t="str">
        <f>+IF(JUNIO!B56=0,"",JUNIO!B56)</f>
        <v>Vigencia Anterior</v>
      </c>
      <c r="C56" s="375">
        <f>+ENERO!C56</f>
        <v>0</v>
      </c>
      <c r="D56" s="376">
        <f>JUNIO!D56+JULIO!P56</f>
        <v>0</v>
      </c>
      <c r="E56" s="376">
        <f>JUNIO!E56+JULIO!Q56</f>
        <v>0</v>
      </c>
      <c r="F56" s="376">
        <f>SUM(C56:E56)</f>
        <v>0</v>
      </c>
      <c r="G56" s="376">
        <f>JUNIO!I56</f>
        <v>0</v>
      </c>
      <c r="H56" s="377">
        <v>0</v>
      </c>
      <c r="I56" s="376">
        <f>SUM(G56:H56)</f>
        <v>0</v>
      </c>
      <c r="J56" s="376">
        <f>JUNIO!L56</f>
        <v>0</v>
      </c>
      <c r="K56" s="377">
        <v>0</v>
      </c>
      <c r="L56" s="376">
        <f>SUM(J56:K56)</f>
        <v>0</v>
      </c>
      <c r="M56" s="376">
        <f>F56-I56</f>
        <v>0</v>
      </c>
      <c r="N56" s="146">
        <f>F56-L56</f>
        <v>0</v>
      </c>
      <c r="O56" s="385"/>
      <c r="P56" s="375">
        <v>0</v>
      </c>
      <c r="Q56" s="378">
        <v>0</v>
      </c>
      <c r="R56" s="9"/>
      <c r="S56" s="369" t="str">
        <f>+IF(JUNIO!S56=0,"",JUNIO!S56)</f>
        <v/>
      </c>
      <c r="T56" s="708" t="str">
        <f>+IF(JUNIO!T56=0,"",JUNIO!T56)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+IF(JUNIO!A57=0,"",JUNIO!A57)</f>
        <v>1130111</v>
      </c>
      <c r="B57" s="653" t="str">
        <f>+IF(JUNIO!B57=0,"",JUNIO!B57)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+IF(JUNIO!S57=0,"",JUNIO!S57)</f>
        <v>1010400</v>
      </c>
      <c r="T57" s="692" t="str">
        <f>+IF(JUNIO!T57=0,"",JUNIO!T57)</f>
        <v>Contribuciones Inherentes nómina del Sector Publico</v>
      </c>
      <c r="U57" s="135">
        <f t="shared" ref="U57:AJ57" si="63">U58+U61</f>
        <v>18489903</v>
      </c>
      <c r="V57" s="124">
        <f t="shared" si="63"/>
        <v>0</v>
      </c>
      <c r="W57" s="124">
        <f t="shared" si="63"/>
        <v>1280600</v>
      </c>
      <c r="X57" s="132">
        <f t="shared" si="63"/>
        <v>19770503</v>
      </c>
      <c r="Y57" s="131">
        <f t="shared" si="63"/>
        <v>9589800</v>
      </c>
      <c r="Z57" s="124">
        <f t="shared" si="63"/>
        <v>1265700</v>
      </c>
      <c r="AA57" s="132">
        <f t="shared" si="63"/>
        <v>10855500</v>
      </c>
      <c r="AB57" s="131">
        <f t="shared" si="63"/>
        <v>9589800</v>
      </c>
      <c r="AC57" s="124">
        <f t="shared" si="63"/>
        <v>1265700</v>
      </c>
      <c r="AD57" s="132">
        <f t="shared" si="63"/>
        <v>10855500</v>
      </c>
      <c r="AE57" s="131">
        <f t="shared" si="63"/>
        <v>8322100</v>
      </c>
      <c r="AF57" s="124">
        <f t="shared" si="63"/>
        <v>1267700</v>
      </c>
      <c r="AG57" s="132">
        <f t="shared" si="63"/>
        <v>9589800</v>
      </c>
      <c r="AH57" s="131">
        <f t="shared" si="63"/>
        <v>8915003</v>
      </c>
      <c r="AI57" s="124">
        <f t="shared" si="63"/>
        <v>8915003</v>
      </c>
      <c r="AJ57" s="133">
        <f t="shared" si="63"/>
        <v>10180703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+IF(JUNIO!A58=0,"",JUNIO!A58)</f>
        <v>1130111-1</v>
      </c>
      <c r="B58" s="654" t="str">
        <f>+CONCATENATE("Vigencia ",INSTRUCCIONES!$F$3)</f>
        <v>Vigencia 2015</v>
      </c>
      <c r="C58" s="375">
        <f>+ENERO!C58</f>
        <v>0</v>
      </c>
      <c r="D58" s="376">
        <f>JUNIO!D58+JULIO!P58</f>
        <v>0</v>
      </c>
      <c r="E58" s="376">
        <f>JUNIO!E58+JULIO!Q58</f>
        <v>0</v>
      </c>
      <c r="F58" s="376">
        <f>SUM(C58:E58)</f>
        <v>0</v>
      </c>
      <c r="G58" s="376">
        <f>JUNIO!I58</f>
        <v>0</v>
      </c>
      <c r="H58" s="377">
        <v>0</v>
      </c>
      <c r="I58" s="376">
        <f>SUM(G58:H58)</f>
        <v>0</v>
      </c>
      <c r="J58" s="376">
        <f>JUNIO!L58</f>
        <v>0</v>
      </c>
      <c r="K58" s="377">
        <v>0</v>
      </c>
      <c r="L58" s="376">
        <f>SUM(J58:K58)</f>
        <v>0</v>
      </c>
      <c r="M58" s="376">
        <f>F58-I58</f>
        <v>0</v>
      </c>
      <c r="N58" s="146">
        <f>F58-L58</f>
        <v>0</v>
      </c>
      <c r="O58" s="385"/>
      <c r="P58" s="375">
        <v>0</v>
      </c>
      <c r="Q58" s="378">
        <v>0</v>
      </c>
      <c r="R58" s="9"/>
      <c r="S58" s="719">
        <f>+IF(JUNIO!S58=0,"",JUNIO!S58)</f>
        <v>1010402</v>
      </c>
      <c r="T58" s="693" t="str">
        <f>+IF(JUNIO!T58=0,"",JUNIO!T58)</f>
        <v>Contribuciones - Otros</v>
      </c>
      <c r="U58" s="27">
        <f t="shared" ref="U58:AJ58" si="64">SUM(U59:U60)</f>
        <v>18489903</v>
      </c>
      <c r="V58" s="15">
        <f t="shared" si="64"/>
        <v>0</v>
      </c>
      <c r="W58" s="15">
        <f t="shared" si="64"/>
        <v>0</v>
      </c>
      <c r="X58" s="18">
        <f t="shared" si="64"/>
        <v>18489903</v>
      </c>
      <c r="Y58" s="19">
        <f t="shared" si="64"/>
        <v>8309200</v>
      </c>
      <c r="Z58" s="145">
        <f t="shared" si="64"/>
        <v>1265700</v>
      </c>
      <c r="AA58" s="18">
        <f t="shared" si="64"/>
        <v>9574900</v>
      </c>
      <c r="AB58" s="19">
        <f t="shared" si="64"/>
        <v>8309200</v>
      </c>
      <c r="AC58" s="145">
        <f t="shared" si="64"/>
        <v>1265700</v>
      </c>
      <c r="AD58" s="18">
        <f t="shared" si="64"/>
        <v>9574900</v>
      </c>
      <c r="AE58" s="19">
        <f t="shared" si="64"/>
        <v>7041500</v>
      </c>
      <c r="AF58" s="145">
        <f t="shared" si="64"/>
        <v>1267700</v>
      </c>
      <c r="AG58" s="18">
        <f t="shared" si="64"/>
        <v>8309200</v>
      </c>
      <c r="AH58" s="19">
        <f t="shared" si="64"/>
        <v>8915003</v>
      </c>
      <c r="AI58" s="15">
        <f t="shared" si="64"/>
        <v>8915003</v>
      </c>
      <c r="AJ58" s="16">
        <f t="shared" si="64"/>
        <v>10180703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+IF(JUNIO!A59=0,"",JUNIO!A59)</f>
        <v>1130111-2</v>
      </c>
      <c r="B59" s="654" t="str">
        <f>+IF(JUNIO!B59=0,"",JUNIO!B59)</f>
        <v>Vigencia Anterior</v>
      </c>
      <c r="C59" s="375">
        <f>+ENERO!C59</f>
        <v>0</v>
      </c>
      <c r="D59" s="376">
        <f>JUNIO!D59+JULIO!P59</f>
        <v>0</v>
      </c>
      <c r="E59" s="376">
        <f>JUNIO!E59+JULIO!Q59</f>
        <v>0</v>
      </c>
      <c r="F59" s="376">
        <f>SUM(C59:E59)</f>
        <v>0</v>
      </c>
      <c r="G59" s="376">
        <f>JUNIO!I59</f>
        <v>0</v>
      </c>
      <c r="H59" s="377">
        <v>0</v>
      </c>
      <c r="I59" s="376">
        <f>SUM(G59:H59)</f>
        <v>0</v>
      </c>
      <c r="J59" s="376">
        <f>JUNIO!L59</f>
        <v>0</v>
      </c>
      <c r="K59" s="377">
        <v>0</v>
      </c>
      <c r="L59" s="376">
        <f>SUM(J59:K59)</f>
        <v>0</v>
      </c>
      <c r="M59" s="376">
        <f>F59-I59</f>
        <v>0</v>
      </c>
      <c r="N59" s="146">
        <f>F59-L59</f>
        <v>0</v>
      </c>
      <c r="O59" s="385"/>
      <c r="P59" s="375">
        <v>0</v>
      </c>
      <c r="Q59" s="378">
        <v>0</v>
      </c>
      <c r="R59" s="9"/>
      <c r="S59" s="720" t="str">
        <f>+IF(JUNIO!S59=0,"",JUNIO!S59)</f>
        <v>1010402-1</v>
      </c>
      <c r="T59" s="693" t="str">
        <f>+IF(JUNIO!T59=0,"",JUNIO!T59)</f>
        <v>S.E.N.A.</v>
      </c>
      <c r="U59" s="27">
        <f>+ENERO!U59</f>
        <v>7395961</v>
      </c>
      <c r="V59" s="15">
        <f>JUNIO!V59+JULIO!AL59</f>
        <v>0</v>
      </c>
      <c r="W59" s="15">
        <f>JUNIO!W59+JULIO!AM59</f>
        <v>0</v>
      </c>
      <c r="X59" s="18">
        <f>SUM(U59:W59)</f>
        <v>7395961</v>
      </c>
      <c r="Y59" s="19">
        <f>JUNIO!AA59</f>
        <v>3366900</v>
      </c>
      <c r="Z59" s="377">
        <v>506400</v>
      </c>
      <c r="AA59" s="18">
        <f>SUM(Y59:Z59)</f>
        <v>3873300</v>
      </c>
      <c r="AB59" s="19">
        <f>JUNIO!AD59</f>
        <v>3366900</v>
      </c>
      <c r="AC59" s="377">
        <v>506400</v>
      </c>
      <c r="AD59" s="18">
        <f>SUM(AB59:AC59)</f>
        <v>3873300</v>
      </c>
      <c r="AE59" s="19">
        <f>JUNIO!AG59</f>
        <v>2859700</v>
      </c>
      <c r="AF59" s="377">
        <v>507200</v>
      </c>
      <c r="AG59" s="18">
        <f>SUM(AE59:AF59)</f>
        <v>3366900</v>
      </c>
      <c r="AH59" s="19">
        <f>X59-AA59</f>
        <v>3522661</v>
      </c>
      <c r="AI59" s="15">
        <f>X59-AD59</f>
        <v>3522661</v>
      </c>
      <c r="AJ59" s="16">
        <f>X59-AG59</f>
        <v>4029061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+IF(JUNIO!A60=0,"",JUNIO!A60)</f>
        <v>1130112</v>
      </c>
      <c r="B60" s="653" t="str">
        <f>+IF(JUNIO!B60=0,"",JUNIO!B60)</f>
        <v>IPS PUBLICAS</v>
      </c>
      <c r="C60" s="43">
        <f t="shared" ref="C60:N60" si="65">SUM(C61:C62)</f>
        <v>3473660</v>
      </c>
      <c r="D60" s="44">
        <f t="shared" si="65"/>
        <v>0</v>
      </c>
      <c r="E60" s="44">
        <f t="shared" si="65"/>
        <v>0</v>
      </c>
      <c r="F60" s="44">
        <f t="shared" si="65"/>
        <v>3473660</v>
      </c>
      <c r="G60" s="44">
        <f t="shared" si="65"/>
        <v>3782816</v>
      </c>
      <c r="H60" s="44">
        <f t="shared" si="65"/>
        <v>241933</v>
      </c>
      <c r="I60" s="44">
        <f t="shared" si="65"/>
        <v>4024749</v>
      </c>
      <c r="J60" s="44">
        <f t="shared" si="65"/>
        <v>718248</v>
      </c>
      <c r="K60" s="44">
        <f t="shared" si="65"/>
        <v>533320</v>
      </c>
      <c r="L60" s="44">
        <f t="shared" si="65"/>
        <v>1251568</v>
      </c>
      <c r="M60" s="44">
        <f t="shared" si="65"/>
        <v>-551089</v>
      </c>
      <c r="N60" s="45">
        <f t="shared" si="65"/>
        <v>2222092</v>
      </c>
      <c r="P60" s="43">
        <f>SUM(P61:P62)</f>
        <v>0</v>
      </c>
      <c r="Q60" s="45">
        <f>SUM(Q61:Q62)</f>
        <v>0</v>
      </c>
      <c r="R60" s="9"/>
      <c r="S60" s="720" t="str">
        <f>+IF(JUNIO!S60=0,"",JUNIO!S60)</f>
        <v>1010402-2</v>
      </c>
      <c r="T60" s="693" t="str">
        <f>+IF(JUNIO!T60=0,"",JUNIO!T60)</f>
        <v>I.C.B.F.</v>
      </c>
      <c r="U60" s="27">
        <f>+ENERO!U60</f>
        <v>11093942</v>
      </c>
      <c r="V60" s="15">
        <f>JUNIO!V60+JULIO!AL60</f>
        <v>0</v>
      </c>
      <c r="W60" s="15">
        <f>JUNIO!W60+JULIO!AM60</f>
        <v>0</v>
      </c>
      <c r="X60" s="18">
        <f>SUM(U60:W60)</f>
        <v>11093942</v>
      </c>
      <c r="Y60" s="19">
        <f>JUNIO!AA60</f>
        <v>4942300</v>
      </c>
      <c r="Z60" s="377">
        <v>759300</v>
      </c>
      <c r="AA60" s="18">
        <f>SUM(Y60:Z60)</f>
        <v>5701600</v>
      </c>
      <c r="AB60" s="19">
        <f>JUNIO!AD60</f>
        <v>4942300</v>
      </c>
      <c r="AC60" s="377">
        <v>759300</v>
      </c>
      <c r="AD60" s="18">
        <f>SUM(AB60:AC60)</f>
        <v>5701600</v>
      </c>
      <c r="AE60" s="19">
        <f>JUNIO!AG60</f>
        <v>4181800</v>
      </c>
      <c r="AF60" s="377">
        <v>760500</v>
      </c>
      <c r="AG60" s="18">
        <f>SUM(AE60:AF60)</f>
        <v>4942300</v>
      </c>
      <c r="AH60" s="19">
        <f>X60-AA60</f>
        <v>5392342</v>
      </c>
      <c r="AI60" s="15">
        <f>X60-AD60</f>
        <v>5392342</v>
      </c>
      <c r="AJ60" s="16">
        <f>X60-AG60</f>
        <v>6151642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+IF(JUNIO!A61=0,"",JUNIO!A61)</f>
        <v>1130112-1</v>
      </c>
      <c r="B61" s="654" t="str">
        <f>+CONCATENATE("Vigencia ",INSTRUCCIONES!$F$3)</f>
        <v>Vigencia 2015</v>
      </c>
      <c r="C61" s="375">
        <f>+ENERO!C61</f>
        <v>3473660</v>
      </c>
      <c r="D61" s="376">
        <f>JUNIO!D61+JULIO!P61</f>
        <v>0</v>
      </c>
      <c r="E61" s="376">
        <f>JUNIO!E61+JULIO!Q61</f>
        <v>0</v>
      </c>
      <c r="F61" s="376">
        <f>SUM(C61:E61)</f>
        <v>3473660</v>
      </c>
      <c r="G61" s="376">
        <f>JUNIO!I61</f>
        <v>3406276</v>
      </c>
      <c r="H61" s="377">
        <v>241933</v>
      </c>
      <c r="I61" s="376">
        <f>SUM(G61:H61)</f>
        <v>3648209</v>
      </c>
      <c r="J61" s="376">
        <f>JUNIO!L61</f>
        <v>341708</v>
      </c>
      <c r="K61" s="377">
        <v>533320</v>
      </c>
      <c r="L61" s="376">
        <f>SUM(J61:K61)</f>
        <v>875028</v>
      </c>
      <c r="M61" s="376">
        <f>F61-I61</f>
        <v>-174549</v>
      </c>
      <c r="N61" s="146">
        <f>F61-L61</f>
        <v>2598632</v>
      </c>
      <c r="O61" s="385"/>
      <c r="P61" s="375">
        <v>0</v>
      </c>
      <c r="Q61" s="378">
        <v>0</v>
      </c>
      <c r="R61" s="9"/>
      <c r="S61" s="719">
        <f>+IF(JUNIO!S61=0,"",JUNIO!S61)</f>
        <v>1010499</v>
      </c>
      <c r="T61" s="693" t="str">
        <f>+IF(JUNIO!T61=0,"",JUNIO!T61)</f>
        <v>Vigencias Anteriores</v>
      </c>
      <c r="U61" s="27">
        <f>+ENERO!U61</f>
        <v>0</v>
      </c>
      <c r="V61" s="15">
        <f>JUNIO!V61+JULIO!AL61</f>
        <v>0</v>
      </c>
      <c r="W61" s="15">
        <f>JUNIO!W61+JULIO!AM61</f>
        <v>1280600</v>
      </c>
      <c r="X61" s="18">
        <f>SUM(U61:W61)</f>
        <v>1280600</v>
      </c>
      <c r="Y61" s="19">
        <f>JUNIO!AA61</f>
        <v>1280600</v>
      </c>
      <c r="Z61" s="377">
        <v>0</v>
      </c>
      <c r="AA61" s="18">
        <f>SUM(Y61:Z61)</f>
        <v>1280600</v>
      </c>
      <c r="AB61" s="19">
        <f>JUNIO!AD61</f>
        <v>1280600</v>
      </c>
      <c r="AC61" s="377">
        <v>0</v>
      </c>
      <c r="AD61" s="18">
        <f>SUM(AB61:AC61)</f>
        <v>1280600</v>
      </c>
      <c r="AE61" s="19">
        <f>JUNIO!AG61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+IF(JUNIO!A62=0,"",JUNIO!A62)</f>
        <v>1130112-2</v>
      </c>
      <c r="B62" s="654" t="str">
        <f>+IF(JUNIO!B62=0,"",JUNIO!B62)</f>
        <v>Vigencia Anterior</v>
      </c>
      <c r="C62" s="375">
        <f>+ENERO!C62</f>
        <v>0</v>
      </c>
      <c r="D62" s="376">
        <f>JUNIO!D62+JULIO!P62</f>
        <v>0</v>
      </c>
      <c r="E62" s="376">
        <f>JUNIO!E62+JULIO!Q62</f>
        <v>0</v>
      </c>
      <c r="F62" s="376">
        <f>SUM(C62:E62)</f>
        <v>0</v>
      </c>
      <c r="G62" s="376">
        <f>JUNIO!I62</f>
        <v>376540</v>
      </c>
      <c r="H62" s="377">
        <v>0</v>
      </c>
      <c r="I62" s="376">
        <f>SUM(G62:H62)</f>
        <v>376540</v>
      </c>
      <c r="J62" s="376">
        <f>JUNIO!L62</f>
        <v>376540</v>
      </c>
      <c r="K62" s="377">
        <v>0</v>
      </c>
      <c r="L62" s="376">
        <f>SUM(J62:K62)</f>
        <v>376540</v>
      </c>
      <c r="M62" s="376">
        <f>F62-I62</f>
        <v>-376540</v>
      </c>
      <c r="N62" s="146">
        <f>F62-L62</f>
        <v>-376540</v>
      </c>
      <c r="O62" s="385"/>
      <c r="P62" s="375">
        <v>0</v>
      </c>
      <c r="Q62" s="378">
        <v>0</v>
      </c>
      <c r="R62" s="9"/>
      <c r="S62" s="369" t="str">
        <f>+IF(JUNIO!S62=0,"",JUNIO!S62)</f>
        <v/>
      </c>
      <c r="T62" s="708" t="str">
        <f>+IF(JUNIO!T62=0,"",JUNIO!T62)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+IF(JUNIO!A63=0,"",JUNIO!A63)</f>
        <v>1130113</v>
      </c>
      <c r="B63" s="653" t="str">
        <f>+IF(JUNIO!B63=0,"",JUNIO!B63)</f>
        <v>COMPAÑIAS DE SEGUROS  - ACCIDENTES DE TRANSITO (SOAT)</v>
      </c>
      <c r="C63" s="43">
        <f t="shared" ref="C63:N63" si="66">SUM(C64:C65)</f>
        <v>22951026</v>
      </c>
      <c r="D63" s="44">
        <f t="shared" si="66"/>
        <v>0</v>
      </c>
      <c r="E63" s="44">
        <f t="shared" si="66"/>
        <v>2940835</v>
      </c>
      <c r="F63" s="44">
        <f t="shared" si="66"/>
        <v>25891861</v>
      </c>
      <c r="G63" s="44">
        <f t="shared" si="66"/>
        <v>14960070</v>
      </c>
      <c r="H63" s="44">
        <f t="shared" si="66"/>
        <v>6759957</v>
      </c>
      <c r="I63" s="44">
        <f t="shared" si="66"/>
        <v>21720027</v>
      </c>
      <c r="J63" s="44">
        <f t="shared" si="66"/>
        <v>7183473</v>
      </c>
      <c r="K63" s="44">
        <f t="shared" si="66"/>
        <v>1220950</v>
      </c>
      <c r="L63" s="44">
        <f t="shared" si="66"/>
        <v>8404423</v>
      </c>
      <c r="M63" s="44">
        <f t="shared" si="66"/>
        <v>4171834</v>
      </c>
      <c r="N63" s="45">
        <f t="shared" si="66"/>
        <v>17487438</v>
      </c>
      <c r="P63" s="43">
        <f>SUM(P64:P65)</f>
        <v>0</v>
      </c>
      <c r="Q63" s="45">
        <f>SUM(Q64:Q65)</f>
        <v>0</v>
      </c>
      <c r="R63" s="9"/>
      <c r="S63" s="717">
        <f>+IF(JUNIO!S63=0,"",JUNIO!S63)</f>
        <v>1020010</v>
      </c>
      <c r="T63" s="691" t="str">
        <f>+IF(JUNIO!T63=0,"",JUNIO!T63)</f>
        <v>Gastos de Operación</v>
      </c>
      <c r="U63" s="135">
        <f t="shared" ref="U63:AJ63" si="67">U65+U83+U90+U104</f>
        <v>1276921669</v>
      </c>
      <c r="V63" s="124">
        <f t="shared" si="67"/>
        <v>69300000</v>
      </c>
      <c r="W63" s="124">
        <f t="shared" si="67"/>
        <v>78294418</v>
      </c>
      <c r="X63" s="132">
        <f t="shared" si="67"/>
        <v>1424516087</v>
      </c>
      <c r="Y63" s="131">
        <f t="shared" si="67"/>
        <v>764294199</v>
      </c>
      <c r="Z63" s="124">
        <f t="shared" si="67"/>
        <v>88791617</v>
      </c>
      <c r="AA63" s="132">
        <f t="shared" si="67"/>
        <v>853085816</v>
      </c>
      <c r="AB63" s="131">
        <f t="shared" si="67"/>
        <v>683544199</v>
      </c>
      <c r="AC63" s="124">
        <f t="shared" si="67"/>
        <v>102891617</v>
      </c>
      <c r="AD63" s="132">
        <f t="shared" si="67"/>
        <v>786435816</v>
      </c>
      <c r="AE63" s="131">
        <f t="shared" si="67"/>
        <v>603304410</v>
      </c>
      <c r="AF63" s="124">
        <f t="shared" si="67"/>
        <v>107414245</v>
      </c>
      <c r="AG63" s="132">
        <f t="shared" si="67"/>
        <v>710718655</v>
      </c>
      <c r="AH63" s="131">
        <f t="shared" si="67"/>
        <v>571430271</v>
      </c>
      <c r="AI63" s="124">
        <f t="shared" si="67"/>
        <v>638080271</v>
      </c>
      <c r="AJ63" s="133">
        <f t="shared" si="67"/>
        <v>713797432</v>
      </c>
      <c r="AK63" s="9"/>
      <c r="AL63" s="131">
        <f>AL65+AL83+AL90+AL104</f>
        <v>25300000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+IF(JUNIO!A64=0,"",JUNIO!A64)</f>
        <v>1130113-1</v>
      </c>
      <c r="B64" s="654" t="str">
        <f>+CONCATENATE("Vigencia ",INSTRUCCIONES!$F$3)</f>
        <v>Vigencia 2015</v>
      </c>
      <c r="C64" s="375">
        <f>+ENERO!C64</f>
        <v>22951026</v>
      </c>
      <c r="D64" s="376">
        <f>JUNIO!D64+JULIO!P64</f>
        <v>0</v>
      </c>
      <c r="E64" s="376">
        <f>JUNIO!E64+JULIO!Q64</f>
        <v>0</v>
      </c>
      <c r="F64" s="376">
        <f>SUM(C64:E64)</f>
        <v>22951026</v>
      </c>
      <c r="G64" s="376">
        <f>JUNIO!I64</f>
        <v>11652218</v>
      </c>
      <c r="H64" s="377">
        <v>6759957</v>
      </c>
      <c r="I64" s="376">
        <f>SUM(G64:H64)</f>
        <v>18412175</v>
      </c>
      <c r="J64" s="376">
        <f>JUNIO!L64</f>
        <v>3875621</v>
      </c>
      <c r="K64" s="377">
        <v>1220950</v>
      </c>
      <c r="L64" s="376">
        <f>SUM(J64:K64)</f>
        <v>5096571</v>
      </c>
      <c r="M64" s="376">
        <f>F64-I64</f>
        <v>4538851</v>
      </c>
      <c r="N64" s="146">
        <f>F64-L64</f>
        <v>17854455</v>
      </c>
      <c r="O64" s="385"/>
      <c r="P64" s="375">
        <v>0</v>
      </c>
      <c r="Q64" s="378">
        <v>0</v>
      </c>
      <c r="R64" s="9"/>
      <c r="S64" s="369" t="str">
        <f>+IF(JUNIO!S64=0,"",JUNIO!S64)</f>
        <v/>
      </c>
      <c r="T64" s="708" t="str">
        <f>+IF(JUNIO!T64=0,"",JUNIO!T64)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+IF(JUNIO!A65=0,"",JUNIO!A65)</f>
        <v>1130113-2</v>
      </c>
      <c r="B65" s="654" t="str">
        <f>+IF(JUNIO!B65=0,"",JUNIO!B65)</f>
        <v>Vigencia Anterior</v>
      </c>
      <c r="C65" s="375">
        <f>+ENERO!C65</f>
        <v>0</v>
      </c>
      <c r="D65" s="376">
        <f>JUNIO!D65+JULIO!P65</f>
        <v>0</v>
      </c>
      <c r="E65" s="376">
        <f>JUNIO!E65+JULIO!Q65</f>
        <v>2940835</v>
      </c>
      <c r="F65" s="376">
        <f>SUM(C65:E65)</f>
        <v>2940835</v>
      </c>
      <c r="G65" s="376">
        <f>JUNIO!I65</f>
        <v>3307852</v>
      </c>
      <c r="H65" s="377">
        <v>0</v>
      </c>
      <c r="I65" s="376">
        <f>SUM(G65:H65)</f>
        <v>3307852</v>
      </c>
      <c r="J65" s="376">
        <f>JUNIO!L65</f>
        <v>3307852</v>
      </c>
      <c r="K65" s="377">
        <v>0</v>
      </c>
      <c r="L65" s="376">
        <f>SUM(J65:K65)</f>
        <v>3307852</v>
      </c>
      <c r="M65" s="376">
        <f>F65-I65</f>
        <v>-367017</v>
      </c>
      <c r="N65" s="146">
        <f>F65-L65</f>
        <v>-367017</v>
      </c>
      <c r="O65" s="385"/>
      <c r="P65" s="375">
        <v>0</v>
      </c>
      <c r="Q65" s="378">
        <v>0</v>
      </c>
      <c r="R65" s="9"/>
      <c r="S65" s="718">
        <f>+IF(JUNIO!S65=0,"",JUNIO!S65)</f>
        <v>1020100</v>
      </c>
      <c r="T65" s="692" t="str">
        <f>+IF(JUNIO!T65=0,"",JUNIO!T65)</f>
        <v>Servicios Personales Asociados a Nómina</v>
      </c>
      <c r="U65" s="135">
        <f t="shared" ref="U65:AJ65" si="68">SUM(U66:U69)+U81</f>
        <v>815343813</v>
      </c>
      <c r="V65" s="124">
        <f t="shared" si="68"/>
        <v>45300000</v>
      </c>
      <c r="W65" s="124">
        <f t="shared" si="68"/>
        <v>13655677</v>
      </c>
      <c r="X65" s="132">
        <f t="shared" si="68"/>
        <v>874299490</v>
      </c>
      <c r="Y65" s="131">
        <f t="shared" si="68"/>
        <v>404128979</v>
      </c>
      <c r="Z65" s="124">
        <f t="shared" si="68"/>
        <v>67674235</v>
      </c>
      <c r="AA65" s="132">
        <f t="shared" si="68"/>
        <v>471803214</v>
      </c>
      <c r="AB65" s="131">
        <f t="shared" si="68"/>
        <v>404128979</v>
      </c>
      <c r="AC65" s="124">
        <f t="shared" si="68"/>
        <v>67674235</v>
      </c>
      <c r="AD65" s="132">
        <f t="shared" si="68"/>
        <v>471803214</v>
      </c>
      <c r="AE65" s="131">
        <f t="shared" si="68"/>
        <v>370089663</v>
      </c>
      <c r="AF65" s="124">
        <f t="shared" si="68"/>
        <v>65575721</v>
      </c>
      <c r="AG65" s="132">
        <f t="shared" si="68"/>
        <v>435665384</v>
      </c>
      <c r="AH65" s="131">
        <f t="shared" si="68"/>
        <v>402496276</v>
      </c>
      <c r="AI65" s="124">
        <f t="shared" si="68"/>
        <v>402496276</v>
      </c>
      <c r="AJ65" s="133">
        <f t="shared" si="68"/>
        <v>438634106</v>
      </c>
      <c r="AK65" s="9"/>
      <c r="AL65" s="131">
        <f>SUM(AL66:AL69)+AL81</f>
        <v>25300000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+IF(JUNIO!A66=0,"",JUNIO!A66)</f>
        <v>1130114</v>
      </c>
      <c r="B66" s="653" t="str">
        <f>+IF(JUNIO!B66=0,"",JUNIO!B66)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+IF(JUNIO!S66=0,"",JUNIO!S66)</f>
        <v>1020101</v>
      </c>
      <c r="T66" s="693" t="str">
        <f>+IF(JUNIO!T66=0,"",JUNIO!T66)</f>
        <v>Sueldos del Personal de nómina</v>
      </c>
      <c r="U66" s="27">
        <f>+ENERO!U66</f>
        <v>641065344</v>
      </c>
      <c r="V66" s="15">
        <f>JUNIO!V66+JULIO!AL66</f>
        <v>-2300000</v>
      </c>
      <c r="W66" s="15">
        <f>JUNIO!W66+JULIO!AM66</f>
        <v>0</v>
      </c>
      <c r="X66" s="18">
        <f>SUM(U66:W66)</f>
        <v>638765344</v>
      </c>
      <c r="Y66" s="19">
        <f>JUNIO!AA66</f>
        <v>312631443</v>
      </c>
      <c r="Z66" s="377">
        <v>51536312</v>
      </c>
      <c r="AA66" s="18">
        <f>SUM(Y66:Z66)</f>
        <v>364167755</v>
      </c>
      <c r="AB66" s="19">
        <f>JUNIO!AD66</f>
        <v>312631443</v>
      </c>
      <c r="AC66" s="377">
        <v>51536312</v>
      </c>
      <c r="AD66" s="18">
        <f>SUM(AB66:AC66)</f>
        <v>364167755</v>
      </c>
      <c r="AE66" s="19">
        <f>JUNIO!AG66</f>
        <v>290224462</v>
      </c>
      <c r="AF66" s="377">
        <v>49824718</v>
      </c>
      <c r="AG66" s="18">
        <f>SUM(AE66:AF66)</f>
        <v>340049180</v>
      </c>
      <c r="AH66" s="19">
        <f>X66-AA66</f>
        <v>274597589</v>
      </c>
      <c r="AI66" s="15">
        <f>X66-AD66</f>
        <v>274597589</v>
      </c>
      <c r="AJ66" s="16">
        <f>X66-AG66</f>
        <v>298716164</v>
      </c>
      <c r="AK66" s="9"/>
      <c r="AL66" s="375">
        <v>-2300000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+IF(JUNIO!A67=0,"",JUNIO!A67)</f>
        <v>1130114-1</v>
      </c>
      <c r="B67" s="654" t="str">
        <f>+CONCATENATE("Vigencia ",INSTRUCCIONES!$F$3)</f>
        <v>Vigencia 2015</v>
      </c>
      <c r="C67" s="375">
        <f>+ENERO!C67</f>
        <v>338898</v>
      </c>
      <c r="D67" s="376">
        <f>JUNIO!D67+JULIO!P67</f>
        <v>0</v>
      </c>
      <c r="E67" s="376">
        <f>JUNIO!E67+JULIO!Q67</f>
        <v>0</v>
      </c>
      <c r="F67" s="376">
        <f>SUM(C67:E67)</f>
        <v>338898</v>
      </c>
      <c r="G67" s="376">
        <f>JUNIO!I67</f>
        <v>0</v>
      </c>
      <c r="H67" s="377">
        <v>0</v>
      </c>
      <c r="I67" s="376">
        <f>SUM(G67:H67)</f>
        <v>0</v>
      </c>
      <c r="J67" s="376">
        <f>JUNIO!L67</f>
        <v>0</v>
      </c>
      <c r="K67" s="377">
        <v>0</v>
      </c>
      <c r="L67" s="376">
        <f>SUM(J67:K67)</f>
        <v>0</v>
      </c>
      <c r="M67" s="376">
        <f>F67-I67</f>
        <v>338898</v>
      </c>
      <c r="N67" s="146">
        <f>F67-L67</f>
        <v>338898</v>
      </c>
      <c r="O67" s="385"/>
      <c r="P67" s="375">
        <v>0</v>
      </c>
      <c r="Q67" s="378">
        <v>0</v>
      </c>
      <c r="R67" s="9"/>
      <c r="S67" s="719">
        <f>+IF(JUNIO!S67=0,"",JUNIO!S67)</f>
        <v>1020102</v>
      </c>
      <c r="T67" s="693" t="str">
        <f>+IF(JUNIO!T67=0,"",JUNIO!T67)</f>
        <v>Horas Extras,Dominic.,Festivos y Rec. Nocturnos</v>
      </c>
      <c r="U67" s="27">
        <f>+ENERO!U67</f>
        <v>57949728</v>
      </c>
      <c r="V67" s="15">
        <f>JUNIO!V67+JULIO!AL67</f>
        <v>47600000</v>
      </c>
      <c r="W67" s="15">
        <f>JUNIO!W67+JULIO!AM67</f>
        <v>0</v>
      </c>
      <c r="X67" s="18">
        <f>SUM(U67:W67)</f>
        <v>105549728</v>
      </c>
      <c r="Y67" s="19">
        <f>JUNIO!AA67</f>
        <v>70474400</v>
      </c>
      <c r="Z67" s="377">
        <v>11586919</v>
      </c>
      <c r="AA67" s="18">
        <f>SUM(Y67:Z67)</f>
        <v>82061319</v>
      </c>
      <c r="AB67" s="19">
        <f>JUNIO!AD67</f>
        <v>70474400</v>
      </c>
      <c r="AC67" s="377">
        <v>11586919</v>
      </c>
      <c r="AD67" s="18">
        <f>SUM(AB67:AC67)</f>
        <v>82061319</v>
      </c>
      <c r="AE67" s="19">
        <f>JUNIO!AG67</f>
        <v>65377736</v>
      </c>
      <c r="AF67" s="377">
        <v>11199999</v>
      </c>
      <c r="AG67" s="18">
        <f>SUM(AE67:AF67)</f>
        <v>76577735</v>
      </c>
      <c r="AH67" s="19">
        <f>X67-AA67</f>
        <v>23488409</v>
      </c>
      <c r="AI67" s="15">
        <f>X67-AD67</f>
        <v>23488409</v>
      </c>
      <c r="AJ67" s="16">
        <f>X67-AG67</f>
        <v>28971993</v>
      </c>
      <c r="AK67" s="9"/>
      <c r="AL67" s="375">
        <v>27600000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+IF(JUNIO!A68=0,"",JUNIO!A68)</f>
        <v>1130114-2</v>
      </c>
      <c r="B68" s="654" t="str">
        <f>+IF(JUNIO!B68=0,"",JUNIO!B68)</f>
        <v>Vigencia Anterior</v>
      </c>
      <c r="C68" s="375">
        <f>+ENERO!C68</f>
        <v>0</v>
      </c>
      <c r="D68" s="376">
        <f>JUNIO!D68+JULIO!P68</f>
        <v>0</v>
      </c>
      <c r="E68" s="376">
        <f>JUNIO!E68+JULIO!Q68</f>
        <v>0</v>
      </c>
      <c r="F68" s="376">
        <f>SUM(C68:E68)</f>
        <v>0</v>
      </c>
      <c r="G68" s="376">
        <f>JUNIO!I68</f>
        <v>78500</v>
      </c>
      <c r="H68" s="377">
        <v>0</v>
      </c>
      <c r="I68" s="376">
        <f>SUM(G68:H68)</f>
        <v>78500</v>
      </c>
      <c r="J68" s="376">
        <f>JUNIO!L68</f>
        <v>78500</v>
      </c>
      <c r="K68" s="377">
        <v>0</v>
      </c>
      <c r="L68" s="376">
        <f>SUM(J68:K68)</f>
        <v>78500</v>
      </c>
      <c r="M68" s="376">
        <f>F68-I68</f>
        <v>-78500</v>
      </c>
      <c r="N68" s="146">
        <f>F68-L68</f>
        <v>-78500</v>
      </c>
      <c r="O68" s="385"/>
      <c r="P68" s="375">
        <v>0</v>
      </c>
      <c r="Q68" s="378">
        <v>0</v>
      </c>
      <c r="R68" s="9"/>
      <c r="S68" s="719">
        <f>+IF(JUNIO!S68=0,"",JUNIO!S68)</f>
        <v>1020103</v>
      </c>
      <c r="T68" s="693" t="str">
        <f>+IF(JUNIO!T68=0,"",JUNIO!T68)</f>
        <v>Prima Técnica</v>
      </c>
      <c r="U68" s="27">
        <f>+ENERO!U68</f>
        <v>0</v>
      </c>
      <c r="V68" s="15">
        <f>JUNIO!V68+JULIO!AL68</f>
        <v>0</v>
      </c>
      <c r="W68" s="15">
        <f>JUNIO!W68+JULIO!AM68</f>
        <v>0</v>
      </c>
      <c r="X68" s="18">
        <f>SUM(U68:W68)</f>
        <v>0</v>
      </c>
      <c r="Y68" s="19">
        <f>JUNIO!AA68</f>
        <v>0</v>
      </c>
      <c r="Z68" s="377">
        <v>0</v>
      </c>
      <c r="AA68" s="18">
        <f>SUM(Y68:Z68)</f>
        <v>0</v>
      </c>
      <c r="AB68" s="19">
        <f>JUNIO!AD68</f>
        <v>0</v>
      </c>
      <c r="AC68" s="377">
        <v>0</v>
      </c>
      <c r="AD68" s="18">
        <f>SUM(AB68:AC68)</f>
        <v>0</v>
      </c>
      <c r="AE68" s="19">
        <f>JUNIO!AG68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+IF(JUNIO!A69=0,"",JUNIO!A69)</f>
        <v>1130115</v>
      </c>
      <c r="B69" s="653" t="str">
        <f>+IF(JUNIO!B69=0,"",JUNIO!B69)</f>
        <v>ENTIDADES DE REGIMEN ESPECIAL (Magisterio, Fuerza Pca.)</v>
      </c>
      <c r="C69" s="43">
        <f t="shared" ref="C69:N69" si="70">SUM(C70:C71)</f>
        <v>53468516</v>
      </c>
      <c r="D69" s="44">
        <f t="shared" si="70"/>
        <v>0</v>
      </c>
      <c r="E69" s="44">
        <f t="shared" si="70"/>
        <v>27541841</v>
      </c>
      <c r="F69" s="44">
        <f t="shared" si="70"/>
        <v>81010357</v>
      </c>
      <c r="G69" s="44">
        <f t="shared" si="70"/>
        <v>50613936</v>
      </c>
      <c r="H69" s="44">
        <f t="shared" si="70"/>
        <v>6009294</v>
      </c>
      <c r="I69" s="44">
        <f t="shared" si="70"/>
        <v>56623230</v>
      </c>
      <c r="J69" s="44">
        <f t="shared" si="70"/>
        <v>26190257</v>
      </c>
      <c r="K69" s="44">
        <f t="shared" si="70"/>
        <v>5879639</v>
      </c>
      <c r="L69" s="44">
        <f t="shared" si="70"/>
        <v>32069896</v>
      </c>
      <c r="M69" s="44">
        <f t="shared" si="70"/>
        <v>24387127</v>
      </c>
      <c r="N69" s="45">
        <f t="shared" si="70"/>
        <v>48940461</v>
      </c>
      <c r="P69" s="43">
        <f>SUM(P70:P71)</f>
        <v>0</v>
      </c>
      <c r="Q69" s="45">
        <f>SUM(Q70:Q71)</f>
        <v>0</v>
      </c>
      <c r="R69" s="9"/>
      <c r="S69" s="719">
        <f>+IF(JUNIO!S69=0,"",JUNIO!S69)</f>
        <v>1020104</v>
      </c>
      <c r="T69" s="693" t="str">
        <f>+IF(JUNIO!T69=0,"",JUNIO!T69)</f>
        <v>Otros</v>
      </c>
      <c r="U69" s="27">
        <f t="shared" ref="U69:AJ69" si="71">SUM(U70:U80)</f>
        <v>116328741</v>
      </c>
      <c r="V69" s="15">
        <f t="shared" si="71"/>
        <v>0</v>
      </c>
      <c r="W69" s="15">
        <f t="shared" si="71"/>
        <v>0</v>
      </c>
      <c r="X69" s="18">
        <f t="shared" si="71"/>
        <v>116328741</v>
      </c>
      <c r="Y69" s="19">
        <f t="shared" si="71"/>
        <v>7367459</v>
      </c>
      <c r="Z69" s="145">
        <f t="shared" si="71"/>
        <v>4551004</v>
      </c>
      <c r="AA69" s="18">
        <f t="shared" si="71"/>
        <v>11918463</v>
      </c>
      <c r="AB69" s="19">
        <f t="shared" si="71"/>
        <v>7367459</v>
      </c>
      <c r="AC69" s="145">
        <f t="shared" si="71"/>
        <v>4551004</v>
      </c>
      <c r="AD69" s="18">
        <f t="shared" si="71"/>
        <v>11918463</v>
      </c>
      <c r="AE69" s="19">
        <f t="shared" si="71"/>
        <v>7356967</v>
      </c>
      <c r="AF69" s="145">
        <f t="shared" si="71"/>
        <v>4551004</v>
      </c>
      <c r="AG69" s="18">
        <f t="shared" si="71"/>
        <v>11907971</v>
      </c>
      <c r="AH69" s="19">
        <f t="shared" si="71"/>
        <v>104410278</v>
      </c>
      <c r="AI69" s="15">
        <f t="shared" si="71"/>
        <v>104410278</v>
      </c>
      <c r="AJ69" s="16">
        <f t="shared" si="71"/>
        <v>104420770</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+IF(JUNIO!A70=0,"",JUNIO!A70)</f>
        <v>1130115-1</v>
      </c>
      <c r="B70" s="654" t="str">
        <f>+CONCATENATE("Vigencia ",INSTRUCCIONES!$F$3)</f>
        <v>Vigencia 2015</v>
      </c>
      <c r="C70" s="375">
        <f>+ENERO!C70</f>
        <v>53468516</v>
      </c>
      <c r="D70" s="376">
        <f>JUNIO!D70+JULIO!P70</f>
        <v>0</v>
      </c>
      <c r="E70" s="376">
        <f>JUNIO!E70+JULIO!Q70</f>
        <v>0</v>
      </c>
      <c r="F70" s="376">
        <f>SUM(C70:E70)</f>
        <v>53468516</v>
      </c>
      <c r="G70" s="376">
        <f>JUNIO!I70</f>
        <v>26232839</v>
      </c>
      <c r="H70" s="377">
        <v>6009294</v>
      </c>
      <c r="I70" s="376">
        <f>SUM(G70:H70)</f>
        <v>32242133</v>
      </c>
      <c r="J70" s="376">
        <f>JUNIO!L70</f>
        <v>1809160</v>
      </c>
      <c r="K70" s="377">
        <v>5879639</v>
      </c>
      <c r="L70" s="376">
        <f>SUM(J70:K70)</f>
        <v>7688799</v>
      </c>
      <c r="M70" s="376">
        <f>F70-I70</f>
        <v>21226383</v>
      </c>
      <c r="N70" s="146">
        <f>F70-L70</f>
        <v>45779717</v>
      </c>
      <c r="O70" s="385"/>
      <c r="P70" s="375">
        <v>0</v>
      </c>
      <c r="Q70" s="378">
        <v>0</v>
      </c>
      <c r="R70" s="9"/>
      <c r="S70" s="720" t="str">
        <f>+IF(JUNIO!S70=0,"",JUNIO!S70)</f>
        <v>1020104-1</v>
      </c>
      <c r="T70" s="694" t="str">
        <f>+IF(JUNIO!T70=0,"",JUNIO!T70)</f>
        <v xml:space="preserve">Prima de Navidad </v>
      </c>
      <c r="U70" s="27">
        <f>+ENERO!U70</f>
        <v>57873955</v>
      </c>
      <c r="V70" s="15">
        <f>JUNIO!V70+JULIO!AL70</f>
        <v>0</v>
      </c>
      <c r="W70" s="15">
        <f>JUNIO!W70+JULIO!AM70</f>
        <v>0</v>
      </c>
      <c r="X70" s="18">
        <f t="shared" ref="X70:X81" si="72">SUM(U70:W70)</f>
        <v>57873955</v>
      </c>
      <c r="Y70" s="19">
        <f>JUNIO!AA70</f>
        <v>131226</v>
      </c>
      <c r="Z70" s="377">
        <v>420941</v>
      </c>
      <c r="AA70" s="18">
        <f t="shared" ref="AA70:AA81" si="73">SUM(Y70:Z70)</f>
        <v>552167</v>
      </c>
      <c r="AB70" s="19">
        <f>JUNIO!AD70</f>
        <v>131226</v>
      </c>
      <c r="AC70" s="377">
        <v>420941</v>
      </c>
      <c r="AD70" s="18">
        <f t="shared" ref="AD70:AD81" si="74">SUM(AB70:AC70)</f>
        <v>552167</v>
      </c>
      <c r="AE70" s="19">
        <f>JUNIO!AG70</f>
        <v>131226</v>
      </c>
      <c r="AF70" s="377">
        <v>420941</v>
      </c>
      <c r="AG70" s="18">
        <f t="shared" ref="AG70:AG81" si="75">SUM(AE70:AF70)</f>
        <v>552167</v>
      </c>
      <c r="AH70" s="19">
        <f t="shared" ref="AH70:AH81" si="76">X70-AA70</f>
        <v>57321788</v>
      </c>
      <c r="AI70" s="15">
        <f t="shared" ref="AI70:AI81" si="77">X70-AD70</f>
        <v>57321788</v>
      </c>
      <c r="AJ70" s="16">
        <f t="shared" ref="AJ70:AJ81" si="78">X70-AG70</f>
        <v>57321788</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+IF(JUNIO!A71=0,"",JUNIO!A71)</f>
        <v>1130115-2</v>
      </c>
      <c r="B71" s="654" t="str">
        <f>+IF(JUNIO!B71=0,"",JUNIO!B71)</f>
        <v>Vigencia Anterior</v>
      </c>
      <c r="C71" s="375">
        <f>+ENERO!C71</f>
        <v>0</v>
      </c>
      <c r="D71" s="376">
        <f>JUNIO!D71+JULIO!P71</f>
        <v>0</v>
      </c>
      <c r="E71" s="376">
        <f>JUNIO!E71+JULIO!Q71</f>
        <v>27541841</v>
      </c>
      <c r="F71" s="376">
        <f>SUM(C71:E71)</f>
        <v>27541841</v>
      </c>
      <c r="G71" s="376">
        <f>JUNIO!I71</f>
        <v>24381097</v>
      </c>
      <c r="H71" s="377">
        <v>0</v>
      </c>
      <c r="I71" s="376">
        <f>SUM(G71:H71)</f>
        <v>24381097</v>
      </c>
      <c r="J71" s="376">
        <f>JUNIO!L71</f>
        <v>24381097</v>
      </c>
      <c r="K71" s="377">
        <v>0</v>
      </c>
      <c r="L71" s="376">
        <f>SUM(J71:K71)</f>
        <v>24381097</v>
      </c>
      <c r="M71" s="376">
        <f>F71-I71</f>
        <v>3160744</v>
      </c>
      <c r="N71" s="146">
        <f>F71-L71</f>
        <v>3160744</v>
      </c>
      <c r="O71" s="385"/>
      <c r="P71" s="375">
        <v>0</v>
      </c>
      <c r="Q71" s="378">
        <v>0</v>
      </c>
      <c r="R71" s="9"/>
      <c r="S71" s="720" t="str">
        <f>+IF(JUNIO!S71=0,"",JUNIO!S71)</f>
        <v>1020104-2</v>
      </c>
      <c r="T71" s="694" t="str">
        <f>+IF(JUNIO!T71=0,"",JUNIO!T71)</f>
        <v>Prima Vida Cara</v>
      </c>
      <c r="U71" s="27">
        <f>+ENERO!U71</f>
        <v>0</v>
      </c>
      <c r="V71" s="15">
        <f>JUNIO!V71+JULIO!AL71</f>
        <v>0</v>
      </c>
      <c r="W71" s="15">
        <f>JUNIO!W71+JULIO!AM71</f>
        <v>0</v>
      </c>
      <c r="X71" s="18">
        <f t="shared" si="72"/>
        <v>0</v>
      </c>
      <c r="Y71" s="19">
        <f>JUNIO!AA71</f>
        <v>0</v>
      </c>
      <c r="Z71" s="377">
        <v>0</v>
      </c>
      <c r="AA71" s="18">
        <f t="shared" si="73"/>
        <v>0</v>
      </c>
      <c r="AB71" s="19">
        <f>JUNIO!AD71</f>
        <v>0</v>
      </c>
      <c r="AC71" s="377">
        <v>0</v>
      </c>
      <c r="AD71" s="18">
        <f t="shared" si="74"/>
        <v>0</v>
      </c>
      <c r="AE71" s="19">
        <f>JUNIO!AG71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+IF(JUNIO!A72=0,"",JUNIO!A72)</f>
        <v>1130116</v>
      </c>
      <c r="B72" s="653" t="str">
        <f>+IF(JUNIO!B72=0,"",JUNIO!B72)</f>
        <v>ADMINISTRADORAS DE RIESGOS PROFESIONALES</v>
      </c>
      <c r="C72" s="43">
        <f t="shared" ref="C72:N72" si="79">SUM(C73:C74)</f>
        <v>47982534</v>
      </c>
      <c r="D72" s="44">
        <f t="shared" si="79"/>
        <v>0</v>
      </c>
      <c r="E72" s="44">
        <f t="shared" si="79"/>
        <v>7739704</v>
      </c>
      <c r="F72" s="44">
        <f t="shared" si="79"/>
        <v>55722238</v>
      </c>
      <c r="G72" s="44">
        <f t="shared" si="79"/>
        <v>28976352</v>
      </c>
      <c r="H72" s="44">
        <f t="shared" si="79"/>
        <v>3842386</v>
      </c>
      <c r="I72" s="44">
        <f t="shared" si="79"/>
        <v>32818738</v>
      </c>
      <c r="J72" s="44">
        <f t="shared" si="79"/>
        <v>19003874</v>
      </c>
      <c r="K72" s="44">
        <f t="shared" si="79"/>
        <v>7798030</v>
      </c>
      <c r="L72" s="44">
        <f t="shared" si="79"/>
        <v>26801904</v>
      </c>
      <c r="M72" s="44">
        <f t="shared" si="79"/>
        <v>22903500</v>
      </c>
      <c r="N72" s="45">
        <f t="shared" si="79"/>
        <v>28920334</v>
      </c>
      <c r="P72" s="43">
        <f>SUM(P73:P74)</f>
        <v>0</v>
      </c>
      <c r="Q72" s="45">
        <f>SUM(Q73:Q74)</f>
        <v>0</v>
      </c>
      <c r="R72" s="9"/>
      <c r="S72" s="720" t="str">
        <f>+IF(JUNIO!S72=0,"",JUNIO!S72)</f>
        <v>1020104-3</v>
      </c>
      <c r="T72" s="694" t="str">
        <f>+IF(JUNIO!T72=0,"",JUNIO!T72)</f>
        <v>Prima de Vacaciones</v>
      </c>
      <c r="U72" s="27">
        <f>+ENERO!U72</f>
        <v>26711056</v>
      </c>
      <c r="V72" s="15">
        <f>JUNIO!V72+JULIO!AL72</f>
        <v>0</v>
      </c>
      <c r="W72" s="15">
        <f>JUNIO!W72+JULIO!AM72</f>
        <v>0</v>
      </c>
      <c r="X72" s="18">
        <f t="shared" si="72"/>
        <v>26711056</v>
      </c>
      <c r="Y72" s="19">
        <f>JUNIO!AA72</f>
        <v>6231130</v>
      </c>
      <c r="Z72" s="377">
        <v>3636745</v>
      </c>
      <c r="AA72" s="18">
        <f t="shared" si="73"/>
        <v>9867875</v>
      </c>
      <c r="AB72" s="19">
        <f>JUNIO!AD72</f>
        <v>6231130</v>
      </c>
      <c r="AC72" s="377">
        <v>3636745</v>
      </c>
      <c r="AD72" s="18">
        <f t="shared" si="74"/>
        <v>9867875</v>
      </c>
      <c r="AE72" s="19">
        <f>JUNIO!AG72</f>
        <v>6231130</v>
      </c>
      <c r="AF72" s="377">
        <v>3636745</v>
      </c>
      <c r="AG72" s="18">
        <f t="shared" si="75"/>
        <v>9867875</v>
      </c>
      <c r="AH72" s="19">
        <f t="shared" si="76"/>
        <v>16843181</v>
      </c>
      <c r="AI72" s="15">
        <f t="shared" si="77"/>
        <v>16843181</v>
      </c>
      <c r="AJ72" s="16">
        <f t="shared" si="78"/>
        <v>16843181</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+IF(JUNIO!A73=0,"",JUNIO!A73)</f>
        <v>1130116-1</v>
      </c>
      <c r="B73" s="654" t="str">
        <f>+CONCATENATE("Vigencia ",INSTRUCCIONES!$F$3)</f>
        <v>Vigencia 2015</v>
      </c>
      <c r="C73" s="375">
        <f>+ENERO!C73</f>
        <v>47982534</v>
      </c>
      <c r="D73" s="376">
        <f>JUNIO!D73+JULIO!P73</f>
        <v>0</v>
      </c>
      <c r="E73" s="376">
        <f>JUNIO!E73+JULIO!Q73</f>
        <v>0</v>
      </c>
      <c r="F73" s="376">
        <f>SUM(C73:E73)</f>
        <v>47982534</v>
      </c>
      <c r="G73" s="376">
        <f>JUNIO!I73</f>
        <v>21704332</v>
      </c>
      <c r="H73" s="377">
        <v>3842386</v>
      </c>
      <c r="I73" s="376">
        <f>SUM(G73:H73)</f>
        <v>25546718</v>
      </c>
      <c r="J73" s="376">
        <f>JUNIO!L73</f>
        <v>11731854</v>
      </c>
      <c r="K73" s="377">
        <v>7798030</v>
      </c>
      <c r="L73" s="376">
        <f>SUM(J73:K73)</f>
        <v>19529884</v>
      </c>
      <c r="M73" s="376">
        <f>F73-I73</f>
        <v>22435816</v>
      </c>
      <c r="N73" s="146">
        <f>F73-L73</f>
        <v>28452650</v>
      </c>
      <c r="O73" s="385"/>
      <c r="P73" s="375">
        <v>0</v>
      </c>
      <c r="Q73" s="378">
        <v>0</v>
      </c>
      <c r="R73" s="9"/>
      <c r="S73" s="720" t="str">
        <f>+IF(JUNIO!S73=0,"",JUNIO!S73)</f>
        <v>1020104-4</v>
      </c>
      <c r="T73" s="694" t="str">
        <f>+IF(JUNIO!T73=0,"",JUNIO!T73)</f>
        <v>Prima Clima</v>
      </c>
      <c r="U73" s="27">
        <f>+ENERO!U73</f>
        <v>0</v>
      </c>
      <c r="V73" s="15">
        <f>JUNIO!V73+JULIO!AL73</f>
        <v>0</v>
      </c>
      <c r="W73" s="15">
        <f>JUNIO!W73+JULIO!AM73</f>
        <v>0</v>
      </c>
      <c r="X73" s="18">
        <f t="shared" si="72"/>
        <v>0</v>
      </c>
      <c r="Y73" s="19">
        <f>JUNIO!AA73</f>
        <v>0</v>
      </c>
      <c r="Z73" s="377">
        <v>0</v>
      </c>
      <c r="AA73" s="18">
        <f t="shared" si="73"/>
        <v>0</v>
      </c>
      <c r="AB73" s="19">
        <f>JUNIO!AD73</f>
        <v>0</v>
      </c>
      <c r="AC73" s="377">
        <v>0</v>
      </c>
      <c r="AD73" s="18">
        <f t="shared" si="74"/>
        <v>0</v>
      </c>
      <c r="AE73" s="19">
        <f>JUNIO!AG73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+IF(JUNIO!A74=0,"",JUNIO!A74)</f>
        <v>1130116-2</v>
      </c>
      <c r="B74" s="654" t="str">
        <f>+IF(JUNIO!B74=0,"",JUNIO!B74)</f>
        <v>Vigencia Anterior</v>
      </c>
      <c r="C74" s="375">
        <f>+ENERO!C74</f>
        <v>0</v>
      </c>
      <c r="D74" s="376">
        <f>JUNIO!D74+JULIO!P74</f>
        <v>0</v>
      </c>
      <c r="E74" s="376">
        <f>JUNIO!E74+JULIO!Q74</f>
        <v>7739704</v>
      </c>
      <c r="F74" s="376">
        <f>SUM(C74:E74)</f>
        <v>7739704</v>
      </c>
      <c r="G74" s="376">
        <f>JUNIO!I74</f>
        <v>7272020</v>
      </c>
      <c r="H74" s="377">
        <v>0</v>
      </c>
      <c r="I74" s="376">
        <f>SUM(G74:H74)</f>
        <v>7272020</v>
      </c>
      <c r="J74" s="376">
        <f>JUNIO!L74</f>
        <v>7272020</v>
      </c>
      <c r="K74" s="377">
        <v>0</v>
      </c>
      <c r="L74" s="376">
        <f>SUM(J74:K74)</f>
        <v>7272020</v>
      </c>
      <c r="M74" s="376">
        <f>F74-I74</f>
        <v>467684</v>
      </c>
      <c r="N74" s="146">
        <f>F74-L74</f>
        <v>467684</v>
      </c>
      <c r="O74" s="385"/>
      <c r="P74" s="375">
        <v>0</v>
      </c>
      <c r="Q74" s="378">
        <v>0</v>
      </c>
      <c r="R74" s="9"/>
      <c r="S74" s="720" t="str">
        <f>+IF(JUNIO!S74=0,"",JUNIO!S74)</f>
        <v>1020104-5</v>
      </c>
      <c r="T74" s="694" t="str">
        <f>+IF(JUNIO!T74=0,"",JUNIO!T74)</f>
        <v>Prima de Servicios</v>
      </c>
      <c r="U74" s="27">
        <f>+ENERO!U74</f>
        <v>26711056</v>
      </c>
      <c r="V74" s="15">
        <f>JUNIO!V74+JULIO!AL74</f>
        <v>0</v>
      </c>
      <c r="W74" s="15">
        <f>JUNIO!W74+JULIO!AM74</f>
        <v>0</v>
      </c>
      <c r="X74" s="18">
        <f t="shared" si="72"/>
        <v>26711056</v>
      </c>
      <c r="Y74" s="19">
        <f>JUNIO!AA74</f>
        <v>0</v>
      </c>
      <c r="Z74" s="377">
        <v>0</v>
      </c>
      <c r="AA74" s="18">
        <f t="shared" si="73"/>
        <v>0</v>
      </c>
      <c r="AB74" s="19">
        <f>JUNIO!AD74</f>
        <v>0</v>
      </c>
      <c r="AC74" s="377">
        <v>0</v>
      </c>
      <c r="AD74" s="18">
        <f t="shared" si="74"/>
        <v>0</v>
      </c>
      <c r="AE74" s="19">
        <f>JUNIO!AG74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+IF(JUNIO!A75=0,"",JUNIO!A75)</f>
        <v>1130117</v>
      </c>
      <c r="B75" s="653" t="str">
        <f>+IF(JUNIO!B75=0,"",JUNIO!B75)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+IF(JUNIO!S75=0,"",JUNIO!S75)</f>
        <v>1020104-8</v>
      </c>
      <c r="T75" s="694" t="str">
        <f>+IF(JUNIO!T75=0,"",JUNIO!T75)</f>
        <v>Bonific. por Servicios Prestados (Convencional)</v>
      </c>
      <c r="U75" s="27">
        <f>+ENERO!U75</f>
        <v>0</v>
      </c>
      <c r="V75" s="15">
        <f>JUNIO!V75+JULIO!AL75</f>
        <v>0</v>
      </c>
      <c r="W75" s="15">
        <f>JUNIO!W75+JULIO!AM75</f>
        <v>0</v>
      </c>
      <c r="X75" s="18">
        <f t="shared" si="72"/>
        <v>0</v>
      </c>
      <c r="Y75" s="19">
        <f>JUNIO!AA75</f>
        <v>0</v>
      </c>
      <c r="Z75" s="377">
        <v>0</v>
      </c>
      <c r="AA75" s="18">
        <f t="shared" si="73"/>
        <v>0</v>
      </c>
      <c r="AB75" s="19">
        <f>JUNIO!AD75</f>
        <v>0</v>
      </c>
      <c r="AC75" s="377">
        <v>0</v>
      </c>
      <c r="AD75" s="18">
        <f t="shared" si="74"/>
        <v>0</v>
      </c>
      <c r="AE75" s="19">
        <f>JUNIO!AG75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+IF(JUNIO!A76=0,"",JUNIO!A76)</f>
        <v>1130117-1</v>
      </c>
      <c r="B76" s="654" t="str">
        <f>+CONCATENATE("Vigencia ",INSTRUCCIONES!$F$3)</f>
        <v>Vigencia 2015</v>
      </c>
      <c r="C76" s="375">
        <f>+ENERO!C76</f>
        <v>0</v>
      </c>
      <c r="D76" s="376">
        <f>JUNIO!D76+JULIO!P76</f>
        <v>0</v>
      </c>
      <c r="E76" s="376">
        <f>JUNIO!E76+JULIO!Q76</f>
        <v>0</v>
      </c>
      <c r="F76" s="376">
        <f t="shared" ref="F76:F83" si="81">SUM(C76:E76)</f>
        <v>0</v>
      </c>
      <c r="G76" s="376">
        <f>JUNIO!I76</f>
        <v>0</v>
      </c>
      <c r="H76" s="377">
        <v>0</v>
      </c>
      <c r="I76" s="376">
        <f t="shared" ref="I76:I83" si="82">SUM(G76:H76)</f>
        <v>0</v>
      </c>
      <c r="J76" s="376">
        <f>JUNIO!L76</f>
        <v>0</v>
      </c>
      <c r="K76" s="377">
        <v>0</v>
      </c>
      <c r="L76" s="376">
        <f t="shared" ref="L76:L83" si="83">SUM(J76:K76)</f>
        <v>0</v>
      </c>
      <c r="M76" s="376">
        <f t="shared" ref="M76:M83" si="84">F76-I76</f>
        <v>0</v>
      </c>
      <c r="N76" s="146">
        <f t="shared" ref="N76:N83" si="85">F76-L76</f>
        <v>0</v>
      </c>
      <c r="O76" s="385"/>
      <c r="P76" s="375">
        <v>0</v>
      </c>
      <c r="Q76" s="378">
        <v>0</v>
      </c>
      <c r="R76" s="9"/>
      <c r="S76" s="720" t="str">
        <f>+IF(JUNIO!S76=0,"",JUNIO!S76)</f>
        <v>1020104-9</v>
      </c>
      <c r="T76" s="694" t="str">
        <f>+IF(JUNIO!T76=0,"",JUNIO!T76)</f>
        <v>Auxilio de Transporte</v>
      </c>
      <c r="U76" s="27">
        <f>+ENERO!U76</f>
        <v>1471200</v>
      </c>
      <c r="V76" s="15">
        <f>JUNIO!V76+JULIO!AL76</f>
        <v>0</v>
      </c>
      <c r="W76" s="15">
        <f>JUNIO!W76+JULIO!AM76</f>
        <v>0</v>
      </c>
      <c r="X76" s="18">
        <f t="shared" si="72"/>
        <v>1471200</v>
      </c>
      <c r="Y76" s="19">
        <f>JUNIO!AA76</f>
        <v>146000</v>
      </c>
      <c r="Z76" s="377">
        <v>0</v>
      </c>
      <c r="AA76" s="18">
        <f t="shared" si="73"/>
        <v>146000</v>
      </c>
      <c r="AB76" s="19">
        <f>JUNIO!AD76</f>
        <v>146000</v>
      </c>
      <c r="AC76" s="377">
        <v>0</v>
      </c>
      <c r="AD76" s="18">
        <f t="shared" si="74"/>
        <v>146000</v>
      </c>
      <c r="AE76" s="19">
        <f>JUNIO!AG76</f>
        <v>135508</v>
      </c>
      <c r="AF76" s="377">
        <v>0</v>
      </c>
      <c r="AG76" s="18">
        <f t="shared" si="75"/>
        <v>135508</v>
      </c>
      <c r="AH76" s="19">
        <f t="shared" si="76"/>
        <v>1325200</v>
      </c>
      <c r="AI76" s="15">
        <f t="shared" si="77"/>
        <v>1325200</v>
      </c>
      <c r="AJ76" s="16">
        <f t="shared" si="78"/>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+IF(JUNIO!A77=0,"",JUNIO!A77)</f>
        <v>1130117-2</v>
      </c>
      <c r="B77" s="654" t="str">
        <f>+IF(JUNIO!B77=0,"",JUNIO!B77)</f>
        <v>Vigencia Anterior</v>
      </c>
      <c r="C77" s="375">
        <f>+ENERO!C77</f>
        <v>0</v>
      </c>
      <c r="D77" s="376">
        <f>JUNIO!D77+JULIO!P77</f>
        <v>0</v>
      </c>
      <c r="E77" s="376">
        <f>JUNIO!E77+JULIO!Q77</f>
        <v>0</v>
      </c>
      <c r="F77" s="376">
        <f t="shared" si="81"/>
        <v>0</v>
      </c>
      <c r="G77" s="376">
        <f>JUNIO!I77</f>
        <v>0</v>
      </c>
      <c r="H77" s="377">
        <v>0</v>
      </c>
      <c r="I77" s="376">
        <f t="shared" si="82"/>
        <v>0</v>
      </c>
      <c r="J77" s="376">
        <f>JUNIO!L77</f>
        <v>0</v>
      </c>
      <c r="K77" s="377">
        <v>0</v>
      </c>
      <c r="L77" s="376">
        <f t="shared" si="83"/>
        <v>0</v>
      </c>
      <c r="M77" s="376">
        <f t="shared" si="84"/>
        <v>0</v>
      </c>
      <c r="N77" s="146">
        <f t="shared" si="85"/>
        <v>0</v>
      </c>
      <c r="O77" s="385"/>
      <c r="P77" s="375">
        <v>0</v>
      </c>
      <c r="Q77" s="378">
        <v>0</v>
      </c>
      <c r="R77" s="9"/>
      <c r="S77" s="720" t="str">
        <f>+IF(JUNIO!S77=0,"",JUNIO!S77)</f>
        <v>1020104-10</v>
      </c>
      <c r="T77" s="694" t="str">
        <f>+IF(JUNIO!T77=0,"",JUNIO!T77)</f>
        <v>Subsidio de Alimentación</v>
      </c>
      <c r="U77" s="27">
        <f>+ENERO!U77</f>
        <v>0</v>
      </c>
      <c r="V77" s="15">
        <f>JUNIO!V77+JULIO!AL77</f>
        <v>0</v>
      </c>
      <c r="W77" s="15">
        <f>JUNIO!W77+JULIO!AM77</f>
        <v>0</v>
      </c>
      <c r="X77" s="18">
        <f t="shared" si="72"/>
        <v>0</v>
      </c>
      <c r="Y77" s="19">
        <f>JUNIO!AA77</f>
        <v>0</v>
      </c>
      <c r="Z77" s="377">
        <v>0</v>
      </c>
      <c r="AA77" s="18">
        <f t="shared" si="73"/>
        <v>0</v>
      </c>
      <c r="AB77" s="19">
        <f>JUNIO!AD77</f>
        <v>0</v>
      </c>
      <c r="AC77" s="377">
        <v>0</v>
      </c>
      <c r="AD77" s="18">
        <f t="shared" si="74"/>
        <v>0</v>
      </c>
      <c r="AE77" s="19">
        <f>JUNIO!AG77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+IF(JUNIO!A78=0,"",JUNIO!A78)</f>
        <v>1130118</v>
      </c>
      <c r="B78" s="653" t="str">
        <f>+IF(JUNIO!B78=0,"",JUNIO!B78)</f>
        <v>PARTICULARES   (Venta de Contado)</v>
      </c>
      <c r="C78" s="43">
        <f>SUM(C79:C80)</f>
        <v>151788162</v>
      </c>
      <c r="D78" s="44">
        <f>SUM(D79:D80)</f>
        <v>0</v>
      </c>
      <c r="E78" s="44">
        <f>SUM(E79:E80)</f>
        <v>0</v>
      </c>
      <c r="F78" s="44">
        <f t="shared" si="81"/>
        <v>151788162</v>
      </c>
      <c r="G78" s="44">
        <f>SUM(G79:G80)</f>
        <v>66746617</v>
      </c>
      <c r="H78" s="44">
        <f>SUM(H79:H80)</f>
        <v>12717100</v>
      </c>
      <c r="I78" s="44">
        <f t="shared" si="82"/>
        <v>79463717</v>
      </c>
      <c r="J78" s="44">
        <f>SUM(J79:J80)</f>
        <v>66746617</v>
      </c>
      <c r="K78" s="44">
        <f>SUM(K79:K80)</f>
        <v>12717100</v>
      </c>
      <c r="L78" s="44">
        <f t="shared" si="83"/>
        <v>79463717</v>
      </c>
      <c r="M78" s="44">
        <f t="shared" si="84"/>
        <v>72324445</v>
      </c>
      <c r="N78" s="45">
        <f t="shared" si="85"/>
        <v>72324445</v>
      </c>
      <c r="O78" s="385"/>
      <c r="P78" s="43">
        <f>SUM(P79:P80)</f>
        <v>0</v>
      </c>
      <c r="Q78" s="45">
        <f>SUM(Q79:Q80)</f>
        <v>0</v>
      </c>
      <c r="R78" s="9"/>
      <c r="S78" s="720" t="str">
        <f>+IF(JUNIO!S78=0,"",JUNIO!S78)</f>
        <v>1020104-12</v>
      </c>
      <c r="T78" s="694" t="str">
        <f>+IF(JUNIO!T78=0,"",JUNIO!T78)</f>
        <v>Indemnizaciones por Vacaciones o Supresión de Cargos por Reestructuración</v>
      </c>
      <c r="U78" s="27">
        <f>+ENERO!U78</f>
        <v>0</v>
      </c>
      <c r="V78" s="15">
        <f>JUNIO!V78+JULIO!AL78</f>
        <v>0</v>
      </c>
      <c r="W78" s="15">
        <f>JUNIO!W78+JULIO!AM78</f>
        <v>0</v>
      </c>
      <c r="X78" s="18">
        <f t="shared" si="72"/>
        <v>0</v>
      </c>
      <c r="Y78" s="19">
        <f>JUNIO!AA78</f>
        <v>0</v>
      </c>
      <c r="Z78" s="377">
        <v>0</v>
      </c>
      <c r="AA78" s="18">
        <f t="shared" si="73"/>
        <v>0</v>
      </c>
      <c r="AB78" s="19">
        <f>JUNIO!AD78</f>
        <v>0</v>
      </c>
      <c r="AC78" s="377">
        <v>0</v>
      </c>
      <c r="AD78" s="18">
        <f t="shared" si="74"/>
        <v>0</v>
      </c>
      <c r="AE78" s="19">
        <f>JUNIO!AG78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+IF(JUNIO!A79=0,"",JUNIO!A79)</f>
        <v>1130118-1</v>
      </c>
      <c r="B79" s="654" t="str">
        <f>+CONCATENATE("Vigencia ",INSTRUCCIONES!$F$3)</f>
        <v>Vigencia 2015</v>
      </c>
      <c r="C79" s="375">
        <f>+ENERO!C79</f>
        <v>151788162</v>
      </c>
      <c r="D79" s="376">
        <f>JUNIO!D79+JULIO!P79</f>
        <v>0</v>
      </c>
      <c r="E79" s="376">
        <f>JUNIO!E79+JULIO!Q79</f>
        <v>0</v>
      </c>
      <c r="F79" s="376">
        <f t="shared" si="81"/>
        <v>151788162</v>
      </c>
      <c r="G79" s="376">
        <f>JUNIO!I79</f>
        <v>66746617</v>
      </c>
      <c r="H79" s="377">
        <v>12717100</v>
      </c>
      <c r="I79" s="376">
        <f t="shared" si="82"/>
        <v>79463717</v>
      </c>
      <c r="J79" s="376">
        <f>JUNIO!L79</f>
        <v>66746617</v>
      </c>
      <c r="K79" s="377">
        <v>12717100</v>
      </c>
      <c r="L79" s="376">
        <f t="shared" si="83"/>
        <v>79463717</v>
      </c>
      <c r="M79" s="376">
        <f t="shared" si="84"/>
        <v>72324445</v>
      </c>
      <c r="N79" s="146">
        <f t="shared" si="85"/>
        <v>72324445</v>
      </c>
      <c r="P79" s="375">
        <v>0</v>
      </c>
      <c r="Q79" s="378">
        <v>0</v>
      </c>
      <c r="R79" s="9"/>
      <c r="S79" s="720" t="str">
        <f>+IF(JUNIO!S79=0,"",JUNIO!S79)</f>
        <v>1020104-13</v>
      </c>
      <c r="T79" s="694" t="str">
        <f>+IF(JUNIO!T79=0,"",JUNIO!T79)</f>
        <v>Bonificación Especial por Recreación</v>
      </c>
      <c r="U79" s="27">
        <f>+ENERO!U79</f>
        <v>3561474</v>
      </c>
      <c r="V79" s="15">
        <f>JUNIO!V79+JULIO!AL79</f>
        <v>0</v>
      </c>
      <c r="W79" s="15">
        <f>JUNIO!W79+JULIO!AM79</f>
        <v>0</v>
      </c>
      <c r="X79" s="18">
        <f t="shared" si="72"/>
        <v>3561474</v>
      </c>
      <c r="Y79" s="19">
        <f>JUNIO!AA79</f>
        <v>859103</v>
      </c>
      <c r="Z79" s="377">
        <v>493318</v>
      </c>
      <c r="AA79" s="18">
        <f t="shared" si="73"/>
        <v>1352421</v>
      </c>
      <c r="AB79" s="19">
        <f>JUNIO!AD79</f>
        <v>859103</v>
      </c>
      <c r="AC79" s="377">
        <v>493318</v>
      </c>
      <c r="AD79" s="18">
        <f t="shared" si="74"/>
        <v>1352421</v>
      </c>
      <c r="AE79" s="19">
        <f>JUNIO!AG79</f>
        <v>859103</v>
      </c>
      <c r="AF79" s="377">
        <v>493318</v>
      </c>
      <c r="AG79" s="18">
        <f t="shared" si="75"/>
        <v>1352421</v>
      </c>
      <c r="AH79" s="19">
        <f t="shared" si="76"/>
        <v>2209053</v>
      </c>
      <c r="AI79" s="15">
        <f t="shared" si="77"/>
        <v>2209053</v>
      </c>
      <c r="AJ79" s="16">
        <f t="shared" si="78"/>
        <v>2209053</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+IF(JUNIO!A80=0,"",JUNIO!A80)</f>
        <v>1130118-2</v>
      </c>
      <c r="B80" s="654" t="str">
        <f>+IF(JUNIO!B80=0,"",JUNIO!B80)</f>
        <v>Vigencia Anterior</v>
      </c>
      <c r="C80" s="375">
        <f>+ENERO!C80</f>
        <v>0</v>
      </c>
      <c r="D80" s="376">
        <f>JUNIO!D80+JULIO!P80</f>
        <v>0</v>
      </c>
      <c r="E80" s="376">
        <f>JUNIO!E80+JULIO!Q80</f>
        <v>0</v>
      </c>
      <c r="F80" s="376">
        <f t="shared" si="81"/>
        <v>0</v>
      </c>
      <c r="G80" s="376">
        <f>JUNIO!I80</f>
        <v>0</v>
      </c>
      <c r="H80" s="377">
        <v>0</v>
      </c>
      <c r="I80" s="376">
        <f t="shared" si="82"/>
        <v>0</v>
      </c>
      <c r="J80" s="376">
        <f>JUNIO!L80</f>
        <v>0</v>
      </c>
      <c r="K80" s="377">
        <v>0</v>
      </c>
      <c r="L80" s="376">
        <f t="shared" si="83"/>
        <v>0</v>
      </c>
      <c r="M80" s="376">
        <f t="shared" si="84"/>
        <v>0</v>
      </c>
      <c r="N80" s="146">
        <f t="shared" si="85"/>
        <v>0</v>
      </c>
      <c r="O80" s="385"/>
      <c r="P80" s="375">
        <v>0</v>
      </c>
      <c r="Q80" s="378">
        <v>0</v>
      </c>
      <c r="S80" s="720" t="str">
        <f>+IF(JUNIO!S80=0,"",JUNIO!S80)</f>
        <v>1020104-14</v>
      </c>
      <c r="T80" s="694" t="str">
        <f>+IF(JUNIO!T80=0,"",JUNIO!T80)</f>
        <v/>
      </c>
      <c r="U80" s="27">
        <f>+ENERO!U80</f>
        <v>0</v>
      </c>
      <c r="V80" s="15">
        <f>JUNIO!V80+JULIO!AL80</f>
        <v>0</v>
      </c>
      <c r="W80" s="15">
        <f>JUNIO!W80+JULIO!AM80</f>
        <v>0</v>
      </c>
      <c r="X80" s="18">
        <f t="shared" si="72"/>
        <v>0</v>
      </c>
      <c r="Y80" s="19">
        <f>JUNIO!AA80</f>
        <v>0</v>
      </c>
      <c r="Z80" s="377">
        <v>0</v>
      </c>
      <c r="AA80" s="18">
        <f t="shared" si="73"/>
        <v>0</v>
      </c>
      <c r="AB80" s="19">
        <f>JUNIO!AD80</f>
        <v>0</v>
      </c>
      <c r="AC80" s="377">
        <v>0</v>
      </c>
      <c r="AD80" s="18">
        <f t="shared" si="74"/>
        <v>0</v>
      </c>
      <c r="AE80" s="19">
        <f>JUNIO!AG80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+IF(JUNIO!A81=0,"",JUNIO!A81)</f>
        <v>1130119</v>
      </c>
      <c r="B81" s="657" t="str">
        <f>+IF(JUNIO!B81=0,"",JUNIO!B81)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+IF(JUNIO!S81=0,"",JUNIO!S81)</f>
        <v>1020199</v>
      </c>
      <c r="T81" s="693" t="str">
        <f>+IF(JUNIO!T81=0,"",JUNIO!T81)</f>
        <v>Vigencias Anteriores</v>
      </c>
      <c r="U81" s="27">
        <f>+ENERO!U81</f>
        <v>0</v>
      </c>
      <c r="V81" s="15">
        <f>JUNIO!V81+JULIO!AL81</f>
        <v>0</v>
      </c>
      <c r="W81" s="15">
        <f>JUNIO!W81+JULIO!AM81</f>
        <v>13655677</v>
      </c>
      <c r="X81" s="18">
        <f t="shared" si="72"/>
        <v>13655677</v>
      </c>
      <c r="Y81" s="19">
        <f>JUNIO!AA81</f>
        <v>13655677</v>
      </c>
      <c r="Z81" s="377">
        <v>0</v>
      </c>
      <c r="AA81" s="18">
        <f t="shared" si="73"/>
        <v>13655677</v>
      </c>
      <c r="AB81" s="19">
        <f>JUNIO!AD81</f>
        <v>13655677</v>
      </c>
      <c r="AC81" s="377">
        <v>0</v>
      </c>
      <c r="AD81" s="18">
        <f t="shared" si="74"/>
        <v>13655677</v>
      </c>
      <c r="AE81" s="19">
        <f>JUNIO!AG81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+IF(JUNIO!A82=0,"",JUNIO!A82)</f>
        <v>1130119-1</v>
      </c>
      <c r="B82" s="654" t="str">
        <f>+CONCATENATE("Vigencia ",INSTRUCCIONES!$F$3)</f>
        <v>Vigencia 2015</v>
      </c>
      <c r="C82" s="375">
        <f>+ENERO!C82</f>
        <v>0</v>
      </c>
      <c r="D82" s="376">
        <f>JUNIO!D82+JULIO!P82</f>
        <v>0</v>
      </c>
      <c r="E82" s="376">
        <f>JUNIO!E82+JULIO!Q82</f>
        <v>0</v>
      </c>
      <c r="F82" s="376">
        <f t="shared" si="81"/>
        <v>0</v>
      </c>
      <c r="G82" s="376">
        <f>JUNIO!I82</f>
        <v>0</v>
      </c>
      <c r="H82" s="377">
        <v>0</v>
      </c>
      <c r="I82" s="376">
        <f t="shared" si="82"/>
        <v>0</v>
      </c>
      <c r="J82" s="376">
        <f>JUNIO!L82</f>
        <v>0</v>
      </c>
      <c r="K82" s="377">
        <v>0</v>
      </c>
      <c r="L82" s="376">
        <f t="shared" si="83"/>
        <v>0</v>
      </c>
      <c r="M82" s="376">
        <f t="shared" si="84"/>
        <v>0</v>
      </c>
      <c r="N82" s="146">
        <f t="shared" si="85"/>
        <v>0</v>
      </c>
      <c r="P82" s="375">
        <v>0</v>
      </c>
      <c r="Q82" s="378">
        <v>0</v>
      </c>
      <c r="R82" s="9"/>
      <c r="S82" s="369" t="str">
        <f>+IF(JUNIO!S82=0,"",JUNIO!S82)</f>
        <v/>
      </c>
      <c r="T82" s="708" t="str">
        <f>+IF(JUNIO!T82=0,"",JUNIO!T82)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+IF(JUNIO!A83=0,"",JUNIO!A83)</f>
        <v>1130119-2</v>
      </c>
      <c r="B83" s="658" t="str">
        <f>+IF(JUNIO!B83=0,"",JUNIO!B83)</f>
        <v>Vigencia Anterior</v>
      </c>
      <c r="C83" s="387">
        <f>+ENERO!C83</f>
        <v>0</v>
      </c>
      <c r="D83" s="388">
        <f>JUNIO!D83+JULIO!P83</f>
        <v>0</v>
      </c>
      <c r="E83" s="388">
        <f>JUNIO!E83+JULIO!Q83</f>
        <v>0</v>
      </c>
      <c r="F83" s="388">
        <f t="shared" si="81"/>
        <v>0</v>
      </c>
      <c r="G83" s="388">
        <f>JUNIO!I83</f>
        <v>0</v>
      </c>
      <c r="H83" s="391">
        <v>0</v>
      </c>
      <c r="I83" s="388">
        <f t="shared" si="82"/>
        <v>0</v>
      </c>
      <c r="J83" s="388">
        <f>JUNIO!L83</f>
        <v>0</v>
      </c>
      <c r="K83" s="391">
        <v>0</v>
      </c>
      <c r="L83" s="388">
        <f t="shared" si="83"/>
        <v>0</v>
      </c>
      <c r="M83" s="388">
        <f t="shared" si="84"/>
        <v>0</v>
      </c>
      <c r="N83" s="389">
        <f t="shared" si="85"/>
        <v>0</v>
      </c>
      <c r="P83" s="375">
        <v>0</v>
      </c>
      <c r="Q83" s="378">
        <v>0</v>
      </c>
      <c r="R83" s="9"/>
      <c r="S83" s="718">
        <f>+IF(JUNIO!S83=0,"",JUNIO!S83)</f>
        <v>1020200</v>
      </c>
      <c r="T83" s="692" t="str">
        <f>+IF(JUNIO!T83=0,"",JUNIO!T83)</f>
        <v>Servicios Personales Indirectos</v>
      </c>
      <c r="U83" s="135">
        <f t="shared" ref="U83:AJ83" si="87">SUM(U84:U88)</f>
        <v>151257124</v>
      </c>
      <c r="V83" s="124">
        <f t="shared" si="87"/>
        <v>24000000</v>
      </c>
      <c r="W83" s="124">
        <f t="shared" si="87"/>
        <v>6884000</v>
      </c>
      <c r="X83" s="132">
        <f t="shared" si="87"/>
        <v>182141124</v>
      </c>
      <c r="Y83" s="131">
        <f t="shared" si="87"/>
        <v>162032000</v>
      </c>
      <c r="Z83" s="124">
        <f t="shared" si="87"/>
        <v>595000</v>
      </c>
      <c r="AA83" s="132">
        <f t="shared" si="87"/>
        <v>162627000</v>
      </c>
      <c r="AB83" s="131">
        <f t="shared" si="87"/>
        <v>81282000</v>
      </c>
      <c r="AC83" s="124">
        <f t="shared" si="87"/>
        <v>14695000</v>
      </c>
      <c r="AD83" s="132">
        <f t="shared" si="87"/>
        <v>95977000</v>
      </c>
      <c r="AE83" s="131">
        <f t="shared" si="87"/>
        <v>66452000</v>
      </c>
      <c r="AF83" s="124">
        <f t="shared" si="87"/>
        <v>21675000</v>
      </c>
      <c r="AG83" s="132">
        <f t="shared" si="87"/>
        <v>88127000</v>
      </c>
      <c r="AH83" s="131">
        <f t="shared" si="87"/>
        <v>19514124</v>
      </c>
      <c r="AI83" s="124">
        <f t="shared" si="87"/>
        <v>86164124</v>
      </c>
      <c r="AJ83" s="133">
        <f t="shared" si="87"/>
        <v>94014124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+IF(JUNIO!A84=0,"",JUNIO!A84)</f>
        <v/>
      </c>
      <c r="B84" s="659" t="str">
        <f>+IF(JUNIO!B84=0,"",JUNIO!B84)</f>
        <v/>
      </c>
      <c r="C84" s="297"/>
      <c r="D84" s="297"/>
      <c r="E84" s="297"/>
      <c r="F84" s="297"/>
      <c r="G84" s="297"/>
      <c r="H84" s="297"/>
      <c r="I84" s="297"/>
      <c r="J84" s="297"/>
      <c r="K84" s="297"/>
      <c r="L84" s="297"/>
      <c r="M84" s="297"/>
      <c r="N84" s="466"/>
      <c r="O84" s="464"/>
      <c r="P84" s="470"/>
      <c r="Q84" s="394"/>
      <c r="R84" s="9"/>
      <c r="S84" s="719" t="str">
        <f>+IF(JUNIO!S84=0,"",JUNIO!S84)</f>
        <v>1020200-1</v>
      </c>
      <c r="T84" s="693" t="str">
        <f>+IF(JUNIO!T84=0,"",JUNIO!T84)</f>
        <v>Remuneración y Honorarios por Servicios Técnicos y Profesionales</v>
      </c>
      <c r="U84" s="27">
        <f>+ENERO!U84</f>
        <v>151257124</v>
      </c>
      <c r="V84" s="15">
        <f>JUNIO!V84+JULIO!AL84</f>
        <v>24000000</v>
      </c>
      <c r="W84" s="15">
        <f>JUNIO!W84+JULIO!AM84</f>
        <v>0</v>
      </c>
      <c r="X84" s="18">
        <f>SUM(U84:W84)</f>
        <v>175257124</v>
      </c>
      <c r="Y84" s="19">
        <f>JUNIO!AA84</f>
        <v>155148000</v>
      </c>
      <c r="Z84" s="377">
        <v>595000</v>
      </c>
      <c r="AA84" s="18">
        <f>SUM(Y84:Z84)</f>
        <v>155743000</v>
      </c>
      <c r="AB84" s="19">
        <f>JUNIO!AD84</f>
        <v>74398000</v>
      </c>
      <c r="AC84" s="377">
        <v>14695000</v>
      </c>
      <c r="AD84" s="18">
        <f>SUM(AB84:AC84)</f>
        <v>89093000</v>
      </c>
      <c r="AE84" s="19">
        <f>JUNIO!AG84</f>
        <v>59568000</v>
      </c>
      <c r="AF84" s="377">
        <v>21675000</v>
      </c>
      <c r="AG84" s="18">
        <f>SUM(AE84:AF84)</f>
        <v>81243000</v>
      </c>
      <c r="AH84" s="19">
        <f>X84-AA84</f>
        <v>19514124</v>
      </c>
      <c r="AI84" s="15">
        <f>X84-AD84</f>
        <v>86164124</v>
      </c>
      <c r="AJ84" s="16">
        <f>X84-AG84</f>
        <v>94014124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+IF(JUNIO!A85=0,"",JUNIO!A85)</f>
        <v>11302</v>
      </c>
      <c r="B85" s="660" t="str">
        <f>+IF(JUNIO!B85=0,"",JUNIO!B85)</f>
        <v>Otras Ventas de Servicios de Salud</v>
      </c>
      <c r="C85" s="625">
        <f t="shared" ref="C85:N85" si="88">SUM(C86:C92)</f>
        <v>74000000</v>
      </c>
      <c r="D85" s="623">
        <f t="shared" si="88"/>
        <v>0</v>
      </c>
      <c r="E85" s="623">
        <f t="shared" si="88"/>
        <v>0</v>
      </c>
      <c r="F85" s="623">
        <f t="shared" si="88"/>
        <v>74000000</v>
      </c>
      <c r="G85" s="623">
        <f t="shared" si="88"/>
        <v>20178686</v>
      </c>
      <c r="H85" s="623">
        <f t="shared" si="88"/>
        <v>1680000</v>
      </c>
      <c r="I85" s="623">
        <f t="shared" si="88"/>
        <v>21858686</v>
      </c>
      <c r="J85" s="623">
        <f t="shared" si="88"/>
        <v>9729343</v>
      </c>
      <c r="K85" s="623">
        <f t="shared" si="88"/>
        <v>4800000</v>
      </c>
      <c r="L85" s="623">
        <f t="shared" si="88"/>
        <v>14529343</v>
      </c>
      <c r="M85" s="623">
        <f t="shared" si="88"/>
        <v>52141314</v>
      </c>
      <c r="N85" s="624">
        <f t="shared" si="88"/>
        <v>59470657</v>
      </c>
      <c r="P85" s="43">
        <f>SUM(P86:P92)</f>
        <v>0</v>
      </c>
      <c r="Q85" s="45">
        <f>SUM(Q86:Q92)</f>
        <v>0</v>
      </c>
      <c r="R85" s="9"/>
      <c r="S85" s="719" t="str">
        <f>+IF(JUNIO!S85=0,"",JUNIO!S85)</f>
        <v>1020200-2</v>
      </c>
      <c r="T85" s="693" t="str">
        <f>+IF(JUNIO!T85=0,"",JUNIO!T85)</f>
        <v>Personal Supernumerario</v>
      </c>
      <c r="U85" s="27">
        <f>+ENERO!U85</f>
        <v>0</v>
      </c>
      <c r="V85" s="15">
        <f>JUNIO!V85+JULIO!AL85</f>
        <v>0</v>
      </c>
      <c r="W85" s="15">
        <f>JUNIO!W85+JULIO!AM85</f>
        <v>0</v>
      </c>
      <c r="X85" s="18">
        <f>SUM(U85:W85)</f>
        <v>0</v>
      </c>
      <c r="Y85" s="19">
        <f>JUNIO!AA85</f>
        <v>0</v>
      </c>
      <c r="Z85" s="377">
        <v>0</v>
      </c>
      <c r="AA85" s="18">
        <f>SUM(Y85:Z85)</f>
        <v>0</v>
      </c>
      <c r="AB85" s="19">
        <f>JUNIO!AD85</f>
        <v>0</v>
      </c>
      <c r="AC85" s="377">
        <v>0</v>
      </c>
      <c r="AD85" s="18">
        <f>SUM(AB85:AC85)</f>
        <v>0</v>
      </c>
      <c r="AE85" s="19">
        <f>JUNIO!AG85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+IF(JUNIO!A86=0,"",JUNIO!A86)</f>
        <v>1130201</v>
      </c>
      <c r="B86" s="634" t="str">
        <f>+IF(JUNIO!B86=0,"",JUNIO!B86)</f>
        <v/>
      </c>
      <c r="C86" s="401">
        <f>+ENERO!C86</f>
        <v>0</v>
      </c>
      <c r="D86" s="376">
        <f>JUNIO!D86+JULIO!P86</f>
        <v>0</v>
      </c>
      <c r="E86" s="376">
        <f>JUNIO!E86+JULIO!Q86</f>
        <v>0</v>
      </c>
      <c r="F86" s="376">
        <f t="shared" ref="F86:F92" si="89">SUM(C86:E86)</f>
        <v>0</v>
      </c>
      <c r="G86" s="376">
        <f>JUNIO!I86</f>
        <v>0</v>
      </c>
      <c r="H86" s="377">
        <v>0</v>
      </c>
      <c r="I86" s="376">
        <f t="shared" ref="I86:I92" si="90">SUM(G86:H86)</f>
        <v>0</v>
      </c>
      <c r="J86" s="376">
        <f>JUNIO!L86</f>
        <v>0</v>
      </c>
      <c r="K86" s="377">
        <v>0</v>
      </c>
      <c r="L86" s="376">
        <f t="shared" ref="L86:L92" si="91">SUM(J86:K86)</f>
        <v>0</v>
      </c>
      <c r="M86" s="376">
        <f t="shared" ref="M86:M92" si="92">F86-I86</f>
        <v>0</v>
      </c>
      <c r="N86" s="146">
        <f t="shared" ref="N86:N92" si="93">F86-L86</f>
        <v>0</v>
      </c>
      <c r="O86" s="385"/>
      <c r="P86" s="375">
        <v>0</v>
      </c>
      <c r="Q86" s="378">
        <v>0</v>
      </c>
      <c r="S86" s="719" t="str">
        <f>+IF(JUNIO!S86=0,"",JUNIO!S86)</f>
        <v>1020200-4</v>
      </c>
      <c r="T86" s="693" t="str">
        <f>+IF(JUNIO!T86=0,"",JUNIO!T86)</f>
        <v>Otros Honorarios (Servicios de Cooperativa)</v>
      </c>
      <c r="U86" s="27">
        <f>+ENERO!U86</f>
        <v>0</v>
      </c>
      <c r="V86" s="15">
        <f>JUNIO!V86+JULIO!AL86</f>
        <v>0</v>
      </c>
      <c r="W86" s="15">
        <f>JUNIO!W86+JULIO!AM86</f>
        <v>0</v>
      </c>
      <c r="X86" s="18">
        <f>SUM(U86:W86)</f>
        <v>0</v>
      </c>
      <c r="Y86" s="19">
        <f>JUNIO!AA86</f>
        <v>0</v>
      </c>
      <c r="Z86" s="377">
        <v>0</v>
      </c>
      <c r="AA86" s="18">
        <f>SUM(Y86:Z86)</f>
        <v>0</v>
      </c>
      <c r="AB86" s="19">
        <f>JUNIO!AD86</f>
        <v>0</v>
      </c>
      <c r="AC86" s="377">
        <v>0</v>
      </c>
      <c r="AD86" s="18">
        <f>SUM(AB86:AC86)</f>
        <v>0</v>
      </c>
      <c r="AE86" s="19">
        <f>JUNIO!AG86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+IF(JUNIO!A87=0,"",JUNIO!A87)</f>
        <v>1130202</v>
      </c>
      <c r="B87" s="634" t="str">
        <f>+IF(JUNIO!B87=0,"",JUNIO!B87)</f>
        <v/>
      </c>
      <c r="C87" s="401">
        <f>+ENERO!C87</f>
        <v>0</v>
      </c>
      <c r="D87" s="376">
        <f>JUNIO!D87+JULIO!P87</f>
        <v>0</v>
      </c>
      <c r="E87" s="376">
        <f>JUNIO!E87+JULIO!Q87</f>
        <v>0</v>
      </c>
      <c r="F87" s="376">
        <f t="shared" si="89"/>
        <v>0</v>
      </c>
      <c r="G87" s="376">
        <f>JUNIO!I87</f>
        <v>0</v>
      </c>
      <c r="H87" s="377">
        <v>0</v>
      </c>
      <c r="I87" s="376">
        <f t="shared" si="90"/>
        <v>0</v>
      </c>
      <c r="J87" s="376">
        <f>JUNIO!L87</f>
        <v>0</v>
      </c>
      <c r="K87" s="377">
        <v>0</v>
      </c>
      <c r="L87" s="376">
        <f t="shared" si="91"/>
        <v>0</v>
      </c>
      <c r="M87" s="376">
        <f t="shared" si="92"/>
        <v>0</v>
      </c>
      <c r="N87" s="146">
        <f t="shared" si="93"/>
        <v>0</v>
      </c>
      <c r="P87" s="375">
        <v>0</v>
      </c>
      <c r="Q87" s="378">
        <v>0</v>
      </c>
      <c r="R87" s="9"/>
      <c r="S87" s="719" t="str">
        <f>+IF(JUNIO!S87=0,"",JUNIO!S87)</f>
        <v/>
      </c>
      <c r="T87" s="693" t="str">
        <f>+IF(JUNIO!T87=0,"",JUNIO!T87)</f>
        <v/>
      </c>
      <c r="U87" s="27">
        <f>+ENERO!U87</f>
        <v>0</v>
      </c>
      <c r="V87" s="15">
        <f>JUNIO!V87+JULIO!AL87</f>
        <v>0</v>
      </c>
      <c r="W87" s="15">
        <f>JUNIO!W87+JULIO!AM87</f>
        <v>0</v>
      </c>
      <c r="X87" s="18">
        <f>SUM(U87:W87)</f>
        <v>0</v>
      </c>
      <c r="Y87" s="19">
        <f>JUNIO!AA87</f>
        <v>0</v>
      </c>
      <c r="Z87" s="377">
        <v>0</v>
      </c>
      <c r="AA87" s="18">
        <f>SUM(Y87:Z87)</f>
        <v>0</v>
      </c>
      <c r="AB87" s="19">
        <f>JUNIO!AD87</f>
        <v>0</v>
      </c>
      <c r="AC87" s="377">
        <v>0</v>
      </c>
      <c r="AD87" s="18">
        <f>SUM(AB87:AC87)</f>
        <v>0</v>
      </c>
      <c r="AE87" s="19">
        <f>JUNIO!AG87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+IF(JUNIO!A88=0,"",JUNIO!A88)</f>
        <v>1130203</v>
      </c>
      <c r="B88" s="635" t="str">
        <f>+IF(JUNIO!B88=0,"",JUNIO!B88)</f>
        <v>CONVENIOS CON LA NACION LIGADOS A LA VENTA DE SERVICIOS</v>
      </c>
      <c r="C88" s="401">
        <f>+ENERO!C88</f>
        <v>0</v>
      </c>
      <c r="D88" s="376">
        <f>JUNIO!D88+JULIO!P88</f>
        <v>0</v>
      </c>
      <c r="E88" s="376">
        <f>JUNIO!E88+JULIO!Q88</f>
        <v>0</v>
      </c>
      <c r="F88" s="376">
        <f t="shared" si="89"/>
        <v>0</v>
      </c>
      <c r="G88" s="376">
        <f>JUNIO!I88</f>
        <v>0</v>
      </c>
      <c r="H88" s="377">
        <v>0</v>
      </c>
      <c r="I88" s="376">
        <f t="shared" si="90"/>
        <v>0</v>
      </c>
      <c r="J88" s="376">
        <f>JUNIO!L88</f>
        <v>0</v>
      </c>
      <c r="K88" s="377">
        <v>0</v>
      </c>
      <c r="L88" s="376">
        <f t="shared" si="91"/>
        <v>0</v>
      </c>
      <c r="M88" s="376">
        <f t="shared" si="92"/>
        <v>0</v>
      </c>
      <c r="N88" s="146">
        <f t="shared" si="93"/>
        <v>0</v>
      </c>
      <c r="P88" s="375">
        <v>0</v>
      </c>
      <c r="Q88" s="378">
        <v>0</v>
      </c>
      <c r="R88" s="9"/>
      <c r="S88" s="719">
        <f>+IF(JUNIO!S88=0,"",JUNIO!S88)</f>
        <v>1020299</v>
      </c>
      <c r="T88" s="693" t="str">
        <f>+IF(JUNIO!T88=0,"",JUNIO!T88)</f>
        <v>Vigencias Anteriores</v>
      </c>
      <c r="U88" s="27">
        <f>+ENERO!U88</f>
        <v>0</v>
      </c>
      <c r="V88" s="15">
        <f>JUNIO!V88+JULIO!AL88</f>
        <v>0</v>
      </c>
      <c r="W88" s="15">
        <f>JUNIO!W88+JULIO!AM88</f>
        <v>6884000</v>
      </c>
      <c r="X88" s="18">
        <f>SUM(U88:W88)</f>
        <v>6884000</v>
      </c>
      <c r="Y88" s="19">
        <f>JUNIO!AA88</f>
        <v>6884000</v>
      </c>
      <c r="Z88" s="377">
        <v>0</v>
      </c>
      <c r="AA88" s="18">
        <f>SUM(Y88:Z88)</f>
        <v>6884000</v>
      </c>
      <c r="AB88" s="19">
        <f>JUNIO!AD88</f>
        <v>6884000</v>
      </c>
      <c r="AC88" s="377">
        <v>0</v>
      </c>
      <c r="AD88" s="18">
        <f>SUM(AB88:AC88)</f>
        <v>6884000</v>
      </c>
      <c r="AE88" s="19">
        <f>JUNIO!AG88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+IF(JUNIO!A89=0,"",JUNIO!A89)</f>
        <v>1130204</v>
      </c>
      <c r="B89" s="635" t="str">
        <f>+IF(JUNIO!B89=0,"",JUNIO!B89)</f>
        <v>CONVENIOS CON EL DEPARTAMENTO LIGADOS A LA VENTA SERVICIOS</v>
      </c>
      <c r="C89" s="401">
        <f>+ENERO!C89</f>
        <v>50000000</v>
      </c>
      <c r="D89" s="376">
        <f>JUNIO!D89+JULIO!P89</f>
        <v>0</v>
      </c>
      <c r="E89" s="376">
        <f>JUNIO!E89+JULIO!Q89</f>
        <v>0</v>
      </c>
      <c r="F89" s="376">
        <f t="shared" si="89"/>
        <v>50000000</v>
      </c>
      <c r="G89" s="376">
        <f>JUNIO!I89</f>
        <v>14658686</v>
      </c>
      <c r="H89" s="377">
        <v>0</v>
      </c>
      <c r="I89" s="376">
        <f t="shared" si="90"/>
        <v>14658686</v>
      </c>
      <c r="J89" s="376">
        <f>JUNIO!L89</f>
        <v>7329343</v>
      </c>
      <c r="K89" s="377">
        <v>0</v>
      </c>
      <c r="L89" s="376">
        <f t="shared" si="91"/>
        <v>7329343</v>
      </c>
      <c r="M89" s="376">
        <f t="shared" si="92"/>
        <v>35341314</v>
      </c>
      <c r="N89" s="146">
        <f t="shared" si="93"/>
        <v>42670657</v>
      </c>
      <c r="P89" s="375">
        <v>0</v>
      </c>
      <c r="Q89" s="378">
        <v>0</v>
      </c>
      <c r="R89" s="9"/>
      <c r="S89" s="369" t="str">
        <f>+IF(JUNIO!S89=0,"",JUNIO!S89)</f>
        <v/>
      </c>
      <c r="T89" s="708" t="str">
        <f>+IF(JUNIO!T89=0,"",JUNIO!T89)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+IF(JUNIO!A90=0,"",JUNIO!A90)</f>
        <v>1130205</v>
      </c>
      <c r="B90" s="635" t="str">
        <f>+IF(JUNIO!B90=0,"",JUNIO!B90)</f>
        <v>CONVENIOS CON EL MUNICIPIO LIGADOS A LA VENTA DE SERVICIOS</v>
      </c>
      <c r="C90" s="401">
        <f>+ENERO!C90</f>
        <v>24000000</v>
      </c>
      <c r="D90" s="376">
        <f>JUNIO!D90+JULIO!P90</f>
        <v>0</v>
      </c>
      <c r="E90" s="376">
        <f>JUNIO!E90+JULIO!Q90</f>
        <v>0</v>
      </c>
      <c r="F90" s="376">
        <f t="shared" si="89"/>
        <v>24000000</v>
      </c>
      <c r="G90" s="376">
        <f>JUNIO!I90</f>
        <v>5520000</v>
      </c>
      <c r="H90" s="377">
        <v>1680000</v>
      </c>
      <c r="I90" s="376">
        <f t="shared" si="90"/>
        <v>7200000</v>
      </c>
      <c r="J90" s="376">
        <f>JUNIO!L90</f>
        <v>2400000</v>
      </c>
      <c r="K90" s="377">
        <v>4800000</v>
      </c>
      <c r="L90" s="376">
        <f t="shared" si="91"/>
        <v>7200000</v>
      </c>
      <c r="M90" s="376">
        <f t="shared" si="92"/>
        <v>16800000</v>
      </c>
      <c r="N90" s="146">
        <f t="shared" si="93"/>
        <v>16800000</v>
      </c>
      <c r="O90" s="385"/>
      <c r="P90" s="375">
        <v>0</v>
      </c>
      <c r="Q90" s="378">
        <v>0</v>
      </c>
      <c r="R90" s="30"/>
      <c r="S90" s="718">
        <f>+IF(JUNIO!S90=0,"",JUNIO!S90)</f>
        <v>1020300</v>
      </c>
      <c r="T90" s="692" t="str">
        <f>+IF(JUNIO!T90=0,"",JUNIO!T90)</f>
        <v>Contribuciones Inherentes nómina al Sector Privado</v>
      </c>
      <c r="U90" s="135">
        <f t="shared" ref="U90:AJ90" si="94">U91+U96+U102</f>
        <v>269700847</v>
      </c>
      <c r="V90" s="124">
        <f t="shared" si="94"/>
        <v>0</v>
      </c>
      <c r="W90" s="124">
        <f t="shared" si="94"/>
        <v>54740941</v>
      </c>
      <c r="X90" s="132">
        <f t="shared" si="94"/>
        <v>324441788</v>
      </c>
      <c r="Y90" s="131">
        <f t="shared" si="94"/>
        <v>176105620</v>
      </c>
      <c r="Z90" s="124">
        <f t="shared" si="94"/>
        <v>17402082</v>
      </c>
      <c r="AA90" s="132">
        <f t="shared" si="94"/>
        <v>193507702</v>
      </c>
      <c r="AB90" s="131">
        <f t="shared" si="94"/>
        <v>176105620</v>
      </c>
      <c r="AC90" s="124">
        <f t="shared" si="94"/>
        <v>17402082</v>
      </c>
      <c r="AD90" s="132">
        <f t="shared" si="94"/>
        <v>193507702</v>
      </c>
      <c r="AE90" s="131">
        <f t="shared" si="94"/>
        <v>147889847</v>
      </c>
      <c r="AF90" s="124">
        <f t="shared" si="94"/>
        <v>17008824</v>
      </c>
      <c r="AG90" s="132">
        <f t="shared" si="94"/>
        <v>164898671</v>
      </c>
      <c r="AH90" s="131">
        <f t="shared" si="94"/>
        <v>130934086</v>
      </c>
      <c r="AI90" s="124">
        <f t="shared" si="94"/>
        <v>130934086</v>
      </c>
      <c r="AJ90" s="133">
        <f t="shared" si="94"/>
        <v>159543117</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+IF(JUNIO!A91=0,"",JUNIO!A91)</f>
        <v>1130206</v>
      </c>
      <c r="B91" s="635" t="str">
        <f>+IF(JUNIO!B91=0,"",JUNIO!B91)</f>
        <v>OTROS CONVENIOS LIGADOS A LA VENTA DE SERVICIOS</v>
      </c>
      <c r="C91" s="401">
        <f>+ENERO!C91</f>
        <v>0</v>
      </c>
      <c r="D91" s="376">
        <f>JUNIO!D91+JULIO!P91</f>
        <v>0</v>
      </c>
      <c r="E91" s="376">
        <f>JUNIO!E91+JULIO!Q91</f>
        <v>0</v>
      </c>
      <c r="F91" s="376">
        <f t="shared" si="89"/>
        <v>0</v>
      </c>
      <c r="G91" s="376">
        <f>JUNIO!I91</f>
        <v>0</v>
      </c>
      <c r="H91" s="377">
        <v>0</v>
      </c>
      <c r="I91" s="376">
        <f t="shared" si="90"/>
        <v>0</v>
      </c>
      <c r="J91" s="376">
        <f>JUNIO!L91</f>
        <v>0</v>
      </c>
      <c r="K91" s="377">
        <v>0</v>
      </c>
      <c r="L91" s="376">
        <f t="shared" si="91"/>
        <v>0</v>
      </c>
      <c r="M91" s="376">
        <f t="shared" si="92"/>
        <v>0</v>
      </c>
      <c r="N91" s="146">
        <f t="shared" si="93"/>
        <v>0</v>
      </c>
      <c r="O91" s="385"/>
      <c r="P91" s="375">
        <v>0</v>
      </c>
      <c r="Q91" s="378">
        <v>0</v>
      </c>
      <c r="R91" s="30"/>
      <c r="S91" s="719">
        <f>+IF(JUNIO!S91=0,"",JUNIO!S91)</f>
        <v>1020301</v>
      </c>
      <c r="T91" s="693" t="str">
        <f>+IF(JUNIO!T91=0,"",JUNIO!T91)</f>
        <v>Contribuciones - Sin Situación de Fondos</v>
      </c>
      <c r="U91" s="27">
        <f t="shared" ref="U91:AJ91" si="95">SUM(U92:U95)</f>
        <v>230094736</v>
      </c>
      <c r="V91" s="15">
        <f t="shared" si="95"/>
        <v>0</v>
      </c>
      <c r="W91" s="15">
        <f t="shared" si="95"/>
        <v>0</v>
      </c>
      <c r="X91" s="18">
        <f t="shared" si="95"/>
        <v>230094736</v>
      </c>
      <c r="Y91" s="19">
        <f t="shared" si="95"/>
        <v>106153179</v>
      </c>
      <c r="Z91" s="145">
        <f t="shared" si="95"/>
        <v>14702282</v>
      </c>
      <c r="AA91" s="18">
        <f t="shared" si="95"/>
        <v>120855461</v>
      </c>
      <c r="AB91" s="19">
        <f t="shared" si="95"/>
        <v>106153179</v>
      </c>
      <c r="AC91" s="145">
        <f t="shared" si="95"/>
        <v>14702282</v>
      </c>
      <c r="AD91" s="18">
        <f t="shared" si="95"/>
        <v>120855461</v>
      </c>
      <c r="AE91" s="19">
        <f t="shared" si="95"/>
        <v>82240911</v>
      </c>
      <c r="AF91" s="145">
        <f t="shared" si="95"/>
        <v>14281524</v>
      </c>
      <c r="AG91" s="18">
        <f t="shared" si="95"/>
        <v>96522435</v>
      </c>
      <c r="AH91" s="19">
        <f t="shared" si="95"/>
        <v>109239275</v>
      </c>
      <c r="AI91" s="15">
        <f t="shared" si="95"/>
        <v>109239275</v>
      </c>
      <c r="AJ91" s="16">
        <f t="shared" si="95"/>
        <v>133572301</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+IF(JUNIO!A92=0,"",JUNIO!A92)</f>
        <v>1130207</v>
      </c>
      <c r="B92" s="636" t="str">
        <f>+IF(JUNIO!B92=0,"",JUNIO!B92)</f>
        <v>Vigencia Anterior</v>
      </c>
      <c r="C92" s="491">
        <f>+ENERO!C92</f>
        <v>0</v>
      </c>
      <c r="D92" s="388">
        <f>JUNIO!D92+JULIO!P92</f>
        <v>0</v>
      </c>
      <c r="E92" s="388">
        <f>JUNIO!E92+JULIO!Q92</f>
        <v>0</v>
      </c>
      <c r="F92" s="388">
        <f t="shared" si="89"/>
        <v>0</v>
      </c>
      <c r="G92" s="388">
        <f>JUNIO!I92</f>
        <v>0</v>
      </c>
      <c r="H92" s="391">
        <v>0</v>
      </c>
      <c r="I92" s="388">
        <f t="shared" si="90"/>
        <v>0</v>
      </c>
      <c r="J92" s="388">
        <f>JUNIO!L92</f>
        <v>0</v>
      </c>
      <c r="K92" s="391">
        <v>0</v>
      </c>
      <c r="L92" s="388">
        <f t="shared" si="91"/>
        <v>0</v>
      </c>
      <c r="M92" s="388">
        <f t="shared" si="92"/>
        <v>0</v>
      </c>
      <c r="N92" s="389">
        <f t="shared" si="93"/>
        <v>0</v>
      </c>
      <c r="O92" s="385"/>
      <c r="P92" s="375">
        <v>0</v>
      </c>
      <c r="Q92" s="378">
        <v>0</v>
      </c>
      <c r="R92" s="30"/>
      <c r="S92" s="720" t="str">
        <f>+IF(JUNIO!S92=0,"",JUNIO!S92)</f>
        <v>1020301-1</v>
      </c>
      <c r="T92" s="694" t="str">
        <f>+IF(JUNIO!T92=0,"",JUNIO!T92)</f>
        <v>Aportes a E.P.S.- Sin sit. Fondos</v>
      </c>
      <c r="U92" s="27">
        <f>+ENERO!U92</f>
        <v>59416260</v>
      </c>
      <c r="V92" s="15">
        <f>JUNIO!V92+JULIO!AL92</f>
        <v>0</v>
      </c>
      <c r="W92" s="15">
        <f>JUNIO!W92+JULIO!AM92</f>
        <v>0</v>
      </c>
      <c r="X92" s="18">
        <f>SUM(U92:W92)</f>
        <v>59416260</v>
      </c>
      <c r="Y92" s="19">
        <f>JUNIO!AA92</f>
        <v>32346021</v>
      </c>
      <c r="Z92" s="377">
        <v>5322535</v>
      </c>
      <c r="AA92" s="18">
        <f>SUM(Y92:Z92)</f>
        <v>37668556</v>
      </c>
      <c r="AB92" s="19">
        <f>JUNIO!AD92</f>
        <v>32346021</v>
      </c>
      <c r="AC92" s="377">
        <v>5322535</v>
      </c>
      <c r="AD92" s="18">
        <f>SUM(AB92:AC92)</f>
        <v>37668556</v>
      </c>
      <c r="AE92" s="19">
        <f>JUNIO!AG92</f>
        <v>32346021</v>
      </c>
      <c r="AF92" s="377">
        <v>5322535</v>
      </c>
      <c r="AG92" s="18">
        <f>SUM(AE92:AF92)</f>
        <v>37668556</v>
      </c>
      <c r="AH92" s="19">
        <f>X92-AA92</f>
        <v>21747704</v>
      </c>
      <c r="AI92" s="15">
        <f>X92-AD92</f>
        <v>21747704</v>
      </c>
      <c r="AJ92" s="16">
        <f>X92-AG92</f>
        <v>21747704</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+IF(JUNIO!A93=0,"",JUNIO!A93)</f>
        <v/>
      </c>
      <c r="B93" s="659" t="str">
        <f>+IF(JUNIO!B93=0,"",JUNIO!B93)</f>
        <v/>
      </c>
      <c r="C93" s="297"/>
      <c r="D93" s="297"/>
      <c r="E93" s="297"/>
      <c r="F93" s="297"/>
      <c r="G93" s="297"/>
      <c r="H93" s="297"/>
      <c r="I93" s="297"/>
      <c r="J93" s="297"/>
      <c r="K93" s="297"/>
      <c r="L93" s="297"/>
      <c r="M93" s="297"/>
      <c r="N93" s="466"/>
      <c r="P93" s="470"/>
      <c r="Q93" s="394"/>
      <c r="R93" s="30"/>
      <c r="S93" s="720" t="str">
        <f>+IF(JUNIO!S93=0,"",JUNIO!S93)</f>
        <v>1020301-2</v>
      </c>
      <c r="T93" s="694" t="str">
        <f>+IF(JUNIO!T93=0,"",JUNIO!T93)</f>
        <v>Aportes Fondos Pensionales - Sin Sit. Fondos</v>
      </c>
      <c r="U93" s="27">
        <f>+ENERO!U93</f>
        <v>81857136</v>
      </c>
      <c r="V93" s="15">
        <f>JUNIO!V93+JULIO!AL93</f>
        <v>0</v>
      </c>
      <c r="W93" s="15">
        <f>JUNIO!W93+JULIO!AM93</f>
        <v>0</v>
      </c>
      <c r="X93" s="18">
        <f>SUM(U93:W93)</f>
        <v>81857136</v>
      </c>
      <c r="Y93" s="19">
        <f>JUNIO!AA93</f>
        <v>45950907</v>
      </c>
      <c r="Z93" s="377">
        <v>7514170</v>
      </c>
      <c r="AA93" s="18">
        <f>SUM(Y93:Z93)</f>
        <v>53465077</v>
      </c>
      <c r="AB93" s="19">
        <f>JUNIO!AD93</f>
        <v>45950907</v>
      </c>
      <c r="AC93" s="377">
        <v>7514170</v>
      </c>
      <c r="AD93" s="18">
        <f>SUM(AB93:AC93)</f>
        <v>53465077</v>
      </c>
      <c r="AE93" s="19">
        <f>JUNIO!AG93</f>
        <v>40852263</v>
      </c>
      <c r="AF93" s="377">
        <v>7514170</v>
      </c>
      <c r="AG93" s="18">
        <f>SUM(AE93:AF93)</f>
        <v>48366433</v>
      </c>
      <c r="AH93" s="19">
        <f>X93-AA93</f>
        <v>28392059</v>
      </c>
      <c r="AI93" s="15">
        <f>X93-AD93</f>
        <v>28392059</v>
      </c>
      <c r="AJ93" s="16">
        <f>X93-AG93</f>
        <v>33490703</v>
      </c>
      <c r="AK93" s="9"/>
      <c r="AL93" s="375">
        <v>0</v>
      </c>
      <c r="AM93" s="378">
        <v>0</v>
      </c>
      <c r="AN93" s="30"/>
      <c r="AO93" s="463"/>
      <c r="AP93" s="463"/>
      <c r="AQ93" s="463"/>
      <c r="AR93" s="463"/>
      <c r="AS93" s="463"/>
      <c r="AT93" s="463"/>
      <c r="AU93" s="463"/>
      <c r="AV93" s="463"/>
      <c r="AW93" s="463"/>
      <c r="AX93" s="463"/>
      <c r="AY93" s="463"/>
      <c r="AZ93" s="463"/>
      <c r="BL93" s="30"/>
    </row>
    <row r="94" spans="1:70" s="464" customFormat="1" ht="29.25" customHeight="1" x14ac:dyDescent="0.2">
      <c r="A94" s="753">
        <f>+IF(JUNIO!A94=0,"",JUNIO!A94)</f>
        <v>11303</v>
      </c>
      <c r="B94" s="626" t="str">
        <f>+IF(JUNIO!B94=0,"",JUNIO!B94)</f>
        <v>Aportes (No ligados a la venta de servicios de salud)</v>
      </c>
      <c r="C94" s="625">
        <f>SUM(C95:C102)</f>
        <v>0</v>
      </c>
      <c r="D94" s="623">
        <f t="shared" ref="D94:N94" si="96">SUM(D95:D102)</f>
        <v>0</v>
      </c>
      <c r="E94" s="623">
        <f t="shared" si="96"/>
        <v>74713971</v>
      </c>
      <c r="F94" s="623">
        <f t="shared" si="96"/>
        <v>74713971</v>
      </c>
      <c r="G94" s="623">
        <f t="shared" si="96"/>
        <v>61305130</v>
      </c>
      <c r="H94" s="623">
        <f t="shared" si="96"/>
        <v>75000000</v>
      </c>
      <c r="I94" s="623">
        <f t="shared" si="96"/>
        <v>136305130</v>
      </c>
      <c r="J94" s="623">
        <f t="shared" si="96"/>
        <v>61305130</v>
      </c>
      <c r="K94" s="623">
        <f t="shared" si="96"/>
        <v>75000000</v>
      </c>
      <c r="L94" s="623">
        <f t="shared" si="96"/>
        <v>136305130</v>
      </c>
      <c r="M94" s="623">
        <f t="shared" si="96"/>
        <v>-61591159</v>
      </c>
      <c r="N94" s="624">
        <f t="shared" si="96"/>
        <v>-61591159</v>
      </c>
      <c r="O94" s="385"/>
      <c r="P94" s="43">
        <f>SUM(P95:P102)</f>
        <v>0</v>
      </c>
      <c r="Q94" s="45">
        <f>SUM(Q95:Q102)</f>
        <v>0</v>
      </c>
      <c r="R94" s="30"/>
      <c r="S94" s="720" t="str">
        <f>+IF(JUNIO!S94=0,"",JUNIO!S94)</f>
        <v>1020301-3</v>
      </c>
      <c r="T94" s="694" t="str">
        <f>+IF(JUNIO!T94=0,"",JUNIO!T94)</f>
        <v xml:space="preserve">Aportes a Fondos de Cesantia - Sin Sit. de Fondos </v>
      </c>
      <c r="U94" s="27">
        <f>+ENERO!U94</f>
        <v>71793333</v>
      </c>
      <c r="V94" s="15">
        <f>JUNIO!V94+JULIO!AL94</f>
        <v>0</v>
      </c>
      <c r="W94" s="15">
        <f>JUNIO!W94+JULIO!AM94</f>
        <v>0</v>
      </c>
      <c r="X94" s="18">
        <f>SUM(U94:W94)</f>
        <v>71793333</v>
      </c>
      <c r="Y94" s="19">
        <f>JUNIO!AA94</f>
        <v>18813624</v>
      </c>
      <c r="Z94" s="377">
        <v>420758</v>
      </c>
      <c r="AA94" s="18">
        <f>SUM(Y94:Z94)</f>
        <v>19234382</v>
      </c>
      <c r="AB94" s="19">
        <f>JUNIO!AD94</f>
        <v>18813624</v>
      </c>
      <c r="AC94" s="377">
        <v>420758</v>
      </c>
      <c r="AD94" s="18">
        <f>SUM(AB94:AC94)</f>
        <v>19234382</v>
      </c>
      <c r="AE94" s="19">
        <f>JUNIO!AG94</f>
        <v>0</v>
      </c>
      <c r="AF94" s="377">
        <v>0</v>
      </c>
      <c r="AG94" s="18">
        <f>SUM(AE94:AF94)</f>
        <v>0</v>
      </c>
      <c r="AH94" s="19">
        <f>X94-AA94</f>
        <v>52558951</v>
      </c>
      <c r="AI94" s="15">
        <f>X94-AD94</f>
        <v>52558951</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+IF(JUNIO!A95=0,"",JUNIO!A95)</f>
        <v>11303-1</v>
      </c>
      <c r="B95" s="627" t="str">
        <f>+IF(JUNIO!B95=0,"",JUNIO!B95)</f>
        <v>NACION</v>
      </c>
      <c r="C95" s="401">
        <f>+ENERO!C95</f>
        <v>0</v>
      </c>
      <c r="D95" s="376">
        <f>JUNIO!D95+JULIO!P95</f>
        <v>0</v>
      </c>
      <c r="E95" s="376">
        <f>JUNIO!E95+JULIO!Q95</f>
        <v>0</v>
      </c>
      <c r="F95" s="376">
        <f t="shared" ref="F95:F102" si="97">SUM(C95:E95)</f>
        <v>0</v>
      </c>
      <c r="G95" s="376">
        <f>JUNIO!I95</f>
        <v>0</v>
      </c>
      <c r="H95" s="377">
        <v>0</v>
      </c>
      <c r="I95" s="376">
        <f t="shared" ref="I95:I102" si="98">SUM(G95:H95)</f>
        <v>0</v>
      </c>
      <c r="J95" s="376">
        <f>JUNIO!L95</f>
        <v>0</v>
      </c>
      <c r="K95" s="377">
        <v>0</v>
      </c>
      <c r="L95" s="376">
        <f t="shared" ref="L95:L102" si="99">SUM(J95:K95)</f>
        <v>0</v>
      </c>
      <c r="M95" s="376">
        <f t="shared" ref="M95:M102" si="100">F95-I95</f>
        <v>0</v>
      </c>
      <c r="N95" s="146">
        <f t="shared" ref="N95:N102" si="101">F95-L95</f>
        <v>0</v>
      </c>
      <c r="O95" s="385"/>
      <c r="P95" s="375">
        <v>0</v>
      </c>
      <c r="Q95" s="378">
        <v>0</v>
      </c>
      <c r="R95" s="30"/>
      <c r="S95" s="720" t="str">
        <f>+IF(JUNIO!S95=0,"",JUNIO!S95)</f>
        <v>1020301-4</v>
      </c>
      <c r="T95" s="694" t="str">
        <f>+IF(JUNIO!T95=0,"",JUNIO!T95)</f>
        <v>Aporte a ARL. - Sin Sit. de Fondos</v>
      </c>
      <c r="U95" s="27">
        <f>+ENERO!U95</f>
        <v>17028007</v>
      </c>
      <c r="V95" s="15">
        <f>JUNIO!V95+JULIO!AL95</f>
        <v>0</v>
      </c>
      <c r="W95" s="15">
        <f>JUNIO!W95+JULIO!AM95</f>
        <v>0</v>
      </c>
      <c r="X95" s="18">
        <f>SUM(U95:W95)</f>
        <v>17028007</v>
      </c>
      <c r="Y95" s="19">
        <f>JUNIO!AA95</f>
        <v>9042627</v>
      </c>
      <c r="Z95" s="377">
        <v>1444819</v>
      </c>
      <c r="AA95" s="18">
        <f>SUM(Y95:Z95)</f>
        <v>10487446</v>
      </c>
      <c r="AB95" s="19">
        <f>JUNIO!AD95</f>
        <v>9042627</v>
      </c>
      <c r="AC95" s="377">
        <v>1444819</v>
      </c>
      <c r="AD95" s="18">
        <f>SUM(AB95:AC95)</f>
        <v>10487446</v>
      </c>
      <c r="AE95" s="19">
        <f>JUNIO!AG95</f>
        <v>9042627</v>
      </c>
      <c r="AF95" s="377">
        <v>1444819</v>
      </c>
      <c r="AG95" s="18">
        <f>SUM(AE95:AF95)</f>
        <v>10487446</v>
      </c>
      <c r="AH95" s="19">
        <f>X95-AA95</f>
        <v>6540561</v>
      </c>
      <c r="AI95" s="15">
        <f>X95-AD95</f>
        <v>6540561</v>
      </c>
      <c r="AJ95" s="16">
        <f>X95-AG95</f>
        <v>6540561</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+IF(JUNIO!A96=0,"",JUNIO!A96)</f>
        <v>11303-2</v>
      </c>
      <c r="B96" s="627" t="str">
        <f>+IF(JUNIO!B96=0,"",JUNIO!B96)</f>
        <v>DEPARTAMENTO</v>
      </c>
      <c r="C96" s="401">
        <f>+ENERO!C96</f>
        <v>0</v>
      </c>
      <c r="D96" s="376">
        <f>JUNIO!D96+JULIO!P96</f>
        <v>0</v>
      </c>
      <c r="E96" s="376">
        <f>JUNIO!E96+JULIO!Q96</f>
        <v>61305130</v>
      </c>
      <c r="F96" s="376">
        <f t="shared" si="97"/>
        <v>61305130</v>
      </c>
      <c r="G96" s="376">
        <f>JUNIO!I96</f>
        <v>61305130</v>
      </c>
      <c r="H96" s="377">
        <v>75000000</v>
      </c>
      <c r="I96" s="376">
        <f t="shared" si="98"/>
        <v>136305130</v>
      </c>
      <c r="J96" s="376">
        <f>JUNIO!L96</f>
        <v>61305130</v>
      </c>
      <c r="K96" s="377">
        <v>75000000</v>
      </c>
      <c r="L96" s="376">
        <f t="shared" si="99"/>
        <v>136305130</v>
      </c>
      <c r="M96" s="376">
        <f t="shared" si="100"/>
        <v>-75000000</v>
      </c>
      <c r="N96" s="146">
        <f t="shared" si="101"/>
        <v>-75000000</v>
      </c>
      <c r="O96" s="385"/>
      <c r="P96" s="375">
        <v>0</v>
      </c>
      <c r="Q96" s="378">
        <v>0</v>
      </c>
      <c r="S96" s="719">
        <f>+IF(JUNIO!S96=0,"",JUNIO!S96)</f>
        <v>1020302</v>
      </c>
      <c r="T96" s="693" t="str">
        <f>+IF(JUNIO!T96=0,"",JUNIO!T96)</f>
        <v>Contribuciones - Otros</v>
      </c>
      <c r="U96" s="27">
        <f t="shared" ref="U96:AJ96" si="102">SUM(U97:U101)</f>
        <v>39606111</v>
      </c>
      <c r="V96" s="15">
        <f t="shared" si="102"/>
        <v>0</v>
      </c>
      <c r="W96" s="15">
        <f t="shared" si="102"/>
        <v>0</v>
      </c>
      <c r="X96" s="18">
        <f t="shared" si="102"/>
        <v>39606111</v>
      </c>
      <c r="Y96" s="19">
        <f t="shared" si="102"/>
        <v>15211500</v>
      </c>
      <c r="Z96" s="145">
        <f t="shared" si="102"/>
        <v>2699800</v>
      </c>
      <c r="AA96" s="18">
        <f t="shared" si="102"/>
        <v>17911300</v>
      </c>
      <c r="AB96" s="19">
        <f t="shared" si="102"/>
        <v>15211500</v>
      </c>
      <c r="AC96" s="145">
        <f t="shared" si="102"/>
        <v>2699800</v>
      </c>
      <c r="AD96" s="18">
        <f t="shared" si="102"/>
        <v>17911300</v>
      </c>
      <c r="AE96" s="19">
        <f t="shared" si="102"/>
        <v>12687800</v>
      </c>
      <c r="AF96" s="145">
        <f t="shared" si="102"/>
        <v>2727300</v>
      </c>
      <c r="AG96" s="18">
        <f t="shared" si="102"/>
        <v>15415100</v>
      </c>
      <c r="AH96" s="19">
        <f t="shared" si="102"/>
        <v>21694811</v>
      </c>
      <c r="AI96" s="15">
        <f t="shared" si="102"/>
        <v>21694811</v>
      </c>
      <c r="AJ96" s="16">
        <f t="shared" si="102"/>
        <v>24191011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+IF(JUNIO!A97=0,"",JUNIO!A97)</f>
        <v>11303-3</v>
      </c>
      <c r="B97" s="627" t="str">
        <f>+IF(JUNIO!B97=0,"",JUNIO!B97)</f>
        <v>MUNICIPIO</v>
      </c>
      <c r="C97" s="401">
        <f>+ENERO!C97</f>
        <v>0</v>
      </c>
      <c r="D97" s="376">
        <f>JUNIO!D97+JULIO!P97</f>
        <v>0</v>
      </c>
      <c r="E97" s="376">
        <f>JUNIO!E97+JULIO!Q97</f>
        <v>0</v>
      </c>
      <c r="F97" s="376">
        <f t="shared" si="97"/>
        <v>0</v>
      </c>
      <c r="G97" s="376">
        <f>JUNIO!I97</f>
        <v>0</v>
      </c>
      <c r="H97" s="377">
        <v>0</v>
      </c>
      <c r="I97" s="376">
        <f t="shared" si="98"/>
        <v>0</v>
      </c>
      <c r="J97" s="376">
        <f>JUNIO!L97</f>
        <v>0</v>
      </c>
      <c r="K97" s="377">
        <v>0</v>
      </c>
      <c r="L97" s="376">
        <f t="shared" si="99"/>
        <v>0</v>
      </c>
      <c r="M97" s="376">
        <f t="shared" si="100"/>
        <v>0</v>
      </c>
      <c r="N97" s="146">
        <f t="shared" si="101"/>
        <v>0</v>
      </c>
      <c r="O97" s="385"/>
      <c r="P97" s="375">
        <v>0</v>
      </c>
      <c r="Q97" s="378">
        <v>0</v>
      </c>
      <c r="R97" s="30"/>
      <c r="S97" s="720" t="str">
        <f>+IF(JUNIO!S97=0,"",JUNIO!S97)</f>
        <v>1020302-1</v>
      </c>
      <c r="T97" s="694" t="str">
        <f>+IF(JUNIO!T97=0,"",JUNIO!T97)</f>
        <v>Aportes a E.P.S.- Con sit. Fondos</v>
      </c>
      <c r="U97" s="27">
        <f>+ENERO!U97</f>
        <v>1005165</v>
      </c>
      <c r="V97" s="15">
        <f>JUNIO!V97+JULIO!AL97</f>
        <v>0</v>
      </c>
      <c r="W97" s="15">
        <f>JUNIO!W97+JULIO!AM97</f>
        <v>0</v>
      </c>
      <c r="X97" s="18">
        <f t="shared" ref="X97:X102" si="103">SUM(U97:W97)</f>
        <v>1005165</v>
      </c>
      <c r="Y97" s="19">
        <f>JUNIO!AA97</f>
        <v>0</v>
      </c>
      <c r="Z97" s="377">
        <v>203600</v>
      </c>
      <c r="AA97" s="18">
        <f t="shared" ref="AA97:AA102" si="104">SUM(Y97:Z97)</f>
        <v>203600</v>
      </c>
      <c r="AB97" s="19">
        <f>JUNIO!AD97</f>
        <v>0</v>
      </c>
      <c r="AC97" s="377">
        <v>203600</v>
      </c>
      <c r="AD97" s="18">
        <f t="shared" ref="AD97:AD102" si="105">SUM(AB97:AC97)</f>
        <v>203600</v>
      </c>
      <c r="AE97" s="19">
        <f>JUNIO!AG97</f>
        <v>0</v>
      </c>
      <c r="AF97" s="377">
        <v>203600</v>
      </c>
      <c r="AG97" s="18">
        <f t="shared" ref="AG97:AG102" si="106">SUM(AE97:AF97)</f>
        <v>203600</v>
      </c>
      <c r="AH97" s="19">
        <f t="shared" ref="AH97:AH102" si="107">X97-AA97</f>
        <v>801565</v>
      </c>
      <c r="AI97" s="15">
        <f t="shared" ref="AI97:AI102" si="108">X97-AD97</f>
        <v>801565</v>
      </c>
      <c r="AJ97" s="16">
        <f t="shared" ref="AJ97:AJ102" si="109">X97-AG97</f>
        <v>801565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+IF(JUNIO!A98=0,"",JUNIO!A98)</f>
        <v>11303-4</v>
      </c>
      <c r="B98" s="627" t="str">
        <f>+IF(JUNIO!B98=0,"",JUNIO!B98)</f>
        <v>CONVENIOS (EMPRESTITO)</v>
      </c>
      <c r="C98" s="401">
        <f>+ENERO!C98</f>
        <v>0</v>
      </c>
      <c r="D98" s="376">
        <f>JUNIO!D98+JULIO!P98</f>
        <v>0</v>
      </c>
      <c r="E98" s="376">
        <f>JUNIO!E98+JULIO!Q98</f>
        <v>0</v>
      </c>
      <c r="F98" s="376">
        <f t="shared" si="97"/>
        <v>0</v>
      </c>
      <c r="G98" s="376">
        <f>JUNIO!I98</f>
        <v>0</v>
      </c>
      <c r="H98" s="377">
        <v>0</v>
      </c>
      <c r="I98" s="376">
        <f t="shared" si="98"/>
        <v>0</v>
      </c>
      <c r="J98" s="376">
        <f>JUNIO!L98</f>
        <v>0</v>
      </c>
      <c r="K98" s="377">
        <v>0</v>
      </c>
      <c r="L98" s="376">
        <f t="shared" si="99"/>
        <v>0</v>
      </c>
      <c r="M98" s="376">
        <f t="shared" si="100"/>
        <v>0</v>
      </c>
      <c r="N98" s="146">
        <f t="shared" si="101"/>
        <v>0</v>
      </c>
      <c r="O98" s="385"/>
      <c r="P98" s="375">
        <v>0</v>
      </c>
      <c r="Q98" s="378">
        <v>0</v>
      </c>
      <c r="R98" s="30"/>
      <c r="S98" s="720" t="str">
        <f>+IF(JUNIO!S98=0,"",JUNIO!S98)</f>
        <v>1020302-2</v>
      </c>
      <c r="T98" s="694" t="str">
        <f>+IF(JUNIO!T98=0,"",JUNIO!T98)</f>
        <v>Aportes Fondos Pensionales - Con Sit. Fondos</v>
      </c>
      <c r="U98" s="27">
        <f>+ENERO!U98</f>
        <v>3635130</v>
      </c>
      <c r="V98" s="15">
        <f>JUNIO!V98+JULIO!AL98</f>
        <v>0</v>
      </c>
      <c r="W98" s="15">
        <f>JUNIO!W98+JULIO!AM98</f>
        <v>0</v>
      </c>
      <c r="X98" s="18">
        <f t="shared" si="103"/>
        <v>3635130</v>
      </c>
      <c r="Y98" s="19">
        <f>JUNIO!AA98</f>
        <v>0</v>
      </c>
      <c r="Z98" s="377">
        <v>0</v>
      </c>
      <c r="AA98" s="18">
        <f t="shared" si="104"/>
        <v>0</v>
      </c>
      <c r="AB98" s="19">
        <f>JUNIO!AD98</f>
        <v>0</v>
      </c>
      <c r="AC98" s="377">
        <v>0</v>
      </c>
      <c r="AD98" s="18">
        <f t="shared" si="105"/>
        <v>0</v>
      </c>
      <c r="AE98" s="19">
        <f>JUNIO!AG98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+IF(JUNIO!A99=0,"",JUNIO!A99)</f>
        <v>11303-5</v>
      </c>
      <c r="B99" s="627" t="str">
        <f>+IF(JUNIO!B99=0,"",JUNIO!B99)</f>
        <v>APORTES PATRONALES - MUNICIPIO / DEPARTAMENTO</v>
      </c>
      <c r="C99" s="681">
        <f>+ENERO!C99</f>
        <v>0</v>
      </c>
      <c r="D99" s="376">
        <f>JUNIO!D99+JULIO!P99</f>
        <v>0</v>
      </c>
      <c r="E99" s="376">
        <f>JUNIO!E99+JULIO!Q99</f>
        <v>0</v>
      </c>
      <c r="F99" s="376">
        <f t="shared" si="97"/>
        <v>0</v>
      </c>
      <c r="G99" s="376">
        <f>JUNIO!I99</f>
        <v>0</v>
      </c>
      <c r="H99" s="682">
        <v>0</v>
      </c>
      <c r="I99" s="376">
        <f t="shared" si="98"/>
        <v>0</v>
      </c>
      <c r="J99" s="376">
        <f>JUNIO!L99</f>
        <v>0</v>
      </c>
      <c r="K99" s="682">
        <v>0</v>
      </c>
      <c r="L99" s="376">
        <f t="shared" si="99"/>
        <v>0</v>
      </c>
      <c r="M99" s="376">
        <f t="shared" si="100"/>
        <v>0</v>
      </c>
      <c r="N99" s="146">
        <f t="shared" si="101"/>
        <v>0</v>
      </c>
      <c r="O99" s="385"/>
      <c r="P99" s="683">
        <v>0</v>
      </c>
      <c r="Q99" s="684">
        <v>0</v>
      </c>
      <c r="R99" s="30"/>
      <c r="S99" s="720" t="str">
        <f>+IF(JUNIO!S99=0,"",JUNIO!S99)</f>
        <v>1020302-3</v>
      </c>
      <c r="T99" s="694" t="str">
        <f>+IF(JUNIO!T99=0,"",JUNIO!T99)</f>
        <v xml:space="preserve">Aportes a Fondos de Cesantia - Con Sit. de Fondos </v>
      </c>
      <c r="U99" s="27">
        <f>+ENERO!U99</f>
        <v>2469908</v>
      </c>
      <c r="V99" s="15">
        <f>JUNIO!V99+JULIO!AL99</f>
        <v>0</v>
      </c>
      <c r="W99" s="15">
        <f>JUNIO!W99+JULIO!AM99</f>
        <v>0</v>
      </c>
      <c r="X99" s="18">
        <f t="shared" si="103"/>
        <v>2469908</v>
      </c>
      <c r="Y99" s="19">
        <f>JUNIO!AA99</f>
        <v>0</v>
      </c>
      <c r="Z99" s="377">
        <v>0</v>
      </c>
      <c r="AA99" s="18">
        <f t="shared" si="104"/>
        <v>0</v>
      </c>
      <c r="AB99" s="19">
        <f>JUNIO!AD99</f>
        <v>0</v>
      </c>
      <c r="AC99" s="377">
        <v>0</v>
      </c>
      <c r="AD99" s="18">
        <f t="shared" si="105"/>
        <v>0</v>
      </c>
      <c r="AE99" s="19">
        <f>JUNIO!AG99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+IF(JUNIO!A100=0,"",JUNIO!A100)</f>
        <v>11303-6</v>
      </c>
      <c r="B100" s="627" t="str">
        <f>+IF(JUNIO!B100=0,"",JUNIO!B100)</f>
        <v>RECURSOS PARA PROGRAMA DE SANEAMIENTO FINANCIERO</v>
      </c>
      <c r="C100" s="401">
        <f>+ENERO!C100</f>
        <v>0</v>
      </c>
      <c r="D100" s="376">
        <f>JUNIO!D100+JULIO!P100</f>
        <v>0</v>
      </c>
      <c r="E100" s="376">
        <f>JUNIO!E100+JULIO!Q100</f>
        <v>0</v>
      </c>
      <c r="F100" s="376">
        <f t="shared" si="97"/>
        <v>0</v>
      </c>
      <c r="G100" s="376">
        <f>JUNIO!I100</f>
        <v>0</v>
      </c>
      <c r="H100" s="377">
        <v>0</v>
      </c>
      <c r="I100" s="376">
        <f t="shared" si="98"/>
        <v>0</v>
      </c>
      <c r="J100" s="376">
        <f>JUNIO!L100</f>
        <v>0</v>
      </c>
      <c r="K100" s="377">
        <v>0</v>
      </c>
      <c r="L100" s="376">
        <f t="shared" si="99"/>
        <v>0</v>
      </c>
      <c r="M100" s="376">
        <f t="shared" si="100"/>
        <v>0</v>
      </c>
      <c r="N100" s="146">
        <f t="shared" si="101"/>
        <v>0</v>
      </c>
      <c r="P100" s="375">
        <v>0</v>
      </c>
      <c r="Q100" s="378">
        <v>0</v>
      </c>
      <c r="R100" s="9"/>
      <c r="S100" s="720" t="str">
        <f>+IF(JUNIO!S100=0,"",JUNIO!S100)</f>
        <v>1020302-4</v>
      </c>
      <c r="T100" s="694" t="str">
        <f>+IF(JUNIO!T100=0,"",JUNIO!T100)</f>
        <v>Aporte a ARL. - Con Sit. de Fondos</v>
      </c>
      <c r="U100" s="27">
        <f>+ENERO!U100</f>
        <v>0</v>
      </c>
      <c r="V100" s="15">
        <f>JUNIO!V100+JULIO!AL100</f>
        <v>0</v>
      </c>
      <c r="W100" s="15">
        <f>JUNIO!W100+JULIO!AM100</f>
        <v>0</v>
      </c>
      <c r="X100" s="18">
        <f t="shared" si="103"/>
        <v>0</v>
      </c>
      <c r="Y100" s="19">
        <f>JUNIO!AA100</f>
        <v>0</v>
      </c>
      <c r="Z100" s="377">
        <v>0</v>
      </c>
      <c r="AA100" s="18">
        <f t="shared" si="104"/>
        <v>0</v>
      </c>
      <c r="AB100" s="19">
        <f>JUNIO!AD100</f>
        <v>0</v>
      </c>
      <c r="AC100" s="377">
        <v>0</v>
      </c>
      <c r="AD100" s="18">
        <f t="shared" si="105"/>
        <v>0</v>
      </c>
      <c r="AE100" s="19">
        <f>JUNIO!AG100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+IF(JUNIO!A101=0,"",JUNIO!A101)</f>
        <v>11303-7</v>
      </c>
      <c r="B101" s="627" t="str">
        <f>+IF(JUNIO!B101=0,"",JUNIO!B101)</f>
        <v xml:space="preserve">SANEAMIENTO APORTES PATRONALES </v>
      </c>
      <c r="C101" s="401">
        <f>+ENERO!C101</f>
        <v>0</v>
      </c>
      <c r="D101" s="376">
        <f>JUNIO!D101+JULIO!P101</f>
        <v>0</v>
      </c>
      <c r="E101" s="376">
        <f>JUNIO!E101+JULIO!Q101</f>
        <v>13408841</v>
      </c>
      <c r="F101" s="376">
        <f t="shared" si="97"/>
        <v>13408841</v>
      </c>
      <c r="G101" s="376">
        <f>JUNIO!I101</f>
        <v>0</v>
      </c>
      <c r="H101" s="377">
        <v>0</v>
      </c>
      <c r="I101" s="376">
        <f t="shared" si="98"/>
        <v>0</v>
      </c>
      <c r="J101" s="376">
        <f>JUNIO!L101</f>
        <v>0</v>
      </c>
      <c r="K101" s="377">
        <v>0</v>
      </c>
      <c r="L101" s="376">
        <f t="shared" si="99"/>
        <v>0</v>
      </c>
      <c r="M101" s="376">
        <f t="shared" si="100"/>
        <v>13408841</v>
      </c>
      <c r="N101" s="146">
        <f t="shared" si="101"/>
        <v>13408841</v>
      </c>
      <c r="P101" s="375">
        <v>0</v>
      </c>
      <c r="Q101" s="378">
        <v>0</v>
      </c>
      <c r="R101" s="9"/>
      <c r="S101" s="720" t="str">
        <f>+IF(JUNIO!S101=0,"",JUNIO!S101)</f>
        <v>1020302-5</v>
      </c>
      <c r="T101" s="694" t="str">
        <f>+IF(JUNIO!T101=0,"",JUNIO!T101)</f>
        <v>Aporte a Caja Compensación Familiar</v>
      </c>
      <c r="U101" s="27">
        <f>+ENERO!U101</f>
        <v>32495908</v>
      </c>
      <c r="V101" s="15">
        <f>JUNIO!V101+JULIO!AL101</f>
        <v>0</v>
      </c>
      <c r="W101" s="15">
        <f>JUNIO!W101+JULIO!AM101</f>
        <v>0</v>
      </c>
      <c r="X101" s="18">
        <f t="shared" si="103"/>
        <v>32495908</v>
      </c>
      <c r="Y101" s="19">
        <f>JUNIO!AA101</f>
        <v>15211500</v>
      </c>
      <c r="Z101" s="377">
        <v>2496200</v>
      </c>
      <c r="AA101" s="18">
        <f t="shared" si="104"/>
        <v>17707700</v>
      </c>
      <c r="AB101" s="19">
        <f>JUNIO!AD101</f>
        <v>15211500</v>
      </c>
      <c r="AC101" s="377">
        <v>2496200</v>
      </c>
      <c r="AD101" s="18">
        <f t="shared" si="105"/>
        <v>17707700</v>
      </c>
      <c r="AE101" s="19">
        <f>JUNIO!AG101</f>
        <v>12687800</v>
      </c>
      <c r="AF101" s="377">
        <v>2523700</v>
      </c>
      <c r="AG101" s="18">
        <f t="shared" si="106"/>
        <v>15211500</v>
      </c>
      <c r="AH101" s="19">
        <f t="shared" si="107"/>
        <v>14788208</v>
      </c>
      <c r="AI101" s="15">
        <f t="shared" si="108"/>
        <v>14788208</v>
      </c>
      <c r="AJ101" s="16">
        <f t="shared" si="109"/>
        <v>17284408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+IF(JUNIO!A102=0,"",JUNIO!A102)</f>
        <v>11303-8</v>
      </c>
      <c r="B102" s="636" t="str">
        <f>+IF(JUNIO!B102=0,"",JUNIO!B102)</f>
        <v>Vigencia Anterior</v>
      </c>
      <c r="C102" s="491">
        <f>+ENERO!C102</f>
        <v>0</v>
      </c>
      <c r="D102" s="388">
        <f>JUNIO!D102+JULIO!P102</f>
        <v>0</v>
      </c>
      <c r="E102" s="388">
        <f>JUNIO!E102+JULIO!Q102</f>
        <v>0</v>
      </c>
      <c r="F102" s="388">
        <f t="shared" si="97"/>
        <v>0</v>
      </c>
      <c r="G102" s="388">
        <f>JUNIO!I102</f>
        <v>0</v>
      </c>
      <c r="H102" s="391">
        <v>0</v>
      </c>
      <c r="I102" s="388">
        <f t="shared" si="98"/>
        <v>0</v>
      </c>
      <c r="J102" s="388">
        <f>JUNIO!L102</f>
        <v>0</v>
      </c>
      <c r="K102" s="391">
        <v>0</v>
      </c>
      <c r="L102" s="388">
        <f t="shared" si="99"/>
        <v>0</v>
      </c>
      <c r="M102" s="388">
        <f t="shared" si="100"/>
        <v>0</v>
      </c>
      <c r="N102" s="389">
        <f t="shared" si="101"/>
        <v>0</v>
      </c>
      <c r="P102" s="375">
        <v>0</v>
      </c>
      <c r="Q102" s="378">
        <v>0</v>
      </c>
      <c r="R102" s="9"/>
      <c r="S102" s="719">
        <f>+IF(JUNIO!S102=0,"",JUNIO!S102)</f>
        <v>1020399</v>
      </c>
      <c r="T102" s="693" t="str">
        <f>+IF(JUNIO!T102=0,"",JUNIO!T102)</f>
        <v>Vigencias Anteriores</v>
      </c>
      <c r="U102" s="27">
        <f>+ENERO!U102</f>
        <v>0</v>
      </c>
      <c r="V102" s="15">
        <f>JUNIO!V102+JULIO!AL102</f>
        <v>0</v>
      </c>
      <c r="W102" s="15">
        <f>JUNIO!W102+JULIO!AM102</f>
        <v>54740941</v>
      </c>
      <c r="X102" s="18">
        <f t="shared" si="103"/>
        <v>54740941</v>
      </c>
      <c r="Y102" s="19">
        <f>JUNIO!AA102</f>
        <v>54740941</v>
      </c>
      <c r="Z102" s="377">
        <v>0</v>
      </c>
      <c r="AA102" s="18">
        <f t="shared" si="104"/>
        <v>54740941</v>
      </c>
      <c r="AB102" s="19">
        <f>JUNIO!AD102</f>
        <v>54740941</v>
      </c>
      <c r="AC102" s="377">
        <v>0</v>
      </c>
      <c r="AD102" s="18">
        <f t="shared" si="105"/>
        <v>54740941</v>
      </c>
      <c r="AE102" s="19">
        <f>JUNIO!AG102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+IF(JUNIO!A103=0,"",JUNIO!A103)</f>
        <v/>
      </c>
      <c r="B103" s="661" t="str">
        <f>+IF(JUNIO!B103=0,"",JUNIO!B103)</f>
        <v/>
      </c>
      <c r="C103" s="483"/>
      <c r="D103" s="483"/>
      <c r="E103" s="483"/>
      <c r="F103" s="483"/>
      <c r="G103" s="483"/>
      <c r="H103" s="483"/>
      <c r="I103" s="483"/>
      <c r="J103" s="483"/>
      <c r="K103" s="483"/>
      <c r="L103" s="483"/>
      <c r="M103" s="483"/>
      <c r="N103" s="484"/>
      <c r="P103" s="485"/>
      <c r="Q103" s="484"/>
      <c r="R103" s="9"/>
      <c r="S103" s="369" t="str">
        <f>+IF(JUNIO!S103=0,"",JUNIO!S103)</f>
        <v/>
      </c>
      <c r="T103" s="708" t="str">
        <f>+IF(JUNIO!T103=0,"",JUNIO!T103)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+IF(JUNIO!A104=0,"",JUNIO!A104)</f>
        <v>11304</v>
      </c>
      <c r="B104" s="626" t="str">
        <f>+IF(JUNIO!B104=0,"",JUNIO!B104)</f>
        <v>Otros ingresos corrientes</v>
      </c>
      <c r="C104" s="625">
        <f>SUM(C105:C111)</f>
        <v>107181679</v>
      </c>
      <c r="D104" s="623">
        <f t="shared" ref="D104:N104" si="110">SUM(D105:D111)</f>
        <v>0</v>
      </c>
      <c r="E104" s="623">
        <f t="shared" si="110"/>
        <v>0</v>
      </c>
      <c r="F104" s="623">
        <f t="shared" si="110"/>
        <v>107181679</v>
      </c>
      <c r="G104" s="623">
        <f t="shared" si="110"/>
        <v>51269586</v>
      </c>
      <c r="H104" s="623">
        <f t="shared" si="110"/>
        <v>10683950</v>
      </c>
      <c r="I104" s="623">
        <f t="shared" si="110"/>
        <v>61953536</v>
      </c>
      <c r="J104" s="623">
        <f t="shared" si="110"/>
        <v>51269586</v>
      </c>
      <c r="K104" s="623">
        <f t="shared" si="110"/>
        <v>10683950</v>
      </c>
      <c r="L104" s="623">
        <f t="shared" si="110"/>
        <v>61953536</v>
      </c>
      <c r="M104" s="623">
        <f t="shared" si="110"/>
        <v>45228143</v>
      </c>
      <c r="N104" s="624">
        <f t="shared" si="110"/>
        <v>45228143</v>
      </c>
      <c r="P104" s="43">
        <f>SUM(P105:P111)</f>
        <v>0</v>
      </c>
      <c r="Q104" s="45">
        <f>SUM(Q105:Q111)</f>
        <v>0</v>
      </c>
      <c r="R104" s="9"/>
      <c r="S104" s="718">
        <f>+IF(JUNIO!S104=0,"",JUNIO!S104)</f>
        <v>1020400</v>
      </c>
      <c r="T104" s="692" t="str">
        <f>+IF(JUNIO!T104=0,"",JUNIO!T104)</f>
        <v>Contribuciones Inherentes nómina del Sector Publico</v>
      </c>
      <c r="U104" s="135">
        <f t="shared" ref="U104:AJ104" si="111">U105+U108</f>
        <v>40619885</v>
      </c>
      <c r="V104" s="124">
        <f t="shared" si="111"/>
        <v>0</v>
      </c>
      <c r="W104" s="124">
        <f t="shared" si="111"/>
        <v>3013800</v>
      </c>
      <c r="X104" s="132">
        <f t="shared" si="111"/>
        <v>43633685</v>
      </c>
      <c r="Y104" s="131">
        <f t="shared" si="111"/>
        <v>22027600</v>
      </c>
      <c r="Z104" s="124">
        <f t="shared" si="111"/>
        <v>3120300</v>
      </c>
      <c r="AA104" s="132">
        <f t="shared" si="111"/>
        <v>25147900</v>
      </c>
      <c r="AB104" s="131">
        <f t="shared" si="111"/>
        <v>22027600</v>
      </c>
      <c r="AC104" s="124">
        <f t="shared" si="111"/>
        <v>3120300</v>
      </c>
      <c r="AD104" s="132">
        <f t="shared" si="111"/>
        <v>25147900</v>
      </c>
      <c r="AE104" s="131">
        <f t="shared" si="111"/>
        <v>18872900</v>
      </c>
      <c r="AF104" s="124">
        <f t="shared" si="111"/>
        <v>3154700</v>
      </c>
      <c r="AG104" s="132">
        <f t="shared" si="111"/>
        <v>22027600</v>
      </c>
      <c r="AH104" s="131">
        <f t="shared" si="111"/>
        <v>18485785</v>
      </c>
      <c r="AI104" s="124">
        <f t="shared" si="111"/>
        <v>18485785</v>
      </c>
      <c r="AJ104" s="133">
        <f t="shared" si="111"/>
        <v>21606085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+IF(JUNIO!A105=0,"",JUNIO!A105)</f>
        <v>11304-1</v>
      </c>
      <c r="B105" s="627" t="str">
        <f>+IF(JUNIO!B105=0,"",JUNIO!B105)</f>
        <v>ARRENDAMIENTO Y ALQUILER DE BIENES MUEBLES E INMUEBLES</v>
      </c>
      <c r="C105" s="401">
        <f>+ENERO!C105</f>
        <v>916364</v>
      </c>
      <c r="D105" s="376">
        <f>JUNIO!D105+JULIO!P105</f>
        <v>0</v>
      </c>
      <c r="E105" s="376">
        <f>JUNIO!E105+JULIO!Q105</f>
        <v>0</v>
      </c>
      <c r="F105" s="376">
        <f t="shared" ref="F105:F111" si="112">SUM(C105:E105)</f>
        <v>916364</v>
      </c>
      <c r="G105" s="376">
        <f>JUNIO!I105</f>
        <v>400000</v>
      </c>
      <c r="H105" s="377">
        <v>80000</v>
      </c>
      <c r="I105" s="376">
        <f t="shared" ref="I105:I111" si="113">SUM(G105:H105)</f>
        <v>480000</v>
      </c>
      <c r="J105" s="376">
        <f>JUNIO!L105</f>
        <v>400000</v>
      </c>
      <c r="K105" s="377">
        <v>80000</v>
      </c>
      <c r="L105" s="376">
        <f t="shared" ref="L105:L111" si="114">SUM(J105:K105)</f>
        <v>480000</v>
      </c>
      <c r="M105" s="376">
        <f t="shared" ref="M105:M111" si="115">F105-I105</f>
        <v>436364</v>
      </c>
      <c r="N105" s="146">
        <f t="shared" ref="N105:N111" si="116">F105-L105</f>
        <v>436364</v>
      </c>
      <c r="P105" s="375">
        <v>0</v>
      </c>
      <c r="Q105" s="378">
        <v>0</v>
      </c>
      <c r="R105" s="9"/>
      <c r="S105" s="719">
        <f>+IF(JUNIO!S105=0,"",JUNIO!S105)</f>
        <v>1020402</v>
      </c>
      <c r="T105" s="693" t="str">
        <f>+IF(JUNIO!T105=0,"",JUNIO!T105)</f>
        <v>Contribuciones - Otros</v>
      </c>
      <c r="U105" s="27">
        <f t="shared" ref="U105:AJ105" si="117">SUM(U106:U107)</f>
        <v>40619885</v>
      </c>
      <c r="V105" s="15">
        <f t="shared" si="117"/>
        <v>0</v>
      </c>
      <c r="W105" s="15">
        <f t="shared" si="117"/>
        <v>0</v>
      </c>
      <c r="X105" s="18">
        <f t="shared" si="117"/>
        <v>40619885</v>
      </c>
      <c r="Y105" s="19">
        <f t="shared" si="117"/>
        <v>19013800</v>
      </c>
      <c r="Z105" s="145">
        <f t="shared" si="117"/>
        <v>3120300</v>
      </c>
      <c r="AA105" s="18">
        <f t="shared" si="117"/>
        <v>22134100</v>
      </c>
      <c r="AB105" s="19">
        <f t="shared" si="117"/>
        <v>19013800</v>
      </c>
      <c r="AC105" s="145">
        <f t="shared" si="117"/>
        <v>3120300</v>
      </c>
      <c r="AD105" s="18">
        <f t="shared" si="117"/>
        <v>22134100</v>
      </c>
      <c r="AE105" s="19">
        <f t="shared" si="117"/>
        <v>15859100</v>
      </c>
      <c r="AF105" s="145">
        <f t="shared" si="117"/>
        <v>3154700</v>
      </c>
      <c r="AG105" s="18">
        <f t="shared" si="117"/>
        <v>19013800</v>
      </c>
      <c r="AH105" s="19">
        <f t="shared" si="117"/>
        <v>18485785</v>
      </c>
      <c r="AI105" s="15">
        <f t="shared" si="117"/>
        <v>18485785</v>
      </c>
      <c r="AJ105" s="16">
        <f t="shared" si="117"/>
        <v>21606085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+IF(JUNIO!A106=0,"",JUNIO!A106)</f>
        <v>11304-2</v>
      </c>
      <c r="B106" s="628" t="str">
        <f>+IF(JUNIO!B106=0,"",JUNIO!B106)</f>
        <v>COMERCIALIZACIÓN DE MERCANCÍAS</v>
      </c>
      <c r="C106" s="401">
        <f>+ENERO!C106</f>
        <v>105119431</v>
      </c>
      <c r="D106" s="376">
        <f>JUNIO!D106+JULIO!P106</f>
        <v>0</v>
      </c>
      <c r="E106" s="376">
        <f>JUNIO!E106+JULIO!Q106</f>
        <v>0</v>
      </c>
      <c r="F106" s="376">
        <f t="shared" si="112"/>
        <v>105119431</v>
      </c>
      <c r="G106" s="376">
        <f>JUNIO!I106</f>
        <v>48427297</v>
      </c>
      <c r="H106" s="377">
        <v>7847600</v>
      </c>
      <c r="I106" s="376">
        <f t="shared" si="113"/>
        <v>56274897</v>
      </c>
      <c r="J106" s="376">
        <f>JUNIO!L106</f>
        <v>48427297</v>
      </c>
      <c r="K106" s="377">
        <v>7847600</v>
      </c>
      <c r="L106" s="376">
        <f t="shared" si="114"/>
        <v>56274897</v>
      </c>
      <c r="M106" s="376">
        <f t="shared" si="115"/>
        <v>48844534</v>
      </c>
      <c r="N106" s="146">
        <f t="shared" si="116"/>
        <v>48844534</v>
      </c>
      <c r="P106" s="375">
        <v>0</v>
      </c>
      <c r="Q106" s="378">
        <v>0</v>
      </c>
      <c r="R106" s="9"/>
      <c r="S106" s="720" t="str">
        <f>+IF(JUNIO!S106=0,"",JUNIO!S106)</f>
        <v>1020402-1</v>
      </c>
      <c r="T106" s="693" t="str">
        <f>+IF(JUNIO!T106=0,"",JUNIO!T106)</f>
        <v>S.E.N.A.</v>
      </c>
      <c r="U106" s="27">
        <f>+ENERO!U106</f>
        <v>16247954</v>
      </c>
      <c r="V106" s="15">
        <f>JUNIO!V106+JULIO!AL106</f>
        <v>0</v>
      </c>
      <c r="W106" s="15">
        <f>JUNIO!W106+JULIO!AM106</f>
        <v>0</v>
      </c>
      <c r="X106" s="18">
        <f>SUM(U106:W106)</f>
        <v>16247954</v>
      </c>
      <c r="Y106" s="19">
        <f>JUNIO!AA106</f>
        <v>7605800</v>
      </c>
      <c r="Z106" s="377">
        <v>1248300</v>
      </c>
      <c r="AA106" s="18">
        <f>SUM(Y106:Z106)</f>
        <v>8854100</v>
      </c>
      <c r="AB106" s="19">
        <f>JUNIO!AD106</f>
        <v>7605800</v>
      </c>
      <c r="AC106" s="377">
        <v>1248300</v>
      </c>
      <c r="AD106" s="18">
        <f>SUM(AB106:AC106)</f>
        <v>8854100</v>
      </c>
      <c r="AE106" s="19">
        <f>JUNIO!AG106</f>
        <v>6343900</v>
      </c>
      <c r="AF106" s="377">
        <v>1261900</v>
      </c>
      <c r="AG106" s="18">
        <f>SUM(AE106:AF106)</f>
        <v>7605800</v>
      </c>
      <c r="AH106" s="19">
        <f>X106-AA106</f>
        <v>7393854</v>
      </c>
      <c r="AI106" s="15">
        <f>X106-AD106</f>
        <v>7393854</v>
      </c>
      <c r="AJ106" s="16">
        <f>X106-AG106</f>
        <v>8642154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+IF(JUNIO!A107=0,"",JUNIO!A107)</f>
        <v>11304-3</v>
      </c>
      <c r="B107" s="627" t="str">
        <f>+IF(JUNIO!B107=0,"",JUNIO!B107)</f>
        <v>Bienestar Social</v>
      </c>
      <c r="C107" s="401">
        <f>+ENERO!C107</f>
        <v>0</v>
      </c>
      <c r="D107" s="376">
        <f>JUNIO!D107+JULIO!P107</f>
        <v>0</v>
      </c>
      <c r="E107" s="376">
        <f>JUNIO!E107+JULIO!Q107</f>
        <v>0</v>
      </c>
      <c r="F107" s="376">
        <f t="shared" si="112"/>
        <v>0</v>
      </c>
      <c r="G107" s="376">
        <f>JUNIO!I107</f>
        <v>0</v>
      </c>
      <c r="H107" s="377">
        <v>0</v>
      </c>
      <c r="I107" s="376">
        <f t="shared" si="113"/>
        <v>0</v>
      </c>
      <c r="J107" s="376">
        <f>JUNIO!L107</f>
        <v>0</v>
      </c>
      <c r="K107" s="377">
        <v>0</v>
      </c>
      <c r="L107" s="376">
        <f t="shared" si="114"/>
        <v>0</v>
      </c>
      <c r="M107" s="376">
        <f t="shared" si="115"/>
        <v>0</v>
      </c>
      <c r="N107" s="146">
        <f t="shared" si="116"/>
        <v>0</v>
      </c>
      <c r="P107" s="375">
        <v>0</v>
      </c>
      <c r="Q107" s="378">
        <v>0</v>
      </c>
      <c r="R107" s="9"/>
      <c r="S107" s="720" t="str">
        <f>+IF(JUNIO!S107=0,"",JUNIO!S107)</f>
        <v>1020402-2</v>
      </c>
      <c r="T107" s="693" t="str">
        <f>+IF(JUNIO!T107=0,"",JUNIO!T107)</f>
        <v>I.C.B.F.</v>
      </c>
      <c r="U107" s="27">
        <f>+ENERO!U107</f>
        <v>24371931</v>
      </c>
      <c r="V107" s="15">
        <f>JUNIO!V107+JULIO!AL107</f>
        <v>0</v>
      </c>
      <c r="W107" s="15">
        <f>JUNIO!W107+JULIO!AM107</f>
        <v>0</v>
      </c>
      <c r="X107" s="18">
        <f>SUM(U107:W107)</f>
        <v>24371931</v>
      </c>
      <c r="Y107" s="19">
        <f>JUNIO!AA107</f>
        <v>11408000</v>
      </c>
      <c r="Z107" s="377">
        <v>1872000</v>
      </c>
      <c r="AA107" s="18">
        <f>SUM(Y107:Z107)</f>
        <v>13280000</v>
      </c>
      <c r="AB107" s="19">
        <f>JUNIO!AD107</f>
        <v>11408000</v>
      </c>
      <c r="AC107" s="377">
        <v>1872000</v>
      </c>
      <c r="AD107" s="18">
        <f>SUM(AB107:AC107)</f>
        <v>13280000</v>
      </c>
      <c r="AE107" s="19">
        <f>JUNIO!AG107</f>
        <v>9515200</v>
      </c>
      <c r="AF107" s="377">
        <v>1892800</v>
      </c>
      <c r="AG107" s="18">
        <f>SUM(AE107:AF107)</f>
        <v>11408000</v>
      </c>
      <c r="AH107" s="19">
        <f>X107-AA107</f>
        <v>11091931</v>
      </c>
      <c r="AI107" s="15">
        <f>X107-AD107</f>
        <v>11091931</v>
      </c>
      <c r="AJ107" s="16">
        <f>X107-AG107</f>
        <v>12963931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+IF(JUNIO!A108=0,"",JUNIO!A108)</f>
        <v>11304-4</v>
      </c>
      <c r="B108" s="627" t="str">
        <f>+IF(JUNIO!B108=0,"",JUNIO!B108)</f>
        <v>Fondo de la Vivienda</v>
      </c>
      <c r="C108" s="401">
        <f>+ENERO!C108</f>
        <v>0</v>
      </c>
      <c r="D108" s="376">
        <f>JUNIO!D108+JULIO!P108</f>
        <v>0</v>
      </c>
      <c r="E108" s="376">
        <f>JUNIO!E108+JULIO!Q108</f>
        <v>0</v>
      </c>
      <c r="F108" s="376">
        <f t="shared" si="112"/>
        <v>0</v>
      </c>
      <c r="G108" s="376">
        <f>JUNIO!I108</f>
        <v>0</v>
      </c>
      <c r="H108" s="377">
        <v>0</v>
      </c>
      <c r="I108" s="376">
        <f t="shared" si="113"/>
        <v>0</v>
      </c>
      <c r="J108" s="376">
        <f>JUNIO!L108</f>
        <v>0</v>
      </c>
      <c r="K108" s="377">
        <v>0</v>
      </c>
      <c r="L108" s="376">
        <f t="shared" si="114"/>
        <v>0</v>
      </c>
      <c r="M108" s="376">
        <f t="shared" si="115"/>
        <v>0</v>
      </c>
      <c r="N108" s="146">
        <f t="shared" si="116"/>
        <v>0</v>
      </c>
      <c r="P108" s="375">
        <v>0</v>
      </c>
      <c r="Q108" s="378">
        <v>0</v>
      </c>
      <c r="R108" s="9"/>
      <c r="S108" s="719">
        <f>+IF(JUNIO!S108=0,"",JUNIO!S108)</f>
        <v>1020499</v>
      </c>
      <c r="T108" s="693" t="str">
        <f>+IF(JUNIO!T108=0,"",JUNIO!T108)</f>
        <v>Vigencias Anteriores</v>
      </c>
      <c r="U108" s="27">
        <f>+ENERO!U108</f>
        <v>0</v>
      </c>
      <c r="V108" s="15">
        <f>JUNIO!V108+JULIO!AL108</f>
        <v>0</v>
      </c>
      <c r="W108" s="15">
        <f>JUNIO!W108+JULIO!AM108</f>
        <v>3013800</v>
      </c>
      <c r="X108" s="18">
        <f>SUM(U108:W108)</f>
        <v>3013800</v>
      </c>
      <c r="Y108" s="19">
        <f>JUNIO!AA108</f>
        <v>3013800</v>
      </c>
      <c r="Z108" s="377">
        <v>0</v>
      </c>
      <c r="AA108" s="18">
        <f>SUM(Y108:Z108)</f>
        <v>3013800</v>
      </c>
      <c r="AB108" s="19">
        <f>JUNIO!AD108</f>
        <v>3013800</v>
      </c>
      <c r="AC108" s="377">
        <v>0</v>
      </c>
      <c r="AD108" s="18">
        <f>SUM(AB108:AC108)</f>
        <v>3013800</v>
      </c>
      <c r="AE108" s="19">
        <f>JUNIO!AG108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+IF(JUNIO!A109=0,"",JUNIO!A109)</f>
        <v>11304-5</v>
      </c>
      <c r="B109" s="627" t="str">
        <f>+IF(JUNIO!B109=0,"",JUNIO!B109)</f>
        <v xml:space="preserve">Aprovechamientos </v>
      </c>
      <c r="C109" s="401">
        <f>+ENERO!C109</f>
        <v>1145884</v>
      </c>
      <c r="D109" s="376">
        <f>JUNIO!D109+JULIO!P109</f>
        <v>0</v>
      </c>
      <c r="E109" s="376">
        <f>JUNIO!E109+JULIO!Q109</f>
        <v>0</v>
      </c>
      <c r="F109" s="376">
        <f t="shared" si="112"/>
        <v>1145884</v>
      </c>
      <c r="G109" s="376">
        <f>JUNIO!I109</f>
        <v>2333954</v>
      </c>
      <c r="H109" s="377">
        <v>41700</v>
      </c>
      <c r="I109" s="376">
        <f t="shared" si="113"/>
        <v>2375654</v>
      </c>
      <c r="J109" s="376">
        <f>JUNIO!L109</f>
        <v>2333954</v>
      </c>
      <c r="K109" s="377">
        <v>41700</v>
      </c>
      <c r="L109" s="376">
        <f t="shared" si="114"/>
        <v>2375654</v>
      </c>
      <c r="M109" s="376">
        <f t="shared" si="115"/>
        <v>-1229770</v>
      </c>
      <c r="N109" s="146">
        <f t="shared" si="116"/>
        <v>-1229770</v>
      </c>
      <c r="P109" s="375">
        <v>0</v>
      </c>
      <c r="Q109" s="378">
        <v>0</v>
      </c>
      <c r="R109" s="9"/>
      <c r="S109" s="369" t="str">
        <f>+IF(JUNIO!S109=0,"",JUNIO!S109)</f>
        <v/>
      </c>
      <c r="T109" s="708" t="str">
        <f>+IF(JUNIO!T109=0,"",JUNIO!T109)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+IF(JUNIO!A110=0,"",JUNIO!A110)</f>
        <v>11304-6</v>
      </c>
      <c r="B110" s="627" t="str">
        <f>+IF(JUNIO!B110=0,"",JUNIO!B110)</f>
        <v>Otros</v>
      </c>
      <c r="C110" s="401">
        <f>+ENERO!C110</f>
        <v>0</v>
      </c>
      <c r="D110" s="376">
        <f>JUNIO!D110+JULIO!P110</f>
        <v>0</v>
      </c>
      <c r="E110" s="376">
        <f>JUNIO!E110+JULIO!Q110</f>
        <v>0</v>
      </c>
      <c r="F110" s="376">
        <f t="shared" si="112"/>
        <v>0</v>
      </c>
      <c r="G110" s="376">
        <f>JUNIO!I110</f>
        <v>28335</v>
      </c>
      <c r="H110" s="377">
        <v>2714650</v>
      </c>
      <c r="I110" s="376">
        <f t="shared" si="113"/>
        <v>2742985</v>
      </c>
      <c r="J110" s="376">
        <f>JUNIO!L110</f>
        <v>28335</v>
      </c>
      <c r="K110" s="377">
        <v>2714650</v>
      </c>
      <c r="L110" s="376">
        <f t="shared" si="114"/>
        <v>2742985</v>
      </c>
      <c r="M110" s="376">
        <f t="shared" si="115"/>
        <v>-2742985</v>
      </c>
      <c r="N110" s="146">
        <f t="shared" si="116"/>
        <v>-2742985</v>
      </c>
      <c r="P110" s="375">
        <v>0</v>
      </c>
      <c r="Q110" s="378">
        <v>0</v>
      </c>
      <c r="R110" s="9"/>
      <c r="S110" s="717">
        <f>+IF(JUNIO!S110=0,"",JUNIO!S110)</f>
        <v>2000000</v>
      </c>
      <c r="T110" s="697" t="str">
        <f>+IF(JUNIO!T110=0,"",JUNIO!T110)</f>
        <v>GASTOS GENERALES</v>
      </c>
      <c r="U110" s="473">
        <f t="shared" ref="U110:AJ110" si="118">U112+U145</f>
        <v>505626661</v>
      </c>
      <c r="V110" s="474">
        <f t="shared" si="118"/>
        <v>33700000</v>
      </c>
      <c r="W110" s="474">
        <f t="shared" si="118"/>
        <v>213332840</v>
      </c>
      <c r="X110" s="475">
        <f t="shared" si="118"/>
        <v>752659501</v>
      </c>
      <c r="Y110" s="382">
        <f t="shared" si="118"/>
        <v>458937137</v>
      </c>
      <c r="Z110" s="474">
        <f t="shared" si="118"/>
        <v>39381293</v>
      </c>
      <c r="AA110" s="475">
        <f t="shared" si="118"/>
        <v>498318430</v>
      </c>
      <c r="AB110" s="382">
        <f t="shared" si="118"/>
        <v>386909200</v>
      </c>
      <c r="AC110" s="474">
        <f t="shared" si="118"/>
        <v>57145490</v>
      </c>
      <c r="AD110" s="475">
        <f t="shared" si="118"/>
        <v>444054690</v>
      </c>
      <c r="AE110" s="382">
        <f t="shared" si="118"/>
        <v>271598851</v>
      </c>
      <c r="AF110" s="474">
        <f t="shared" si="118"/>
        <v>40199765</v>
      </c>
      <c r="AG110" s="475">
        <f t="shared" si="118"/>
        <v>311798616</v>
      </c>
      <c r="AH110" s="382">
        <f t="shared" si="118"/>
        <v>254341071</v>
      </c>
      <c r="AI110" s="474">
        <f t="shared" si="118"/>
        <v>308604811</v>
      </c>
      <c r="AJ110" s="383">
        <f t="shared" si="118"/>
        <v>440860885</v>
      </c>
      <c r="AK110" s="10"/>
      <c r="AL110" s="131">
        <f>AL112+AL145</f>
        <v>8700000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+IF(JUNIO!A111=0,"",JUNIO!A111)</f>
        <v>11304-7</v>
      </c>
      <c r="B111" s="662" t="str">
        <f>+IF(JUNIO!B111=0,"",JUNIO!B111)</f>
        <v>Vigencia Anterior</v>
      </c>
      <c r="C111" s="491">
        <f>+ENERO!C111</f>
        <v>0</v>
      </c>
      <c r="D111" s="388">
        <f>JUNIO!D111+JULIO!P111</f>
        <v>0</v>
      </c>
      <c r="E111" s="388">
        <f>JUNIO!E111+JULIO!Q111</f>
        <v>0</v>
      </c>
      <c r="F111" s="388">
        <f t="shared" si="112"/>
        <v>0</v>
      </c>
      <c r="G111" s="388">
        <f>JUNIO!I111</f>
        <v>80000</v>
      </c>
      <c r="H111" s="391">
        <v>0</v>
      </c>
      <c r="I111" s="388">
        <f t="shared" si="113"/>
        <v>80000</v>
      </c>
      <c r="J111" s="388">
        <f>JUNIO!L111</f>
        <v>80000</v>
      </c>
      <c r="K111" s="391">
        <v>0</v>
      </c>
      <c r="L111" s="388">
        <f t="shared" si="114"/>
        <v>80000</v>
      </c>
      <c r="M111" s="388">
        <f t="shared" si="115"/>
        <v>-80000</v>
      </c>
      <c r="N111" s="389">
        <f t="shared" si="116"/>
        <v>-80000</v>
      </c>
      <c r="P111" s="375">
        <v>0</v>
      </c>
      <c r="Q111" s="378">
        <v>0</v>
      </c>
      <c r="R111" s="9"/>
      <c r="S111" s="369" t="str">
        <f>+IF(JUNIO!S111=0,"",JUNIO!S111)</f>
        <v/>
      </c>
      <c r="T111" s="708" t="str">
        <f>+IF(JUNIO!T111=0,"",JUNIO!T111)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+IF(JUNIO!A112=0,"",JUNIO!A112)</f>
        <v/>
      </c>
      <c r="B112" s="661" t="str">
        <f>+IF(JUNIO!B112=0,"",JUNIO!B112)</f>
        <v/>
      </c>
      <c r="C112" s="483"/>
      <c r="D112" s="483"/>
      <c r="E112" s="483"/>
      <c r="F112" s="483"/>
      <c r="G112" s="483"/>
      <c r="H112" s="483"/>
      <c r="I112" s="483"/>
      <c r="J112" s="483"/>
      <c r="K112" s="483"/>
      <c r="L112" s="483"/>
      <c r="M112" s="483"/>
      <c r="N112" s="484"/>
      <c r="P112" s="485"/>
      <c r="Q112" s="484"/>
      <c r="R112" s="9"/>
      <c r="S112" s="717">
        <f>+IF(JUNIO!S112=0,"",JUNIO!S112)</f>
        <v>2010000</v>
      </c>
      <c r="T112" s="691" t="str">
        <f>+IF(JUNIO!T112=0,"",JUNIO!T112)</f>
        <v>Gastos de Administración</v>
      </c>
      <c r="U112" s="135">
        <f t="shared" ref="U112:AJ112" si="119">U114+U123+U141</f>
        <v>181650786</v>
      </c>
      <c r="V112" s="124">
        <f t="shared" si="119"/>
        <v>4700000</v>
      </c>
      <c r="W112" s="124">
        <f t="shared" si="119"/>
        <v>102233652</v>
      </c>
      <c r="X112" s="132">
        <f t="shared" si="119"/>
        <v>288584438</v>
      </c>
      <c r="Y112" s="131">
        <f t="shared" si="119"/>
        <v>153230670</v>
      </c>
      <c r="Z112" s="124">
        <f t="shared" si="119"/>
        <v>21760297</v>
      </c>
      <c r="AA112" s="132">
        <f t="shared" si="119"/>
        <v>174990967</v>
      </c>
      <c r="AB112" s="131">
        <f t="shared" si="119"/>
        <v>149035670</v>
      </c>
      <c r="AC112" s="124">
        <f t="shared" si="119"/>
        <v>22780297</v>
      </c>
      <c r="AD112" s="132">
        <f t="shared" si="119"/>
        <v>171815967</v>
      </c>
      <c r="AE112" s="131">
        <f t="shared" si="119"/>
        <v>110170680</v>
      </c>
      <c r="AF112" s="124">
        <f t="shared" si="119"/>
        <v>18126964</v>
      </c>
      <c r="AG112" s="132">
        <f t="shared" si="119"/>
        <v>128297644</v>
      </c>
      <c r="AH112" s="131">
        <f t="shared" si="119"/>
        <v>113593471</v>
      </c>
      <c r="AI112" s="124">
        <f t="shared" si="119"/>
        <v>116768471</v>
      </c>
      <c r="AJ112" s="133">
        <f t="shared" si="119"/>
        <v>160286794</v>
      </c>
      <c r="AK112" s="9"/>
      <c r="AL112" s="131">
        <f>AL114+AL123+AL141</f>
        <v>4700000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+IF(JUNIO!A113=0,"",JUNIO!A113)</f>
        <v>2000</v>
      </c>
      <c r="B113" s="648" t="str">
        <f>+IF(JUNIO!B113=0,"",JUNIO!B113)</f>
        <v>INGRESOS DE CAPITAL</v>
      </c>
      <c r="C113" s="631">
        <f>SUM(C115:C124)</f>
        <v>32659146</v>
      </c>
      <c r="D113" s="632">
        <f>SUM(D115:D124)</f>
        <v>0</v>
      </c>
      <c r="E113" s="632">
        <f t="shared" ref="E113:N113" si="120">SUM(E115:E124)</f>
        <v>27176600</v>
      </c>
      <c r="F113" s="632">
        <f t="shared" si="120"/>
        <v>59835746</v>
      </c>
      <c r="G113" s="632">
        <f t="shared" si="120"/>
        <v>22177099</v>
      </c>
      <c r="H113" s="632">
        <f t="shared" si="120"/>
        <v>20116662</v>
      </c>
      <c r="I113" s="632">
        <f t="shared" si="120"/>
        <v>42293761</v>
      </c>
      <c r="J113" s="632">
        <f t="shared" si="120"/>
        <v>22177099</v>
      </c>
      <c r="K113" s="632">
        <f t="shared" si="120"/>
        <v>20116662</v>
      </c>
      <c r="L113" s="632">
        <f t="shared" si="120"/>
        <v>42293761</v>
      </c>
      <c r="M113" s="632">
        <f t="shared" si="120"/>
        <v>17541985</v>
      </c>
      <c r="N113" s="633">
        <f t="shared" si="120"/>
        <v>17541985</v>
      </c>
      <c r="O113" s="464"/>
      <c r="P113" s="177">
        <f>SUM(P115:P124)</f>
        <v>0</v>
      </c>
      <c r="Q113" s="178">
        <f>SUM(Q115:Q124)</f>
        <v>0</v>
      </c>
      <c r="R113" s="9"/>
      <c r="S113" s="369" t="str">
        <f>+IF(JUNIO!S113=0,"",JUNIO!S113)</f>
        <v/>
      </c>
      <c r="T113" s="708" t="str">
        <f>+IF(JUNIO!T113=0,"",JUNIO!T113)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+IF(JUNIO!A114=0,"",JUNIO!A114)</f>
        <v/>
      </c>
      <c r="B114" s="661" t="str">
        <f>+IF(JUNIO!B114=0,"",JUNIO!B114)</f>
        <v/>
      </c>
      <c r="C114" s="483"/>
      <c r="D114" s="483"/>
      <c r="E114" s="483"/>
      <c r="F114" s="483"/>
      <c r="G114" s="483"/>
      <c r="H114" s="483"/>
      <c r="I114" s="483"/>
      <c r="J114" s="483"/>
      <c r="K114" s="483"/>
      <c r="L114" s="483"/>
      <c r="M114" s="483"/>
      <c r="N114" s="484"/>
      <c r="P114" s="485"/>
      <c r="Q114" s="484"/>
      <c r="R114" s="9"/>
      <c r="S114" s="718">
        <f>+IF(JUNIO!S114=0,"",JUNIO!S114)</f>
        <v>2010100</v>
      </c>
      <c r="T114" s="692" t="str">
        <f>+IF(JUNIO!T114=0,"",JUNIO!T114)</f>
        <v>Adquisición de bienes</v>
      </c>
      <c r="U114" s="135">
        <f t="shared" ref="U114:AJ114" si="121">SUM(U115:U121)</f>
        <v>29771433</v>
      </c>
      <c r="V114" s="124">
        <f t="shared" si="121"/>
        <v>0</v>
      </c>
      <c r="W114" s="124">
        <f t="shared" si="121"/>
        <v>69356464</v>
      </c>
      <c r="X114" s="132">
        <f t="shared" si="121"/>
        <v>99127897</v>
      </c>
      <c r="Y114" s="131">
        <f t="shared" si="121"/>
        <v>55933074</v>
      </c>
      <c r="Z114" s="124">
        <f t="shared" si="121"/>
        <v>5216834</v>
      </c>
      <c r="AA114" s="132">
        <f t="shared" si="121"/>
        <v>61149908</v>
      </c>
      <c r="AB114" s="131">
        <f t="shared" si="121"/>
        <v>55933074</v>
      </c>
      <c r="AC114" s="124">
        <f t="shared" si="121"/>
        <v>5216834</v>
      </c>
      <c r="AD114" s="132">
        <f t="shared" si="121"/>
        <v>61149908</v>
      </c>
      <c r="AE114" s="131">
        <f t="shared" si="121"/>
        <v>44440846</v>
      </c>
      <c r="AF114" s="124">
        <f t="shared" si="121"/>
        <v>2401993</v>
      </c>
      <c r="AG114" s="132">
        <f t="shared" si="121"/>
        <v>46842839</v>
      </c>
      <c r="AH114" s="131">
        <f t="shared" si="121"/>
        <v>37977989</v>
      </c>
      <c r="AI114" s="124">
        <f t="shared" si="121"/>
        <v>37977989</v>
      </c>
      <c r="AJ114" s="133">
        <f t="shared" si="121"/>
        <v>52285058</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+IF(JUNIO!A115=0,"",JUNIO!A115)</f>
        <v>2100</v>
      </c>
      <c r="B115" s="634" t="str">
        <f>+IF(JUNIO!B115=0,"",JUNIO!B115)</f>
        <v>CREDITO INTERNO</v>
      </c>
      <c r="C115" s="375">
        <f>+ENERO!C115</f>
        <v>0</v>
      </c>
      <c r="D115" s="467">
        <f>JUNIO!D115+JULIO!P115</f>
        <v>0</v>
      </c>
      <c r="E115" s="467">
        <f>JUNIO!E115+JULIO!Q115</f>
        <v>0</v>
      </c>
      <c r="F115" s="471">
        <f t="shared" ref="F115:F124" si="122">SUM(C115:E115)</f>
        <v>0</v>
      </c>
      <c r="G115" s="469">
        <f>JUNIO!I115</f>
        <v>0</v>
      </c>
      <c r="H115" s="377">
        <v>0</v>
      </c>
      <c r="I115" s="471">
        <f t="shared" ref="I115:I124" si="123">SUM(G115:H115)</f>
        <v>0</v>
      </c>
      <c r="J115" s="469">
        <f>JUNIO!L115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+IF(JUNIO!S115=0,"",JUNIO!S115)</f>
        <v>2010100-1</v>
      </c>
      <c r="T115" s="693" t="str">
        <f>+IF(JUNIO!T115=0,"",JUNIO!T115)</f>
        <v>Compra de Equipos</v>
      </c>
      <c r="U115" s="27">
        <f>+ENERO!U115</f>
        <v>0</v>
      </c>
      <c r="V115" s="15">
        <f>JUNIO!V115+JULIO!AL115</f>
        <v>0</v>
      </c>
      <c r="W115" s="15">
        <f>JUNIO!W115+JULIO!AM115</f>
        <v>57176600</v>
      </c>
      <c r="X115" s="18">
        <f t="shared" ref="X115:X121" si="127">SUM(U115:W115)</f>
        <v>57176600</v>
      </c>
      <c r="Y115" s="19">
        <f>JUNIO!AA115</f>
        <v>24785720</v>
      </c>
      <c r="Z115" s="377">
        <v>2213000</v>
      </c>
      <c r="AA115" s="18">
        <f t="shared" ref="AA115:AA121" si="128">SUM(Y115:Z115)</f>
        <v>26998720</v>
      </c>
      <c r="AB115" s="19">
        <f>JUNIO!AD115</f>
        <v>24785720</v>
      </c>
      <c r="AC115" s="377">
        <v>2213000</v>
      </c>
      <c r="AD115" s="18">
        <f t="shared" ref="AD115:AD121" si="129">SUM(AB115:AC115)</f>
        <v>26998720</v>
      </c>
      <c r="AE115" s="19">
        <f>JUNIO!AG115</f>
        <v>24785720</v>
      </c>
      <c r="AF115" s="377">
        <v>0</v>
      </c>
      <c r="AG115" s="18">
        <f t="shared" ref="AG115:AG121" si="130">SUM(AE115:AF115)</f>
        <v>24785720</v>
      </c>
      <c r="AH115" s="19">
        <f t="shared" ref="AH115:AH121" si="131">X115-AA115</f>
        <v>30177880</v>
      </c>
      <c r="AI115" s="15">
        <f t="shared" ref="AI115:AI121" si="132">X115-AD115</f>
        <v>30177880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+IF(JUNIO!A116=0,"",JUNIO!A116)</f>
        <v>2100-1</v>
      </c>
      <c r="B116" s="635" t="str">
        <f>+IF(JUNIO!B116=0,"",JUNIO!B116)</f>
        <v>Vigencia Anterior</v>
      </c>
      <c r="C116" s="375">
        <f>+ENERO!C116</f>
        <v>0</v>
      </c>
      <c r="D116" s="467">
        <f>JUNIO!D116+JULIO!P116</f>
        <v>0</v>
      </c>
      <c r="E116" s="467">
        <f>JUNIO!E116+JULIO!Q116</f>
        <v>0</v>
      </c>
      <c r="F116" s="471">
        <f t="shared" si="122"/>
        <v>0</v>
      </c>
      <c r="G116" s="469">
        <f>JUNIO!I116</f>
        <v>0</v>
      </c>
      <c r="H116" s="377">
        <v>0</v>
      </c>
      <c r="I116" s="471">
        <f t="shared" si="123"/>
        <v>0</v>
      </c>
      <c r="J116" s="469">
        <f>JUNIO!L116</f>
        <v>0</v>
      </c>
      <c r="K116" s="377">
        <v>0</v>
      </c>
      <c r="L116" s="468">
        <f t="shared" si="124"/>
        <v>0</v>
      </c>
      <c r="M116" s="472">
        <f t="shared" si="125"/>
        <v>0</v>
      </c>
      <c r="N116" s="468">
        <f t="shared" si="126"/>
        <v>0</v>
      </c>
      <c r="O116" s="464"/>
      <c r="P116" s="375">
        <v>0</v>
      </c>
      <c r="Q116" s="378">
        <v>0</v>
      </c>
      <c r="R116" s="9"/>
      <c r="S116" s="719" t="str">
        <f>+IF(JUNIO!S116=0,"",JUNIO!S116)</f>
        <v>2010100-2</v>
      </c>
      <c r="T116" s="693" t="str">
        <f>+IF(JUNIO!T116=0,"",JUNIO!T116)</f>
        <v>Materiales</v>
      </c>
      <c r="U116" s="27">
        <f>+ENERO!U116</f>
        <v>29771433</v>
      </c>
      <c r="V116" s="15">
        <f>JUNIO!V116+JULIO!AL116</f>
        <v>0</v>
      </c>
      <c r="W116" s="15">
        <f>JUNIO!W116+JULIO!AM116</f>
        <v>0</v>
      </c>
      <c r="X116" s="18">
        <f t="shared" si="127"/>
        <v>29771433</v>
      </c>
      <c r="Y116" s="19">
        <f>JUNIO!AA116</f>
        <v>18967490</v>
      </c>
      <c r="Z116" s="377">
        <v>3003834</v>
      </c>
      <c r="AA116" s="18">
        <f t="shared" si="128"/>
        <v>21971324</v>
      </c>
      <c r="AB116" s="19">
        <f>JUNIO!AD116</f>
        <v>18967490</v>
      </c>
      <c r="AC116" s="377">
        <v>3003834</v>
      </c>
      <c r="AD116" s="18">
        <f t="shared" si="129"/>
        <v>21971324</v>
      </c>
      <c r="AE116" s="19">
        <f>JUNIO!AG116</f>
        <v>7475262</v>
      </c>
      <c r="AF116" s="377">
        <v>2401993</v>
      </c>
      <c r="AG116" s="18">
        <f t="shared" si="130"/>
        <v>9877255</v>
      </c>
      <c r="AH116" s="19">
        <f t="shared" si="131"/>
        <v>7800109</v>
      </c>
      <c r="AI116" s="15">
        <f t="shared" si="132"/>
        <v>7800109</v>
      </c>
      <c r="AJ116" s="16">
        <f t="shared" si="133"/>
        <v>19894178</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+IF(JUNIO!A117=0,"",JUNIO!A117)</f>
        <v>2200</v>
      </c>
      <c r="B117" s="634" t="str">
        <f>+IF(JUNIO!B117=0,"",JUNIO!B117)</f>
        <v>CREDITO EXTERNO</v>
      </c>
      <c r="C117" s="375">
        <f>+ENERO!C117</f>
        <v>0</v>
      </c>
      <c r="D117" s="467">
        <f>JUNIO!D117+JULIO!P117</f>
        <v>0</v>
      </c>
      <c r="E117" s="467">
        <f>JUNIO!E117+JULIO!Q117</f>
        <v>0</v>
      </c>
      <c r="F117" s="471">
        <f t="shared" si="122"/>
        <v>0</v>
      </c>
      <c r="G117" s="469">
        <f>JUNIO!I117</f>
        <v>0</v>
      </c>
      <c r="H117" s="377">
        <v>0</v>
      </c>
      <c r="I117" s="471">
        <f t="shared" si="123"/>
        <v>0</v>
      </c>
      <c r="J117" s="469">
        <f>JUNIO!L117</f>
        <v>0</v>
      </c>
      <c r="K117" s="377">
        <v>0</v>
      </c>
      <c r="L117" s="468">
        <f t="shared" si="124"/>
        <v>0</v>
      </c>
      <c r="M117" s="472">
        <f t="shared" si="125"/>
        <v>0</v>
      </c>
      <c r="N117" s="468">
        <f t="shared" si="126"/>
        <v>0</v>
      </c>
      <c r="O117" s="464"/>
      <c r="P117" s="375">
        <v>0</v>
      </c>
      <c r="Q117" s="378">
        <v>0</v>
      </c>
      <c r="R117" s="9"/>
      <c r="S117" s="719" t="str">
        <f>+IF(JUNIO!S117=0,"",JUNIO!S117)</f>
        <v>2010100-3</v>
      </c>
      <c r="T117" s="693" t="str">
        <f>+IF(JUNIO!T117=0,"",JUNIO!T117)</f>
        <v>Salud Ocupacional</v>
      </c>
      <c r="U117" s="27">
        <f>+ENERO!U117</f>
        <v>0</v>
      </c>
      <c r="V117" s="15">
        <f>JUNIO!V117+JULIO!AL117</f>
        <v>0</v>
      </c>
      <c r="W117" s="15">
        <f>JUNIO!W117+JULIO!AM117</f>
        <v>0</v>
      </c>
      <c r="X117" s="18">
        <f t="shared" si="127"/>
        <v>0</v>
      </c>
      <c r="Y117" s="19">
        <f>JUNIO!AA117</f>
        <v>0</v>
      </c>
      <c r="Z117" s="377">
        <v>0</v>
      </c>
      <c r="AA117" s="18">
        <f t="shared" si="128"/>
        <v>0</v>
      </c>
      <c r="AB117" s="19">
        <f>JUNIO!AD117</f>
        <v>0</v>
      </c>
      <c r="AC117" s="377">
        <v>0</v>
      </c>
      <c r="AD117" s="18">
        <f t="shared" si="129"/>
        <v>0</v>
      </c>
      <c r="AE117" s="19">
        <f>JUNIO!AG117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+IF(JUNIO!A118=0,"",JUNIO!A118)</f>
        <v>2200-1</v>
      </c>
      <c r="B118" s="635" t="str">
        <f>+IF(JUNIO!B118=0,"",JUNIO!B118)</f>
        <v>Vigencia Anterior</v>
      </c>
      <c r="C118" s="375">
        <f>+ENERO!C118</f>
        <v>0</v>
      </c>
      <c r="D118" s="467">
        <f>JUNIO!D118+JULIO!P118</f>
        <v>0</v>
      </c>
      <c r="E118" s="467">
        <f>JUNIO!E118+JULIO!Q118</f>
        <v>0</v>
      </c>
      <c r="F118" s="471">
        <f t="shared" si="122"/>
        <v>0</v>
      </c>
      <c r="G118" s="469">
        <f>JUNIO!I118</f>
        <v>0</v>
      </c>
      <c r="H118" s="377">
        <v>0</v>
      </c>
      <c r="I118" s="471">
        <f t="shared" si="123"/>
        <v>0</v>
      </c>
      <c r="J118" s="469">
        <f>JUNIO!L118</f>
        <v>0</v>
      </c>
      <c r="K118" s="377">
        <v>0</v>
      </c>
      <c r="L118" s="468">
        <f t="shared" si="124"/>
        <v>0</v>
      </c>
      <c r="M118" s="472">
        <f t="shared" si="125"/>
        <v>0</v>
      </c>
      <c r="N118" s="468">
        <f t="shared" si="126"/>
        <v>0</v>
      </c>
      <c r="O118" s="464"/>
      <c r="P118" s="375">
        <v>0</v>
      </c>
      <c r="Q118" s="378">
        <v>0</v>
      </c>
      <c r="R118" s="9"/>
      <c r="S118" s="719" t="str">
        <f>+IF(JUNIO!S118=0,"",JUNIO!S118)</f>
        <v>2010100-4</v>
      </c>
      <c r="T118" s="693" t="str">
        <f>+IF(JUNIO!T118=0,"",JUNIO!T118)</f>
        <v/>
      </c>
      <c r="U118" s="27">
        <f>+ENERO!U118</f>
        <v>0</v>
      </c>
      <c r="V118" s="15">
        <f>JUNIO!V118+JULIO!AL118</f>
        <v>0</v>
      </c>
      <c r="W118" s="15">
        <f>JUNIO!W118+JULIO!AM118</f>
        <v>0</v>
      </c>
      <c r="X118" s="18">
        <f t="shared" si="127"/>
        <v>0</v>
      </c>
      <c r="Y118" s="19">
        <f>JUNIO!AA118</f>
        <v>0</v>
      </c>
      <c r="Z118" s="377">
        <v>0</v>
      </c>
      <c r="AA118" s="18">
        <f t="shared" si="128"/>
        <v>0</v>
      </c>
      <c r="AB118" s="19">
        <f>JUNIO!AD118</f>
        <v>0</v>
      </c>
      <c r="AC118" s="377">
        <v>0</v>
      </c>
      <c r="AD118" s="18">
        <f t="shared" si="129"/>
        <v>0</v>
      </c>
      <c r="AE118" s="19">
        <f>JUNIO!AG118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+IF(JUNIO!A119=0,"",JUNIO!A119)</f>
        <v>2300</v>
      </c>
      <c r="B119" s="634" t="str">
        <f>+IF(JUNIO!B119=0,"",JUNIO!B119)</f>
        <v>RENDIMIENTOS FINANCIEROS</v>
      </c>
      <c r="C119" s="375">
        <f>+ENERO!C119</f>
        <v>594347</v>
      </c>
      <c r="D119" s="467">
        <f>JUNIO!D119+JULIO!P119</f>
        <v>0</v>
      </c>
      <c r="E119" s="467">
        <f>JUNIO!E119+JULIO!Q119</f>
        <v>0</v>
      </c>
      <c r="F119" s="471">
        <f t="shared" si="122"/>
        <v>594347</v>
      </c>
      <c r="G119" s="222">
        <f>JUNIO!I119</f>
        <v>85921</v>
      </c>
      <c r="H119" s="377">
        <v>62</v>
      </c>
      <c r="I119" s="476">
        <f t="shared" si="123"/>
        <v>85983</v>
      </c>
      <c r="J119" s="222">
        <f>JUNIO!L119</f>
        <v>85921</v>
      </c>
      <c r="K119" s="377">
        <v>62</v>
      </c>
      <c r="L119" s="146">
        <f t="shared" si="124"/>
        <v>85983</v>
      </c>
      <c r="M119" s="441">
        <f t="shared" si="125"/>
        <v>508364</v>
      </c>
      <c r="N119" s="146">
        <f t="shared" si="126"/>
        <v>508364</v>
      </c>
      <c r="O119" s="464"/>
      <c r="P119" s="375">
        <v>0</v>
      </c>
      <c r="Q119" s="378">
        <v>0</v>
      </c>
      <c r="R119" s="9"/>
      <c r="S119" s="719" t="str">
        <f>+IF(JUNIO!S119=0,"",JUNIO!S119)</f>
        <v>2010100-5</v>
      </c>
      <c r="T119" s="693" t="str">
        <f>+IF(JUNIO!T119=0,"",JUNIO!T119)</f>
        <v/>
      </c>
      <c r="U119" s="27">
        <f>+ENERO!U119</f>
        <v>0</v>
      </c>
      <c r="V119" s="15">
        <f>JUNIO!V119+JULIO!AL119</f>
        <v>0</v>
      </c>
      <c r="W119" s="15">
        <f>JUNIO!W119+JULIO!AM119</f>
        <v>0</v>
      </c>
      <c r="X119" s="18">
        <f t="shared" si="127"/>
        <v>0</v>
      </c>
      <c r="Y119" s="19">
        <f>JUNIO!AA119</f>
        <v>0</v>
      </c>
      <c r="Z119" s="377">
        <v>0</v>
      </c>
      <c r="AA119" s="18">
        <f t="shared" si="128"/>
        <v>0</v>
      </c>
      <c r="AB119" s="19">
        <f>JUNIO!AD119</f>
        <v>0</v>
      </c>
      <c r="AC119" s="377">
        <v>0</v>
      </c>
      <c r="AD119" s="18">
        <f t="shared" si="129"/>
        <v>0</v>
      </c>
      <c r="AE119" s="19">
        <f>JUNIO!AG119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+IF(JUNIO!A120=0,"",JUNIO!A120)</f>
        <v>2400</v>
      </c>
      <c r="B120" s="635" t="str">
        <f>+IF(JUNIO!B120=0,"",JUNIO!B120)</f>
        <v>VENTA DE ACTIVOS</v>
      </c>
      <c r="C120" s="375">
        <f>+ENERO!C120</f>
        <v>0</v>
      </c>
      <c r="D120" s="467">
        <f>JUNIO!D120+JULIO!P120</f>
        <v>0</v>
      </c>
      <c r="E120" s="467">
        <f>JUNIO!E120+JULIO!Q120</f>
        <v>0</v>
      </c>
      <c r="F120" s="471">
        <f t="shared" si="122"/>
        <v>0</v>
      </c>
      <c r="G120" s="222">
        <f>JUNIO!I120</f>
        <v>0</v>
      </c>
      <c r="H120" s="377"/>
      <c r="I120" s="476">
        <f t="shared" si="123"/>
        <v>0</v>
      </c>
      <c r="J120" s="222">
        <f>JUNIO!L120</f>
        <v>0</v>
      </c>
      <c r="K120" s="377">
        <v>0</v>
      </c>
      <c r="L120" s="146">
        <f t="shared" si="124"/>
        <v>0</v>
      </c>
      <c r="M120" s="441">
        <f t="shared" si="125"/>
        <v>0</v>
      </c>
      <c r="N120" s="146">
        <f t="shared" si="126"/>
        <v>0</v>
      </c>
      <c r="P120" s="375">
        <v>0</v>
      </c>
      <c r="Q120" s="378">
        <v>0</v>
      </c>
      <c r="R120" s="9"/>
      <c r="S120" s="719" t="str">
        <f>+IF(JUNIO!S120=0,"",JUNIO!S120)</f>
        <v>2010100-6</v>
      </c>
      <c r="T120" s="693" t="str">
        <f>+IF(JUNIO!T120=0,"",JUNIO!T120)</f>
        <v/>
      </c>
      <c r="U120" s="27">
        <f>+ENERO!U120</f>
        <v>0</v>
      </c>
      <c r="V120" s="15">
        <f>JUNIO!V120+JULIO!AL120</f>
        <v>0</v>
      </c>
      <c r="W120" s="15">
        <f>JUNIO!W120+JULIO!AM120</f>
        <v>0</v>
      </c>
      <c r="X120" s="18">
        <f t="shared" si="127"/>
        <v>0</v>
      </c>
      <c r="Y120" s="19">
        <f>JUNIO!AA120</f>
        <v>0</v>
      </c>
      <c r="Z120" s="377">
        <v>0</v>
      </c>
      <c r="AA120" s="18">
        <f t="shared" si="128"/>
        <v>0</v>
      </c>
      <c r="AB120" s="19">
        <f>JUNIO!AD120</f>
        <v>0</v>
      </c>
      <c r="AC120" s="377">
        <v>0</v>
      </c>
      <c r="AD120" s="18">
        <f t="shared" si="129"/>
        <v>0</v>
      </c>
      <c r="AE120" s="19">
        <f>JUNIO!AG120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+IF(JUNIO!A121=0,"",JUNIO!A121)</f>
        <v>2500</v>
      </c>
      <c r="B121" s="635" t="str">
        <f>+IF(JUNIO!B121=0,"",JUNIO!B121)</f>
        <v>DONACIONES</v>
      </c>
      <c r="C121" s="375">
        <f>+ENERO!C121</f>
        <v>0</v>
      </c>
      <c r="D121" s="467">
        <f>JUNIO!D121+JULIO!P121</f>
        <v>0</v>
      </c>
      <c r="E121" s="467">
        <f>JUNIO!E121+JULIO!Q121</f>
        <v>0</v>
      </c>
      <c r="F121" s="471">
        <f t="shared" si="122"/>
        <v>0</v>
      </c>
      <c r="G121" s="222">
        <f>JUNIO!I121</f>
        <v>0</v>
      </c>
      <c r="H121" s="377">
        <v>0</v>
      </c>
      <c r="I121" s="476">
        <f t="shared" si="123"/>
        <v>0</v>
      </c>
      <c r="J121" s="222">
        <f>JUNIO!L121</f>
        <v>0</v>
      </c>
      <c r="K121" s="377">
        <v>0</v>
      </c>
      <c r="L121" s="146">
        <f t="shared" si="124"/>
        <v>0</v>
      </c>
      <c r="M121" s="441">
        <f t="shared" si="125"/>
        <v>0</v>
      </c>
      <c r="N121" s="146">
        <f t="shared" si="126"/>
        <v>0</v>
      </c>
      <c r="P121" s="375">
        <v>0</v>
      </c>
      <c r="Q121" s="378">
        <v>0</v>
      </c>
      <c r="R121" s="9"/>
      <c r="S121" s="719">
        <f>+IF(JUNIO!S121=0,"",JUNIO!S121)</f>
        <v>2010199</v>
      </c>
      <c r="T121" s="693" t="str">
        <f>+IF(JUNIO!T121=0,"",JUNIO!T121)</f>
        <v>Vigencias Anteriores</v>
      </c>
      <c r="U121" s="27">
        <f>+ENERO!U121</f>
        <v>0</v>
      </c>
      <c r="V121" s="15">
        <f>JUNIO!V121+JULIO!AL121</f>
        <v>0</v>
      </c>
      <c r="W121" s="15">
        <f>JUNIO!W121+JULIO!AM121</f>
        <v>12179864</v>
      </c>
      <c r="X121" s="18">
        <f t="shared" si="127"/>
        <v>12179864</v>
      </c>
      <c r="Y121" s="19">
        <f>JUNIO!AA121</f>
        <v>12179864</v>
      </c>
      <c r="Z121" s="377">
        <v>0</v>
      </c>
      <c r="AA121" s="18">
        <f t="shared" si="128"/>
        <v>12179864</v>
      </c>
      <c r="AB121" s="19">
        <f>JUNIO!AD121</f>
        <v>12179864</v>
      </c>
      <c r="AC121" s="377">
        <v>0</v>
      </c>
      <c r="AD121" s="18">
        <f t="shared" si="129"/>
        <v>12179864</v>
      </c>
      <c r="AE121" s="19">
        <f>JUNIO!AG121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+IF(JUNIO!A122=0,"",JUNIO!A122)</f>
        <v>2600</v>
      </c>
      <c r="B122" s="635" t="str">
        <f>+IF(JUNIO!B122=0,"",JUNIO!B122)</f>
        <v>RECUPERACIÓN DE CARTERA (AÑO 2013 Y ANTERIORES)</v>
      </c>
      <c r="C122" s="375">
        <f>+ENERO!C122</f>
        <v>32064799</v>
      </c>
      <c r="D122" s="467">
        <f>JUNIO!D122+JULIO!P122</f>
        <v>0</v>
      </c>
      <c r="E122" s="467">
        <f>JUNIO!E122+JULIO!Q122</f>
        <v>0</v>
      </c>
      <c r="F122" s="471">
        <f t="shared" si="122"/>
        <v>32064799</v>
      </c>
      <c r="G122" s="222">
        <f>JUNIO!I122</f>
        <v>1547980</v>
      </c>
      <c r="H122" s="377">
        <v>71800</v>
      </c>
      <c r="I122" s="476">
        <f t="shared" si="123"/>
        <v>1619780</v>
      </c>
      <c r="J122" s="222">
        <f>JUNIO!L122</f>
        <v>1547980</v>
      </c>
      <c r="K122" s="377">
        <v>71800</v>
      </c>
      <c r="L122" s="146">
        <f t="shared" si="124"/>
        <v>1619780</v>
      </c>
      <c r="M122" s="441">
        <f t="shared" si="125"/>
        <v>30445019</v>
      </c>
      <c r="N122" s="146">
        <f t="shared" si="126"/>
        <v>30445019</v>
      </c>
      <c r="P122" s="375">
        <v>0</v>
      </c>
      <c r="Q122" s="378">
        <v>0</v>
      </c>
      <c r="R122" s="9"/>
      <c r="S122" s="369" t="str">
        <f>+IF(JUNIO!S122=0,"",JUNIO!S122)</f>
        <v/>
      </c>
      <c r="T122" s="708" t="str">
        <f>+IF(JUNIO!T122=0,"",JUNIO!T122)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+IF(JUNIO!A123=0,"",JUNIO!A123)</f>
        <v>2700</v>
      </c>
      <c r="B123" s="635" t="str">
        <f>+IF(JUNIO!B123=0,"",JUNIO!B123)</f>
        <v>OTROS INGRESOS DE CAPITAL</v>
      </c>
      <c r="C123" s="375">
        <f>+ENERO!C123</f>
        <v>0</v>
      </c>
      <c r="D123" s="467">
        <f>JUNIO!D123+JULIO!P123</f>
        <v>0</v>
      </c>
      <c r="E123" s="467">
        <f>JUNIO!E123+JULIO!Q123</f>
        <v>27176600</v>
      </c>
      <c r="F123" s="471">
        <f t="shared" si="122"/>
        <v>27176600</v>
      </c>
      <c r="G123" s="222">
        <f>JUNIO!I123</f>
        <v>20543198</v>
      </c>
      <c r="H123" s="377">
        <v>20044800</v>
      </c>
      <c r="I123" s="476">
        <f t="shared" si="123"/>
        <v>40587998</v>
      </c>
      <c r="J123" s="222">
        <f>JUNIO!L123</f>
        <v>20543198</v>
      </c>
      <c r="K123" s="377">
        <v>20044800</v>
      </c>
      <c r="L123" s="146">
        <f t="shared" si="124"/>
        <v>40587998</v>
      </c>
      <c r="M123" s="441">
        <f t="shared" si="125"/>
        <v>-13411398</v>
      </c>
      <c r="N123" s="146">
        <f t="shared" si="126"/>
        <v>-13411398</v>
      </c>
      <c r="P123" s="375">
        <v>0</v>
      </c>
      <c r="Q123" s="378">
        <v>0</v>
      </c>
      <c r="R123" s="9"/>
      <c r="S123" s="718">
        <f>+IF(JUNIO!S123=0,"",JUNIO!S123)</f>
        <v>2010200</v>
      </c>
      <c r="T123" s="692" t="str">
        <f>+IF(JUNIO!T123=0,"",JUNIO!T123)</f>
        <v>Adquisición de Servicios</v>
      </c>
      <c r="U123" s="135">
        <f t="shared" ref="U123:AJ123" si="134">SUM(U124:U139)</f>
        <v>141098390</v>
      </c>
      <c r="V123" s="124">
        <f t="shared" si="134"/>
        <v>4700000</v>
      </c>
      <c r="W123" s="124">
        <f t="shared" si="134"/>
        <v>31389245</v>
      </c>
      <c r="X123" s="132">
        <f t="shared" si="134"/>
        <v>177187635</v>
      </c>
      <c r="Y123" s="131">
        <f t="shared" si="134"/>
        <v>93994124</v>
      </c>
      <c r="Z123" s="124">
        <f t="shared" si="134"/>
        <v>14522881</v>
      </c>
      <c r="AA123" s="132">
        <f t="shared" si="134"/>
        <v>108517005</v>
      </c>
      <c r="AB123" s="131">
        <f t="shared" si="134"/>
        <v>89799124</v>
      </c>
      <c r="AC123" s="124">
        <f t="shared" si="134"/>
        <v>15542881</v>
      </c>
      <c r="AD123" s="132">
        <f t="shared" si="134"/>
        <v>105342005</v>
      </c>
      <c r="AE123" s="131">
        <f t="shared" si="134"/>
        <v>65729834</v>
      </c>
      <c r="AF123" s="124">
        <f t="shared" si="134"/>
        <v>15724971</v>
      </c>
      <c r="AG123" s="132">
        <f t="shared" si="134"/>
        <v>81454805</v>
      </c>
      <c r="AH123" s="131">
        <f t="shared" si="134"/>
        <v>68670630</v>
      </c>
      <c r="AI123" s="124">
        <f t="shared" si="134"/>
        <v>71845630</v>
      </c>
      <c r="AJ123" s="133">
        <f t="shared" si="134"/>
        <v>95732830</v>
      </c>
      <c r="AK123" s="9"/>
      <c r="AL123" s="131">
        <f>SUM(AL124:AL139)</f>
        <v>4700000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+IF(JUNIO!A124=0,"",JUNIO!A124)</f>
        <v>2800</v>
      </c>
      <c r="B124" s="663" t="str">
        <f>+IF(JUNIO!B124=0,"",JUNIO!B124)</f>
        <v/>
      </c>
      <c r="C124" s="387">
        <f>+ENERO!C124</f>
        <v>0</v>
      </c>
      <c r="D124" s="465">
        <f>JUNIO!D124+JULIO!P124</f>
        <v>0</v>
      </c>
      <c r="E124" s="465">
        <f>JUNIO!E124+JULIO!Q124</f>
        <v>0</v>
      </c>
      <c r="F124" s="477">
        <f t="shared" si="122"/>
        <v>0</v>
      </c>
      <c r="G124" s="390">
        <f>JUNIO!I124</f>
        <v>0</v>
      </c>
      <c r="H124" s="391">
        <v>0</v>
      </c>
      <c r="I124" s="478">
        <f t="shared" si="123"/>
        <v>0</v>
      </c>
      <c r="J124" s="390">
        <f>JUNIO!L124</f>
        <v>0</v>
      </c>
      <c r="K124" s="391">
        <v>0</v>
      </c>
      <c r="L124" s="389">
        <f t="shared" si="124"/>
        <v>0</v>
      </c>
      <c r="M124" s="479">
        <f t="shared" si="125"/>
        <v>0</v>
      </c>
      <c r="N124" s="389">
        <f t="shared" si="126"/>
        <v>0</v>
      </c>
      <c r="P124" s="387">
        <v>0</v>
      </c>
      <c r="Q124" s="392">
        <v>0</v>
      </c>
      <c r="R124" s="9"/>
      <c r="S124" s="719" t="str">
        <f>+IF(JUNIO!S124=0,"",JUNIO!S124)</f>
        <v>2010200-1</v>
      </c>
      <c r="T124" s="693" t="str">
        <f>+IF(JUNIO!T124=0,"",JUNIO!T124)</f>
        <v>Seguros</v>
      </c>
      <c r="U124" s="27">
        <f>+ENERO!U124</f>
        <v>17953987</v>
      </c>
      <c r="V124" s="15">
        <f>JUNIO!V124+JULIO!AL124</f>
        <v>0</v>
      </c>
      <c r="W124" s="15">
        <f>JUNIO!W124+JULIO!AM124</f>
        <v>5000000</v>
      </c>
      <c r="X124" s="18">
        <f t="shared" ref="X124:X139" si="135">SUM(U124:W124)</f>
        <v>22953987</v>
      </c>
      <c r="Y124" s="19">
        <f>JUNIO!AA124</f>
        <v>18059144</v>
      </c>
      <c r="Z124" s="377">
        <v>0</v>
      </c>
      <c r="AA124" s="18">
        <f t="shared" ref="AA124:AA139" si="136">SUM(Y124:Z124)</f>
        <v>18059144</v>
      </c>
      <c r="AB124" s="19">
        <f>JUNIO!AD124</f>
        <v>18059144</v>
      </c>
      <c r="AC124" s="377">
        <v>0</v>
      </c>
      <c r="AD124" s="18">
        <f t="shared" ref="AD124:AD139" si="137">SUM(AB124:AC124)</f>
        <v>18059144</v>
      </c>
      <c r="AE124" s="19">
        <f>JUNIO!AG124</f>
        <v>16918425</v>
      </c>
      <c r="AF124" s="377">
        <v>0</v>
      </c>
      <c r="AG124" s="18">
        <f t="shared" ref="AG124:AG139" si="138">SUM(AE124:AF124)</f>
        <v>16918425</v>
      </c>
      <c r="AH124" s="19">
        <f t="shared" ref="AH124:AH139" si="139">X124-AA124</f>
        <v>4894843</v>
      </c>
      <c r="AI124" s="15">
        <f t="shared" ref="AI124:AI139" si="140">X124-AD124</f>
        <v>4894843</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+IF(JUNIO!S125=0,"",JUNIO!S125)</f>
        <v>2010200-2</v>
      </c>
      <c r="T125" s="693" t="str">
        <f>+IF(JUNIO!T125=0,"",JUNIO!T125)</f>
        <v>Impresos y Publicaciones</v>
      </c>
      <c r="U125" s="27">
        <f>+ENERO!U125</f>
        <v>3151827</v>
      </c>
      <c r="V125" s="15">
        <f>JUNIO!V125+JULIO!AL125</f>
        <v>0</v>
      </c>
      <c r="W125" s="15">
        <f>JUNIO!W125+JULIO!AM125</f>
        <v>0</v>
      </c>
      <c r="X125" s="18">
        <f t="shared" si="135"/>
        <v>3151827</v>
      </c>
      <c r="Y125" s="19">
        <f>JUNIO!AA125</f>
        <v>68480</v>
      </c>
      <c r="Z125" s="377">
        <v>7308</v>
      </c>
      <c r="AA125" s="18">
        <f t="shared" si="136"/>
        <v>75788</v>
      </c>
      <c r="AB125" s="19">
        <f>JUNIO!AD125</f>
        <v>68480</v>
      </c>
      <c r="AC125" s="377">
        <v>7308</v>
      </c>
      <c r="AD125" s="18">
        <f t="shared" si="137"/>
        <v>75788</v>
      </c>
      <c r="AE125" s="19">
        <f>JUNIO!AG125</f>
        <v>68480</v>
      </c>
      <c r="AF125" s="377">
        <v>7308</v>
      </c>
      <c r="AG125" s="18">
        <f t="shared" si="138"/>
        <v>75788</v>
      </c>
      <c r="AH125" s="19">
        <f t="shared" si="139"/>
        <v>3076039</v>
      </c>
      <c r="AI125" s="15">
        <f t="shared" si="140"/>
        <v>3076039</v>
      </c>
      <c r="AJ125" s="16">
        <f t="shared" si="141"/>
        <v>3076039</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1645818440</v>
      </c>
      <c r="H126" s="480">
        <f t="shared" si="142"/>
        <v>366539215</v>
      </c>
      <c r="I126" s="480">
        <f t="shared" si="142"/>
        <v>2012357655</v>
      </c>
      <c r="J126" s="480">
        <f t="shared" si="142"/>
        <v>876624429</v>
      </c>
      <c r="K126" s="480">
        <f t="shared" si="142"/>
        <v>353012512</v>
      </c>
      <c r="L126" s="480">
        <f t="shared" si="142"/>
        <v>1228088961</v>
      </c>
      <c r="M126" s="480">
        <f t="shared" si="142"/>
        <v>1331236884</v>
      </c>
      <c r="N126" s="621">
        <f t="shared" si="142"/>
        <v>2085060559</v>
      </c>
      <c r="P126" s="481">
        <f>P8-P128</f>
        <v>0</v>
      </c>
      <c r="Q126" s="482">
        <f>Q8-Q128</f>
        <v>0</v>
      </c>
      <c r="R126" s="9"/>
      <c r="S126" s="719" t="str">
        <f>+IF(JUNIO!S126=0,"",JUNIO!S126)</f>
        <v>2010200-3</v>
      </c>
      <c r="T126" s="693" t="str">
        <f>+IF(JUNIO!T126=0,"",JUNIO!T126)</f>
        <v xml:space="preserve">Servicios Públicos </v>
      </c>
      <c r="U126" s="27">
        <f>+ENERO!U126</f>
        <v>55492147</v>
      </c>
      <c r="V126" s="15">
        <f>JUNIO!V126+JULIO!AL126</f>
        <v>0</v>
      </c>
      <c r="W126" s="15">
        <f>JUNIO!W126+JULIO!AM126</f>
        <v>0</v>
      </c>
      <c r="X126" s="18">
        <f t="shared" si="135"/>
        <v>55492147</v>
      </c>
      <c r="Y126" s="19">
        <f>JUNIO!AA126</f>
        <v>26355936</v>
      </c>
      <c r="Z126" s="377">
        <v>6498694</v>
      </c>
      <c r="AA126" s="18">
        <f t="shared" si="136"/>
        <v>32854630</v>
      </c>
      <c r="AB126" s="19">
        <f>JUNIO!AD126</f>
        <v>26355936</v>
      </c>
      <c r="AC126" s="377">
        <v>6498694</v>
      </c>
      <c r="AD126" s="18">
        <f t="shared" si="137"/>
        <v>32854630</v>
      </c>
      <c r="AE126" s="19">
        <f>JUNIO!AG126</f>
        <v>21452275</v>
      </c>
      <c r="AF126" s="377">
        <v>7628420</v>
      </c>
      <c r="AG126" s="18">
        <f t="shared" si="138"/>
        <v>29080695</v>
      </c>
      <c r="AH126" s="19">
        <f t="shared" si="139"/>
        <v>22637517</v>
      </c>
      <c r="AI126" s="15">
        <f t="shared" si="140"/>
        <v>22637517</v>
      </c>
      <c r="AJ126" s="16">
        <f t="shared" si="141"/>
        <v>26411452</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+IF(JUNIO!S127=0,"",JUNIO!S127)</f>
        <v>2010200-4</v>
      </c>
      <c r="T127" s="693" t="str">
        <f>+IF(JUNIO!T127=0,"",JUNIO!T127)</f>
        <v>Comunicaciones y Transportes</v>
      </c>
      <c r="U127" s="27">
        <f>+ENERO!U127</f>
        <v>14481572</v>
      </c>
      <c r="V127" s="15">
        <f>JUNIO!V127+JULIO!AL127</f>
        <v>0</v>
      </c>
      <c r="W127" s="15">
        <f>JUNIO!W127+JULIO!AM127</f>
        <v>0</v>
      </c>
      <c r="X127" s="18">
        <f t="shared" si="135"/>
        <v>14481572</v>
      </c>
      <c r="Y127" s="19">
        <f>JUNIO!AA127</f>
        <v>5977515</v>
      </c>
      <c r="Z127" s="377">
        <v>2198034</v>
      </c>
      <c r="AA127" s="18">
        <f t="shared" si="136"/>
        <v>8175549</v>
      </c>
      <c r="AB127" s="19">
        <f>JUNIO!AD127</f>
        <v>3702515</v>
      </c>
      <c r="AC127" s="377">
        <v>2898034</v>
      </c>
      <c r="AD127" s="18">
        <f t="shared" si="137"/>
        <v>6600549</v>
      </c>
      <c r="AE127" s="19">
        <f>JUNIO!AG127</f>
        <v>2288497</v>
      </c>
      <c r="AF127" s="377">
        <v>3189398</v>
      </c>
      <c r="AG127" s="18">
        <f t="shared" si="138"/>
        <v>5477895</v>
      </c>
      <c r="AH127" s="19">
        <f t="shared" si="139"/>
        <v>6306023</v>
      </c>
      <c r="AI127" s="15">
        <f t="shared" si="140"/>
        <v>7881023</v>
      </c>
      <c r="AJ127" s="16">
        <f t="shared" si="141"/>
        <v>9003677</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484877369</v>
      </c>
      <c r="H128" s="486">
        <f>SUMIF($B8:$B$122,$B$24,H8:H122)+H122</f>
        <v>178589</v>
      </c>
      <c r="I128" s="486">
        <f>SUMIF($B8:$B$122,$B$24,I8:I122)+I122</f>
        <v>485055958</v>
      </c>
      <c r="J128" s="486">
        <f>SUMIF($B8:$B$122,$B$24,J8:J122)+J1212</f>
        <v>483329389</v>
      </c>
      <c r="K128" s="486">
        <f>SUMIF($B8:$B$122,$B$24,K8:K122)+K122</f>
        <v>178589</v>
      </c>
      <c r="L128" s="486">
        <f>SUMIF($B8:$B$122,$B$24,L8:L122)+L122</f>
        <v>485055958</v>
      </c>
      <c r="M128" s="486">
        <f>SUMIF($B8:$B$122,$B$24,M8:M122)+M12</f>
        <v>61950250</v>
      </c>
      <c r="N128" s="622">
        <f>SUMIF($B8:$B$122,$B$24,N8:N122)+N122</f>
        <v>92395269</v>
      </c>
      <c r="O128" s="464"/>
      <c r="P128" s="486">
        <f>SUMIF($B8:$B$122,$B$24,P8:P122)+P122</f>
        <v>0</v>
      </c>
      <c r="Q128" s="487">
        <f>SUMIF($B8:$B$122,$B$24,Q8:Q122)+Q122</f>
        <v>0</v>
      </c>
      <c r="R128" s="9"/>
      <c r="S128" s="719" t="str">
        <f>+IF(JUNIO!S128=0,"",JUNIO!S128)</f>
        <v>2010200-5</v>
      </c>
      <c r="T128" s="693" t="str">
        <f>+IF(JUNIO!T128=0,"",JUNIO!T128)</f>
        <v>Viáticos y Gastos de Viaje</v>
      </c>
      <c r="U128" s="27">
        <f>+ENERO!U128</f>
        <v>12695514</v>
      </c>
      <c r="V128" s="15">
        <f>JUNIO!V128+JULIO!AL128</f>
        <v>4700000</v>
      </c>
      <c r="W128" s="15">
        <f>JUNIO!W128+JULIO!AM128</f>
        <v>0</v>
      </c>
      <c r="X128" s="18">
        <f t="shared" si="135"/>
        <v>17395514</v>
      </c>
      <c r="Y128" s="19">
        <f>JUNIO!AA128</f>
        <v>7818754</v>
      </c>
      <c r="Z128" s="377">
        <v>3210556</v>
      </c>
      <c r="AA128" s="18">
        <f t="shared" si="136"/>
        <v>11029310</v>
      </c>
      <c r="AB128" s="19">
        <f>JUNIO!AD128</f>
        <v>7818754</v>
      </c>
      <c r="AC128" s="377">
        <v>3210556</v>
      </c>
      <c r="AD128" s="18">
        <f t="shared" si="137"/>
        <v>11029310</v>
      </c>
      <c r="AE128" s="19">
        <f>JUNIO!AG128</f>
        <v>7818753</v>
      </c>
      <c r="AF128" s="377">
        <v>3210556</v>
      </c>
      <c r="AG128" s="18">
        <f t="shared" si="138"/>
        <v>11029309</v>
      </c>
      <c r="AH128" s="19">
        <f t="shared" si="139"/>
        <v>6366204</v>
      </c>
      <c r="AI128" s="15">
        <f t="shared" si="140"/>
        <v>6366204</v>
      </c>
      <c r="AJ128" s="16">
        <f t="shared" si="141"/>
        <v>6366205</v>
      </c>
      <c r="AK128" s="9"/>
      <c r="AL128" s="375">
        <v>4700000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+IF(JUNIO!S129=0,"",JUNIO!S129)</f>
        <v>2010200-6</v>
      </c>
      <c r="T129" s="693" t="str">
        <f>+IF(JUNIO!T129=0,"",JUNIO!T129)</f>
        <v>Arrendamientos</v>
      </c>
      <c r="U129" s="27">
        <f>+ENERO!U129</f>
        <v>0</v>
      </c>
      <c r="V129" s="15">
        <f>JUNIO!V129+JULIO!AL129</f>
        <v>0</v>
      </c>
      <c r="W129" s="15">
        <f>JUNIO!W129+JULIO!AM129</f>
        <v>0</v>
      </c>
      <c r="X129" s="18">
        <f t="shared" si="135"/>
        <v>0</v>
      </c>
      <c r="Y129" s="19">
        <f>JUNIO!AA129</f>
        <v>0</v>
      </c>
      <c r="Z129" s="377">
        <v>0</v>
      </c>
      <c r="AA129" s="18">
        <f t="shared" si="136"/>
        <v>0</v>
      </c>
      <c r="AB129" s="19">
        <f>JUNIO!AD129</f>
        <v>0</v>
      </c>
      <c r="AC129" s="377">
        <v>0</v>
      </c>
      <c r="AD129" s="18">
        <f t="shared" si="137"/>
        <v>0</v>
      </c>
      <c r="AE129" s="19">
        <f>JUNIO!AG129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2130695809</v>
      </c>
      <c r="H130" s="489">
        <f t="shared" si="143"/>
        <v>366717804</v>
      </c>
      <c r="I130" s="490">
        <f t="shared" si="143"/>
        <v>2497413613</v>
      </c>
      <c r="J130" s="488">
        <f t="shared" si="143"/>
        <v>1359953818</v>
      </c>
      <c r="K130" s="489">
        <f t="shared" si="143"/>
        <v>353191101</v>
      </c>
      <c r="L130" s="490">
        <f t="shared" si="143"/>
        <v>1713144919</v>
      </c>
      <c r="M130" s="488">
        <f t="shared" si="143"/>
        <v>1393187134</v>
      </c>
      <c r="N130" s="490">
        <f t="shared" si="143"/>
        <v>2177455828</v>
      </c>
      <c r="P130" s="481">
        <f>P128+P126</f>
        <v>0</v>
      </c>
      <c r="Q130" s="482">
        <f>Q128+Q126</f>
        <v>0</v>
      </c>
      <c r="R130" s="9"/>
      <c r="S130" s="719" t="str">
        <f>+IF(JUNIO!S130=0,"",JUNIO!S130)</f>
        <v>2010200-7</v>
      </c>
      <c r="T130" s="693" t="str">
        <f>+IF(JUNIO!T130=0,"",JUNIO!T130)</f>
        <v>Vigilancia y Aseo</v>
      </c>
      <c r="U130" s="27">
        <f>+ENERO!U130</f>
        <v>0</v>
      </c>
      <c r="V130" s="15">
        <f>JUNIO!V130+JULIO!AL130</f>
        <v>0</v>
      </c>
      <c r="W130" s="15">
        <f>JUNIO!W130+JULIO!AM130</f>
        <v>0</v>
      </c>
      <c r="X130" s="18">
        <f t="shared" si="135"/>
        <v>0</v>
      </c>
      <c r="Y130" s="19">
        <f>JUNIO!AA130</f>
        <v>0</v>
      </c>
      <c r="Z130" s="377">
        <v>0</v>
      </c>
      <c r="AA130" s="18">
        <f t="shared" si="136"/>
        <v>0</v>
      </c>
      <c r="AB130" s="19">
        <f>JUNIO!AD130</f>
        <v>0</v>
      </c>
      <c r="AC130" s="377">
        <v>0</v>
      </c>
      <c r="AD130" s="18">
        <f t="shared" si="137"/>
        <v>0</v>
      </c>
      <c r="AE130" s="19">
        <f>JUNIO!AG130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+IF(JUNIO!S131=0,"",JUNIO!S131)</f>
        <v>2010200-8</v>
      </c>
      <c r="T131" s="693" t="str">
        <f>+IF(JUNIO!T131=0,"",JUNIO!T131)</f>
        <v>Bienestar Social</v>
      </c>
      <c r="U131" s="27">
        <f>+ENERO!U131</f>
        <v>28364135</v>
      </c>
      <c r="V131" s="15">
        <f>JUNIO!V131+JULIO!AL131</f>
        <v>0</v>
      </c>
      <c r="W131" s="15">
        <f>JUNIO!W131+JULIO!AM131</f>
        <v>81553</v>
      </c>
      <c r="X131" s="18">
        <f t="shared" si="135"/>
        <v>28445688</v>
      </c>
      <c r="Y131" s="19">
        <f>JUNIO!AA131</f>
        <v>5795800</v>
      </c>
      <c r="Z131" s="377">
        <v>1850000</v>
      </c>
      <c r="AA131" s="18">
        <f t="shared" si="136"/>
        <v>7645800</v>
      </c>
      <c r="AB131" s="19">
        <f>JUNIO!AD131</f>
        <v>3875800</v>
      </c>
      <c r="AC131" s="377">
        <v>2170000</v>
      </c>
      <c r="AD131" s="18">
        <f t="shared" si="137"/>
        <v>6045800</v>
      </c>
      <c r="AE131" s="19">
        <f>JUNIO!AG131</f>
        <v>3770550</v>
      </c>
      <c r="AF131" s="377">
        <v>925000</v>
      </c>
      <c r="AG131" s="18">
        <f t="shared" si="138"/>
        <v>4695550</v>
      </c>
      <c r="AH131" s="19">
        <f t="shared" si="139"/>
        <v>20799888</v>
      </c>
      <c r="AI131" s="15">
        <f t="shared" si="140"/>
        <v>22399888</v>
      </c>
      <c r="AJ131" s="16">
        <f t="shared" si="141"/>
        <v>23750138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+IF(JUNIO!S132=0,"",JUNIO!S132)</f>
        <v>2010200-9</v>
      </c>
      <c r="T132" s="693" t="str">
        <f>+IF(JUNIO!T132=0,"",JUNIO!T132)</f>
        <v>Capacitación, estimulos, incentivos, programa de calidad</v>
      </c>
      <c r="U132" s="27">
        <f>+ENERO!U132</f>
        <v>3982443</v>
      </c>
      <c r="V132" s="15">
        <f>JUNIO!V132+JULIO!AL132</f>
        <v>0</v>
      </c>
      <c r="W132" s="15">
        <f>JUNIO!W132+JULIO!AM132</f>
        <v>0</v>
      </c>
      <c r="X132" s="18">
        <f t="shared" si="135"/>
        <v>3982443</v>
      </c>
      <c r="Y132" s="19">
        <f>JUNIO!AA132</f>
        <v>0</v>
      </c>
      <c r="Z132" s="377">
        <v>0</v>
      </c>
      <c r="AA132" s="18">
        <f t="shared" si="136"/>
        <v>0</v>
      </c>
      <c r="AB132" s="19">
        <f>JUNIO!AD132</f>
        <v>0</v>
      </c>
      <c r="AC132" s="377">
        <v>0</v>
      </c>
      <c r="AD132" s="18">
        <f t="shared" si="137"/>
        <v>0</v>
      </c>
      <c r="AE132" s="19">
        <f>JUNIO!AG132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+IF(JUNIO!S133=0,"",JUNIO!S133)</f>
        <v>2010200-10</v>
      </c>
      <c r="T133" s="693" t="str">
        <f>+IF(JUNIO!T133=0,"",JUNIO!T133)</f>
        <v>Pagos otras IPS</v>
      </c>
      <c r="U133" s="27">
        <f>+ENERO!U133</f>
        <v>0</v>
      </c>
      <c r="V133" s="15">
        <f>JUNIO!V133+JULIO!AL133</f>
        <v>0</v>
      </c>
      <c r="W133" s="15">
        <f>JUNIO!W133+JULIO!AM133</f>
        <v>0</v>
      </c>
      <c r="X133" s="18">
        <f t="shared" si="135"/>
        <v>0</v>
      </c>
      <c r="Y133" s="19">
        <f>JUNIO!AA133</f>
        <v>0</v>
      </c>
      <c r="Z133" s="377">
        <v>0</v>
      </c>
      <c r="AA133" s="18">
        <f t="shared" si="136"/>
        <v>0</v>
      </c>
      <c r="AB133" s="19">
        <f>JUNIO!AD133</f>
        <v>0</v>
      </c>
      <c r="AC133" s="377">
        <v>0</v>
      </c>
      <c r="AD133" s="18">
        <f t="shared" si="137"/>
        <v>0</v>
      </c>
      <c r="AE133" s="19">
        <f>JUNIO!AG133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+IF(JUNIO!S134=0,"",JUNIO!S134)</f>
        <v>2010200-11</v>
      </c>
      <c r="T134" s="693" t="str">
        <f>+IF(JUNIO!T134=0,"",JUNIO!T134)</f>
        <v>Gastos financieros</v>
      </c>
      <c r="U134" s="27">
        <f>+ENERO!U134</f>
        <v>4976765</v>
      </c>
      <c r="V134" s="15">
        <f>JUNIO!V134+JULIO!AL134</f>
        <v>0</v>
      </c>
      <c r="W134" s="15">
        <f>JUNIO!W134+JULIO!AM134</f>
        <v>0</v>
      </c>
      <c r="X134" s="18">
        <f t="shared" si="135"/>
        <v>4976765</v>
      </c>
      <c r="Y134" s="19">
        <f>JUNIO!AA134</f>
        <v>3610803</v>
      </c>
      <c r="Z134" s="377">
        <v>758289</v>
      </c>
      <c r="AA134" s="18">
        <f t="shared" si="136"/>
        <v>4369092</v>
      </c>
      <c r="AB134" s="19">
        <f>JUNIO!AD134</f>
        <v>3610803</v>
      </c>
      <c r="AC134" s="377">
        <v>758289</v>
      </c>
      <c r="AD134" s="18">
        <f t="shared" si="137"/>
        <v>4369092</v>
      </c>
      <c r="AE134" s="19">
        <f>JUNIO!AG134</f>
        <v>3610803</v>
      </c>
      <c r="AF134" s="377">
        <v>758289</v>
      </c>
      <c r="AG134" s="18">
        <f t="shared" si="138"/>
        <v>4369092</v>
      </c>
      <c r="AH134" s="19">
        <f t="shared" si="139"/>
        <v>607673</v>
      </c>
      <c r="AI134" s="15">
        <f t="shared" si="140"/>
        <v>607673</v>
      </c>
      <c r="AJ134" s="16">
        <f t="shared" si="141"/>
        <v>607673</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+IF(JUNIO!S135=0,"",JUNIO!S135)</f>
        <v>2010200-12</v>
      </c>
      <c r="T135" s="693" t="str">
        <f>+IF(JUNIO!T135=0,"",JUNIO!T135)</f>
        <v/>
      </c>
      <c r="U135" s="27">
        <f>+ENERO!U135</f>
        <v>0</v>
      </c>
      <c r="V135" s="15">
        <f>JUNIO!V135+JULIO!AL135</f>
        <v>0</v>
      </c>
      <c r="W135" s="15">
        <f>JUNIO!W135+JULIO!AM135</f>
        <v>0</v>
      </c>
      <c r="X135" s="18">
        <f t="shared" si="135"/>
        <v>0</v>
      </c>
      <c r="Y135" s="19">
        <f>JUNIO!AA135</f>
        <v>0</v>
      </c>
      <c r="Z135" s="377">
        <v>0</v>
      </c>
      <c r="AA135" s="18">
        <f t="shared" si="136"/>
        <v>0</v>
      </c>
      <c r="AB135" s="19">
        <f>JUNIO!AD135</f>
        <v>0</v>
      </c>
      <c r="AC135" s="377">
        <v>0</v>
      </c>
      <c r="AD135" s="18">
        <f t="shared" si="137"/>
        <v>0</v>
      </c>
      <c r="AE135" s="19">
        <f>JUNIO!AG135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+IF(JUNIO!S136=0,"",JUNIO!S136)</f>
        <v>2010200-13</v>
      </c>
      <c r="T136" s="693" t="str">
        <f>+IF(JUNIO!T136=0,"",JUNIO!T136)</f>
        <v/>
      </c>
      <c r="U136" s="27">
        <f>+ENERO!U136</f>
        <v>0</v>
      </c>
      <c r="V136" s="15">
        <f>JUNIO!V136+JULIO!AL136</f>
        <v>0</v>
      </c>
      <c r="W136" s="15">
        <f>JUNIO!W136+JULIO!AM136</f>
        <v>0</v>
      </c>
      <c r="X136" s="18">
        <f t="shared" si="135"/>
        <v>0</v>
      </c>
      <c r="Y136" s="19">
        <f>JUNIO!AA136</f>
        <v>0</v>
      </c>
      <c r="Z136" s="377">
        <v>0</v>
      </c>
      <c r="AA136" s="18">
        <f t="shared" si="136"/>
        <v>0</v>
      </c>
      <c r="AB136" s="19">
        <f>JUNIO!AD136</f>
        <v>0</v>
      </c>
      <c r="AC136" s="377">
        <v>0</v>
      </c>
      <c r="AD136" s="18">
        <f t="shared" si="137"/>
        <v>0</v>
      </c>
      <c r="AE136" s="19">
        <f>JUNIO!AG136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+IF(JUNIO!S137=0,"",JUNIO!S137)</f>
        <v>2010020-14</v>
      </c>
      <c r="T137" s="693" t="str">
        <f>+IF(JUNIO!T137=0,"",JUNIO!T137)</f>
        <v/>
      </c>
      <c r="U137" s="27">
        <f>+ENERO!U137</f>
        <v>0</v>
      </c>
      <c r="V137" s="15">
        <f>JUNIO!V137+JULIO!AL137</f>
        <v>0</v>
      </c>
      <c r="W137" s="15">
        <f>JUNIO!W137+JULIO!AM137</f>
        <v>0</v>
      </c>
      <c r="X137" s="18">
        <f t="shared" si="135"/>
        <v>0</v>
      </c>
      <c r="Y137" s="19">
        <f>JUNIO!AA137</f>
        <v>0</v>
      </c>
      <c r="Z137" s="377">
        <v>0</v>
      </c>
      <c r="AA137" s="18">
        <f t="shared" si="136"/>
        <v>0</v>
      </c>
      <c r="AB137" s="19">
        <f>JUNIO!AD137</f>
        <v>0</v>
      </c>
      <c r="AC137" s="377">
        <v>0</v>
      </c>
      <c r="AD137" s="18">
        <f t="shared" si="137"/>
        <v>0</v>
      </c>
      <c r="AE137" s="19">
        <f>JUNIO!AG137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+IF(JUNIO!S138=0,"",JUNIO!S138)</f>
        <v>2010200-15</v>
      </c>
      <c r="T138" s="693" t="str">
        <f>+IF(JUNIO!T138=0,"",JUNIO!T138)</f>
        <v/>
      </c>
      <c r="U138" s="27">
        <f>+ENERO!U138</f>
        <v>0</v>
      </c>
      <c r="V138" s="15">
        <f>JUNIO!V138+JULIO!AL138</f>
        <v>0</v>
      </c>
      <c r="W138" s="15">
        <f>JUNIO!W138+JULIO!AM138</f>
        <v>0</v>
      </c>
      <c r="X138" s="18">
        <f t="shared" si="135"/>
        <v>0</v>
      </c>
      <c r="Y138" s="19">
        <f>JUNIO!AA138</f>
        <v>0</v>
      </c>
      <c r="Z138" s="377">
        <v>0</v>
      </c>
      <c r="AA138" s="18">
        <f t="shared" si="136"/>
        <v>0</v>
      </c>
      <c r="AB138" s="19">
        <f>JUNIO!AD138</f>
        <v>0</v>
      </c>
      <c r="AC138" s="377">
        <v>0</v>
      </c>
      <c r="AD138" s="18">
        <f t="shared" si="137"/>
        <v>0</v>
      </c>
      <c r="AE138" s="19">
        <f>JUNIO!AG138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+IF(JUNIO!S139=0,"",JUNIO!S139)</f>
        <v>2010299</v>
      </c>
      <c r="T139" s="693" t="str">
        <f>+IF(JUNIO!T139=0,"",JUNIO!T139)</f>
        <v>Vigencias Anteriores</v>
      </c>
      <c r="U139" s="27">
        <f>+ENERO!U139</f>
        <v>0</v>
      </c>
      <c r="V139" s="15">
        <f>JUNIO!V139+JULIO!AL139</f>
        <v>0</v>
      </c>
      <c r="W139" s="15">
        <f>JUNIO!W139+JULIO!AM139</f>
        <v>26307692</v>
      </c>
      <c r="X139" s="18">
        <f t="shared" si="135"/>
        <v>26307692</v>
      </c>
      <c r="Y139" s="19">
        <f>JUNIO!AA139</f>
        <v>26307692</v>
      </c>
      <c r="Z139" s="377">
        <v>0</v>
      </c>
      <c r="AA139" s="18">
        <f t="shared" si="136"/>
        <v>26307692</v>
      </c>
      <c r="AB139" s="19">
        <f>JUNIO!AD139</f>
        <v>26307692</v>
      </c>
      <c r="AC139" s="377">
        <v>0</v>
      </c>
      <c r="AD139" s="18">
        <f t="shared" si="137"/>
        <v>26307692</v>
      </c>
      <c r="AE139" s="19">
        <f>JUNIO!AG139</f>
        <v>9802051</v>
      </c>
      <c r="AF139" s="377">
        <v>6000</v>
      </c>
      <c r="AG139" s="18">
        <f t="shared" si="138"/>
        <v>9808051</v>
      </c>
      <c r="AH139" s="19">
        <f t="shared" si="139"/>
        <v>0</v>
      </c>
      <c r="AI139" s="15">
        <f t="shared" si="140"/>
        <v>0</v>
      </c>
      <c r="AJ139" s="16">
        <f t="shared" si="141"/>
        <v>16499641</v>
      </c>
      <c r="AK139" s="9"/>
      <c r="AL139" s="375">
        <v>0</v>
      </c>
      <c r="AM139" s="378">
        <v>0</v>
      </c>
      <c r="AN139" s="9"/>
      <c r="AO139" s="297"/>
      <c r="AP139" s="297"/>
      <c r="AQ139" s="297"/>
    </row>
    <row r="140" spans="1:52" s="385" customFormat="1" ht="24.95" customHeight="1" x14ac:dyDescent="0.2">
      <c r="A140" s="767"/>
      <c r="B140" s="668"/>
      <c r="N140" s="9"/>
      <c r="R140" s="9"/>
      <c r="S140" s="369" t="str">
        <f>+IF(JUNIO!S140=0,"",JUNIO!S140)</f>
        <v/>
      </c>
      <c r="T140" s="708" t="str">
        <f>+IF(JUNIO!T140=0,"",JUNIO!T140)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+IF(JUNIO!S141=0,"",JUNIO!S141)</f>
        <v>2010300</v>
      </c>
      <c r="T141" s="692" t="str">
        <f>+IF(JUNIO!T141=0,"",JUNIO!T141)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2020582</v>
      </c>
      <c r="AA141" s="132">
        <f t="shared" si="144"/>
        <v>5324054</v>
      </c>
      <c r="AB141" s="131">
        <f t="shared" si="144"/>
        <v>3303472</v>
      </c>
      <c r="AC141" s="124">
        <f t="shared" si="144"/>
        <v>2020582</v>
      </c>
      <c r="AD141" s="132">
        <f t="shared" si="144"/>
        <v>5324054</v>
      </c>
      <c r="AE141" s="131">
        <f t="shared" si="144"/>
        <v>0</v>
      </c>
      <c r="AF141" s="124">
        <f t="shared" si="144"/>
        <v>0</v>
      </c>
      <c r="AG141" s="132">
        <f t="shared" si="144"/>
        <v>0</v>
      </c>
      <c r="AH141" s="131">
        <f t="shared" si="144"/>
        <v>6944852</v>
      </c>
      <c r="AI141" s="124">
        <f t="shared" si="144"/>
        <v>6944852</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+IF(JUNIO!S142=0,"",JUNIO!S142)</f>
        <v>2010300-1</v>
      </c>
      <c r="T142" s="693" t="str">
        <f>+IF(JUNIO!T142=0,"",JUNIO!T142)</f>
        <v>Impuestos (Predial, Vehiculos, Otros)</v>
      </c>
      <c r="U142" s="27">
        <f>+ENERO!U142</f>
        <v>10780963</v>
      </c>
      <c r="V142" s="15">
        <f>JUNIO!V142+JULIO!AL142</f>
        <v>0</v>
      </c>
      <c r="W142" s="15">
        <f>JUNIO!W142+JULIO!AM142</f>
        <v>0</v>
      </c>
      <c r="X142" s="18">
        <f>SUM(U142:W142)</f>
        <v>10780963</v>
      </c>
      <c r="Y142" s="19">
        <f>JUNIO!AA142</f>
        <v>1815529</v>
      </c>
      <c r="Z142" s="377">
        <v>2020582</v>
      </c>
      <c r="AA142" s="18">
        <f>SUM(Y142:Z142)</f>
        <v>3836111</v>
      </c>
      <c r="AB142" s="19">
        <f>JUNIO!AD142</f>
        <v>1815529</v>
      </c>
      <c r="AC142" s="377">
        <v>2020582</v>
      </c>
      <c r="AD142" s="18">
        <f>SUM(AB142:AC142)</f>
        <v>3836111</v>
      </c>
      <c r="AE142" s="19">
        <f>JUNIO!AG142</f>
        <v>0</v>
      </c>
      <c r="AF142" s="377">
        <v>0</v>
      </c>
      <c r="AG142" s="18">
        <f>SUM(AE142:AF142)</f>
        <v>0</v>
      </c>
      <c r="AH142" s="19">
        <f>X142-AA142</f>
        <v>6944852</v>
      </c>
      <c r="AI142" s="15">
        <f>X142-AD142</f>
        <v>6944852</v>
      </c>
      <c r="AJ142" s="16">
        <f>X142-AG142</f>
        <v>10780963</v>
      </c>
      <c r="AK142" s="9"/>
      <c r="AL142" s="375">
        <v>0</v>
      </c>
      <c r="AM142" s="378">
        <v>0</v>
      </c>
      <c r="AN142" s="9"/>
    </row>
    <row r="143" spans="1:52" s="385" customFormat="1" ht="24.95" customHeight="1" x14ac:dyDescent="0.2">
      <c r="A143" s="767"/>
      <c r="B143" s="668"/>
      <c r="N143" s="9"/>
      <c r="R143" s="9"/>
      <c r="S143" s="719">
        <f>+IF(JUNIO!S143=0,"",JUNIO!S143)</f>
        <v>2010399</v>
      </c>
      <c r="T143" s="693" t="str">
        <f>+IF(JUNIO!T143=0,"",JUNIO!T143)</f>
        <v>Vigencias Anteriores</v>
      </c>
      <c r="U143" s="27">
        <f>+ENERO!U143</f>
        <v>0</v>
      </c>
      <c r="V143" s="15">
        <f>JUNIO!V143+JULIO!AL143</f>
        <v>0</v>
      </c>
      <c r="W143" s="15">
        <f>JUNIO!W143+JULIO!AM143</f>
        <v>1487943</v>
      </c>
      <c r="X143" s="18">
        <f>SUM(U143:W143)</f>
        <v>1487943</v>
      </c>
      <c r="Y143" s="19">
        <f>JUNIO!AA143</f>
        <v>1487943</v>
      </c>
      <c r="Z143" s="377">
        <v>0</v>
      </c>
      <c r="AA143" s="18">
        <f>SUM(Y143:Z143)</f>
        <v>1487943</v>
      </c>
      <c r="AB143" s="19">
        <f>JUNIO!AD143</f>
        <v>1487943</v>
      </c>
      <c r="AC143" s="377">
        <v>0</v>
      </c>
      <c r="AD143" s="18">
        <f>SUM(AB143:AC143)</f>
        <v>1487943</v>
      </c>
      <c r="AE143" s="19">
        <f>JUNIO!AG143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+IF(JUNIO!S144=0,"",JUNIO!S144)</f>
        <v/>
      </c>
      <c r="T144" s="708" t="str">
        <f>+IF(JUNIO!T144=0,"",JUNIO!T144)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+IF(JUNIO!S145=0,"",JUNIO!S145)</f>
        <v>2020010</v>
      </c>
      <c r="T145" s="691" t="str">
        <f>+IF(JUNIO!T145=0,"",JUNIO!T145)</f>
        <v>Gastos de Operación</v>
      </c>
      <c r="U145" s="135">
        <f t="shared" ref="U145:AJ145" si="145">U147+U155</f>
        <v>323975875</v>
      </c>
      <c r="V145" s="124">
        <f t="shared" si="145"/>
        <v>29000000</v>
      </c>
      <c r="W145" s="124">
        <f t="shared" si="145"/>
        <v>111099188</v>
      </c>
      <c r="X145" s="132">
        <f t="shared" si="145"/>
        <v>464075063</v>
      </c>
      <c r="Y145" s="131">
        <f t="shared" si="145"/>
        <v>305706467</v>
      </c>
      <c r="Z145" s="124">
        <f t="shared" si="145"/>
        <v>17620996</v>
      </c>
      <c r="AA145" s="132">
        <f t="shared" si="145"/>
        <v>323327463</v>
      </c>
      <c r="AB145" s="131">
        <f t="shared" si="145"/>
        <v>237873530</v>
      </c>
      <c r="AC145" s="124">
        <f t="shared" si="145"/>
        <v>34365193</v>
      </c>
      <c r="AD145" s="132">
        <f t="shared" si="145"/>
        <v>272238723</v>
      </c>
      <c r="AE145" s="131">
        <f t="shared" si="145"/>
        <v>161428171</v>
      </c>
      <c r="AF145" s="124">
        <f t="shared" si="145"/>
        <v>22072801</v>
      </c>
      <c r="AG145" s="132">
        <f t="shared" si="145"/>
        <v>183500972</v>
      </c>
      <c r="AH145" s="131">
        <f t="shared" si="145"/>
        <v>140747600</v>
      </c>
      <c r="AI145" s="124">
        <f t="shared" si="145"/>
        <v>191836340</v>
      </c>
      <c r="AJ145" s="133">
        <f t="shared" si="145"/>
        <v>280574091</v>
      </c>
      <c r="AK145" s="10"/>
      <c r="AL145" s="131">
        <f>AL147+AL155</f>
        <v>4000000</v>
      </c>
      <c r="AM145" s="133">
        <f>AM147+AM155</f>
        <v>0</v>
      </c>
      <c r="AN145" s="9"/>
    </row>
    <row r="146" spans="1:40" s="385" customFormat="1" ht="24.95" customHeight="1" x14ac:dyDescent="0.2">
      <c r="A146" s="767"/>
      <c r="B146" s="668"/>
      <c r="N146" s="9"/>
      <c r="R146" s="9"/>
      <c r="S146" s="720" t="str">
        <f>+IF(JUNIO!S146=0,"",JUNIO!S146)</f>
        <v/>
      </c>
      <c r="T146" s="694" t="str">
        <f>+IF(JUNIO!T146=0,"",JUNIO!T146)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+IF(JUNIO!S147=0,"",JUNIO!S147)</f>
        <v>2020100</v>
      </c>
      <c r="T147" s="692" t="str">
        <f>+IF(JUNIO!T147=0,"",JUNIO!T147)</f>
        <v>Adquisición de bienes</v>
      </c>
      <c r="U147" s="135">
        <f t="shared" ref="U147:AJ147" si="146">SUM(U148:U149)+U153</f>
        <v>113248636</v>
      </c>
      <c r="V147" s="124">
        <f t="shared" si="146"/>
        <v>2000000</v>
      </c>
      <c r="W147" s="124">
        <f t="shared" si="146"/>
        <v>75561517</v>
      </c>
      <c r="X147" s="132">
        <f t="shared" si="146"/>
        <v>190810153</v>
      </c>
      <c r="Y147" s="131">
        <f t="shared" si="146"/>
        <v>93053424</v>
      </c>
      <c r="Z147" s="124">
        <f t="shared" si="146"/>
        <v>8742715</v>
      </c>
      <c r="AA147" s="132">
        <f t="shared" si="146"/>
        <v>101796139</v>
      </c>
      <c r="AB147" s="131">
        <f t="shared" si="146"/>
        <v>93073672</v>
      </c>
      <c r="AC147" s="124">
        <f t="shared" si="146"/>
        <v>8722467</v>
      </c>
      <c r="AD147" s="132">
        <f t="shared" si="146"/>
        <v>101796139</v>
      </c>
      <c r="AE147" s="131">
        <f t="shared" si="146"/>
        <v>52704054</v>
      </c>
      <c r="AF147" s="124">
        <f t="shared" si="146"/>
        <v>9369550</v>
      </c>
      <c r="AG147" s="132">
        <f t="shared" si="146"/>
        <v>62073604</v>
      </c>
      <c r="AH147" s="131">
        <f t="shared" si="146"/>
        <v>89014014</v>
      </c>
      <c r="AI147" s="124">
        <f t="shared" si="146"/>
        <v>89014014</v>
      </c>
      <c r="AJ147" s="133">
        <f t="shared" si="146"/>
        <v>128736549</v>
      </c>
      <c r="AK147" s="9"/>
      <c r="AL147" s="131">
        <f>SUM(AL148:AL149)+AL153</f>
        <v>0</v>
      </c>
      <c r="AM147" s="133">
        <f>SUM(AM148:AM149)+AM153</f>
        <v>0</v>
      </c>
      <c r="AN147" s="9"/>
    </row>
    <row r="148" spans="1:40" s="385" customFormat="1" ht="24.95" customHeight="1" x14ac:dyDescent="0.2">
      <c r="A148" s="767"/>
      <c r="B148" s="668"/>
      <c r="N148" s="9"/>
      <c r="R148" s="9"/>
      <c r="S148" s="719">
        <f>+IF(JUNIO!S148=0,"",JUNIO!S148)</f>
        <v>2020101</v>
      </c>
      <c r="T148" s="693" t="str">
        <f>+IF(JUNIO!T148=0,"",JUNIO!T148)</f>
        <v>Mantenimiento Hospitalario</v>
      </c>
      <c r="U148" s="27">
        <f>+ENERO!U148</f>
        <v>74533223</v>
      </c>
      <c r="V148" s="15">
        <f>JUNIO!V148+JULIO!AL148</f>
        <v>0</v>
      </c>
      <c r="W148" s="15">
        <f>JUNIO!W148+JULIO!AM148</f>
        <v>0</v>
      </c>
      <c r="X148" s="18">
        <f>SUM(U148:W148)</f>
        <v>74533223</v>
      </c>
      <c r="Y148" s="19">
        <f>JUNIO!AA148</f>
        <v>28145493</v>
      </c>
      <c r="Z148" s="377">
        <v>3264055</v>
      </c>
      <c r="AA148" s="18">
        <f>SUM(Y148:Z148)</f>
        <v>31409548</v>
      </c>
      <c r="AB148" s="19">
        <f>JUNIO!AD148</f>
        <v>28145493</v>
      </c>
      <c r="AC148" s="377">
        <v>3264055</v>
      </c>
      <c r="AD148" s="18">
        <f>SUM(AB148:AC148)</f>
        <v>31409548</v>
      </c>
      <c r="AE148" s="19">
        <f>JUNIO!AG148</f>
        <v>19424991</v>
      </c>
      <c r="AF148" s="377">
        <v>6868169</v>
      </c>
      <c r="AG148" s="18">
        <f>SUM(AE148:AF148)</f>
        <v>26293160</v>
      </c>
      <c r="AH148" s="19">
        <f>X148-AA148</f>
        <v>43123675</v>
      </c>
      <c r="AI148" s="15">
        <f>X148-AD148</f>
        <v>43123675</v>
      </c>
      <c r="AJ148" s="16">
        <f>X148-AG148</f>
        <v>48240063</v>
      </c>
      <c r="AK148" s="9"/>
      <c r="AL148" s="375">
        <v>0</v>
      </c>
      <c r="AM148" s="378">
        <v>0</v>
      </c>
      <c r="AN148" s="9"/>
    </row>
    <row r="149" spans="1:40" s="385" customFormat="1" ht="24.95" customHeight="1" x14ac:dyDescent="0.2">
      <c r="A149" s="767"/>
      <c r="B149" s="668"/>
      <c r="N149" s="9"/>
      <c r="R149" s="9"/>
      <c r="S149" s="719">
        <f>+IF(JUNIO!S149=0,"",JUNIO!S149)</f>
        <v>2020102</v>
      </c>
      <c r="T149" s="693" t="str">
        <f>+IF(JUNIO!T149=0,"",JUNIO!T149)</f>
        <v>Otros</v>
      </c>
      <c r="U149" s="27">
        <f t="shared" ref="U149:AJ149" si="147">SUM(U150:U152)</f>
        <v>38715413</v>
      </c>
      <c r="V149" s="15">
        <f t="shared" si="147"/>
        <v>2000000</v>
      </c>
      <c r="W149" s="15">
        <f t="shared" si="147"/>
        <v>41780673</v>
      </c>
      <c r="X149" s="18">
        <f t="shared" si="147"/>
        <v>82496086</v>
      </c>
      <c r="Y149" s="19">
        <f t="shared" si="147"/>
        <v>31127087</v>
      </c>
      <c r="Z149" s="145">
        <f t="shared" si="147"/>
        <v>5478660</v>
      </c>
      <c r="AA149" s="18">
        <f t="shared" si="147"/>
        <v>36605747</v>
      </c>
      <c r="AB149" s="19">
        <f t="shared" si="147"/>
        <v>31147335</v>
      </c>
      <c r="AC149" s="145">
        <f t="shared" si="147"/>
        <v>5458412</v>
      </c>
      <c r="AD149" s="18">
        <f t="shared" si="147"/>
        <v>36605747</v>
      </c>
      <c r="AE149" s="19">
        <f t="shared" si="147"/>
        <v>1894600</v>
      </c>
      <c r="AF149" s="145">
        <f t="shared" si="147"/>
        <v>105000</v>
      </c>
      <c r="AG149" s="18">
        <f t="shared" si="147"/>
        <v>1999600</v>
      </c>
      <c r="AH149" s="19">
        <f t="shared" si="147"/>
        <v>45890339</v>
      </c>
      <c r="AI149" s="15">
        <f t="shared" si="147"/>
        <v>45890339</v>
      </c>
      <c r="AJ149" s="16">
        <f t="shared" si="147"/>
        <v>80496486</v>
      </c>
      <c r="AK149" s="9"/>
      <c r="AL149" s="29">
        <f>SUM(AL150:AL152)</f>
        <v>0</v>
      </c>
      <c r="AM149" s="26">
        <f>SUM(AM150:AM152)</f>
        <v>0</v>
      </c>
      <c r="AN149" s="9"/>
    </row>
    <row r="150" spans="1:40" s="385" customFormat="1" ht="24.95" customHeight="1" x14ac:dyDescent="0.2">
      <c r="A150" s="767"/>
      <c r="B150" s="668"/>
      <c r="N150" s="9"/>
      <c r="R150" s="9"/>
      <c r="S150" s="720" t="str">
        <f>+IF(JUNIO!S150=0,"",JUNIO!S150)</f>
        <v>2020102-1</v>
      </c>
      <c r="T150" s="693" t="str">
        <f>+IF(JUNIO!T150=0,"",JUNIO!T150)</f>
        <v>Compra de Equipo e Instr. Mco. y Laborat.</v>
      </c>
      <c r="U150" s="27">
        <f>+ENERO!U150</f>
        <v>0</v>
      </c>
      <c r="V150" s="15">
        <f>JUNIO!V150+JULIO!AL150</f>
        <v>0</v>
      </c>
      <c r="W150" s="15">
        <f>JUNIO!W150+JULIO!AM150</f>
        <v>40000000</v>
      </c>
      <c r="X150" s="18">
        <f>SUM(U150:W150)</f>
        <v>40000000</v>
      </c>
      <c r="Y150" s="19">
        <f>JUNIO!AA150</f>
        <v>13436628</v>
      </c>
      <c r="Z150" s="377">
        <v>2396560</v>
      </c>
      <c r="AA150" s="18">
        <f>SUM(Y150:Z150)</f>
        <v>15833188</v>
      </c>
      <c r="AB150" s="19">
        <f>JUNIO!AD150</f>
        <v>13436628</v>
      </c>
      <c r="AC150" s="377">
        <v>2396560</v>
      </c>
      <c r="AD150" s="18">
        <f>SUM(AB150:AC150)</f>
        <v>15833188</v>
      </c>
      <c r="AE150" s="19">
        <f>JUNIO!AG150</f>
        <v>1809600</v>
      </c>
      <c r="AF150" s="377">
        <v>0</v>
      </c>
      <c r="AG150" s="18">
        <f>SUM(AE150:AF150)</f>
        <v>1809600</v>
      </c>
      <c r="AH150" s="19">
        <f>X150-AA150</f>
        <v>24166812</v>
      </c>
      <c r="AI150" s="15">
        <f>X150-AD150</f>
        <v>24166812</v>
      </c>
      <c r="AJ150" s="16">
        <f>X150-AG150</f>
        <v>38190400</v>
      </c>
      <c r="AK150" s="9"/>
      <c r="AL150" s="375">
        <v>0</v>
      </c>
      <c r="AM150" s="378">
        <v>0</v>
      </c>
      <c r="AN150" s="9"/>
    </row>
    <row r="151" spans="1:40" s="385" customFormat="1" ht="24.95" customHeight="1" x14ac:dyDescent="0.2">
      <c r="A151" s="767"/>
      <c r="B151" s="668"/>
      <c r="N151" s="9"/>
      <c r="R151" s="9"/>
      <c r="S151" s="720" t="str">
        <f>+IF(JUNIO!S151=0,"",JUNIO!S151)</f>
        <v>2020102-2</v>
      </c>
      <c r="T151" s="693" t="str">
        <f>+IF(JUNIO!T151=0,"",JUNIO!T151)</f>
        <v>Materiales</v>
      </c>
      <c r="U151" s="27">
        <f>+ENERO!U151</f>
        <v>15288294</v>
      </c>
      <c r="V151" s="15">
        <f>JUNIO!V151+JULIO!AL151</f>
        <v>2000000</v>
      </c>
      <c r="W151" s="15">
        <f>JUNIO!W151+JULIO!AM151</f>
        <v>1780673</v>
      </c>
      <c r="X151" s="18">
        <f>SUM(U151:W151)</f>
        <v>19068967</v>
      </c>
      <c r="Y151" s="19">
        <f>JUNIO!AA151</f>
        <v>6968560</v>
      </c>
      <c r="Z151" s="377">
        <f>105000+20248</f>
        <v>125248</v>
      </c>
      <c r="AA151" s="18">
        <f>SUM(Y151:Z151)</f>
        <v>7093808</v>
      </c>
      <c r="AB151" s="19">
        <f>JUNIO!AD151</f>
        <v>6988808</v>
      </c>
      <c r="AC151" s="377">
        <v>105000</v>
      </c>
      <c r="AD151" s="18">
        <f>SUM(AB151:AC151)</f>
        <v>7093808</v>
      </c>
      <c r="AE151" s="19">
        <f>JUNIO!AG151</f>
        <v>0</v>
      </c>
      <c r="AF151" s="377">
        <v>105000</v>
      </c>
      <c r="AG151" s="799">
        <f>SUM(AE151:AF151)</f>
        <v>105000</v>
      </c>
      <c r="AH151" s="19">
        <f>X151-AA151</f>
        <v>11975159</v>
      </c>
      <c r="AI151" s="15">
        <f>X151-AD151</f>
        <v>11975159</v>
      </c>
      <c r="AJ151" s="16">
        <f>X151-AG151</f>
        <v>18963967</v>
      </c>
      <c r="AK151" s="9"/>
      <c r="AL151" s="375">
        <v>0</v>
      </c>
      <c r="AM151" s="378">
        <v>0</v>
      </c>
      <c r="AN151" s="9"/>
    </row>
    <row r="152" spans="1:40" s="385" customFormat="1" ht="24.95" customHeight="1" x14ac:dyDescent="0.2">
      <c r="A152" s="767"/>
      <c r="B152" s="668"/>
      <c r="N152" s="9"/>
      <c r="R152" s="9"/>
      <c r="S152" s="720" t="str">
        <f>+IF(JUNIO!S152=0,"",JUNIO!S152)</f>
        <v>2020102-3</v>
      </c>
      <c r="T152" s="693" t="str">
        <f>+IF(JUNIO!T152=0,"",JUNIO!T152)</f>
        <v>Combustible</v>
      </c>
      <c r="U152" s="27">
        <f>+ENERO!U152</f>
        <v>23427119</v>
      </c>
      <c r="V152" s="15">
        <f>JUNIO!V152+JULIO!AL152</f>
        <v>0</v>
      </c>
      <c r="W152" s="15">
        <f>JUNIO!W152+JULIO!AM152</f>
        <v>0</v>
      </c>
      <c r="X152" s="18">
        <f>SUM(U152:W152)</f>
        <v>23427119</v>
      </c>
      <c r="Y152" s="19">
        <f>JUNIO!AA152</f>
        <v>10721899</v>
      </c>
      <c r="Z152" s="377">
        <v>2956852</v>
      </c>
      <c r="AA152" s="18">
        <f>SUM(Y152:Z152)</f>
        <v>13678751</v>
      </c>
      <c r="AB152" s="19">
        <f>JUNIO!AD152</f>
        <v>10721899</v>
      </c>
      <c r="AC152" s="377">
        <v>2956852</v>
      </c>
      <c r="AD152" s="18">
        <f>SUM(AB152:AC152)</f>
        <v>13678751</v>
      </c>
      <c r="AE152" s="19">
        <f>JUNIO!AG152</f>
        <v>85000</v>
      </c>
      <c r="AF152" s="377">
        <v>0</v>
      </c>
      <c r="AG152" s="18">
        <f>SUM(AE152:AF152)</f>
        <v>85000</v>
      </c>
      <c r="AH152" s="19">
        <f>X152-AA152</f>
        <v>9748368</v>
      </c>
      <c r="AI152" s="15">
        <f>X152-AD152</f>
        <v>9748368</v>
      </c>
      <c r="AJ152" s="16">
        <f>X152-AG152</f>
        <v>23342119</v>
      </c>
      <c r="AK152" s="9"/>
      <c r="AL152" s="375">
        <v>0</v>
      </c>
      <c r="AM152" s="378">
        <v>0</v>
      </c>
      <c r="AN152" s="9"/>
    </row>
    <row r="153" spans="1:40" s="385" customFormat="1" ht="24.95" customHeight="1" x14ac:dyDescent="0.2">
      <c r="A153" s="767"/>
      <c r="B153" s="668"/>
      <c r="N153" s="9"/>
      <c r="R153" s="9"/>
      <c r="S153" s="719">
        <f>+IF(JUNIO!S153=0,"",JUNIO!S153)</f>
        <v>2020199</v>
      </c>
      <c r="T153" s="693" t="str">
        <f>+IF(JUNIO!T153=0,"",JUNIO!T153)</f>
        <v>Vigencias Anteriores</v>
      </c>
      <c r="U153" s="27">
        <f>+ENERO!U153</f>
        <v>0</v>
      </c>
      <c r="V153" s="15">
        <f>JUNIO!V153+JULIO!AL153</f>
        <v>0</v>
      </c>
      <c r="W153" s="15">
        <f>JUNIO!W153+JULIO!AM153</f>
        <v>33780844</v>
      </c>
      <c r="X153" s="18">
        <f>SUM(U153:W153)</f>
        <v>33780844</v>
      </c>
      <c r="Y153" s="19">
        <f>JUNIO!AA153</f>
        <v>33780844</v>
      </c>
      <c r="Z153" s="377">
        <v>0</v>
      </c>
      <c r="AA153" s="18">
        <f>SUM(Y153:Z153)</f>
        <v>33780844</v>
      </c>
      <c r="AB153" s="19">
        <f>JUNIO!AD153</f>
        <v>33780844</v>
      </c>
      <c r="AC153" s="377">
        <v>0</v>
      </c>
      <c r="AD153" s="18">
        <f>SUM(AB153:AC153)</f>
        <v>33780844</v>
      </c>
      <c r="AE153" s="19">
        <f>JUNIO!AG153</f>
        <v>31384463</v>
      </c>
      <c r="AF153" s="377">
        <v>2396381</v>
      </c>
      <c r="AG153" s="18">
        <f>SUM(AE153:AF153)</f>
        <v>33780844</v>
      </c>
      <c r="AH153" s="19">
        <f>X153-AA153</f>
        <v>0</v>
      </c>
      <c r="AI153" s="15">
        <f>X153-AD153</f>
        <v>0</v>
      </c>
      <c r="AJ153" s="16">
        <f>X153-AG153</f>
        <v>0</v>
      </c>
      <c r="AK153" s="9"/>
      <c r="AL153" s="375">
        <v>0</v>
      </c>
      <c r="AM153" s="378">
        <v>0</v>
      </c>
      <c r="AN153" s="9"/>
    </row>
    <row r="154" spans="1:40" s="385" customFormat="1" ht="24.95" customHeight="1" x14ac:dyDescent="0.2">
      <c r="A154" s="767"/>
      <c r="B154" s="668"/>
      <c r="N154" s="9"/>
      <c r="R154" s="9"/>
      <c r="S154" s="369" t="str">
        <f>+IF(JUNIO!S154=0,"",JUNIO!S154)</f>
        <v/>
      </c>
      <c r="T154" s="708" t="str">
        <f>+IF(JUNIO!T154=0,"",JUNIO!T154)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+IF(JUNIO!S155=0,"",JUNIO!S155)</f>
        <v>2020200</v>
      </c>
      <c r="T155" s="692" t="str">
        <f>+IF(JUNIO!T155=0,"",JUNIO!T155)</f>
        <v>Adquisición de Servicios</v>
      </c>
      <c r="U155" s="135">
        <f t="shared" ref="U155:AJ155" si="148">SUM(U156:U157)+U168</f>
        <v>210727239</v>
      </c>
      <c r="V155" s="124">
        <f t="shared" si="148"/>
        <v>27000000</v>
      </c>
      <c r="W155" s="124">
        <f t="shared" si="148"/>
        <v>35537671</v>
      </c>
      <c r="X155" s="132">
        <f t="shared" si="148"/>
        <v>273264910</v>
      </c>
      <c r="Y155" s="131">
        <f t="shared" si="148"/>
        <v>212653043</v>
      </c>
      <c r="Z155" s="124">
        <f t="shared" si="148"/>
        <v>8878281</v>
      </c>
      <c r="AA155" s="132">
        <f t="shared" si="148"/>
        <v>221531324</v>
      </c>
      <c r="AB155" s="131">
        <f t="shared" si="148"/>
        <v>144799858</v>
      </c>
      <c r="AC155" s="124">
        <f t="shared" si="148"/>
        <v>25642726</v>
      </c>
      <c r="AD155" s="132">
        <f t="shared" si="148"/>
        <v>170442584</v>
      </c>
      <c r="AE155" s="131">
        <f t="shared" si="148"/>
        <v>108724117</v>
      </c>
      <c r="AF155" s="124">
        <f t="shared" si="148"/>
        <v>12703251</v>
      </c>
      <c r="AG155" s="132">
        <f t="shared" si="148"/>
        <v>121427368</v>
      </c>
      <c r="AH155" s="131">
        <f t="shared" si="148"/>
        <v>51733586</v>
      </c>
      <c r="AI155" s="124">
        <f t="shared" si="148"/>
        <v>102822326</v>
      </c>
      <c r="AJ155" s="133">
        <f t="shared" si="148"/>
        <v>151837542</v>
      </c>
      <c r="AK155" s="9"/>
      <c r="AL155" s="131">
        <f>SUM(AL156:AL157)+AL168</f>
        <v>4000000</v>
      </c>
      <c r="AM155" s="133">
        <f>SUM(AM156:AM157)+AM168</f>
        <v>0</v>
      </c>
      <c r="AN155" s="9"/>
    </row>
    <row r="156" spans="1:40" s="385" customFormat="1" ht="24.95" customHeight="1" x14ac:dyDescent="0.2">
      <c r="A156" s="767"/>
      <c r="B156" s="668"/>
      <c r="N156" s="9"/>
      <c r="P156" s="9"/>
      <c r="Q156" s="9"/>
      <c r="R156" s="9"/>
      <c r="S156" s="719">
        <f>+IF(JUNIO!S156=0,"",JUNIO!S156)</f>
        <v>2020201</v>
      </c>
      <c r="T156" s="693" t="str">
        <f>+IF(JUNIO!T156=0,"",JUNIO!T156)</f>
        <v>Mantenimiento Hospitalario</v>
      </c>
      <c r="U156" s="27">
        <f>+ENERO!U156</f>
        <v>82251828</v>
      </c>
      <c r="V156" s="15">
        <f>JUNIO!V156+JULIO!AL156</f>
        <v>0</v>
      </c>
      <c r="W156" s="15">
        <f>JUNIO!W156+JULIO!AM156</f>
        <v>0</v>
      </c>
      <c r="X156" s="18">
        <f>SUM(U156:W156)</f>
        <v>82251828</v>
      </c>
      <c r="Y156" s="19">
        <f>JUNIO!AA156</f>
        <v>71065652</v>
      </c>
      <c r="Z156" s="377">
        <v>1582145</v>
      </c>
      <c r="AA156" s="18">
        <f>SUM(Y156:Z156)</f>
        <v>72647797</v>
      </c>
      <c r="AB156" s="19">
        <f>JUNIO!AD156</f>
        <v>43031246</v>
      </c>
      <c r="AC156" s="377">
        <v>12545305</v>
      </c>
      <c r="AD156" s="18">
        <f>SUM(AB156:AC156)</f>
        <v>55576551</v>
      </c>
      <c r="AE156" s="19">
        <f>JUNIO!AG156</f>
        <v>39099325</v>
      </c>
      <c r="AF156" s="377">
        <v>5077313</v>
      </c>
      <c r="AG156" s="18">
        <f>SUM(AE156:AF156)</f>
        <v>44176638</v>
      </c>
      <c r="AH156" s="19">
        <f>X156-AA156</f>
        <v>9604031</v>
      </c>
      <c r="AI156" s="15">
        <f>X156-AD156</f>
        <v>26675277</v>
      </c>
      <c r="AJ156" s="16">
        <f>X156-AG156</f>
        <v>38075190</v>
      </c>
      <c r="AK156" s="9"/>
      <c r="AL156" s="375">
        <v>0</v>
      </c>
      <c r="AM156" s="378">
        <v>0</v>
      </c>
      <c r="AN156" s="9"/>
    </row>
    <row r="157" spans="1:40" s="385" customFormat="1" ht="24.95" customHeight="1" x14ac:dyDescent="0.2">
      <c r="A157" s="767"/>
      <c r="B157" s="668"/>
      <c r="N157" s="9"/>
      <c r="P157" s="9"/>
      <c r="Q157" s="9"/>
      <c r="R157" s="9"/>
      <c r="S157" s="719">
        <f>+IF(JUNIO!S157=0,"",JUNIO!S157)</f>
        <v>2020202</v>
      </c>
      <c r="T157" s="693" t="str">
        <f>+IF(JUNIO!T157=0,"",JUNIO!T157)</f>
        <v>Otros</v>
      </c>
      <c r="U157" s="27">
        <f t="shared" ref="U157:AJ157" si="149">SUM(U158:U167)</f>
        <v>128475411</v>
      </c>
      <c r="V157" s="15">
        <f t="shared" si="149"/>
        <v>27000000</v>
      </c>
      <c r="W157" s="15">
        <f t="shared" si="149"/>
        <v>7000000</v>
      </c>
      <c r="X157" s="18">
        <f t="shared" si="149"/>
        <v>162475411</v>
      </c>
      <c r="Y157" s="19">
        <f t="shared" si="149"/>
        <v>113049720</v>
      </c>
      <c r="Z157" s="145">
        <f t="shared" si="149"/>
        <v>7296136</v>
      </c>
      <c r="AA157" s="18">
        <f t="shared" si="149"/>
        <v>120345856</v>
      </c>
      <c r="AB157" s="19">
        <f t="shared" si="149"/>
        <v>73230941</v>
      </c>
      <c r="AC157" s="145">
        <f t="shared" si="149"/>
        <v>13097421</v>
      </c>
      <c r="AD157" s="18">
        <f t="shared" si="149"/>
        <v>86328362</v>
      </c>
      <c r="AE157" s="19">
        <f t="shared" si="149"/>
        <v>48257155</v>
      </c>
      <c r="AF157" s="145">
        <f t="shared" si="149"/>
        <v>7590323</v>
      </c>
      <c r="AG157" s="18">
        <f t="shared" si="149"/>
        <v>55847478</v>
      </c>
      <c r="AH157" s="19">
        <f t="shared" si="149"/>
        <v>42129555</v>
      </c>
      <c r="AI157" s="15">
        <f t="shared" si="149"/>
        <v>76147049</v>
      </c>
      <c r="AJ157" s="16">
        <f t="shared" si="149"/>
        <v>106627933</v>
      </c>
      <c r="AK157" s="10"/>
      <c r="AL157" s="29">
        <f>SUM(AL158:AL167)</f>
        <v>4000000</v>
      </c>
      <c r="AM157" s="26">
        <f>SUM(AM158:AM167)</f>
        <v>0</v>
      </c>
      <c r="AN157" s="9"/>
    </row>
    <row r="158" spans="1:40" s="385" customFormat="1" ht="24.95" customHeight="1" x14ac:dyDescent="0.2">
      <c r="A158" s="767"/>
      <c r="B158" s="668"/>
      <c r="N158" s="9"/>
      <c r="P158" s="9"/>
      <c r="Q158" s="9"/>
      <c r="R158" s="9"/>
      <c r="S158" s="720" t="str">
        <f>+IF(JUNIO!S158=0,"",JUNIO!S158)</f>
        <v>2020202-1</v>
      </c>
      <c r="T158" s="694" t="str">
        <f>+IF(JUNIO!T158=0,"",JUNIO!T158)</f>
        <v>Seguros</v>
      </c>
      <c r="U158" s="27">
        <f>+ENERO!U158</f>
        <v>15745455</v>
      </c>
      <c r="V158" s="15">
        <f>JUNIO!V158+JULIO!AL158</f>
        <v>0</v>
      </c>
      <c r="W158" s="15">
        <f>JUNIO!W158+JULIO!AM158</f>
        <v>5000000</v>
      </c>
      <c r="X158" s="18">
        <f t="shared" ref="X158:X168" si="150">SUM(U158:W158)</f>
        <v>20745455</v>
      </c>
      <c r="Y158" s="19">
        <f>JUNIO!AA158</f>
        <v>18029036</v>
      </c>
      <c r="Z158" s="377">
        <v>76503</v>
      </c>
      <c r="AA158" s="18">
        <f t="shared" ref="AA158:AA168" si="151">SUM(Y158:Z158)</f>
        <v>18105539</v>
      </c>
      <c r="AB158" s="19">
        <f>JUNIO!AD158</f>
        <v>18029036</v>
      </c>
      <c r="AC158" s="377">
        <v>76503</v>
      </c>
      <c r="AD158" s="18">
        <f t="shared" ref="AD158:AD168" si="152">SUM(AB158:AC158)</f>
        <v>18105539</v>
      </c>
      <c r="AE158" s="19">
        <f>JUNIO!AG158</f>
        <v>15857681</v>
      </c>
      <c r="AF158" s="377">
        <v>0</v>
      </c>
      <c r="AG158" s="18">
        <f t="shared" ref="AG158:AG168" si="153">SUM(AE158:AF158)</f>
        <v>15857681</v>
      </c>
      <c r="AH158" s="19">
        <f t="shared" ref="AH158:AH168" si="154">X158-AA158</f>
        <v>2639916</v>
      </c>
      <c r="AI158" s="15">
        <f t="shared" ref="AI158:AI168" si="155">X158-AD158</f>
        <v>2639916</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+IF(JUNIO!S159=0,"",JUNIO!S159)</f>
        <v>2020202-2</v>
      </c>
      <c r="T159" s="694" t="str">
        <f>+IF(JUNIO!T159=0,"",JUNIO!T159)</f>
        <v>Impresos y Publicaciones</v>
      </c>
      <c r="U159" s="27">
        <f>+ENERO!U159</f>
        <v>0</v>
      </c>
      <c r="V159" s="15">
        <f>JUNIO!V159+JULIO!AL159</f>
        <v>0</v>
      </c>
      <c r="W159" s="15">
        <f>JUNIO!W159+JULIO!AM159</f>
        <v>0</v>
      </c>
      <c r="X159" s="18">
        <f t="shared" si="150"/>
        <v>0</v>
      </c>
      <c r="Y159" s="19">
        <f>JUNIO!AA159</f>
        <v>0</v>
      </c>
      <c r="Z159" s="377">
        <v>0</v>
      </c>
      <c r="AA159" s="18">
        <f t="shared" si="151"/>
        <v>0</v>
      </c>
      <c r="AB159" s="19">
        <f>JUNIO!AD159</f>
        <v>0</v>
      </c>
      <c r="AC159" s="377">
        <v>0</v>
      </c>
      <c r="AD159" s="18">
        <f t="shared" si="152"/>
        <v>0</v>
      </c>
      <c r="AE159" s="19">
        <f>JUNIO!AG159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+IF(JUNIO!S160=0,"",JUNIO!S160)</f>
        <v>2020202-3</v>
      </c>
      <c r="T160" s="694" t="str">
        <f>+IF(JUNIO!T160=0,"",JUNIO!T160)</f>
        <v>Pago a otras IPS</v>
      </c>
      <c r="U160" s="27">
        <f>+ENERO!U160</f>
        <v>893693</v>
      </c>
      <c r="V160" s="15">
        <f>JUNIO!V160+JULIO!AL160</f>
        <v>23000000</v>
      </c>
      <c r="W160" s="15">
        <f>JUNIO!W160+JULIO!AM160</f>
        <v>2000000</v>
      </c>
      <c r="X160" s="18">
        <f t="shared" si="150"/>
        <v>25893693</v>
      </c>
      <c r="Y160" s="19">
        <f>JUNIO!AA160</f>
        <v>2969593</v>
      </c>
      <c r="Z160" s="377">
        <v>253000</v>
      </c>
      <c r="AA160" s="18">
        <f t="shared" si="151"/>
        <v>3222593</v>
      </c>
      <c r="AB160" s="19">
        <f>JUNIO!AD160</f>
        <v>2969593</v>
      </c>
      <c r="AC160" s="377">
        <v>253000</v>
      </c>
      <c r="AD160" s="18">
        <f t="shared" si="152"/>
        <v>3222593</v>
      </c>
      <c r="AE160" s="19">
        <f>JUNIO!AG160</f>
        <v>55000</v>
      </c>
      <c r="AF160" s="377">
        <v>0</v>
      </c>
      <c r="AG160" s="18">
        <f t="shared" si="153"/>
        <v>55000</v>
      </c>
      <c r="AH160" s="19">
        <f t="shared" si="154"/>
        <v>22671100</v>
      </c>
      <c r="AI160" s="15">
        <f t="shared" si="155"/>
        <v>22671100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+IF(JUNIO!S161=0,"",JUNIO!S161)</f>
        <v>2020202-4</v>
      </c>
      <c r="T161" s="694" t="str">
        <f>+IF(JUNIO!T161=0,"",JUNIO!T161)</f>
        <v>Comunicaciones y Transportes</v>
      </c>
      <c r="U161" s="27">
        <f>+ENERO!U161</f>
        <v>9528246</v>
      </c>
      <c r="V161" s="15">
        <f>JUNIO!V161+JULIO!AL161</f>
        <v>0</v>
      </c>
      <c r="W161" s="15">
        <f>JUNIO!W161+JULIO!AM161</f>
        <v>0</v>
      </c>
      <c r="X161" s="18">
        <f t="shared" si="150"/>
        <v>9528246</v>
      </c>
      <c r="Y161" s="19">
        <f>JUNIO!AA161</f>
        <v>3141456</v>
      </c>
      <c r="Z161" s="377">
        <v>930837</v>
      </c>
      <c r="AA161" s="18">
        <f t="shared" si="151"/>
        <v>4072293</v>
      </c>
      <c r="AB161" s="19">
        <f>JUNIO!AD161</f>
        <v>3141456</v>
      </c>
      <c r="AC161" s="377">
        <v>930837</v>
      </c>
      <c r="AD161" s="18">
        <f t="shared" si="152"/>
        <v>4072293</v>
      </c>
      <c r="AE161" s="19">
        <f>JUNIO!AG161</f>
        <v>2313657</v>
      </c>
      <c r="AF161" s="377">
        <v>711000</v>
      </c>
      <c r="AG161" s="18">
        <f t="shared" si="153"/>
        <v>3024657</v>
      </c>
      <c r="AH161" s="19">
        <f t="shared" si="154"/>
        <v>5455953</v>
      </c>
      <c r="AI161" s="15">
        <f t="shared" si="155"/>
        <v>5455953</v>
      </c>
      <c r="AJ161" s="16">
        <f t="shared" si="156"/>
        <v>6503589</v>
      </c>
      <c r="AK161" s="9"/>
      <c r="AL161" s="375">
        <v>0</v>
      </c>
      <c r="AM161" s="378">
        <v>0</v>
      </c>
      <c r="AN161" s="9"/>
    </row>
    <row r="162" spans="1:40" s="385" customFormat="1" ht="24.95" customHeight="1" x14ac:dyDescent="0.2">
      <c r="A162" s="767"/>
      <c r="B162" s="668"/>
      <c r="N162" s="9"/>
      <c r="P162" s="9"/>
      <c r="Q162" s="9"/>
      <c r="R162" s="9"/>
      <c r="S162" s="720" t="str">
        <f>+IF(JUNIO!S162=0,"",JUNIO!S162)</f>
        <v>2020202-5</v>
      </c>
      <c r="T162" s="694" t="str">
        <f>+IF(JUNIO!T162=0,"",JUNIO!T162)</f>
        <v>Viáticos y Gastos de Viaje</v>
      </c>
      <c r="U162" s="27">
        <f>+ENERO!U162</f>
        <v>3326745</v>
      </c>
      <c r="V162" s="15">
        <f>JUNIO!V162+JULIO!AL162</f>
        <v>0</v>
      </c>
      <c r="W162" s="15">
        <f>JUNIO!W162+JULIO!AM162</f>
        <v>0</v>
      </c>
      <c r="X162" s="18">
        <f t="shared" si="150"/>
        <v>3326745</v>
      </c>
      <c r="Y162" s="19">
        <f>JUNIO!AA162</f>
        <v>549565</v>
      </c>
      <c r="Z162" s="377">
        <v>300696</v>
      </c>
      <c r="AA162" s="18">
        <f t="shared" si="151"/>
        <v>850261</v>
      </c>
      <c r="AB162" s="19">
        <f>JUNIO!AD162</f>
        <v>549565</v>
      </c>
      <c r="AC162" s="377">
        <v>300696</v>
      </c>
      <c r="AD162" s="18">
        <f t="shared" si="152"/>
        <v>850261</v>
      </c>
      <c r="AE162" s="19">
        <f>JUNIO!AG162</f>
        <v>506026</v>
      </c>
      <c r="AF162" s="377">
        <v>285771</v>
      </c>
      <c r="AG162" s="18">
        <f t="shared" si="153"/>
        <v>791797</v>
      </c>
      <c r="AH162" s="19">
        <f t="shared" si="154"/>
        <v>2476484</v>
      </c>
      <c r="AI162" s="15">
        <f t="shared" si="155"/>
        <v>2476484</v>
      </c>
      <c r="AJ162" s="16">
        <f t="shared" si="156"/>
        <v>2534948</v>
      </c>
      <c r="AK162" s="9"/>
      <c r="AL162" s="375">
        <v>0</v>
      </c>
      <c r="AM162" s="378">
        <v>0</v>
      </c>
      <c r="AN162" s="9"/>
    </row>
    <row r="163" spans="1:40" s="385" customFormat="1" ht="24.95" customHeight="1" x14ac:dyDescent="0.2">
      <c r="A163" s="767"/>
      <c r="B163" s="668"/>
      <c r="N163" s="9"/>
      <c r="P163" s="9"/>
      <c r="Q163" s="9"/>
      <c r="R163" s="9"/>
      <c r="S163" s="720" t="str">
        <f>+IF(JUNIO!S163=0,"",JUNIO!S163)</f>
        <v>2020202-6</v>
      </c>
      <c r="T163" s="694" t="str">
        <f>+IF(JUNIO!T163=0,"",JUNIO!T163)</f>
        <v>Plan Integral de Manejo de Residuos Sólidos Hospitalarios</v>
      </c>
      <c r="U163" s="27">
        <f>+ENERO!U163</f>
        <v>10511470</v>
      </c>
      <c r="V163" s="15">
        <f>JUNIO!V163+JULIO!AL163</f>
        <v>0</v>
      </c>
      <c r="W163" s="15">
        <f>JUNIO!W163+JULIO!AM163</f>
        <v>0</v>
      </c>
      <c r="X163" s="18">
        <f t="shared" si="150"/>
        <v>10511470</v>
      </c>
      <c r="Y163" s="19">
        <f>JUNIO!AA163</f>
        <v>10511470</v>
      </c>
      <c r="Z163" s="377">
        <v>0</v>
      </c>
      <c r="AA163" s="18">
        <f t="shared" si="151"/>
        <v>10511470</v>
      </c>
      <c r="AB163" s="19">
        <f>JUNIO!AD163</f>
        <v>2834681</v>
      </c>
      <c r="AC163" s="377">
        <v>654587</v>
      </c>
      <c r="AD163" s="18">
        <f t="shared" si="152"/>
        <v>3489268</v>
      </c>
      <c r="AE163" s="19">
        <f>JUNIO!AG163</f>
        <v>878225</v>
      </c>
      <c r="AF163" s="377">
        <v>881080</v>
      </c>
      <c r="AG163" s="18">
        <f t="shared" si="153"/>
        <v>1759305</v>
      </c>
      <c r="AH163" s="19">
        <f t="shared" si="154"/>
        <v>0</v>
      </c>
      <c r="AI163" s="15">
        <f t="shared" si="155"/>
        <v>7022202</v>
      </c>
      <c r="AJ163" s="16">
        <f t="shared" si="156"/>
        <v>8752165</v>
      </c>
      <c r="AK163" s="9"/>
      <c r="AL163" s="375">
        <v>0</v>
      </c>
      <c r="AM163" s="378">
        <v>0</v>
      </c>
      <c r="AN163" s="9"/>
    </row>
    <row r="164" spans="1:40" s="385" customFormat="1" ht="24.95" customHeight="1" x14ac:dyDescent="0.2">
      <c r="A164" s="767"/>
      <c r="B164" s="668"/>
      <c r="N164" s="9"/>
      <c r="P164" s="9"/>
      <c r="Q164" s="9"/>
      <c r="R164" s="9"/>
      <c r="S164" s="720" t="str">
        <f>+IF(JUNIO!S164=0,"",JUNIO!S164)</f>
        <v>2020202-7</v>
      </c>
      <c r="T164" s="694" t="str">
        <f>+IF(JUNIO!T164=0,"",JUNIO!T164)</f>
        <v>Servicios de Laboratorio contratados con terceros</v>
      </c>
      <c r="U164" s="27">
        <f>+ENERO!U164</f>
        <v>21580478</v>
      </c>
      <c r="V164" s="15">
        <f>JUNIO!V164+JULIO!AL164</f>
        <v>4000000</v>
      </c>
      <c r="W164" s="15">
        <f>JUNIO!W164+JULIO!AM164</f>
        <v>0</v>
      </c>
      <c r="X164" s="18">
        <f t="shared" si="150"/>
        <v>25580478</v>
      </c>
      <c r="Y164" s="19">
        <f>JUNIO!AA164</f>
        <v>14228900</v>
      </c>
      <c r="Z164" s="377">
        <v>5735100</v>
      </c>
      <c r="AA164" s="18">
        <f t="shared" si="151"/>
        <v>19964000</v>
      </c>
      <c r="AB164" s="19">
        <f>JUNIO!AD164</f>
        <v>14222900</v>
      </c>
      <c r="AC164" s="377">
        <v>5735100</v>
      </c>
      <c r="AD164" s="18">
        <f t="shared" si="152"/>
        <v>19958000</v>
      </c>
      <c r="AE164" s="19">
        <f>JUNIO!AG164</f>
        <v>7299800</v>
      </c>
      <c r="AF164" s="377">
        <v>644000</v>
      </c>
      <c r="AG164" s="18">
        <f t="shared" si="153"/>
        <v>7943800</v>
      </c>
      <c r="AH164" s="19">
        <f t="shared" si="154"/>
        <v>5616478</v>
      </c>
      <c r="AI164" s="800">
        <f t="shared" si="155"/>
        <v>5622478</v>
      </c>
      <c r="AJ164" s="16">
        <f t="shared" si="156"/>
        <v>17636678</v>
      </c>
      <c r="AK164" s="9"/>
      <c r="AL164" s="375">
        <v>4000000</v>
      </c>
      <c r="AM164" s="378">
        <v>0</v>
      </c>
      <c r="AN164" s="9"/>
    </row>
    <row r="165" spans="1:40" s="385" customFormat="1" ht="24.95" customHeight="1" x14ac:dyDescent="0.2">
      <c r="A165" s="767"/>
      <c r="B165" s="668"/>
      <c r="N165" s="9"/>
      <c r="P165" s="9"/>
      <c r="Q165" s="9"/>
      <c r="R165" s="9"/>
      <c r="S165" s="720" t="str">
        <f>+IF(JUNIO!S165=0,"",JUNIO!S165)</f>
        <v>2020202-8</v>
      </c>
      <c r="T165" s="694" t="str">
        <f>+IF(JUNIO!T165=0,"",JUNIO!T165)</f>
        <v>Servicios de Rayos X e Imaginología contratado con terceros</v>
      </c>
      <c r="U165" s="27">
        <f>+ENERO!U165</f>
        <v>0</v>
      </c>
      <c r="V165" s="15">
        <f>JUNIO!V165+JULIO!AL165</f>
        <v>0</v>
      </c>
      <c r="W165" s="15">
        <f>JUNIO!W165+JULIO!AM165</f>
        <v>0</v>
      </c>
      <c r="X165" s="18">
        <f t="shared" si="150"/>
        <v>0</v>
      </c>
      <c r="Y165" s="19">
        <f>JUNIO!AA165</f>
        <v>0</v>
      </c>
      <c r="Z165" s="377">
        <v>0</v>
      </c>
      <c r="AA165" s="18">
        <f t="shared" si="151"/>
        <v>0</v>
      </c>
      <c r="AB165" s="19">
        <f>JUNIO!AD165</f>
        <v>0</v>
      </c>
      <c r="AC165" s="377">
        <v>0</v>
      </c>
      <c r="AD165" s="18">
        <f t="shared" si="152"/>
        <v>0</v>
      </c>
      <c r="AE165" s="19">
        <f>JUNIO!AG165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+IF(JUNIO!S166=0,"",JUNIO!S166)</f>
        <v>2020202-9</v>
      </c>
      <c r="T166" s="694" t="str">
        <f>+IF(JUNIO!T166=0,"",JUNIO!T166)</f>
        <v>Arrendamientos</v>
      </c>
      <c r="U166" s="27">
        <f>+ENERO!U166</f>
        <v>66889324</v>
      </c>
      <c r="V166" s="15">
        <f>JUNIO!V166+JULIO!AL166</f>
        <v>0</v>
      </c>
      <c r="W166" s="15">
        <f>JUNIO!W166+JULIO!AM166</f>
        <v>0</v>
      </c>
      <c r="X166" s="18">
        <f t="shared" si="150"/>
        <v>66889324</v>
      </c>
      <c r="Y166" s="19">
        <f>JUNIO!AA166</f>
        <v>63619700</v>
      </c>
      <c r="Z166" s="377">
        <v>0</v>
      </c>
      <c r="AA166" s="18">
        <f t="shared" si="151"/>
        <v>63619700</v>
      </c>
      <c r="AB166" s="19">
        <f>JUNIO!AD166</f>
        <v>31483710</v>
      </c>
      <c r="AC166" s="377">
        <v>5146698</v>
      </c>
      <c r="AD166" s="18">
        <f t="shared" si="152"/>
        <v>36630408</v>
      </c>
      <c r="AE166" s="19">
        <f>JUNIO!AG166</f>
        <v>21346766</v>
      </c>
      <c r="AF166" s="377">
        <v>5068472</v>
      </c>
      <c r="AG166" s="18">
        <f t="shared" si="153"/>
        <v>26415238</v>
      </c>
      <c r="AH166" s="19">
        <f t="shared" si="154"/>
        <v>3269624</v>
      </c>
      <c r="AI166" s="15">
        <f t="shared" si="155"/>
        <v>30258916</v>
      </c>
      <c r="AJ166" s="16">
        <f t="shared" si="156"/>
        <v>40474086</v>
      </c>
      <c r="AK166" s="9"/>
      <c r="AL166" s="375">
        <v>0</v>
      </c>
      <c r="AM166" s="378">
        <v>0</v>
      </c>
      <c r="AN166" s="9"/>
    </row>
    <row r="167" spans="1:40" s="385" customFormat="1" ht="24.95" customHeight="1" x14ac:dyDescent="0.2">
      <c r="A167" s="767"/>
      <c r="B167" s="668"/>
      <c r="N167" s="9"/>
      <c r="P167" s="9"/>
      <c r="Q167" s="9"/>
      <c r="R167" s="9"/>
      <c r="S167" s="720" t="str">
        <f>+IF(JUNIO!S167=0,"",JUNIO!S167)</f>
        <v>2020202-10</v>
      </c>
      <c r="T167" s="694" t="str">
        <f>+IF(JUNIO!T167=0,"",JUNIO!T167)</f>
        <v>Servicios Públicos</v>
      </c>
      <c r="U167" s="27">
        <f>+ENERO!U167</f>
        <v>0</v>
      </c>
      <c r="V167" s="15">
        <f>JUNIO!V167+JULIO!AL167</f>
        <v>0</v>
      </c>
      <c r="W167" s="15">
        <f>JUNIO!W167+JULIO!AM167</f>
        <v>0</v>
      </c>
      <c r="X167" s="18">
        <f>SUM(U167:W167)</f>
        <v>0</v>
      </c>
      <c r="Y167" s="19">
        <f>JUNIO!AA167</f>
        <v>0</v>
      </c>
      <c r="Z167" s="377">
        <v>0</v>
      </c>
      <c r="AA167" s="18">
        <f>SUM(Y167:Z167)</f>
        <v>0</v>
      </c>
      <c r="AB167" s="19">
        <f>JUNIO!AD167</f>
        <v>0</v>
      </c>
      <c r="AC167" s="377">
        <v>0</v>
      </c>
      <c r="AD167" s="18">
        <f>SUM(AB167:AC167)</f>
        <v>0</v>
      </c>
      <c r="AE167" s="19">
        <f>JUNIO!AG167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+IF(JUNIO!S168=0,"",JUNIO!S168)</f>
        <v>2020299</v>
      </c>
      <c r="T168" s="693" t="str">
        <f>+IF(JUNIO!T168=0,"",JUNIO!T168)</f>
        <v>Vigencias Anteriores</v>
      </c>
      <c r="U168" s="27">
        <f>+ENERO!U168</f>
        <v>0</v>
      </c>
      <c r="V168" s="15">
        <f>JUNIO!V168+JULIO!AL168</f>
        <v>0</v>
      </c>
      <c r="W168" s="15">
        <f>JUNIO!W168+JULIO!AM168</f>
        <v>28537671</v>
      </c>
      <c r="X168" s="18">
        <f t="shared" si="150"/>
        <v>28537671</v>
      </c>
      <c r="Y168" s="19">
        <f>JUNIO!AA168</f>
        <v>28537671</v>
      </c>
      <c r="Z168" s="377">
        <v>0</v>
      </c>
      <c r="AA168" s="18">
        <f t="shared" si="151"/>
        <v>28537671</v>
      </c>
      <c r="AB168" s="19">
        <f>JUNIO!AD168</f>
        <v>28537671</v>
      </c>
      <c r="AC168" s="377">
        <v>0</v>
      </c>
      <c r="AD168" s="18">
        <f t="shared" si="152"/>
        <v>28537671</v>
      </c>
      <c r="AE168" s="19">
        <f>JUNIO!AG168</f>
        <v>21367637</v>
      </c>
      <c r="AF168" s="377">
        <v>35615</v>
      </c>
      <c r="AG168" s="18">
        <f t="shared" si="153"/>
        <v>21403252</v>
      </c>
      <c r="AH168" s="19">
        <f t="shared" si="154"/>
        <v>0</v>
      </c>
      <c r="AI168" s="15">
        <f t="shared" si="155"/>
        <v>0</v>
      </c>
      <c r="AJ168" s="16">
        <f t="shared" si="156"/>
        <v>7134419</v>
      </c>
      <c r="AK168" s="9"/>
      <c r="AL168" s="375">
        <v>0</v>
      </c>
      <c r="AM168" s="378">
        <v>0</v>
      </c>
      <c r="AN168" s="9"/>
    </row>
    <row r="169" spans="1:40" s="385" customFormat="1" ht="24.95" customHeight="1" x14ac:dyDescent="0.2">
      <c r="A169" s="767"/>
      <c r="B169" s="668"/>
      <c r="N169" s="9"/>
      <c r="P169" s="9"/>
      <c r="Q169" s="9"/>
      <c r="R169" s="9"/>
      <c r="S169" s="369" t="str">
        <f>+IF(JUNIO!S169=0,"",JUNIO!S169)</f>
        <v/>
      </c>
      <c r="T169" s="708" t="str">
        <f>+IF(JUNIO!T169=0,"",JUNIO!T169)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+IF(JUNIO!S170=0,"",JUNIO!S170)</f>
        <v>3000000</v>
      </c>
      <c r="T170" s="697" t="str">
        <f>+IF(JUNIO!T170=0,"",JUNIO!T170)</f>
        <v>TRANSFERENCIAS CORRIENTES</v>
      </c>
      <c r="U170" s="473">
        <f t="shared" ref="U170:AJ170" si="157">U172+U176+U185</f>
        <v>60072284</v>
      </c>
      <c r="V170" s="474">
        <f t="shared" si="157"/>
        <v>0</v>
      </c>
      <c r="W170" s="474">
        <f t="shared" si="157"/>
        <v>14421810</v>
      </c>
      <c r="X170" s="475">
        <f t="shared" si="157"/>
        <v>74494094</v>
      </c>
      <c r="Y170" s="382">
        <f t="shared" si="157"/>
        <v>31497196</v>
      </c>
      <c r="Z170" s="474">
        <f t="shared" si="157"/>
        <v>2880184</v>
      </c>
      <c r="AA170" s="475">
        <f t="shared" si="157"/>
        <v>34377380</v>
      </c>
      <c r="AB170" s="382">
        <f t="shared" si="157"/>
        <v>31173664</v>
      </c>
      <c r="AC170" s="474">
        <f t="shared" si="157"/>
        <v>2880184</v>
      </c>
      <c r="AD170" s="475">
        <f t="shared" si="157"/>
        <v>34053848</v>
      </c>
      <c r="AE170" s="382">
        <f t="shared" si="157"/>
        <v>23248611</v>
      </c>
      <c r="AF170" s="474">
        <f t="shared" si="157"/>
        <v>5483157</v>
      </c>
      <c r="AG170" s="475">
        <f t="shared" si="157"/>
        <v>28731768</v>
      </c>
      <c r="AH170" s="382">
        <f t="shared" si="157"/>
        <v>40116714</v>
      </c>
      <c r="AI170" s="474">
        <f t="shared" si="157"/>
        <v>40440246</v>
      </c>
      <c r="AJ170" s="383">
        <f t="shared" si="157"/>
        <v>45762326</v>
      </c>
      <c r="AK170" s="9"/>
      <c r="AL170" s="131">
        <f>AL172+AL176+AL185</f>
        <v>0</v>
      </c>
      <c r="AM170" s="133">
        <f>AM172+AM176+AM185</f>
        <v>0</v>
      </c>
      <c r="AN170" s="9"/>
    </row>
    <row r="171" spans="1:40" s="385" customFormat="1" ht="24.95" customHeight="1" x14ac:dyDescent="0.2">
      <c r="A171" s="767"/>
      <c r="B171" s="668"/>
      <c r="N171" s="9"/>
      <c r="P171" s="9"/>
      <c r="Q171" s="9"/>
      <c r="R171" s="9"/>
      <c r="S171" s="369" t="str">
        <f>+IF(JUNIO!S171=0,"",JUNIO!S171)</f>
        <v/>
      </c>
      <c r="T171" s="708" t="str">
        <f>+IF(JUNIO!T171=0,"",JUNIO!T171)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+IF(JUNIO!S172=0,"",JUNIO!S172)</f>
        <v>3100000</v>
      </c>
      <c r="T172" s="692" t="str">
        <f>+IF(JUNIO!T172=0,"",JUNIO!T172)</f>
        <v>Transferencias al Sector Público</v>
      </c>
      <c r="U172" s="135">
        <f t="shared" ref="U172:AJ172" si="158">SUM(U173:U174)</f>
        <v>5285000</v>
      </c>
      <c r="V172" s="124">
        <f t="shared" si="158"/>
        <v>0</v>
      </c>
      <c r="W172" s="124">
        <f t="shared" si="158"/>
        <v>243136</v>
      </c>
      <c r="X172" s="132">
        <f t="shared" si="158"/>
        <v>5528136</v>
      </c>
      <c r="Y172" s="131">
        <f t="shared" si="158"/>
        <v>2184328</v>
      </c>
      <c r="Z172" s="124">
        <f t="shared" si="158"/>
        <v>323532</v>
      </c>
      <c r="AA172" s="132">
        <f t="shared" si="158"/>
        <v>2507860</v>
      </c>
      <c r="AB172" s="131">
        <f t="shared" si="158"/>
        <v>1860796</v>
      </c>
      <c r="AC172" s="124">
        <f t="shared" si="158"/>
        <v>323532</v>
      </c>
      <c r="AD172" s="132">
        <f t="shared" si="158"/>
        <v>2184328</v>
      </c>
      <c r="AE172" s="131">
        <f t="shared" si="158"/>
        <v>1860796</v>
      </c>
      <c r="AF172" s="124">
        <f t="shared" si="158"/>
        <v>323532</v>
      </c>
      <c r="AG172" s="132">
        <f t="shared" si="158"/>
        <v>2184328</v>
      </c>
      <c r="AH172" s="131">
        <f t="shared" si="158"/>
        <v>3020276</v>
      </c>
      <c r="AI172" s="124">
        <f t="shared" si="158"/>
        <v>3343808</v>
      </c>
      <c r="AJ172" s="133">
        <f t="shared" si="158"/>
        <v>3343808</v>
      </c>
      <c r="AK172" s="9"/>
      <c r="AL172" s="131">
        <f>SUM(AL173:AL174)</f>
        <v>0</v>
      </c>
      <c r="AM172" s="133">
        <f>SUM(AM173:AM174)</f>
        <v>0</v>
      </c>
      <c r="AN172" s="9"/>
    </row>
    <row r="173" spans="1:40" s="385" customFormat="1" ht="24.95" customHeight="1" x14ac:dyDescent="0.2">
      <c r="A173" s="767"/>
      <c r="B173" s="668"/>
      <c r="N173" s="9"/>
      <c r="P173" s="9"/>
      <c r="Q173" s="9"/>
      <c r="R173" s="9"/>
      <c r="S173" s="719">
        <f>+IF(JUNIO!S173=0,"",JUNIO!S173)</f>
        <v>3100003</v>
      </c>
      <c r="T173" s="693" t="str">
        <f>+IF(JUNIO!T173=0,"",JUNIO!T173)</f>
        <v>Entidades Públicas (Contraloria, Supersalud,…)</v>
      </c>
      <c r="U173" s="27">
        <f>+ENERO!U173</f>
        <v>5285000</v>
      </c>
      <c r="V173" s="15">
        <f>JUNIO!V173+JULIO!AL173</f>
        <v>0</v>
      </c>
      <c r="W173" s="15">
        <f>JUNIO!W173+JULIO!AM173</f>
        <v>0</v>
      </c>
      <c r="X173" s="18">
        <f>SUM(U173:W173)</f>
        <v>5285000</v>
      </c>
      <c r="Y173" s="19">
        <f>JUNIO!AA173</f>
        <v>1941192</v>
      </c>
      <c r="Z173" s="377">
        <v>323532</v>
      </c>
      <c r="AA173" s="18">
        <f>SUM(Y173:Z173)</f>
        <v>2264724</v>
      </c>
      <c r="AB173" s="19">
        <f>JUNIO!AD173</f>
        <v>1617660</v>
      </c>
      <c r="AC173" s="377">
        <v>323532</v>
      </c>
      <c r="AD173" s="18">
        <f>SUM(AB173:AC173)</f>
        <v>1941192</v>
      </c>
      <c r="AE173" s="19">
        <f>JUNIO!AG173</f>
        <v>1617660</v>
      </c>
      <c r="AF173" s="377">
        <v>323532</v>
      </c>
      <c r="AG173" s="18">
        <f>SUM(AE173:AF173)</f>
        <v>1941192</v>
      </c>
      <c r="AH173" s="19">
        <f>X173-AA173</f>
        <v>3020276</v>
      </c>
      <c r="AI173" s="15">
        <f>X173-AD173</f>
        <v>3343808</v>
      </c>
      <c r="AJ173" s="16">
        <f>X173-AG173</f>
        <v>3343808</v>
      </c>
      <c r="AK173" s="9"/>
      <c r="AL173" s="375">
        <v>0</v>
      </c>
      <c r="AM173" s="378">
        <v>0</v>
      </c>
      <c r="AN173" s="9"/>
    </row>
    <row r="174" spans="1:40" s="385" customFormat="1" ht="24.95" customHeight="1" x14ac:dyDescent="0.2">
      <c r="A174" s="767"/>
      <c r="B174" s="668"/>
      <c r="N174" s="9"/>
      <c r="P174" s="9"/>
      <c r="Q174" s="9"/>
      <c r="R174" s="9"/>
      <c r="S174" s="719">
        <f>+IF(JUNIO!S174=0,"",JUNIO!S174)</f>
        <v>3199999</v>
      </c>
      <c r="T174" s="693" t="str">
        <f>+IF(JUNIO!T174=0,"",JUNIO!T174)</f>
        <v>Vigencias Anteriores</v>
      </c>
      <c r="U174" s="27">
        <f>+ENERO!U174</f>
        <v>0</v>
      </c>
      <c r="V174" s="15">
        <f>JUNIO!V174+JULIO!AL174</f>
        <v>0</v>
      </c>
      <c r="W174" s="15">
        <f>JUNIO!W174+JULIO!AM174</f>
        <v>243136</v>
      </c>
      <c r="X174" s="18">
        <f>SUM(U174:W174)</f>
        <v>243136</v>
      </c>
      <c r="Y174" s="19">
        <f>JUNIO!AA174</f>
        <v>243136</v>
      </c>
      <c r="Z174" s="377">
        <v>0</v>
      </c>
      <c r="AA174" s="18">
        <f>SUM(Y174:Z174)</f>
        <v>243136</v>
      </c>
      <c r="AB174" s="19">
        <f>JUNIO!AD174</f>
        <v>243136</v>
      </c>
      <c r="AC174" s="377">
        <v>0</v>
      </c>
      <c r="AD174" s="18">
        <f>SUM(AB174:AC174)</f>
        <v>243136</v>
      </c>
      <c r="AE174" s="19">
        <f>JUNIO!AG174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+IF(JUNIO!S175=0,"",JUNIO!S175)</f>
        <v/>
      </c>
      <c r="T175" s="708" t="str">
        <f>+IF(JUNIO!T175=0,"",JUNIO!T175)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+IF(JUNIO!S176=0,"",JUNIO!S176)</f>
        <v>320000</v>
      </c>
      <c r="T176" s="692" t="str">
        <f>+IF(JUNIO!T176=0,"",JUNIO!T176)</f>
        <v>Transf. Previsión y Seguridad Social</v>
      </c>
      <c r="U176" s="135">
        <f t="shared" ref="U176:AJ176" si="159">SUM(U177:U183)</f>
        <v>51170820</v>
      </c>
      <c r="V176" s="124">
        <f t="shared" si="159"/>
        <v>0</v>
      </c>
      <c r="W176" s="124">
        <f t="shared" si="159"/>
        <v>8290292</v>
      </c>
      <c r="X176" s="132">
        <f t="shared" si="159"/>
        <v>59461112</v>
      </c>
      <c r="Y176" s="131">
        <f t="shared" si="159"/>
        <v>23555564</v>
      </c>
      <c r="Z176" s="124">
        <f t="shared" si="159"/>
        <v>2556652</v>
      </c>
      <c r="AA176" s="132">
        <f t="shared" si="159"/>
        <v>26112216</v>
      </c>
      <c r="AB176" s="131">
        <f t="shared" si="159"/>
        <v>23555564</v>
      </c>
      <c r="AC176" s="124">
        <f t="shared" si="159"/>
        <v>2556652</v>
      </c>
      <c r="AD176" s="132">
        <f t="shared" si="159"/>
        <v>26112216</v>
      </c>
      <c r="AE176" s="131">
        <f t="shared" si="159"/>
        <v>20999433</v>
      </c>
      <c r="AF176" s="124">
        <f t="shared" si="159"/>
        <v>5100682</v>
      </c>
      <c r="AG176" s="132">
        <f t="shared" si="159"/>
        <v>26100115</v>
      </c>
      <c r="AH176" s="131">
        <f t="shared" si="159"/>
        <v>33348896</v>
      </c>
      <c r="AI176" s="124">
        <f t="shared" si="159"/>
        <v>33348896</v>
      </c>
      <c r="AJ176" s="133">
        <f t="shared" si="159"/>
        <v>33360997</v>
      </c>
      <c r="AK176" s="9"/>
      <c r="AL176" s="131">
        <f>SUM(AL177:AL183)</f>
        <v>0</v>
      </c>
      <c r="AM176" s="133">
        <f>SUM(AM177:AM183)</f>
        <v>0</v>
      </c>
      <c r="AN176" s="9"/>
    </row>
    <row r="177" spans="1:40" s="385" customFormat="1" ht="24.95" customHeight="1" x14ac:dyDescent="0.2">
      <c r="A177" s="767"/>
      <c r="B177" s="668"/>
      <c r="N177" s="9"/>
      <c r="P177" s="9"/>
      <c r="Q177" s="9"/>
      <c r="R177" s="9"/>
      <c r="S177" s="719">
        <f>+IF(JUNIO!S177=0,"",JUNIO!S177)</f>
        <v>3200100</v>
      </c>
      <c r="T177" s="693" t="str">
        <f>+IF(JUNIO!T177=0,"",JUNIO!T177)</f>
        <v>Pensiones y Jubilaciones (Pago Directo)</v>
      </c>
      <c r="U177" s="27">
        <f>+ENERO!U177</f>
        <v>39279816</v>
      </c>
      <c r="V177" s="15">
        <f>JUNIO!V177+JULIO!AL177</f>
        <v>0</v>
      </c>
      <c r="W177" s="15">
        <f>JUNIO!W177+JULIO!AM177</f>
        <v>0</v>
      </c>
      <c r="X177" s="18">
        <f t="shared" ref="X177:X183" si="160">SUM(U177:W177)</f>
        <v>39279816</v>
      </c>
      <c r="Y177" s="19">
        <f>JUNIO!AA177</f>
        <v>15265272</v>
      </c>
      <c r="Z177" s="377">
        <v>2544030</v>
      </c>
      <c r="AA177" s="18">
        <f t="shared" ref="AA177:AA183" si="161">SUM(Y177:Z177)</f>
        <v>17809302</v>
      </c>
      <c r="AB177" s="19">
        <f>JUNIO!AD177</f>
        <v>15265272</v>
      </c>
      <c r="AC177" s="377">
        <v>2544030</v>
      </c>
      <c r="AD177" s="18">
        <f t="shared" ref="AD177:AD183" si="162">SUM(AB177:AC177)</f>
        <v>17809302</v>
      </c>
      <c r="AE177" s="19">
        <f>JUNIO!AG177</f>
        <v>12721242</v>
      </c>
      <c r="AF177" s="377">
        <v>5088060</v>
      </c>
      <c r="AG177" s="18">
        <f t="shared" ref="AG177:AG183" si="163">SUM(AE177:AF177)</f>
        <v>17809302</v>
      </c>
      <c r="AH177" s="19">
        <f t="shared" ref="AH177:AH183" si="164">X177-AA177</f>
        <v>21470514</v>
      </c>
      <c r="AI177" s="15">
        <f t="shared" ref="AI177:AI183" si="165">X177-AD177</f>
        <v>21470514</v>
      </c>
      <c r="AJ177" s="16">
        <f t="shared" ref="AJ177:AJ183" si="166">X177-AG177</f>
        <v>21470514</v>
      </c>
      <c r="AK177" s="9"/>
      <c r="AL177" s="375">
        <v>0</v>
      </c>
      <c r="AM177" s="378">
        <v>0</v>
      </c>
      <c r="AN177" s="9"/>
    </row>
    <row r="178" spans="1:40" s="385" customFormat="1" ht="24.95" customHeight="1" x14ac:dyDescent="0.2">
      <c r="A178" s="767"/>
      <c r="B178" s="668"/>
      <c r="N178" s="9"/>
      <c r="P178" s="9"/>
      <c r="Q178" s="9"/>
      <c r="R178" s="9"/>
      <c r="S178" s="719">
        <f>+IF(JUNIO!S178=0,"",JUNIO!S178)</f>
        <v>3200200</v>
      </c>
      <c r="T178" s="693" t="str">
        <f>+IF(JUNIO!T178=0,"",JUNIO!T178)</f>
        <v>Cesantías Pago Directo (Pago Directo)</v>
      </c>
      <c r="U178" s="27">
        <f>+ENERO!U178</f>
        <v>11891004</v>
      </c>
      <c r="V178" s="15">
        <f>JUNIO!V178+JULIO!AL178</f>
        <v>-11891004</v>
      </c>
      <c r="W178" s="15">
        <f>JUNIO!W178+JULIO!AM178</f>
        <v>0</v>
      </c>
      <c r="X178" s="18">
        <f t="shared" si="160"/>
        <v>0</v>
      </c>
      <c r="Y178" s="19">
        <f>JUNIO!AA178</f>
        <v>0</v>
      </c>
      <c r="Z178" s="377">
        <v>0</v>
      </c>
      <c r="AA178" s="18">
        <f t="shared" si="161"/>
        <v>0</v>
      </c>
      <c r="AB178" s="19">
        <f>JUNIO!AD178</f>
        <v>0</v>
      </c>
      <c r="AC178" s="377">
        <v>0</v>
      </c>
      <c r="AD178" s="18">
        <f t="shared" si="162"/>
        <v>0</v>
      </c>
      <c r="AE178" s="19">
        <f>JUNIO!AG178</f>
        <v>0</v>
      </c>
      <c r="AF178" s="377">
        <v>0</v>
      </c>
      <c r="AG178" s="18">
        <f t="shared" si="163"/>
        <v>0</v>
      </c>
      <c r="AH178" s="19">
        <f t="shared" si="164"/>
        <v>0</v>
      </c>
      <c r="AI178" s="15">
        <f t="shared" si="165"/>
        <v>0</v>
      </c>
      <c r="AJ178" s="16">
        <f t="shared" si="166"/>
        <v>0</v>
      </c>
      <c r="AK178" s="9"/>
      <c r="AL178" s="375">
        <v>-11891004</v>
      </c>
      <c r="AM178" s="378">
        <v>0</v>
      </c>
      <c r="AN178" s="9"/>
    </row>
    <row r="179" spans="1:40" s="385" customFormat="1" ht="24.95" customHeight="1" x14ac:dyDescent="0.2">
      <c r="A179" s="767"/>
      <c r="B179" s="668"/>
      <c r="N179" s="9"/>
      <c r="P179" s="9"/>
      <c r="Q179" s="9"/>
      <c r="R179" s="9"/>
      <c r="S179" s="719">
        <f>+IF(JUNIO!S179=0,"",JUNIO!S179)</f>
        <v>3200300</v>
      </c>
      <c r="T179" s="693" t="str">
        <f>+IF(JUNIO!T179=0,"",JUNIO!T179)</f>
        <v>Bonos, Cuotas de Bonos y cuotas partes jubilatorias</v>
      </c>
      <c r="U179" s="27">
        <f>+ENERO!U179</f>
        <v>0</v>
      </c>
      <c r="V179" s="15">
        <f>JUNIO!V179+JULIO!AL179</f>
        <v>0</v>
      </c>
      <c r="W179" s="15">
        <f>JUNIO!W179+JULIO!AM179</f>
        <v>0</v>
      </c>
      <c r="X179" s="18">
        <f t="shared" si="160"/>
        <v>0</v>
      </c>
      <c r="Y179" s="19">
        <f>JUNIO!AA179</f>
        <v>0</v>
      </c>
      <c r="Z179" s="377">
        <v>0</v>
      </c>
      <c r="AA179" s="18">
        <f t="shared" si="161"/>
        <v>0</v>
      </c>
      <c r="AB179" s="19">
        <f>JUNIO!AD179</f>
        <v>0</v>
      </c>
      <c r="AC179" s="377">
        <v>0</v>
      </c>
      <c r="AD179" s="18">
        <f t="shared" si="162"/>
        <v>0</v>
      </c>
      <c r="AE179" s="19">
        <f>JUNIO!AG179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+IF(JUNIO!S180=0,"",JUNIO!S180)</f>
        <v>3200400</v>
      </c>
      <c r="T180" s="693" t="str">
        <f>+IF(JUNIO!T180=0,"",JUNIO!T180)</f>
        <v>Intereses a las cesantias</v>
      </c>
      <c r="U180" s="27">
        <f>+ENERO!U180</f>
        <v>0</v>
      </c>
      <c r="V180" s="15">
        <f>JUNIO!V180+JULIO!AL180</f>
        <v>11891004</v>
      </c>
      <c r="W180" s="15">
        <f>JUNIO!W180+JULIO!AM180</f>
        <v>0</v>
      </c>
      <c r="X180" s="18">
        <f t="shared" si="160"/>
        <v>11891004</v>
      </c>
      <c r="Y180" s="19">
        <f>JUNIO!AA180</f>
        <v>0</v>
      </c>
      <c r="Z180" s="377">
        <v>12622</v>
      </c>
      <c r="AA180" s="18">
        <f t="shared" si="161"/>
        <v>12622</v>
      </c>
      <c r="AB180" s="19">
        <f>JUNIO!AD180</f>
        <v>0</v>
      </c>
      <c r="AC180" s="377">
        <v>12622</v>
      </c>
      <c r="AD180" s="18">
        <f t="shared" si="162"/>
        <v>12622</v>
      </c>
      <c r="AE180" s="19">
        <f>JUNIO!AG180</f>
        <v>0</v>
      </c>
      <c r="AF180" s="377">
        <v>12622</v>
      </c>
      <c r="AG180" s="18">
        <f t="shared" si="163"/>
        <v>12622</v>
      </c>
      <c r="AH180" s="19">
        <f t="shared" si="164"/>
        <v>11878382</v>
      </c>
      <c r="AI180" s="15">
        <f t="shared" si="165"/>
        <v>11878382</v>
      </c>
      <c r="AJ180" s="16">
        <f t="shared" si="166"/>
        <v>11878382</v>
      </c>
      <c r="AK180" s="9"/>
      <c r="AL180" s="375">
        <v>11891004</v>
      </c>
      <c r="AM180" s="378">
        <v>0</v>
      </c>
      <c r="AN180" s="9"/>
    </row>
    <row r="181" spans="1:40" s="385" customFormat="1" ht="24.95" customHeight="1" x14ac:dyDescent="0.2">
      <c r="A181" s="767"/>
      <c r="B181" s="668"/>
      <c r="N181" s="9"/>
      <c r="P181" s="9"/>
      <c r="Q181" s="9"/>
      <c r="R181" s="9"/>
      <c r="S181" s="719" t="str">
        <f>+IF(JUNIO!S181=0,"",JUNIO!S181)</f>
        <v/>
      </c>
      <c r="T181" s="693" t="str">
        <f>+IF(JUNIO!T181=0,"",JUNIO!T181)</f>
        <v/>
      </c>
      <c r="U181" s="27">
        <f>+ENERO!U181</f>
        <v>0</v>
      </c>
      <c r="V181" s="15">
        <f>JUNIO!V181+JULIO!AL181</f>
        <v>0</v>
      </c>
      <c r="W181" s="15">
        <f>JUNIO!W181+JULIO!AM181</f>
        <v>0</v>
      </c>
      <c r="X181" s="18">
        <f t="shared" si="160"/>
        <v>0</v>
      </c>
      <c r="Y181" s="19">
        <f>JUNIO!AA181</f>
        <v>0</v>
      </c>
      <c r="Z181" s="377">
        <v>0</v>
      </c>
      <c r="AA181" s="18">
        <f t="shared" si="161"/>
        <v>0</v>
      </c>
      <c r="AB181" s="19">
        <f>JUNIO!AD181</f>
        <v>0</v>
      </c>
      <c r="AC181" s="377">
        <v>0</v>
      </c>
      <c r="AD181" s="18">
        <f t="shared" si="162"/>
        <v>0</v>
      </c>
      <c r="AE181" s="19">
        <f>JUNIO!AG181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+IF(JUNIO!S182=0,"",JUNIO!S182)</f>
        <v/>
      </c>
      <c r="T182" s="693" t="str">
        <f>+IF(JUNIO!T182=0,"",JUNIO!T182)</f>
        <v/>
      </c>
      <c r="U182" s="27">
        <f>+ENERO!U182</f>
        <v>0</v>
      </c>
      <c r="V182" s="15">
        <f>JUNIO!V182+JULIO!AL182</f>
        <v>0</v>
      </c>
      <c r="W182" s="15">
        <f>JUNIO!W182+JULIO!AM182</f>
        <v>0</v>
      </c>
      <c r="X182" s="18">
        <f t="shared" si="160"/>
        <v>0</v>
      </c>
      <c r="Y182" s="19">
        <f>JUNIO!AA182</f>
        <v>0</v>
      </c>
      <c r="Z182" s="377">
        <v>0</v>
      </c>
      <c r="AA182" s="18">
        <f t="shared" si="161"/>
        <v>0</v>
      </c>
      <c r="AB182" s="19">
        <f>JUNIO!AD182</f>
        <v>0</v>
      </c>
      <c r="AC182" s="377">
        <v>0</v>
      </c>
      <c r="AD182" s="18">
        <f t="shared" si="162"/>
        <v>0</v>
      </c>
      <c r="AE182" s="19">
        <f>JUNIO!AG182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+IF(JUNIO!S183=0,"",JUNIO!S183)</f>
        <v>3299999</v>
      </c>
      <c r="T183" s="693" t="str">
        <f>+IF(JUNIO!T183=0,"",JUNIO!T183)</f>
        <v>Vigencias Anteriores</v>
      </c>
      <c r="U183" s="27">
        <f>+ENERO!U183</f>
        <v>0</v>
      </c>
      <c r="V183" s="15">
        <f>JUNIO!V183+JULIO!AL183</f>
        <v>0</v>
      </c>
      <c r="W183" s="15">
        <f>JUNIO!W183+JULIO!AM183</f>
        <v>8290292</v>
      </c>
      <c r="X183" s="18">
        <f t="shared" si="160"/>
        <v>8290292</v>
      </c>
      <c r="Y183" s="19">
        <f>JUNIO!AA183</f>
        <v>8290292</v>
      </c>
      <c r="Z183" s="377">
        <v>0</v>
      </c>
      <c r="AA183" s="18">
        <f t="shared" si="161"/>
        <v>8290292</v>
      </c>
      <c r="AB183" s="19">
        <f>JUNIO!AD183</f>
        <v>8290292</v>
      </c>
      <c r="AC183" s="377">
        <v>0</v>
      </c>
      <c r="AD183" s="18">
        <f t="shared" si="162"/>
        <v>8290292</v>
      </c>
      <c r="AE183" s="19">
        <f>JUNIO!AG183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+IF(JUNIO!S184=0,"",JUNIO!S184)</f>
        <v/>
      </c>
      <c r="T184" s="708" t="str">
        <f>+IF(JUNIO!T184=0,"",JUNIO!T184)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+IF(JUNIO!S185=0,"",JUNIO!S185)</f>
        <v>3300000</v>
      </c>
      <c r="T185" s="692" t="str">
        <f>+IF(JUNIO!T185=0,"",JUNIO!T185)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388382</v>
      </c>
      <c r="AF185" s="124">
        <f t="shared" si="167"/>
        <v>58943</v>
      </c>
      <c r="AG185" s="132">
        <f t="shared" si="167"/>
        <v>447325</v>
      </c>
      <c r="AH185" s="131">
        <f t="shared" si="167"/>
        <v>3747542</v>
      </c>
      <c r="AI185" s="124">
        <f t="shared" si="167"/>
        <v>3747542</v>
      </c>
      <c r="AJ185" s="133">
        <f t="shared" si="167"/>
        <v>9057521</v>
      </c>
      <c r="AK185" s="9"/>
      <c r="AL185" s="131">
        <f>AL186+AL187+AL191</f>
        <v>0</v>
      </c>
      <c r="AM185" s="133">
        <f>AM186+AM187+AM191</f>
        <v>0</v>
      </c>
      <c r="AN185" s="9"/>
    </row>
    <row r="186" spans="1:40" s="385" customFormat="1" ht="24.95" customHeight="1" x14ac:dyDescent="0.2">
      <c r="A186" s="767"/>
      <c r="B186" s="668"/>
      <c r="N186" s="9"/>
      <c r="P186" s="9"/>
      <c r="Q186" s="9"/>
      <c r="R186" s="9"/>
      <c r="S186" s="719">
        <f>+IF(JUNIO!S186=0,"",JUNIO!S186)</f>
        <v>3300100</v>
      </c>
      <c r="T186" s="693" t="str">
        <f>+IF(JUNIO!T186=0,"",JUNIO!T186)</f>
        <v>Sentencias y Conciliaciones</v>
      </c>
      <c r="U186" s="27">
        <f>+ENERO!U186</f>
        <v>0</v>
      </c>
      <c r="V186" s="15">
        <f>JUNIO!V186+JULIO!AL186</f>
        <v>0</v>
      </c>
      <c r="W186" s="15">
        <f>JUNIO!W186+JULIO!AM186</f>
        <v>0</v>
      </c>
      <c r="X186" s="18">
        <f>SUM(U186:W186)</f>
        <v>0</v>
      </c>
      <c r="Y186" s="19">
        <f>JUNIO!AA186</f>
        <v>0</v>
      </c>
      <c r="Z186" s="377">
        <v>0</v>
      </c>
      <c r="AA186" s="18">
        <f>SUM(Y186:Z186)</f>
        <v>0</v>
      </c>
      <c r="AB186" s="19">
        <f>JUNIO!AD186</f>
        <v>0</v>
      </c>
      <c r="AC186" s="377">
        <v>0</v>
      </c>
      <c r="AD186" s="18">
        <f>SUM(AB186:AC186)</f>
        <v>0</v>
      </c>
      <c r="AE186" s="19">
        <f>JUNIO!AG186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+IF(JUNIO!S187=0,"",JUNIO!S187)</f>
        <v>3300200</v>
      </c>
      <c r="T187" s="693" t="str">
        <f>+IF(JUNIO!T187=0,"",JUNIO!T187)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0</v>
      </c>
      <c r="AF187" s="145">
        <f t="shared" si="168"/>
        <v>58943</v>
      </c>
      <c r="AG187" s="18">
        <f t="shared" si="168"/>
        <v>58943</v>
      </c>
      <c r="AH187" s="19">
        <f t="shared" si="168"/>
        <v>3747542</v>
      </c>
      <c r="AI187" s="15">
        <f t="shared" si="168"/>
        <v>3747542</v>
      </c>
      <c r="AJ187" s="16">
        <f t="shared" si="168"/>
        <v>9057521</v>
      </c>
      <c r="AK187" s="9"/>
      <c r="AL187" s="29">
        <f t="shared" si="168"/>
        <v>0</v>
      </c>
      <c r="AM187" s="26">
        <f t="shared" si="168"/>
        <v>0</v>
      </c>
      <c r="AN187" s="9"/>
    </row>
    <row r="188" spans="1:40" s="385" customFormat="1" ht="24.95" customHeight="1" x14ac:dyDescent="0.2">
      <c r="A188" s="767"/>
      <c r="B188" s="669"/>
      <c r="N188" s="9"/>
      <c r="P188" s="9"/>
      <c r="Q188" s="9"/>
      <c r="R188" s="9"/>
      <c r="S188" s="720" t="str">
        <f>+IF(JUNIO!S188=0,"",JUNIO!S188)</f>
        <v>3300200-1</v>
      </c>
      <c r="T188" s="693" t="str">
        <f>+IF(JUNIO!T188=0,"",JUNIO!T188)</f>
        <v>COHAN</v>
      </c>
      <c r="U188" s="27">
        <f>+ENERO!U188</f>
        <v>793940</v>
      </c>
      <c r="V188" s="15">
        <f>JUNIO!V188+JULIO!AL188</f>
        <v>0</v>
      </c>
      <c r="W188" s="15">
        <f>JUNIO!W188+JULIO!AM188</f>
        <v>5500000</v>
      </c>
      <c r="X188" s="18">
        <f>SUM(U188:W188)</f>
        <v>6293940</v>
      </c>
      <c r="Y188" s="19">
        <f>JUNIO!AA188</f>
        <v>2791522</v>
      </c>
      <c r="Z188" s="377">
        <v>0</v>
      </c>
      <c r="AA188" s="18">
        <f>SUM(Y188:Z188)</f>
        <v>2791522</v>
      </c>
      <c r="AB188" s="19">
        <f>JUNIO!AD188</f>
        <v>2791522</v>
      </c>
      <c r="AC188" s="377">
        <v>0</v>
      </c>
      <c r="AD188" s="18">
        <f>SUM(AB188:AC188)</f>
        <v>2791522</v>
      </c>
      <c r="AE188" s="19">
        <f>JUNIO!AG188</f>
        <v>0</v>
      </c>
      <c r="AF188" s="377">
        <v>58943</v>
      </c>
      <c r="AG188" s="18">
        <f>SUM(AE188:AF188)</f>
        <v>58943</v>
      </c>
      <c r="AH188" s="19">
        <f>X188-AA188</f>
        <v>3502418</v>
      </c>
      <c r="AI188" s="15">
        <f>X188-AD188</f>
        <v>3502418</v>
      </c>
      <c r="AJ188" s="16">
        <f>X188-AG188</f>
        <v>6234997</v>
      </c>
      <c r="AK188" s="9"/>
      <c r="AL188" s="375">
        <v>0</v>
      </c>
      <c r="AM188" s="378">
        <v>0</v>
      </c>
      <c r="AN188" s="9"/>
    </row>
    <row r="189" spans="1:40" s="385" customFormat="1" ht="24.95" customHeight="1" x14ac:dyDescent="0.2">
      <c r="A189" s="767"/>
      <c r="B189" s="669"/>
      <c r="N189" s="9"/>
      <c r="P189" s="9"/>
      <c r="Q189" s="9"/>
      <c r="R189" s="9"/>
      <c r="S189" s="720" t="str">
        <f>+IF(JUNIO!S189=0,"",JUNIO!S189)</f>
        <v>3300200-2</v>
      </c>
      <c r="T189" s="693" t="str">
        <f>+IF(JUNIO!T189=0,"",JUNIO!T189)</f>
        <v>AESA</v>
      </c>
      <c r="U189" s="27">
        <f>+ENERO!U189</f>
        <v>2822524</v>
      </c>
      <c r="V189" s="15">
        <f>JUNIO!V189+JULIO!AL189</f>
        <v>0</v>
      </c>
      <c r="W189" s="15">
        <f>JUNIO!W189+JULIO!AM189</f>
        <v>0</v>
      </c>
      <c r="X189" s="18">
        <f>SUM(U189:W189)</f>
        <v>2822524</v>
      </c>
      <c r="Y189" s="19">
        <f>JUNIO!AA189</f>
        <v>2577400</v>
      </c>
      <c r="Z189" s="377">
        <v>0</v>
      </c>
      <c r="AA189" s="18">
        <f>SUM(Y189:Z189)</f>
        <v>2577400</v>
      </c>
      <c r="AB189" s="19">
        <f>JUNIO!AD189</f>
        <v>2577400</v>
      </c>
      <c r="AC189" s="377">
        <v>0</v>
      </c>
      <c r="AD189" s="18">
        <f>SUM(AB189:AC189)</f>
        <v>2577400</v>
      </c>
      <c r="AE189" s="19">
        <f>JUNIO!AG189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+IF(JUNIO!S190=0,"",JUNIO!S190)</f>
        <v>3300200-3</v>
      </c>
      <c r="T190" s="693" t="str">
        <f>+IF(JUNIO!T190=0,"",JUNIO!T190)</f>
        <v xml:space="preserve">OTRAS </v>
      </c>
      <c r="U190" s="27">
        <f>+ENERO!U190</f>
        <v>0</v>
      </c>
      <c r="V190" s="15">
        <f>JUNIO!V190+JULIO!AL190</f>
        <v>0</v>
      </c>
      <c r="W190" s="15">
        <f>JUNIO!W190+JULIO!AM190</f>
        <v>0</v>
      </c>
      <c r="X190" s="18">
        <f>SUM(U190:W190)</f>
        <v>0</v>
      </c>
      <c r="Y190" s="19">
        <f>JUNIO!AA190</f>
        <v>0</v>
      </c>
      <c r="Z190" s="377">
        <v>0</v>
      </c>
      <c r="AA190" s="18">
        <f>SUM(Y190:Z190)</f>
        <v>0</v>
      </c>
      <c r="AB190" s="19">
        <f>JUNIO!AD190</f>
        <v>0</v>
      </c>
      <c r="AC190" s="377">
        <v>0</v>
      </c>
      <c r="AD190" s="18">
        <f>SUM(AB190:AC190)</f>
        <v>0</v>
      </c>
      <c r="AE190" s="19">
        <f>JUNIO!AG190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+IF(JUNIO!S191=0,"",JUNIO!S191)</f>
        <v>3399999</v>
      </c>
      <c r="T191" s="693" t="str">
        <f>+IF(JUNIO!T191=0,"",JUNIO!T191)</f>
        <v>Vigencias Anteriores</v>
      </c>
      <c r="U191" s="27">
        <f>+ENERO!U191</f>
        <v>0</v>
      </c>
      <c r="V191" s="15">
        <f>JUNIO!V191+JULIO!AL191</f>
        <v>0</v>
      </c>
      <c r="W191" s="15">
        <f>JUNIO!W191+JULIO!AM191</f>
        <v>388382</v>
      </c>
      <c r="X191" s="18">
        <f>SUM(U191:W191)</f>
        <v>388382</v>
      </c>
      <c r="Y191" s="19">
        <f>JUNIO!AA191</f>
        <v>388382</v>
      </c>
      <c r="Z191" s="377">
        <v>0</v>
      </c>
      <c r="AA191" s="18">
        <f>SUM(Y191:Z191)</f>
        <v>388382</v>
      </c>
      <c r="AB191" s="19">
        <f>JUNIO!AD191</f>
        <v>388382</v>
      </c>
      <c r="AC191" s="377">
        <v>0</v>
      </c>
      <c r="AD191" s="18">
        <f>SUM(AB191:AC191)</f>
        <v>388382</v>
      </c>
      <c r="AE191" s="19">
        <f>JUNIO!AG191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+IF(JUNIO!S192=0,"",JUNIO!S192)</f>
        <v/>
      </c>
      <c r="T192" s="708" t="str">
        <f>+IF(JUNIO!T192=0,"",JUNIO!T192)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+IF(JUNIO!S193=0,"",JUNIO!S193)</f>
        <v>4000000</v>
      </c>
      <c r="T193" s="697" t="str">
        <f>+IF(JUNIO!T193=0,"",JUNIO!T193)</f>
        <v>GASTOS  DE PRESTACION DE SERVICIOS</v>
      </c>
      <c r="U193" s="473">
        <f t="shared" ref="U193:AJ193" si="169">U194</f>
        <v>272529328</v>
      </c>
      <c r="V193" s="474">
        <f t="shared" si="169"/>
        <v>0</v>
      </c>
      <c r="W193" s="474">
        <f t="shared" si="169"/>
        <v>196423942</v>
      </c>
      <c r="X193" s="475">
        <f t="shared" si="169"/>
        <v>468953270</v>
      </c>
      <c r="Y193" s="382">
        <f t="shared" si="169"/>
        <v>272540724</v>
      </c>
      <c r="Z193" s="474">
        <f t="shared" si="169"/>
        <v>25616457</v>
      </c>
      <c r="AA193" s="475">
        <f t="shared" si="169"/>
        <v>298157181</v>
      </c>
      <c r="AB193" s="382">
        <f t="shared" si="169"/>
        <v>253209959</v>
      </c>
      <c r="AC193" s="474">
        <f t="shared" si="169"/>
        <v>27344843</v>
      </c>
      <c r="AD193" s="475">
        <f t="shared" si="169"/>
        <v>280554802</v>
      </c>
      <c r="AE193" s="382">
        <f t="shared" si="169"/>
        <v>137254970</v>
      </c>
      <c r="AF193" s="474">
        <f t="shared" si="169"/>
        <v>12017553</v>
      </c>
      <c r="AG193" s="475">
        <f t="shared" si="169"/>
        <v>149272523</v>
      </c>
      <c r="AH193" s="382">
        <f t="shared" si="169"/>
        <v>170796089</v>
      </c>
      <c r="AI193" s="474">
        <f t="shared" si="169"/>
        <v>188398468</v>
      </c>
      <c r="AJ193" s="383">
        <f t="shared" si="169"/>
        <v>319680747</v>
      </c>
      <c r="AK193" s="9"/>
      <c r="AL193" s="131">
        <f>AL194</f>
        <v>0</v>
      </c>
      <c r="AM193" s="133">
        <f>AM194</f>
        <v>0</v>
      </c>
      <c r="AN193" s="9"/>
    </row>
    <row r="194" spans="1:40" s="385" customFormat="1" ht="24.95" customHeight="1" x14ac:dyDescent="0.2">
      <c r="A194" s="767"/>
      <c r="B194" s="669"/>
      <c r="N194" s="9"/>
      <c r="P194" s="9"/>
      <c r="Q194" s="9"/>
      <c r="R194" s="9"/>
      <c r="S194" s="718">
        <f>+IF(JUNIO!S194=0,"",JUNIO!S194)</f>
        <v>4100000</v>
      </c>
      <c r="T194" s="692" t="str">
        <f>+IF(JUNIO!T194=0,"",JUNIO!T194)</f>
        <v>Insumos y Suministros Hospitalarios</v>
      </c>
      <c r="U194" s="135">
        <f t="shared" ref="U194:AJ194" si="170">U195+U203+U205</f>
        <v>272529328</v>
      </c>
      <c r="V194" s="124">
        <f t="shared" si="170"/>
        <v>0</v>
      </c>
      <c r="W194" s="124">
        <f t="shared" si="170"/>
        <v>196423942</v>
      </c>
      <c r="X194" s="132">
        <f t="shared" si="170"/>
        <v>468953270</v>
      </c>
      <c r="Y194" s="131">
        <f t="shared" si="170"/>
        <v>272540724</v>
      </c>
      <c r="Z194" s="124">
        <f t="shared" si="170"/>
        <v>25616457</v>
      </c>
      <c r="AA194" s="132">
        <f t="shared" si="170"/>
        <v>298157181</v>
      </c>
      <c r="AB194" s="131">
        <f t="shared" si="170"/>
        <v>253209959</v>
      </c>
      <c r="AC194" s="124">
        <f t="shared" si="170"/>
        <v>27344843</v>
      </c>
      <c r="AD194" s="132">
        <f t="shared" si="170"/>
        <v>280554802</v>
      </c>
      <c r="AE194" s="131">
        <f t="shared" si="170"/>
        <v>137254970</v>
      </c>
      <c r="AF194" s="124">
        <f t="shared" si="170"/>
        <v>12017553</v>
      </c>
      <c r="AG194" s="132">
        <f t="shared" si="170"/>
        <v>149272523</v>
      </c>
      <c r="AH194" s="131">
        <f t="shared" si="170"/>
        <v>170796089</v>
      </c>
      <c r="AI194" s="124">
        <f t="shared" si="170"/>
        <v>188398468</v>
      </c>
      <c r="AJ194" s="133">
        <f t="shared" si="170"/>
        <v>319680747</v>
      </c>
      <c r="AK194" s="10"/>
      <c r="AL194" s="131">
        <f>AL195+AL203+AL205</f>
        <v>0</v>
      </c>
      <c r="AM194" s="133">
        <f>AM195+AM203+AM205</f>
        <v>0</v>
      </c>
      <c r="AN194" s="9"/>
    </row>
    <row r="195" spans="1:40" s="385" customFormat="1" ht="24.95" customHeight="1" x14ac:dyDescent="0.2">
      <c r="A195" s="767"/>
      <c r="B195" s="669"/>
      <c r="N195" s="9"/>
      <c r="P195" s="9"/>
      <c r="Q195" s="9"/>
      <c r="R195" s="9"/>
      <c r="S195" s="719">
        <f>+IF(JUNIO!S195=0,"",JUNIO!S195)</f>
        <v>4100100</v>
      </c>
      <c r="T195" s="693" t="str">
        <f>+IF(JUNIO!T195=0,"",JUNIO!T195)</f>
        <v>Compra de Bienes para la Prestacion de servicios</v>
      </c>
      <c r="U195" s="27">
        <f t="shared" ref="U195:AJ195" si="171">SUM(U196:U202)</f>
        <v>240561284</v>
      </c>
      <c r="V195" s="15">
        <f t="shared" si="171"/>
        <v>0</v>
      </c>
      <c r="W195" s="15">
        <f t="shared" si="171"/>
        <v>104588010</v>
      </c>
      <c r="X195" s="18">
        <f t="shared" si="171"/>
        <v>345149294</v>
      </c>
      <c r="Y195" s="19">
        <f t="shared" si="171"/>
        <v>163130326</v>
      </c>
      <c r="Z195" s="145">
        <f t="shared" si="171"/>
        <v>21939057</v>
      </c>
      <c r="AA195" s="18">
        <f t="shared" si="171"/>
        <v>185069383</v>
      </c>
      <c r="AB195" s="19">
        <f t="shared" si="171"/>
        <v>143799561</v>
      </c>
      <c r="AC195" s="145">
        <f t="shared" si="171"/>
        <v>23667443</v>
      </c>
      <c r="AD195" s="18">
        <f t="shared" si="171"/>
        <v>167467004</v>
      </c>
      <c r="AE195" s="19">
        <f t="shared" si="171"/>
        <v>31772634</v>
      </c>
      <c r="AF195" s="145">
        <f t="shared" si="171"/>
        <v>9513153</v>
      </c>
      <c r="AG195" s="18">
        <f t="shared" si="171"/>
        <v>41285787</v>
      </c>
      <c r="AH195" s="19">
        <f t="shared" si="171"/>
        <v>160079911</v>
      </c>
      <c r="AI195" s="15">
        <f t="shared" si="171"/>
        <v>177682290</v>
      </c>
      <c r="AJ195" s="16">
        <f t="shared" si="171"/>
        <v>303863507</v>
      </c>
      <c r="AK195" s="9"/>
      <c r="AL195" s="29">
        <f>SUM(AL196:AL202)</f>
        <v>0</v>
      </c>
      <c r="AM195" s="26">
        <f>SUM(AM196:AM202)</f>
        <v>0</v>
      </c>
      <c r="AN195" s="9"/>
    </row>
    <row r="196" spans="1:40" s="385" customFormat="1" ht="24.95" customHeight="1" x14ac:dyDescent="0.2">
      <c r="A196" s="767"/>
      <c r="B196" s="669"/>
      <c r="N196" s="9"/>
      <c r="P196" s="9"/>
      <c r="Q196" s="9"/>
      <c r="R196" s="9"/>
      <c r="S196" s="720" t="str">
        <f>+IF(JUNIO!S196=0,"",JUNIO!S196)</f>
        <v>4100100-1</v>
      </c>
      <c r="T196" s="694" t="str">
        <f>+IF(JUNIO!T196=0,"",JUNIO!T196)</f>
        <v>Productos Farmaceuticos</v>
      </c>
      <c r="U196" s="27">
        <f>+ENERO!U196</f>
        <v>145961721</v>
      </c>
      <c r="V196" s="15">
        <f>JUNIO!V196+JULIO!AL196</f>
        <v>0</v>
      </c>
      <c r="W196" s="15">
        <f>JUNIO!W196+JULIO!AM196</f>
        <v>102588010</v>
      </c>
      <c r="X196" s="18">
        <f t="shared" ref="X196:X202" si="172">SUM(U196:W196)</f>
        <v>248549731</v>
      </c>
      <c r="Y196" s="19">
        <f>JUNIO!AA196</f>
        <v>108208419</v>
      </c>
      <c r="Z196" s="377">
        <v>14393874</v>
      </c>
      <c r="AA196" s="18">
        <f t="shared" ref="AA196:AA202" si="173">SUM(Y196:Z196)</f>
        <v>122602293</v>
      </c>
      <c r="AB196" s="19">
        <f>JUNIO!AD196</f>
        <v>88877654</v>
      </c>
      <c r="AC196" s="377">
        <v>16122260</v>
      </c>
      <c r="AD196" s="18">
        <f t="shared" ref="AD196:AD202" si="174">SUM(AB196:AC196)</f>
        <v>104999914</v>
      </c>
      <c r="AE196" s="19">
        <f>JUNIO!AG196</f>
        <v>18212634</v>
      </c>
      <c r="AF196" s="377">
        <v>3381026</v>
      </c>
      <c r="AG196" s="18">
        <f t="shared" ref="AG196:AG202" si="175">SUM(AE196:AF196)</f>
        <v>21593660</v>
      </c>
      <c r="AH196" s="19">
        <f t="shared" ref="AH196:AH202" si="176">X196-AA196</f>
        <v>125947438</v>
      </c>
      <c r="AI196" s="15">
        <f t="shared" ref="AI196:AI202" si="177">X196-AD196</f>
        <v>143549817</v>
      </c>
      <c r="AJ196" s="16">
        <f t="shared" ref="AJ196:AJ202" si="178">X196-AG196</f>
        <v>226956071</v>
      </c>
      <c r="AK196" s="9"/>
      <c r="AL196" s="375">
        <v>0</v>
      </c>
      <c r="AM196" s="378">
        <v>0</v>
      </c>
      <c r="AN196" s="9"/>
    </row>
    <row r="197" spans="1:40" s="385" customFormat="1" ht="24.95" customHeight="1" x14ac:dyDescent="0.2">
      <c r="A197" s="767"/>
      <c r="B197" s="669"/>
      <c r="N197" s="9"/>
      <c r="P197" s="9"/>
      <c r="Q197" s="9"/>
      <c r="R197" s="9"/>
      <c r="S197" s="720" t="str">
        <f>+IF(JUNIO!S197=0,"",JUNIO!S197)</f>
        <v>4100100-2</v>
      </c>
      <c r="T197" s="694" t="str">
        <f>+IF(JUNIO!T197=0,"",JUNIO!T197)</f>
        <v>Material Médico Quirúrgico</v>
      </c>
      <c r="U197" s="27">
        <f>+ENERO!U197</f>
        <v>49263202</v>
      </c>
      <c r="V197" s="15">
        <f>JUNIO!V197+JULIO!AL197</f>
        <v>0</v>
      </c>
      <c r="W197" s="15">
        <f>JUNIO!W197+JULIO!AM197</f>
        <v>0</v>
      </c>
      <c r="X197" s="18">
        <f t="shared" si="172"/>
        <v>49263202</v>
      </c>
      <c r="Y197" s="19">
        <f>JUNIO!AA197</f>
        <v>29063694</v>
      </c>
      <c r="Z197" s="377">
        <v>4957629</v>
      </c>
      <c r="AA197" s="18">
        <f t="shared" si="173"/>
        <v>34021323</v>
      </c>
      <c r="AB197" s="19">
        <f>JUNIO!AD197</f>
        <v>29063694</v>
      </c>
      <c r="AC197" s="377">
        <v>4957629</v>
      </c>
      <c r="AD197" s="18">
        <f t="shared" si="174"/>
        <v>34021323</v>
      </c>
      <c r="AE197" s="19">
        <f>JUNIO!AG197</f>
        <v>8055458</v>
      </c>
      <c r="AF197" s="377">
        <v>2575401</v>
      </c>
      <c r="AG197" s="18">
        <f t="shared" si="175"/>
        <v>10630859</v>
      </c>
      <c r="AH197" s="19">
        <f t="shared" si="176"/>
        <v>15241879</v>
      </c>
      <c r="AI197" s="15">
        <f t="shared" si="177"/>
        <v>15241879</v>
      </c>
      <c r="AJ197" s="16">
        <f t="shared" si="178"/>
        <v>38632343</v>
      </c>
      <c r="AK197" s="9"/>
      <c r="AL197" s="375">
        <v>0</v>
      </c>
      <c r="AM197" s="378">
        <v>0</v>
      </c>
      <c r="AN197" s="9"/>
    </row>
    <row r="198" spans="1:40" s="385" customFormat="1" ht="24.95" customHeight="1" x14ac:dyDescent="0.2">
      <c r="A198" s="767"/>
      <c r="B198" s="669"/>
      <c r="N198" s="9"/>
      <c r="P198" s="9"/>
      <c r="Q198" s="9"/>
      <c r="R198" s="9"/>
      <c r="S198" s="720" t="str">
        <f>+IF(JUNIO!S198=0,"",JUNIO!S198)</f>
        <v>4100100-3</v>
      </c>
      <c r="T198" s="694" t="str">
        <f>+IF(JUNIO!T198=0,"",JUNIO!T198)</f>
        <v>Material de Laboratorio</v>
      </c>
      <c r="U198" s="27">
        <f>+ENERO!U198</f>
        <v>20729510</v>
      </c>
      <c r="V198" s="15">
        <f>JUNIO!V198+JULIO!AL198</f>
        <v>0</v>
      </c>
      <c r="W198" s="15">
        <f>JUNIO!W198+JULIO!AM198</f>
        <v>0</v>
      </c>
      <c r="X198" s="18">
        <f t="shared" si="172"/>
        <v>20729510</v>
      </c>
      <c r="Y198" s="19">
        <f>JUNIO!AA198</f>
        <v>17196908</v>
      </c>
      <c r="Z198" s="377">
        <v>1172518</v>
      </c>
      <c r="AA198" s="18">
        <f t="shared" si="173"/>
        <v>18369426</v>
      </c>
      <c r="AB198" s="19">
        <f>JUNIO!AD198</f>
        <v>17196908</v>
      </c>
      <c r="AC198" s="377">
        <v>1172518</v>
      </c>
      <c r="AD198" s="18">
        <f t="shared" si="174"/>
        <v>18369426</v>
      </c>
      <c r="AE198" s="19">
        <f>JUNIO!AG198</f>
        <v>3041715</v>
      </c>
      <c r="AF198" s="377">
        <v>904105</v>
      </c>
      <c r="AG198" s="18">
        <f t="shared" si="175"/>
        <v>3945820</v>
      </c>
      <c r="AH198" s="19">
        <f t="shared" si="176"/>
        <v>2360084</v>
      </c>
      <c r="AI198" s="15">
        <f t="shared" si="177"/>
        <v>2360084</v>
      </c>
      <c r="AJ198" s="16">
        <f t="shared" si="178"/>
        <v>16783690</v>
      </c>
      <c r="AK198" s="9"/>
      <c r="AL198" s="375">
        <v>0</v>
      </c>
      <c r="AM198" s="378">
        <v>0</v>
      </c>
      <c r="AN198" s="9"/>
    </row>
    <row r="199" spans="1:40" s="385" customFormat="1" ht="24.95" customHeight="1" x14ac:dyDescent="0.2">
      <c r="A199" s="767"/>
      <c r="B199" s="669"/>
      <c r="N199" s="9"/>
      <c r="P199" s="9"/>
      <c r="Q199" s="9"/>
      <c r="R199" s="9"/>
      <c r="S199" s="720" t="str">
        <f>+IF(JUNIO!S199=0,"",JUNIO!S199)</f>
        <v>4100100-4</v>
      </c>
      <c r="T199" s="694" t="str">
        <f>+IF(JUNIO!T199=0,"",JUNIO!T199)</f>
        <v>Material para Odontologia</v>
      </c>
      <c r="U199" s="27">
        <f>+ENERO!U199</f>
        <v>22568185</v>
      </c>
      <c r="V199" s="15">
        <f>JUNIO!V199+JULIO!AL199</f>
        <v>0</v>
      </c>
      <c r="W199" s="15">
        <f>JUNIO!W199+JULIO!AM199</f>
        <v>0</v>
      </c>
      <c r="X199" s="18">
        <f t="shared" si="172"/>
        <v>22568185</v>
      </c>
      <c r="Y199" s="19">
        <f>JUNIO!AA199</f>
        <v>8661305</v>
      </c>
      <c r="Z199" s="377">
        <v>1415036</v>
      </c>
      <c r="AA199" s="18">
        <f t="shared" si="173"/>
        <v>10076341</v>
      </c>
      <c r="AB199" s="19">
        <f>JUNIO!AD199</f>
        <v>8661305</v>
      </c>
      <c r="AC199" s="377">
        <v>1415036</v>
      </c>
      <c r="AD199" s="18">
        <f t="shared" si="174"/>
        <v>10076341</v>
      </c>
      <c r="AE199" s="19">
        <f>JUNIO!AG199</f>
        <v>2462827</v>
      </c>
      <c r="AF199" s="377">
        <v>2652621</v>
      </c>
      <c r="AG199" s="18">
        <f t="shared" si="175"/>
        <v>5115448</v>
      </c>
      <c r="AH199" s="19">
        <f t="shared" si="176"/>
        <v>12491844</v>
      </c>
      <c r="AI199" s="15">
        <f t="shared" si="177"/>
        <v>12491844</v>
      </c>
      <c r="AJ199" s="16">
        <f t="shared" si="178"/>
        <v>17452737</v>
      </c>
      <c r="AK199" s="9"/>
      <c r="AL199" s="375">
        <v>0</v>
      </c>
      <c r="AM199" s="378">
        <v>0</v>
      </c>
      <c r="AN199" s="9"/>
    </row>
    <row r="200" spans="1:40" s="385" customFormat="1" ht="24.95" customHeight="1" x14ac:dyDescent="0.2">
      <c r="A200" s="767"/>
      <c r="B200" s="669"/>
      <c r="N200" s="9"/>
      <c r="P200" s="9"/>
      <c r="Q200" s="9"/>
      <c r="R200" s="9"/>
      <c r="S200" s="720" t="str">
        <f>+IF(JUNIO!S200=0,"",JUNIO!S200)</f>
        <v>4100100-5</v>
      </c>
      <c r="T200" s="694" t="str">
        <f>+IF(JUNIO!T200=0,"",JUNIO!T200)</f>
        <v>Material para Rayos X</v>
      </c>
      <c r="U200" s="27">
        <f>+ENERO!U200</f>
        <v>2038666</v>
      </c>
      <c r="V200" s="15">
        <f>JUNIO!V200+JULIO!AL200</f>
        <v>0</v>
      </c>
      <c r="W200" s="15">
        <f>JUNIO!W200+JULIO!AM200</f>
        <v>2000000</v>
      </c>
      <c r="X200" s="18">
        <f t="shared" si="172"/>
        <v>4038666</v>
      </c>
      <c r="Y200" s="19">
        <f>JUNIO!AA200</f>
        <v>0</v>
      </c>
      <c r="Z200" s="377">
        <v>0</v>
      </c>
      <c r="AA200" s="18">
        <f t="shared" si="173"/>
        <v>0</v>
      </c>
      <c r="AB200" s="19">
        <f>JUNIO!AD200</f>
        <v>0</v>
      </c>
      <c r="AC200" s="377">
        <v>0</v>
      </c>
      <c r="AD200" s="18">
        <f t="shared" si="174"/>
        <v>0</v>
      </c>
      <c r="AE200" s="19">
        <f>JUNIO!AG200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+IF(JUNIO!S201=0,"",JUNIO!S201)</f>
        <v/>
      </c>
      <c r="T201" s="694" t="str">
        <f>+IF(JUNIO!T201=0,"",JUNIO!T201)</f>
        <v/>
      </c>
      <c r="U201" s="27">
        <f>+ENERO!U201</f>
        <v>0</v>
      </c>
      <c r="V201" s="15">
        <f>JUNIO!V201+JULIO!AL201</f>
        <v>0</v>
      </c>
      <c r="W201" s="15">
        <f>JUNIO!W201+JULIO!AM201</f>
        <v>0</v>
      </c>
      <c r="X201" s="18">
        <f t="shared" si="172"/>
        <v>0</v>
      </c>
      <c r="Y201" s="19">
        <f>JUNIO!AA201</f>
        <v>0</v>
      </c>
      <c r="Z201" s="377">
        <v>0</v>
      </c>
      <c r="AA201" s="18">
        <f t="shared" si="173"/>
        <v>0</v>
      </c>
      <c r="AB201" s="19">
        <f>JUNIO!AD201</f>
        <v>0</v>
      </c>
      <c r="AC201" s="377">
        <v>0</v>
      </c>
      <c r="AD201" s="18">
        <f t="shared" si="174"/>
        <v>0</v>
      </c>
      <c r="AE201" s="19">
        <f>JUNIO!AG201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+IF(JUNIO!S202=0,"",JUNIO!S202)</f>
        <v/>
      </c>
      <c r="T202" s="694" t="str">
        <f>+IF(JUNIO!T202=0,"",JUNIO!T202)</f>
        <v/>
      </c>
      <c r="U202" s="27">
        <f>+ENERO!U202</f>
        <v>0</v>
      </c>
      <c r="V202" s="15">
        <f>JUNIO!V202+JULIO!AL202</f>
        <v>0</v>
      </c>
      <c r="W202" s="15">
        <f>JUNIO!W202+JULIO!AM202</f>
        <v>0</v>
      </c>
      <c r="X202" s="18">
        <f t="shared" si="172"/>
        <v>0</v>
      </c>
      <c r="Y202" s="19">
        <f>JUNIO!AA202</f>
        <v>0</v>
      </c>
      <c r="Z202" s="377">
        <v>0</v>
      </c>
      <c r="AA202" s="18">
        <f t="shared" si="173"/>
        <v>0</v>
      </c>
      <c r="AB202" s="19">
        <f>JUNIO!AD202</f>
        <v>0</v>
      </c>
      <c r="AC202" s="377">
        <v>0</v>
      </c>
      <c r="AD202" s="18">
        <f t="shared" si="174"/>
        <v>0</v>
      </c>
      <c r="AE202" s="19">
        <f>JUNIO!AG202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+IF(JUNIO!S203=0,"",JUNIO!S203)</f>
        <v>4100200</v>
      </c>
      <c r="T203" s="693" t="str">
        <f>+IF(JUNIO!T203=0,"",JUNIO!T203)</f>
        <v>Gastos Complementarios e Intermedios</v>
      </c>
      <c r="U203" s="27">
        <f t="shared" ref="U203:AJ203" si="179">U204</f>
        <v>31968044</v>
      </c>
      <c r="V203" s="15">
        <f t="shared" si="179"/>
        <v>0</v>
      </c>
      <c r="W203" s="15">
        <f t="shared" si="179"/>
        <v>0</v>
      </c>
      <c r="X203" s="18">
        <f t="shared" si="179"/>
        <v>31968044</v>
      </c>
      <c r="Y203" s="19">
        <f t="shared" si="179"/>
        <v>17574466</v>
      </c>
      <c r="Z203" s="145">
        <f t="shared" si="179"/>
        <v>3677400</v>
      </c>
      <c r="AA203" s="18">
        <f t="shared" si="179"/>
        <v>21251866</v>
      </c>
      <c r="AB203" s="19">
        <f t="shared" si="179"/>
        <v>17574466</v>
      </c>
      <c r="AC203" s="145">
        <f t="shared" si="179"/>
        <v>3677400</v>
      </c>
      <c r="AD203" s="18">
        <f t="shared" si="179"/>
        <v>21251866</v>
      </c>
      <c r="AE203" s="19">
        <f t="shared" si="179"/>
        <v>13872766</v>
      </c>
      <c r="AF203" s="145">
        <f t="shared" si="179"/>
        <v>2504400</v>
      </c>
      <c r="AG203" s="18">
        <f t="shared" si="179"/>
        <v>16377166</v>
      </c>
      <c r="AH203" s="19">
        <f t="shared" si="179"/>
        <v>10716178</v>
      </c>
      <c r="AI203" s="15">
        <f t="shared" si="179"/>
        <v>10716178</v>
      </c>
      <c r="AJ203" s="16">
        <f t="shared" si="179"/>
        <v>15590878</v>
      </c>
      <c r="AK203" s="9"/>
      <c r="AL203" s="29">
        <f>AL204</f>
        <v>0</v>
      </c>
      <c r="AM203" s="26">
        <f>AM204</f>
        <v>0</v>
      </c>
      <c r="AN203" s="9"/>
    </row>
    <row r="204" spans="1:40" s="385" customFormat="1" ht="24.95" customHeight="1" x14ac:dyDescent="0.2">
      <c r="A204" s="767"/>
      <c r="B204" s="669"/>
      <c r="N204" s="9"/>
      <c r="P204" s="9"/>
      <c r="Q204" s="9"/>
      <c r="R204" s="9"/>
      <c r="S204" s="720" t="str">
        <f>+IF(JUNIO!S204=0,"",JUNIO!S204)</f>
        <v>4100200-1</v>
      </c>
      <c r="T204" s="694" t="str">
        <f>+IF(JUNIO!T204=0,"",JUNIO!T204)</f>
        <v>Alimentación</v>
      </c>
      <c r="U204" s="27">
        <f>+ENERO!U204</f>
        <v>31968044</v>
      </c>
      <c r="V204" s="15">
        <f>JUNIO!V204+JULIO!AL204</f>
        <v>0</v>
      </c>
      <c r="W204" s="15">
        <f>JUNIO!W204+JULIO!AM204</f>
        <v>0</v>
      </c>
      <c r="X204" s="18">
        <f>SUM(U204:W204)</f>
        <v>31968044</v>
      </c>
      <c r="Y204" s="19">
        <f>JUNIO!AA204</f>
        <v>17574466</v>
      </c>
      <c r="Z204" s="377">
        <v>3677400</v>
      </c>
      <c r="AA204" s="18">
        <f>SUM(Y204:Z204)</f>
        <v>21251866</v>
      </c>
      <c r="AB204" s="19">
        <f>JUNIO!AD204</f>
        <v>17574466</v>
      </c>
      <c r="AC204" s="377">
        <v>3677400</v>
      </c>
      <c r="AD204" s="18">
        <f>SUM(AB204:AC204)</f>
        <v>21251866</v>
      </c>
      <c r="AE204" s="19">
        <f>JUNIO!AG204</f>
        <v>13872766</v>
      </c>
      <c r="AF204" s="377">
        <v>2504400</v>
      </c>
      <c r="AG204" s="18">
        <f>SUM(AE204:AF204)</f>
        <v>16377166</v>
      </c>
      <c r="AH204" s="19">
        <f>X204-AA204</f>
        <v>10716178</v>
      </c>
      <c r="AI204" s="15">
        <f>X204-AD204</f>
        <v>10716178</v>
      </c>
      <c r="AJ204" s="16">
        <f>X204-AG204</f>
        <v>15590878</v>
      </c>
      <c r="AK204" s="9"/>
      <c r="AL204" s="375">
        <v>0</v>
      </c>
      <c r="AM204" s="378">
        <v>0</v>
      </c>
      <c r="AN204" s="9"/>
    </row>
    <row r="205" spans="1:40" s="385" customFormat="1" ht="24.95" customHeight="1" thickBot="1" x14ac:dyDescent="0.25">
      <c r="A205" s="767"/>
      <c r="B205" s="669"/>
      <c r="N205" s="9"/>
      <c r="P205" s="9"/>
      <c r="Q205" s="9"/>
      <c r="R205" s="9"/>
      <c r="S205" s="724">
        <f>+IF(JUNIO!S205=0,"",JUNIO!S205)</f>
        <v>4199999</v>
      </c>
      <c r="T205" s="699" t="str">
        <f>+IF(JUNIO!T205=0,"",JUNIO!T205)</f>
        <v>Vigencias Anteriores</v>
      </c>
      <c r="U205" s="136">
        <f>+ENERO!U205</f>
        <v>0</v>
      </c>
      <c r="V205" s="123">
        <f>JUNIO!V205+JULIO!AL205</f>
        <v>0</v>
      </c>
      <c r="W205" s="123">
        <f>JUNIO!W205+JULIO!AM205</f>
        <v>91835932</v>
      </c>
      <c r="X205" s="129">
        <f>SUM(U205:W205)</f>
        <v>91835932</v>
      </c>
      <c r="Y205" s="127">
        <f>JUNIO!AA205</f>
        <v>91835932</v>
      </c>
      <c r="Z205" s="391">
        <v>0</v>
      </c>
      <c r="AA205" s="129">
        <f>SUM(Y205:Z205)</f>
        <v>91835932</v>
      </c>
      <c r="AB205" s="127">
        <f>JUNIO!AD205</f>
        <v>91835932</v>
      </c>
      <c r="AC205" s="391">
        <v>0</v>
      </c>
      <c r="AD205" s="129">
        <f>SUM(AB205:AC205)</f>
        <v>91835932</v>
      </c>
      <c r="AE205" s="127">
        <f>JUNIO!AG205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+IF(JUNIO!S206=0,"",JUNIO!S206)</f>
        <v/>
      </c>
      <c r="T206" s="700" t="str">
        <f>+IF(JUNIO!T206=0,"",JUNIO!T206)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+IF(JUNIO!S207=0,"",JUNIO!S207)</f>
        <v>B</v>
      </c>
      <c r="T207" s="709" t="str">
        <f>+IF(JUNIO!T207=0,"",JUNIO!T207)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+IF(JUNIO!S209=0,"",JUNIO!S209)</f>
        <v>5000000</v>
      </c>
      <c r="T209" s="741" t="str">
        <f>+IF(JUNIO!T209=0,"",JUNIO!T209)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+IF(JUNIO!S210=0,"",JUNIO!S210)</f>
        <v>5100000</v>
      </c>
      <c r="T210" s="692" t="str">
        <f>+IF(JUNIO!T210=0,"",JUNIO!T210)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+IF(JUNIO!S211=0,"",JUNIO!S211)</f>
        <v>5100100</v>
      </c>
      <c r="T211" s="693" t="str">
        <f>+IF(JUNIO!T211=0,"",JUNIO!T211)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+IF(JUNIO!S212=0,"",JUNIO!S212)</f>
        <v>5100100-1</v>
      </c>
      <c r="T212" s="694" t="str">
        <f>+IF(JUNIO!T212=0,"",JUNIO!T212)</f>
        <v>Productos Farmaceuticos</v>
      </c>
      <c r="U212" s="27">
        <f>+ENERO!U212</f>
        <v>0</v>
      </c>
      <c r="V212" s="15">
        <f>JUNIO!V212+JULIO!AL212</f>
        <v>0</v>
      </c>
      <c r="W212" s="15">
        <f>JUNIO!W212+JULIO!AM212</f>
        <v>0</v>
      </c>
      <c r="X212" s="18">
        <f t="shared" ref="X212:X218" si="184">SUM(U212:W212)</f>
        <v>0</v>
      </c>
      <c r="Y212" s="19">
        <f>JUNIO!AA212</f>
        <v>0</v>
      </c>
      <c r="Z212" s="377">
        <v>0</v>
      </c>
      <c r="AA212" s="18">
        <f t="shared" ref="AA212:AA218" si="185">SUM(Y212:Z212)</f>
        <v>0</v>
      </c>
      <c r="AB212" s="19">
        <f>JUNIO!AD212</f>
        <v>0</v>
      </c>
      <c r="AC212" s="377">
        <v>0</v>
      </c>
      <c r="AD212" s="18">
        <f t="shared" ref="AD212:AD218" si="186">SUM(AB212:AC212)</f>
        <v>0</v>
      </c>
      <c r="AE212" s="19">
        <f>JUNIO!AG212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+IF(JUNIO!S213=0,"",JUNIO!S213)</f>
        <v>5100100-2</v>
      </c>
      <c r="T213" s="694" t="str">
        <f>+IF(JUNIO!T213=0,"",JUNIO!T213)</f>
        <v>Material Médico Quirúrgico</v>
      </c>
      <c r="U213" s="27">
        <f>+ENERO!U213</f>
        <v>0</v>
      </c>
      <c r="V213" s="15">
        <f>JUNIO!V213+JULIO!AL213</f>
        <v>0</v>
      </c>
      <c r="W213" s="15">
        <f>JUNIO!W213+JULIO!AM213</f>
        <v>0</v>
      </c>
      <c r="X213" s="18">
        <f t="shared" si="184"/>
        <v>0</v>
      </c>
      <c r="Y213" s="19">
        <f>JUNIO!AA213</f>
        <v>0</v>
      </c>
      <c r="Z213" s="377">
        <v>0</v>
      </c>
      <c r="AA213" s="18">
        <f t="shared" si="185"/>
        <v>0</v>
      </c>
      <c r="AB213" s="19">
        <f>JUNIO!AD213</f>
        <v>0</v>
      </c>
      <c r="AC213" s="377">
        <v>0</v>
      </c>
      <c r="AD213" s="18">
        <f t="shared" si="186"/>
        <v>0</v>
      </c>
      <c r="AE213" s="19">
        <f>JUNIO!AG213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+IF(JUNIO!S214=0,"",JUNIO!S214)</f>
        <v>5100100-3</v>
      </c>
      <c r="T214" s="694" t="str">
        <f>+IF(JUNIO!T214=0,"",JUNIO!T214)</f>
        <v>Material de Laboratorio</v>
      </c>
      <c r="U214" s="27">
        <f>+ENERO!U214</f>
        <v>0</v>
      </c>
      <c r="V214" s="15">
        <f>JUNIO!V214+JULIO!AL214</f>
        <v>0</v>
      </c>
      <c r="W214" s="15">
        <f>JUNIO!W214+JULIO!AM214</f>
        <v>0</v>
      </c>
      <c r="X214" s="18">
        <f t="shared" si="184"/>
        <v>0</v>
      </c>
      <c r="Y214" s="19">
        <f>JUNIO!AA214</f>
        <v>0</v>
      </c>
      <c r="Z214" s="377">
        <v>0</v>
      </c>
      <c r="AA214" s="18">
        <f t="shared" si="185"/>
        <v>0</v>
      </c>
      <c r="AB214" s="19">
        <f>JUNIO!AD214</f>
        <v>0</v>
      </c>
      <c r="AC214" s="377">
        <v>0</v>
      </c>
      <c r="AD214" s="18">
        <f t="shared" si="186"/>
        <v>0</v>
      </c>
      <c r="AE214" s="19">
        <f>JUNIO!AG214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+IF(JUNIO!S215=0,"",JUNIO!S215)</f>
        <v>5100100-4</v>
      </c>
      <c r="T215" s="694" t="str">
        <f>+IF(JUNIO!T215=0,"",JUNIO!T215)</f>
        <v>Material para Odontologia</v>
      </c>
      <c r="U215" s="27">
        <f>+ENERO!U215</f>
        <v>0</v>
      </c>
      <c r="V215" s="15">
        <f>JUNIO!V215+JULIO!AL215</f>
        <v>0</v>
      </c>
      <c r="W215" s="15">
        <f>JUNIO!W215+JULIO!AM215</f>
        <v>0</v>
      </c>
      <c r="X215" s="18">
        <f t="shared" si="184"/>
        <v>0</v>
      </c>
      <c r="Y215" s="19">
        <f>JUNIO!AA215</f>
        <v>0</v>
      </c>
      <c r="Z215" s="377">
        <v>0</v>
      </c>
      <c r="AA215" s="18">
        <f t="shared" si="185"/>
        <v>0</v>
      </c>
      <c r="AB215" s="19">
        <f>JUNIO!AD215</f>
        <v>0</v>
      </c>
      <c r="AC215" s="377">
        <v>0</v>
      </c>
      <c r="AD215" s="18">
        <f t="shared" si="186"/>
        <v>0</v>
      </c>
      <c r="AE215" s="19">
        <f>JUNIO!AG215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+IF(JUNIO!S216=0,"",JUNIO!S216)</f>
        <v>5100100-5</v>
      </c>
      <c r="T216" s="694" t="str">
        <f>+IF(JUNIO!T216=0,"",JUNIO!T216)</f>
        <v>Material para Rayos X</v>
      </c>
      <c r="U216" s="27">
        <f>+ENERO!U216</f>
        <v>0</v>
      </c>
      <c r="V216" s="15">
        <f>JUNIO!V216+JULIO!AL216</f>
        <v>0</v>
      </c>
      <c r="W216" s="15">
        <f>JUNIO!W216+JULIO!AM216</f>
        <v>0</v>
      </c>
      <c r="X216" s="18">
        <f t="shared" si="184"/>
        <v>0</v>
      </c>
      <c r="Y216" s="19">
        <f>JUNIO!AA216</f>
        <v>0</v>
      </c>
      <c r="Z216" s="377">
        <v>0</v>
      </c>
      <c r="AA216" s="18">
        <f t="shared" si="185"/>
        <v>0</v>
      </c>
      <c r="AB216" s="19">
        <f>JUNIO!AD216</f>
        <v>0</v>
      </c>
      <c r="AC216" s="377">
        <v>0</v>
      </c>
      <c r="AD216" s="18">
        <f t="shared" si="186"/>
        <v>0</v>
      </c>
      <c r="AE216" s="19">
        <f>JUNIO!AG216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+IF(JUNIO!S217=0,"",JUNIO!S217)</f>
        <v>5100100-6</v>
      </c>
      <c r="T217" s="694" t="str">
        <f>+IF(JUNIO!T217=0,"",JUNIO!T217)</f>
        <v>Material aseo personal, etc.</v>
      </c>
      <c r="U217" s="27">
        <f>+ENERO!U217</f>
        <v>0</v>
      </c>
      <c r="V217" s="15">
        <f>JUNIO!V217+JULIO!AL217</f>
        <v>0</v>
      </c>
      <c r="W217" s="15">
        <f>JUNIO!W217+JULIO!AM217</f>
        <v>0</v>
      </c>
      <c r="X217" s="18">
        <f t="shared" si="184"/>
        <v>0</v>
      </c>
      <c r="Y217" s="19">
        <f>JUNIO!AA217</f>
        <v>0</v>
      </c>
      <c r="Z217" s="377">
        <v>0</v>
      </c>
      <c r="AA217" s="18">
        <f t="shared" si="185"/>
        <v>0</v>
      </c>
      <c r="AB217" s="19">
        <f>JUNIO!AD217</f>
        <v>0</v>
      </c>
      <c r="AC217" s="377">
        <v>0</v>
      </c>
      <c r="AD217" s="18">
        <f t="shared" si="186"/>
        <v>0</v>
      </c>
      <c r="AE217" s="19">
        <f>JUNIO!AG217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+IF(JUNIO!S218=0,"",JUNIO!S218)</f>
        <v>5199999</v>
      </c>
      <c r="T218" s="710" t="str">
        <f>+IF(JUNIO!T218=0,"",JUNIO!T218)</f>
        <v>Vigencias Anteriores</v>
      </c>
      <c r="U218" s="136">
        <f>+ENERO!U218</f>
        <v>0</v>
      </c>
      <c r="V218" s="123">
        <f>JUNIO!V218+JULIO!AL218</f>
        <v>0</v>
      </c>
      <c r="W218" s="123">
        <f>JUNIO!W218+JULIO!AM218</f>
        <v>0</v>
      </c>
      <c r="X218" s="129">
        <f t="shared" si="184"/>
        <v>0</v>
      </c>
      <c r="Y218" s="127">
        <f>JUNIO!AA218</f>
        <v>0</v>
      </c>
      <c r="Z218" s="391">
        <v>0</v>
      </c>
      <c r="AA218" s="129">
        <f t="shared" si="185"/>
        <v>0</v>
      </c>
      <c r="AB218" s="127">
        <f>JUNIO!AD218</f>
        <v>0</v>
      </c>
      <c r="AC218" s="391">
        <v>0</v>
      </c>
      <c r="AD218" s="129">
        <f t="shared" si="186"/>
        <v>0</v>
      </c>
      <c r="AE218" s="127">
        <f>JUNIO!AG218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+IF(JUNIO!S219=0,"",JUNIO!S219)</f>
        <v/>
      </c>
      <c r="T219" s="707" t="str">
        <f>+IF(JUNIO!T219=0,"",JUNIO!T219)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+IF(JUNIO!S220=0,"",JUNIO!S220)</f>
        <v>C</v>
      </c>
      <c r="T220" s="688" t="str">
        <f>+IF(JUNIO!T220=0,"",JUNIO!T220)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+IF(JUNIO!S221=0,"",JUNIO!S221)</f>
        <v/>
      </c>
      <c r="T221" s="708" t="str">
        <f>+IF(JUNIO!T221=0,"",JUNIO!T221)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+IF(JUNIO!S222=0,"",JUNIO!S222)</f>
        <v>7001000</v>
      </c>
      <c r="T222" s="692" t="str">
        <f>+IF(JUNIO!T222=0,"",JUNIO!T222)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+IF(JUNIO!S223=0,"",JUNIO!S223)</f>
        <v>7001100</v>
      </c>
      <c r="T223" s="693" t="str">
        <f>+IF(JUNIO!T223=0,"",JUNIO!T223)</f>
        <v>Amortización deuda Pública Interna</v>
      </c>
      <c r="U223" s="27">
        <f>+ENERO!U223</f>
        <v>0</v>
      </c>
      <c r="V223" s="15">
        <f>JUNIO!V223+JULIO!AL223</f>
        <v>0</v>
      </c>
      <c r="W223" s="15">
        <f>JUNIO!W223+JULIO!AM223</f>
        <v>0</v>
      </c>
      <c r="X223" s="18">
        <f>SUM(U223:W223)</f>
        <v>0</v>
      </c>
      <c r="Y223" s="19">
        <f>JUNIO!AA223</f>
        <v>0</v>
      </c>
      <c r="Z223" s="377">
        <v>0</v>
      </c>
      <c r="AA223" s="18">
        <f>SUM(Y223:Z223)</f>
        <v>0</v>
      </c>
      <c r="AB223" s="19">
        <f>JUNIO!AD223</f>
        <v>0</v>
      </c>
      <c r="AC223" s="377">
        <v>0</v>
      </c>
      <c r="AD223" s="18">
        <f>SUM(AB223:AC223)</f>
        <v>0</v>
      </c>
      <c r="AE223" s="19">
        <f>JUNIO!AG223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+IF(JUNIO!S224=0,"",JUNIO!S224)</f>
        <v>7001200</v>
      </c>
      <c r="T224" s="693" t="str">
        <f>+IF(JUNIO!T224=0,"",JUNIO!T224)</f>
        <v>Intereses Comisiones y gastos de la Deuda Pública</v>
      </c>
      <c r="U224" s="27">
        <f>+ENERO!U224</f>
        <v>0</v>
      </c>
      <c r="V224" s="15">
        <f>JUNIO!V224+JULIO!AL224</f>
        <v>0</v>
      </c>
      <c r="W224" s="15">
        <f>JUNIO!W224+JULIO!AM224</f>
        <v>0</v>
      </c>
      <c r="X224" s="18">
        <f>SUM(U224:W224)</f>
        <v>0</v>
      </c>
      <c r="Y224" s="19">
        <f>JUNIO!AA224</f>
        <v>0</v>
      </c>
      <c r="Z224" s="377">
        <v>0</v>
      </c>
      <c r="AA224" s="18">
        <f>SUM(Y224:Z224)</f>
        <v>0</v>
      </c>
      <c r="AB224" s="19">
        <f>JUNIO!AD224</f>
        <v>0</v>
      </c>
      <c r="AC224" s="377">
        <v>0</v>
      </c>
      <c r="AD224" s="18">
        <f>SUM(AB224:AC224)</f>
        <v>0</v>
      </c>
      <c r="AE224" s="19">
        <f>JUNIO!AG224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+IF(JUNIO!S225=0,"",JUNIO!S225)</f>
        <v>7001999</v>
      </c>
      <c r="T225" s="693" t="str">
        <f>+IF(JUNIO!T225=0,"",JUNIO!T225)</f>
        <v>Vigencias Anteriores</v>
      </c>
      <c r="U225" s="27">
        <f>+ENERO!U225</f>
        <v>0</v>
      </c>
      <c r="V225" s="15">
        <f>JUNIO!V225+JULIO!AL225</f>
        <v>0</v>
      </c>
      <c r="W225" s="15">
        <f>JUNIO!W225+JULIO!AM225</f>
        <v>0</v>
      </c>
      <c r="X225" s="18">
        <f>SUM(U225:W225)</f>
        <v>0</v>
      </c>
      <c r="Y225" s="19">
        <f>JUNIO!AA225</f>
        <v>0</v>
      </c>
      <c r="Z225" s="377">
        <v>0</v>
      </c>
      <c r="AA225" s="18">
        <f>SUM(Y225:Z225)</f>
        <v>0</v>
      </c>
      <c r="AB225" s="19">
        <f>JUNIO!AD225</f>
        <v>0</v>
      </c>
      <c r="AC225" s="377">
        <v>0</v>
      </c>
      <c r="AD225" s="18">
        <f>SUM(AB225:AC225)</f>
        <v>0</v>
      </c>
      <c r="AE225" s="19">
        <f>JUNIO!AG225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+IF(JUNIO!S226=0,"",JUNIO!S226)</f>
        <v/>
      </c>
      <c r="T226" s="708" t="str">
        <f>+IF(JUNIO!T226=0,"",JUNIO!T226)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+IF(JUNIO!S227=0,"",JUNIO!S227)</f>
        <v>7002001</v>
      </c>
      <c r="T227" s="692" t="str">
        <f>+IF(JUNIO!T227=0,"",JUNIO!T227)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+IF(JUNIO!S228=0,"",JUNIO!S228)</f>
        <v>7002100</v>
      </c>
      <c r="T228" s="693" t="str">
        <f>+IF(JUNIO!T228=0,"",JUNIO!T228)</f>
        <v>Amortización deuda Pública Externa</v>
      </c>
      <c r="U228" s="27">
        <f>+ENERO!U228</f>
        <v>0</v>
      </c>
      <c r="V228" s="15">
        <f>JUNIO!V228+JULIO!AL228</f>
        <v>0</v>
      </c>
      <c r="W228" s="15">
        <f>JUNIO!W228+JULIO!AM228</f>
        <v>0</v>
      </c>
      <c r="X228" s="18">
        <f>SUM(U228:W228)</f>
        <v>0</v>
      </c>
      <c r="Y228" s="19">
        <f>JUNIO!AA228</f>
        <v>0</v>
      </c>
      <c r="Z228" s="377">
        <v>0</v>
      </c>
      <c r="AA228" s="18">
        <f>SUM(Y228:Z228)</f>
        <v>0</v>
      </c>
      <c r="AB228" s="19">
        <f>JUNIO!AD228</f>
        <v>0</v>
      </c>
      <c r="AC228" s="377">
        <v>0</v>
      </c>
      <c r="AD228" s="18">
        <f>SUM(AB228:AC228)</f>
        <v>0</v>
      </c>
      <c r="AE228" s="19">
        <f>JUNIO!AG228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+IF(JUNIO!S229=0,"",JUNIO!S229)</f>
        <v>7002200</v>
      </c>
      <c r="T229" s="693" t="str">
        <f>+IF(JUNIO!T229=0,"",JUNIO!T229)</f>
        <v>Intereses Comisiones y gastos de la Deuda Pública</v>
      </c>
      <c r="U229" s="27">
        <f>+ENERO!U229</f>
        <v>0</v>
      </c>
      <c r="V229" s="15">
        <f>JUNIO!V229+JULIO!AL229</f>
        <v>0</v>
      </c>
      <c r="W229" s="15">
        <f>JUNIO!W229+JULIO!AM229</f>
        <v>0</v>
      </c>
      <c r="X229" s="18">
        <f>SUM(U229:W229)</f>
        <v>0</v>
      </c>
      <c r="Y229" s="19">
        <f>JUNIO!AA229</f>
        <v>0</v>
      </c>
      <c r="Z229" s="377">
        <v>0</v>
      </c>
      <c r="AA229" s="18">
        <f>SUM(Y229:Z229)</f>
        <v>0</v>
      </c>
      <c r="AB229" s="19">
        <f>JUNIO!AD229</f>
        <v>0</v>
      </c>
      <c r="AC229" s="377">
        <v>0</v>
      </c>
      <c r="AD229" s="18">
        <f>SUM(AB229:AC229)</f>
        <v>0</v>
      </c>
      <c r="AE229" s="19">
        <f>JUNIO!AG229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+IF(JUNIO!S230=0,"",JUNIO!S230)</f>
        <v>7002999</v>
      </c>
      <c r="T230" s="699" t="str">
        <f>+IF(JUNIO!T230=0,"",JUNIO!T230)</f>
        <v>Vigencias Anteriores</v>
      </c>
      <c r="U230" s="136">
        <f>+ENERO!U230</f>
        <v>0</v>
      </c>
      <c r="V230" s="123">
        <f>JUNIO!V230+JULIO!AL230</f>
        <v>0</v>
      </c>
      <c r="W230" s="123">
        <f>JUNIO!W230+JULIO!AM230</f>
        <v>0</v>
      </c>
      <c r="X230" s="129">
        <f>SUM(U230:W230)</f>
        <v>0</v>
      </c>
      <c r="Y230" s="127">
        <f>JUNIO!AA230</f>
        <v>0</v>
      </c>
      <c r="Z230" s="391">
        <v>0</v>
      </c>
      <c r="AA230" s="129">
        <f>SUM(Y230:Z230)</f>
        <v>0</v>
      </c>
      <c r="AB230" s="127">
        <f>JUNIO!AD230</f>
        <v>0</v>
      </c>
      <c r="AC230" s="391">
        <v>0</v>
      </c>
      <c r="AD230" s="129">
        <f>SUM(AB230:AC230)</f>
        <v>0</v>
      </c>
      <c r="AE230" s="127">
        <f>JUNIO!AG230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+IF(JUNIO!S231=0,"",JUNIO!S231)</f>
        <v/>
      </c>
      <c r="T231" s="700" t="str">
        <f>+IF(JUNIO!T231=0,"",JUNIO!T231)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+IF(JUNIO!S232=0,"",JUNIO!S232)</f>
        <v>D</v>
      </c>
      <c r="T232" s="709" t="str">
        <f>+IF(JUNIO!T232=0,"",JUNIO!T232)</f>
        <v>INVERSION</v>
      </c>
      <c r="U232" s="473">
        <f t="shared" ref="U232:AJ232" si="194">U234</f>
        <v>303000000</v>
      </c>
      <c r="V232" s="474">
        <f t="shared" si="194"/>
        <v>-103000000</v>
      </c>
      <c r="W232" s="474">
        <f t="shared" si="194"/>
        <v>178000000</v>
      </c>
      <c r="X232" s="475">
        <f t="shared" si="194"/>
        <v>378000000</v>
      </c>
      <c r="Y232" s="382">
        <f t="shared" si="194"/>
        <v>120161334</v>
      </c>
      <c r="Z232" s="474">
        <f t="shared" si="194"/>
        <v>0</v>
      </c>
      <c r="AA232" s="475">
        <f t="shared" si="194"/>
        <v>120161334</v>
      </c>
      <c r="AB232" s="382">
        <f t="shared" si="194"/>
        <v>24780000</v>
      </c>
      <c r="AC232" s="474">
        <f t="shared" si="194"/>
        <v>19018000</v>
      </c>
      <c r="AD232" s="475">
        <f t="shared" si="194"/>
        <v>43798000</v>
      </c>
      <c r="AE232" s="382">
        <f t="shared" si="194"/>
        <v>21330000</v>
      </c>
      <c r="AF232" s="474">
        <f t="shared" si="194"/>
        <v>15215000</v>
      </c>
      <c r="AG232" s="475">
        <f t="shared" si="194"/>
        <v>36545000</v>
      </c>
      <c r="AH232" s="382">
        <f t="shared" si="194"/>
        <v>257838666</v>
      </c>
      <c r="AI232" s="474">
        <f t="shared" si="194"/>
        <v>334202000</v>
      </c>
      <c r="AJ232" s="383">
        <f t="shared" si="194"/>
        <v>341455000</v>
      </c>
      <c r="AK232" s="506"/>
      <c r="AL232" s="382">
        <f>AL234</f>
        <v>-34000000</v>
      </c>
      <c r="AM232" s="383">
        <f>AM234</f>
        <v>0</v>
      </c>
      <c r="AN232" s="9"/>
    </row>
    <row r="233" spans="1:64" s="385" customFormat="1" ht="24.95" customHeight="1" x14ac:dyDescent="0.2">
      <c r="A233" s="767"/>
      <c r="B233" s="669"/>
      <c r="N233" s="9"/>
      <c r="P233" s="9"/>
      <c r="Q233" s="9"/>
      <c r="R233" s="9"/>
      <c r="S233" s="369" t="str">
        <f>+IF(JUNIO!S233=0,"",JUNIO!S233)</f>
        <v/>
      </c>
      <c r="T233" s="708" t="str">
        <f>+IF(JUNIO!T233=0,"",JUNIO!T233)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+IF(JUNIO!S234=0,"",JUNIO!S234)</f>
        <v>8000000</v>
      </c>
      <c r="T234" s="692" t="str">
        <f>+IF(JUNIO!T234=0,"",JUNIO!T234)</f>
        <v>Programas de Inversión</v>
      </c>
      <c r="U234" s="135">
        <f t="shared" ref="U234:AJ234" si="195">U235+U243</f>
        <v>303000000</v>
      </c>
      <c r="V234" s="124">
        <f t="shared" si="195"/>
        <v>-103000000</v>
      </c>
      <c r="W234" s="124">
        <f t="shared" si="195"/>
        <v>178000000</v>
      </c>
      <c r="X234" s="132">
        <f t="shared" si="195"/>
        <v>378000000</v>
      </c>
      <c r="Y234" s="131">
        <f t="shared" si="195"/>
        <v>120161334</v>
      </c>
      <c r="Z234" s="124">
        <f t="shared" si="195"/>
        <v>0</v>
      </c>
      <c r="AA234" s="132">
        <f t="shared" si="195"/>
        <v>120161334</v>
      </c>
      <c r="AB234" s="131">
        <f t="shared" si="195"/>
        <v>24780000</v>
      </c>
      <c r="AC234" s="124">
        <f t="shared" si="195"/>
        <v>19018000</v>
      </c>
      <c r="AD234" s="132">
        <f t="shared" si="195"/>
        <v>43798000</v>
      </c>
      <c r="AE234" s="131">
        <f t="shared" si="195"/>
        <v>21330000</v>
      </c>
      <c r="AF234" s="124">
        <f t="shared" si="195"/>
        <v>15215000</v>
      </c>
      <c r="AG234" s="132">
        <f t="shared" si="195"/>
        <v>36545000</v>
      </c>
      <c r="AH234" s="131">
        <f t="shared" si="195"/>
        <v>257838666</v>
      </c>
      <c r="AI234" s="124">
        <f t="shared" si="195"/>
        <v>334202000</v>
      </c>
      <c r="AJ234" s="133">
        <f t="shared" si="195"/>
        <v>341455000</v>
      </c>
      <c r="AK234" s="9"/>
      <c r="AL234" s="131">
        <f>AL235+AL243</f>
        <v>-34000000</v>
      </c>
      <c r="AM234" s="133">
        <f>AM235+AM243</f>
        <v>0</v>
      </c>
      <c r="AN234" s="9"/>
    </row>
    <row r="235" spans="1:64" s="385" customFormat="1" ht="24.95" customHeight="1" x14ac:dyDescent="0.2">
      <c r="A235" s="767"/>
      <c r="B235" s="669"/>
      <c r="N235" s="9"/>
      <c r="P235" s="9"/>
      <c r="Q235" s="9"/>
      <c r="R235" s="9"/>
      <c r="S235" s="719">
        <f>+IF(JUNIO!S235=0,"",JUNIO!S235)</f>
        <v>8001000</v>
      </c>
      <c r="T235" s="693" t="str">
        <f>+IF(JUNIO!T235=0,"",JUNIO!T235)</f>
        <v>Formación Bruta del Capital</v>
      </c>
      <c r="U235" s="27">
        <f t="shared" ref="U235:AJ235" si="196">SUM(U236:U241)</f>
        <v>185000000</v>
      </c>
      <c r="V235" s="15">
        <f t="shared" si="196"/>
        <v>0</v>
      </c>
      <c r="W235" s="15">
        <f t="shared" si="196"/>
        <v>0</v>
      </c>
      <c r="X235" s="18">
        <f t="shared" si="196"/>
        <v>185000000</v>
      </c>
      <c r="Y235" s="19">
        <f t="shared" si="196"/>
        <v>22968000</v>
      </c>
      <c r="Z235" s="145">
        <f t="shared" si="196"/>
        <v>-22968000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185000000</v>
      </c>
      <c r="AI235" s="15">
        <f t="shared" si="196"/>
        <v>185000000</v>
      </c>
      <c r="AJ235" s="16">
        <f t="shared" si="196"/>
        <v>185000000</v>
      </c>
      <c r="AK235" s="9"/>
      <c r="AL235" s="29">
        <f>SUM(AL236:AL241)</f>
        <v>-23000000</v>
      </c>
      <c r="AM235" s="26">
        <f>SUM(AM236:AM241)</f>
        <v>0</v>
      </c>
      <c r="AN235" s="9"/>
    </row>
    <row r="236" spans="1:64" s="385" customFormat="1" ht="24.95" customHeight="1" x14ac:dyDescent="0.2">
      <c r="A236" s="767"/>
      <c r="B236" s="669"/>
      <c r="N236" s="9"/>
      <c r="P236" s="9"/>
      <c r="Q236" s="9"/>
      <c r="R236" s="9"/>
      <c r="S236" s="720" t="str">
        <f>+IF(JUNIO!S236=0,"",JUNIO!S236)</f>
        <v>8001000-1</v>
      </c>
      <c r="T236" s="694" t="str">
        <f>+IF(JUNIO!T236=0,"",JUNIO!T236)</f>
        <v>Subprogr.Diseño Proyecto plan maestro, remodelacion y adec.primer piso</v>
      </c>
      <c r="U236" s="27">
        <f>+ENERO!U236</f>
        <v>60000000</v>
      </c>
      <c r="V236" s="15">
        <f>JUNIO!V236+JULIO!AL236</f>
        <v>0</v>
      </c>
      <c r="W236" s="15">
        <f>JUNIO!W236+JULIO!AM236</f>
        <v>0</v>
      </c>
      <c r="X236" s="18">
        <f t="shared" ref="X236:X241" si="197">SUM(U236:W236)</f>
        <v>60000000</v>
      </c>
      <c r="Y236" s="19">
        <f>JUNIO!AA236</f>
        <v>0</v>
      </c>
      <c r="Z236" s="377">
        <v>0</v>
      </c>
      <c r="AA236" s="18">
        <f t="shared" ref="AA236:AA241" si="198">SUM(Y236:Z236)</f>
        <v>0</v>
      </c>
      <c r="AB236" s="19">
        <f>JUNIO!AD236</f>
        <v>0</v>
      </c>
      <c r="AC236" s="377">
        <v>0</v>
      </c>
      <c r="AD236" s="18">
        <f t="shared" ref="AD236:AD241" si="199">SUM(AB236:AC236)</f>
        <v>0</v>
      </c>
      <c r="AE236" s="19">
        <f>JUNIO!AG236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+IF(JUNIO!S237=0,"",JUNIO!S237)</f>
        <v>8001000-2</v>
      </c>
      <c r="T237" s="694" t="str">
        <f>+IF(JUNIO!T237=0,"",JUNIO!T237)</f>
        <v>Subprogr.Adquisicion de ambulancia</v>
      </c>
      <c r="U237" s="27">
        <f>+ENERO!U237</f>
        <v>50000000</v>
      </c>
      <c r="V237" s="15">
        <f>JUNIO!V237+JULIO!AL237</f>
        <v>0</v>
      </c>
      <c r="W237" s="15">
        <f>JUNIO!W237+JULIO!AM237</f>
        <v>0</v>
      </c>
      <c r="X237" s="18">
        <f t="shared" si="197"/>
        <v>50000000</v>
      </c>
      <c r="Y237" s="19">
        <f>JUNIO!AA237</f>
        <v>0</v>
      </c>
      <c r="Z237" s="377">
        <v>0</v>
      </c>
      <c r="AA237" s="18">
        <f t="shared" si="198"/>
        <v>0</v>
      </c>
      <c r="AB237" s="19">
        <f>JUNIO!AD237</f>
        <v>0</v>
      </c>
      <c r="AC237" s="377">
        <v>0</v>
      </c>
      <c r="AD237" s="18">
        <f t="shared" si="199"/>
        <v>0</v>
      </c>
      <c r="AE237" s="19">
        <f>JUNIO!AG237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+IF(JUNIO!S238=0,"",JUNIO!S238)</f>
        <v>8001000-3</v>
      </c>
      <c r="T238" s="694" t="str">
        <f>+IF(JUNIO!T238=0,"",JUNIO!T238)</f>
        <v>Subprogr.Actualizacion software hacia NICSP y Adquisicion de Historias clinicas</v>
      </c>
      <c r="U238" s="27">
        <f>+ENERO!U238</f>
        <v>75000000</v>
      </c>
      <c r="V238" s="15">
        <f>JUNIO!V238+JULIO!AL238</f>
        <v>0</v>
      </c>
      <c r="W238" s="15">
        <f>JUNIO!W238+JULIO!AM238</f>
        <v>0</v>
      </c>
      <c r="X238" s="18">
        <f t="shared" si="197"/>
        <v>75000000</v>
      </c>
      <c r="Y238" s="19">
        <f>JUNIO!AA238</f>
        <v>0</v>
      </c>
      <c r="Z238" s="377">
        <v>0</v>
      </c>
      <c r="AA238" s="18">
        <f t="shared" si="198"/>
        <v>0</v>
      </c>
      <c r="AB238" s="19">
        <f>JUNIO!AD238</f>
        <v>0</v>
      </c>
      <c r="AC238" s="377">
        <v>0</v>
      </c>
      <c r="AD238" s="18">
        <f t="shared" si="199"/>
        <v>0</v>
      </c>
      <c r="AE238" s="19">
        <f>JUNIO!AG238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+IF(JUNIO!S239=0,"",JUNIO!S239)</f>
        <v>8001000-4</v>
      </c>
      <c r="T239" s="694" t="str">
        <f>+IF(JUNIO!T239=0,"",JUNIO!T239)</f>
        <v>Subprogr.Construc. Remodelac. Adecuación y Apliac.4</v>
      </c>
      <c r="U239" s="27">
        <f>+ENERO!U239</f>
        <v>0</v>
      </c>
      <c r="V239" s="15">
        <f>JUNIO!V239+JULIO!AL239</f>
        <v>0</v>
      </c>
      <c r="W239" s="15">
        <f>JUNIO!W239+JULIO!AM239</f>
        <v>0</v>
      </c>
      <c r="X239" s="18">
        <f t="shared" si="197"/>
        <v>0</v>
      </c>
      <c r="Y239" s="19">
        <f>JUNIO!AA239</f>
        <v>22968000</v>
      </c>
      <c r="Z239" s="377">
        <v>-22968000</v>
      </c>
      <c r="AA239" s="18">
        <f t="shared" si="198"/>
        <v>0</v>
      </c>
      <c r="AB239" s="19">
        <f>JUNIO!AD239</f>
        <v>0</v>
      </c>
      <c r="AC239" s="377">
        <v>0</v>
      </c>
      <c r="AD239" s="18">
        <f t="shared" si="199"/>
        <v>0</v>
      </c>
      <c r="AE239" s="19">
        <f>JUNIO!AG239</f>
        <v>0</v>
      </c>
      <c r="AF239" s="377">
        <v>0</v>
      </c>
      <c r="AG239" s="18">
        <f t="shared" si="200"/>
        <v>0</v>
      </c>
      <c r="AH239" s="19">
        <f t="shared" si="201"/>
        <v>0</v>
      </c>
      <c r="AI239" s="15">
        <f t="shared" si="202"/>
        <v>0</v>
      </c>
      <c r="AJ239" s="16">
        <f t="shared" si="203"/>
        <v>0</v>
      </c>
      <c r="AK239" s="9"/>
      <c r="AL239" s="375">
        <v>-23000000</v>
      </c>
      <c r="AM239" s="378">
        <v>0</v>
      </c>
      <c r="AN239" s="9"/>
    </row>
    <row r="240" spans="1:64" s="385" customFormat="1" ht="24.95" customHeight="1" x14ac:dyDescent="0.2">
      <c r="A240" s="767"/>
      <c r="B240" s="669"/>
      <c r="N240" s="9"/>
      <c r="P240" s="9"/>
      <c r="Q240" s="9"/>
      <c r="S240" s="720" t="str">
        <f>+IF(JUNIO!S240=0,"",JUNIO!S240)</f>
        <v>8001000-7</v>
      </c>
      <c r="T240" s="694" t="str">
        <f>+IF(JUNIO!T240=0,"",JUNIO!T240)</f>
        <v>Subprogr.Construc. Remodelac. Adecuación y Apliac.5</v>
      </c>
      <c r="U240" s="27">
        <f>+ENERO!U240</f>
        <v>0</v>
      </c>
      <c r="V240" s="15">
        <f>JUNIO!V240+JULIO!AL240</f>
        <v>0</v>
      </c>
      <c r="W240" s="15">
        <f>JUNIO!W240+JULIO!AM240</f>
        <v>0</v>
      </c>
      <c r="X240" s="18">
        <f t="shared" si="197"/>
        <v>0</v>
      </c>
      <c r="Y240" s="19">
        <f>JUNIO!AA240</f>
        <v>0</v>
      </c>
      <c r="Z240" s="377">
        <v>0</v>
      </c>
      <c r="AA240" s="18">
        <f t="shared" si="198"/>
        <v>0</v>
      </c>
      <c r="AB240" s="19">
        <f>JUNIO!AD240</f>
        <v>0</v>
      </c>
      <c r="AC240" s="377">
        <v>0</v>
      </c>
      <c r="AD240" s="18">
        <f t="shared" si="199"/>
        <v>0</v>
      </c>
      <c r="AE240" s="19">
        <f>JUNIO!AG240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+IF(JUNIO!S241=0,"",JUNIO!S241)</f>
        <v>8001999</v>
      </c>
      <c r="T241" s="694" t="str">
        <f>+IF(JUNIO!T241=0,"",JUNIO!T241)</f>
        <v>Vigencias Anteriores</v>
      </c>
      <c r="U241" s="27">
        <f>+ENERO!U241</f>
        <v>0</v>
      </c>
      <c r="V241" s="15">
        <f>JUNIO!V241+JULIO!AL241</f>
        <v>0</v>
      </c>
      <c r="W241" s="15">
        <f>JUNIO!W241+JULIO!AM241</f>
        <v>0</v>
      </c>
      <c r="X241" s="18">
        <f t="shared" si="197"/>
        <v>0</v>
      </c>
      <c r="Y241" s="19">
        <f>JUNIO!AA241</f>
        <v>0</v>
      </c>
      <c r="Z241" s="377">
        <v>0</v>
      </c>
      <c r="AA241" s="18">
        <f t="shared" si="198"/>
        <v>0</v>
      </c>
      <c r="AB241" s="19">
        <f>JUNIO!AD241</f>
        <v>0</v>
      </c>
      <c r="AC241" s="377">
        <v>0</v>
      </c>
      <c r="AD241" s="18">
        <f t="shared" si="199"/>
        <v>0</v>
      </c>
      <c r="AE241" s="19">
        <f>JUNIO!AG241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+IF(JUNIO!S242=0,"",JUNIO!S242)</f>
        <v/>
      </c>
      <c r="T242" s="708" t="str">
        <f>+IF(JUNIO!T242=0,"",JUNIO!T242)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+IF(JUNIO!S243=0,"",JUNIO!S243)</f>
        <v>8002001</v>
      </c>
      <c r="T243" s="693" t="str">
        <f>+IF(JUNIO!T243=0,"",JUNIO!T243)</f>
        <v>Gastos Operativos de Inversion   (Programas Especiales)</v>
      </c>
      <c r="U243" s="27">
        <f t="shared" ref="U243:AJ243" si="204">SUM(U244:U256)</f>
        <v>118000000</v>
      </c>
      <c r="V243" s="15">
        <f t="shared" si="204"/>
        <v>-103000000</v>
      </c>
      <c r="W243" s="15">
        <f t="shared" si="204"/>
        <v>178000000</v>
      </c>
      <c r="X243" s="18">
        <f t="shared" si="204"/>
        <v>193000000</v>
      </c>
      <c r="Y243" s="19">
        <f t="shared" si="204"/>
        <v>97193334</v>
      </c>
      <c r="Z243" s="145">
        <f t="shared" si="204"/>
        <v>22968000</v>
      </c>
      <c r="AA243" s="18">
        <f t="shared" si="204"/>
        <v>120161334</v>
      </c>
      <c r="AB243" s="19">
        <f t="shared" si="204"/>
        <v>24780000</v>
      </c>
      <c r="AC243" s="145">
        <f t="shared" si="204"/>
        <v>19018000</v>
      </c>
      <c r="AD243" s="18">
        <f t="shared" si="204"/>
        <v>43798000</v>
      </c>
      <c r="AE243" s="19">
        <f t="shared" si="204"/>
        <v>21330000</v>
      </c>
      <c r="AF243" s="145">
        <f t="shared" si="204"/>
        <v>15215000</v>
      </c>
      <c r="AG243" s="18">
        <f t="shared" si="204"/>
        <v>36545000</v>
      </c>
      <c r="AH243" s="19">
        <f t="shared" si="204"/>
        <v>72838666</v>
      </c>
      <c r="AI243" s="15">
        <f t="shared" si="204"/>
        <v>149202000</v>
      </c>
      <c r="AJ243" s="16">
        <f t="shared" si="204"/>
        <v>156455000</v>
      </c>
      <c r="AK243" s="9"/>
      <c r="AL243" s="19">
        <f>SUM(AL244:AL256)</f>
        <v>-11000000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+IF(JUNIO!S244=0,"",JUNIO!S244)</f>
        <v>8002100-1</v>
      </c>
      <c r="T244" s="694" t="str">
        <f>+IF(JUNIO!T244=0,"",JUNIO!T244)</f>
        <v>Fondo de la Vivienda</v>
      </c>
      <c r="U244" s="27">
        <f>+ENERO!U244</f>
        <v>0</v>
      </c>
      <c r="V244" s="15">
        <f>JUNIO!V244+JULIO!AL244</f>
        <v>0</v>
      </c>
      <c r="W244" s="15">
        <f>JUNIO!W244+JULIO!AM244</f>
        <v>0</v>
      </c>
      <c r="X244" s="18">
        <f t="shared" ref="X244:X256" si="205">SUM(U244:W244)</f>
        <v>0</v>
      </c>
      <c r="Y244" s="19">
        <f>JUNIO!AA244</f>
        <v>0</v>
      </c>
      <c r="Z244" s="377">
        <v>0</v>
      </c>
      <c r="AA244" s="18">
        <f t="shared" ref="AA244:AA256" si="206">SUM(Y244:Z244)</f>
        <v>0</v>
      </c>
      <c r="AB244" s="19">
        <f>JUNIO!AD244</f>
        <v>0</v>
      </c>
      <c r="AC244" s="377">
        <v>0</v>
      </c>
      <c r="AD244" s="18">
        <f t="shared" ref="AD244:AD256" si="207">SUM(AB244:AC244)</f>
        <v>0</v>
      </c>
      <c r="AE244" s="19">
        <f>JUNIO!AG244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+IF(JUNIO!S245=0,"",JUNIO!S245)</f>
        <v>8002100-2</v>
      </c>
      <c r="T245" s="694" t="str">
        <f>+IF(JUNIO!T245=0,"",JUNIO!T245)</f>
        <v>Programas Especial 01 Convenio APS Municipio</v>
      </c>
      <c r="U245" s="27">
        <f>+ENERO!U245</f>
        <v>94000000</v>
      </c>
      <c r="V245" s="15">
        <f>JUNIO!V245+JULIO!AL245</f>
        <v>-68000000</v>
      </c>
      <c r="W245" s="15">
        <f>JUNIO!W245+JULIO!AM245</f>
        <v>94000000</v>
      </c>
      <c r="X245" s="18">
        <f t="shared" si="205"/>
        <v>120000000</v>
      </c>
      <c r="Y245" s="19">
        <f>JUNIO!AA245</f>
        <v>74373334</v>
      </c>
      <c r="Z245" s="377">
        <v>0</v>
      </c>
      <c r="AA245" s="18">
        <f t="shared" si="206"/>
        <v>74373334</v>
      </c>
      <c r="AB245" s="19">
        <f>JUNIO!AD245</f>
        <v>19950000</v>
      </c>
      <c r="AC245" s="377">
        <v>10550000</v>
      </c>
      <c r="AD245" s="18">
        <f t="shared" si="207"/>
        <v>30500000</v>
      </c>
      <c r="AE245" s="19">
        <f>JUNIO!AG245</f>
        <v>19950000</v>
      </c>
      <c r="AF245" s="377">
        <v>9350000</v>
      </c>
      <c r="AG245" s="18">
        <f t="shared" si="208"/>
        <v>29300000</v>
      </c>
      <c r="AH245" s="19">
        <f t="shared" si="209"/>
        <v>45626666</v>
      </c>
      <c r="AI245" s="15">
        <f t="shared" si="210"/>
        <v>89500000</v>
      </c>
      <c r="AJ245" s="16">
        <f t="shared" si="211"/>
        <v>90700000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+IF(JUNIO!S246=0,"",JUNIO!S246)</f>
        <v>8002100-3</v>
      </c>
      <c r="T246" s="694" t="str">
        <f>+IF(JUNIO!T246=0,"",JUNIO!T246)</f>
        <v>Programas Especial 02 Convenios APS  Departamento</v>
      </c>
      <c r="U246" s="27">
        <f>+ENERO!U246</f>
        <v>0</v>
      </c>
      <c r="V246" s="15">
        <f>JUNIO!V246+JULIO!AL246</f>
        <v>0</v>
      </c>
      <c r="W246" s="15">
        <f>JUNIO!W246+JULIO!AM246</f>
        <v>50000000</v>
      </c>
      <c r="X246" s="18">
        <f t="shared" si="205"/>
        <v>50000000</v>
      </c>
      <c r="Y246" s="19">
        <f>JUNIO!AA246</f>
        <v>22820000</v>
      </c>
      <c r="Z246" s="377">
        <v>0</v>
      </c>
      <c r="AA246" s="18">
        <f t="shared" si="206"/>
        <v>22820000</v>
      </c>
      <c r="AB246" s="19">
        <f>JUNIO!AD246</f>
        <v>4830000</v>
      </c>
      <c r="AC246" s="377">
        <v>4640000</v>
      </c>
      <c r="AD246" s="18">
        <f t="shared" si="207"/>
        <v>9470000</v>
      </c>
      <c r="AE246" s="19">
        <f>JUNIO!AG246</f>
        <v>1380000</v>
      </c>
      <c r="AF246" s="377">
        <v>5865000</v>
      </c>
      <c r="AG246" s="18">
        <f t="shared" si="208"/>
        <v>7245000</v>
      </c>
      <c r="AH246" s="19">
        <f t="shared" si="209"/>
        <v>27180000</v>
      </c>
      <c r="AI246" s="15">
        <f t="shared" si="210"/>
        <v>40530000</v>
      </c>
      <c r="AJ246" s="16">
        <f t="shared" si="211"/>
        <v>42755000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+IF(JUNIO!S247=0,"",JUNIO!S247)</f>
        <v>8002100-4</v>
      </c>
      <c r="T247" s="694" t="str">
        <f>+IF(JUNIO!T247=0,"",JUNIO!T247)</f>
        <v>Subprogr. Implementacion Normas Internacionales de Contabilidad Publica</v>
      </c>
      <c r="U247" s="27">
        <f>+ENERO!U247</f>
        <v>0</v>
      </c>
      <c r="V247" s="15">
        <f>JUNIO!V247+JULIO!AL247</f>
        <v>23000000</v>
      </c>
      <c r="W247" s="15">
        <f>JUNIO!W247+JULIO!AM247</f>
        <v>0</v>
      </c>
      <c r="X247" s="18">
        <f t="shared" si="205"/>
        <v>23000000</v>
      </c>
      <c r="Y247" s="19">
        <f>JUNIO!AA247</f>
        <v>0</v>
      </c>
      <c r="Z247" s="377">
        <v>22968000</v>
      </c>
      <c r="AA247" s="18">
        <f t="shared" si="206"/>
        <v>22968000</v>
      </c>
      <c r="AB247" s="19">
        <f>JUNIO!AD247</f>
        <v>0</v>
      </c>
      <c r="AC247" s="377">
        <v>3828000</v>
      </c>
      <c r="AD247" s="18">
        <f t="shared" si="207"/>
        <v>3828000</v>
      </c>
      <c r="AE247" s="19">
        <f>JUNIO!AG247</f>
        <v>0</v>
      </c>
      <c r="AF247" s="377">
        <v>0</v>
      </c>
      <c r="AG247" s="18">
        <f t="shared" si="208"/>
        <v>0</v>
      </c>
      <c r="AH247" s="19">
        <f t="shared" si="209"/>
        <v>32000</v>
      </c>
      <c r="AI247" s="15">
        <f t="shared" si="210"/>
        <v>19172000</v>
      </c>
      <c r="AJ247" s="16">
        <f t="shared" si="211"/>
        <v>23000000</v>
      </c>
      <c r="AK247" s="9"/>
      <c r="AL247" s="375">
        <v>23000000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+IF(JUNIO!S248=0,"",JUNIO!S248)</f>
        <v>8002100-5</v>
      </c>
      <c r="T248" s="694" t="str">
        <f>+IF(JUNIO!T248=0,"",JUNIO!T248)</f>
        <v>Programas Especial 04 Convenio Puestos de Salud</v>
      </c>
      <c r="U248" s="27">
        <f>+ENERO!U248</f>
        <v>24000000</v>
      </c>
      <c r="V248" s="15">
        <f>JUNIO!V248+JULIO!AL248</f>
        <v>-58000000</v>
      </c>
      <c r="W248" s="15">
        <f>JUNIO!W248+JULIO!AM248</f>
        <v>34000000</v>
      </c>
      <c r="X248" s="18">
        <f t="shared" si="205"/>
        <v>0</v>
      </c>
      <c r="Y248" s="19">
        <f>JUNIO!AA248</f>
        <v>0</v>
      </c>
      <c r="Z248" s="377">
        <v>0</v>
      </c>
      <c r="AA248" s="18">
        <f t="shared" si="206"/>
        <v>0</v>
      </c>
      <c r="AB248" s="19">
        <f>JUNIO!AD248</f>
        <v>0</v>
      </c>
      <c r="AC248" s="377">
        <v>0</v>
      </c>
      <c r="AD248" s="18">
        <f t="shared" si="207"/>
        <v>0</v>
      </c>
      <c r="AE248" s="19">
        <f>JUNIO!AG248</f>
        <v>0</v>
      </c>
      <c r="AF248" s="377">
        <v>0</v>
      </c>
      <c r="AG248" s="18">
        <f t="shared" si="208"/>
        <v>0</v>
      </c>
      <c r="AH248" s="19">
        <f t="shared" si="209"/>
        <v>0</v>
      </c>
      <c r="AI248" s="15">
        <f t="shared" si="210"/>
        <v>0</v>
      </c>
      <c r="AJ248" s="16">
        <f t="shared" si="211"/>
        <v>0</v>
      </c>
      <c r="AK248" s="9"/>
      <c r="AL248" s="375">
        <v>-34000000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+IF(JUNIO!S249=0,"",JUNIO!S249)</f>
        <v>8002100-6</v>
      </c>
      <c r="T249" s="694" t="str">
        <f>+IF(JUNIO!T249=0,"",JUNIO!T249)</f>
        <v>Programas Especial 05</v>
      </c>
      <c r="U249" s="27">
        <f>+ENERO!U249</f>
        <v>0</v>
      </c>
      <c r="V249" s="15">
        <f>JUNIO!V249+JULIO!AL249</f>
        <v>0</v>
      </c>
      <c r="W249" s="15">
        <f>JUNIO!W249+JULIO!AM249</f>
        <v>0</v>
      </c>
      <c r="X249" s="18">
        <f t="shared" si="205"/>
        <v>0</v>
      </c>
      <c r="Y249" s="19">
        <f>JUNIO!AA249</f>
        <v>0</v>
      </c>
      <c r="Z249" s="377">
        <v>0</v>
      </c>
      <c r="AA249" s="18">
        <f t="shared" si="206"/>
        <v>0</v>
      </c>
      <c r="AB249" s="19">
        <f>JUNIO!AD249</f>
        <v>0</v>
      </c>
      <c r="AC249" s="377">
        <v>0</v>
      </c>
      <c r="AD249" s="18">
        <f t="shared" si="207"/>
        <v>0</v>
      </c>
      <c r="AE249" s="19">
        <f>JUNIO!AG249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+IF(JUNIO!S250=0,"",JUNIO!S250)</f>
        <v>8002100-7</v>
      </c>
      <c r="T250" s="694" t="str">
        <f>+IF(JUNIO!T250=0,"",JUNIO!T250)</f>
        <v>Programas Especial 06</v>
      </c>
      <c r="U250" s="27">
        <f>+ENERO!U250</f>
        <v>0</v>
      </c>
      <c r="V250" s="15">
        <f>JUNIO!V250+JULIO!AL250</f>
        <v>0</v>
      </c>
      <c r="W250" s="15">
        <f>JUNIO!W250+JULIO!AM250</f>
        <v>0</v>
      </c>
      <c r="X250" s="18">
        <f>SUM(U250:W250)</f>
        <v>0</v>
      </c>
      <c r="Y250" s="19">
        <f>JUNIO!AA250</f>
        <v>0</v>
      </c>
      <c r="Z250" s="377">
        <v>0</v>
      </c>
      <c r="AA250" s="18">
        <f>SUM(Y250:Z250)</f>
        <v>0</v>
      </c>
      <c r="AB250" s="19">
        <f>JUNIO!AD250</f>
        <v>0</v>
      </c>
      <c r="AC250" s="377">
        <v>0</v>
      </c>
      <c r="AD250" s="18">
        <f>SUM(AB250:AC250)</f>
        <v>0</v>
      </c>
      <c r="AE250" s="19">
        <f>JUNIO!AG250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+IF(JUNIO!S251=0,"",JUNIO!S251)</f>
        <v>8002100-8</v>
      </c>
      <c r="T251" s="694" t="str">
        <f>+IF(JUNIO!T251=0,"",JUNIO!T251)</f>
        <v>Programas Especial 07</v>
      </c>
      <c r="U251" s="27">
        <f>+ENERO!U251</f>
        <v>0</v>
      </c>
      <c r="V251" s="15">
        <f>JUNIO!V251+JULIO!AL251</f>
        <v>0</v>
      </c>
      <c r="W251" s="15">
        <f>JUNIO!W251+JULIO!AM251</f>
        <v>0</v>
      </c>
      <c r="X251" s="18">
        <f>SUM(U251:W251)</f>
        <v>0</v>
      </c>
      <c r="Y251" s="19">
        <f>JUNIO!AA251</f>
        <v>0</v>
      </c>
      <c r="Z251" s="377">
        <v>0</v>
      </c>
      <c r="AA251" s="18">
        <f>SUM(Y251:Z251)</f>
        <v>0</v>
      </c>
      <c r="AB251" s="19">
        <f>JUNIO!AD251</f>
        <v>0</v>
      </c>
      <c r="AC251" s="377">
        <v>0</v>
      </c>
      <c r="AD251" s="18">
        <f>SUM(AB251:AC251)</f>
        <v>0</v>
      </c>
      <c r="AE251" s="19">
        <f>JUNIO!AG251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+IF(JUNIO!S252=0,"",JUNIO!S252)</f>
        <v>8002100-9</v>
      </c>
      <c r="T252" s="694" t="str">
        <f>+IF(JUNIO!T252=0,"",JUNIO!T252)</f>
        <v>Programas Especial 08</v>
      </c>
      <c r="U252" s="27">
        <f>+ENERO!U252</f>
        <v>0</v>
      </c>
      <c r="V252" s="15">
        <f>JUNIO!V252+JULIO!AL252</f>
        <v>0</v>
      </c>
      <c r="W252" s="15">
        <f>JUNIO!W252+JULIO!AM252</f>
        <v>0</v>
      </c>
      <c r="X252" s="18">
        <f>SUM(U252:W252)</f>
        <v>0</v>
      </c>
      <c r="Y252" s="19">
        <f>JUNIO!AA252</f>
        <v>0</v>
      </c>
      <c r="Z252" s="377">
        <v>0</v>
      </c>
      <c r="AA252" s="18">
        <f>SUM(Y252:Z252)</f>
        <v>0</v>
      </c>
      <c r="AB252" s="19">
        <f>JUNIO!AD252</f>
        <v>0</v>
      </c>
      <c r="AC252" s="377">
        <v>0</v>
      </c>
      <c r="AD252" s="18">
        <f>SUM(AB252:AC252)</f>
        <v>0</v>
      </c>
      <c r="AE252" s="19">
        <f>JUNIO!AG252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+IF(JUNIO!S253=0,"",JUNIO!S253)</f>
        <v>8002100-10</v>
      </c>
      <c r="T253" s="694" t="str">
        <f>+IF(JUNIO!T253=0,"",JUNIO!T253)</f>
        <v>Programas Especial 09</v>
      </c>
      <c r="U253" s="27">
        <f>+ENERO!U253</f>
        <v>0</v>
      </c>
      <c r="V253" s="15">
        <f>JUNIO!V253+JULIO!AL253</f>
        <v>0</v>
      </c>
      <c r="W253" s="15">
        <f>JUNIO!W253+JULIO!AM253</f>
        <v>0</v>
      </c>
      <c r="X253" s="18">
        <f>SUM(U253:W253)</f>
        <v>0</v>
      </c>
      <c r="Y253" s="19">
        <f>JUNIO!AA253</f>
        <v>0</v>
      </c>
      <c r="Z253" s="377">
        <v>0</v>
      </c>
      <c r="AA253" s="18">
        <f>SUM(Y253:Z253)</f>
        <v>0</v>
      </c>
      <c r="AB253" s="19">
        <f>JUNIO!AD253</f>
        <v>0</v>
      </c>
      <c r="AC253" s="377">
        <v>0</v>
      </c>
      <c r="AD253" s="18">
        <f>SUM(AB253:AC253)</f>
        <v>0</v>
      </c>
      <c r="AE253" s="19">
        <f>JUNIO!AG253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+IF(JUNIO!S254=0,"",JUNIO!S254)</f>
        <v>8002100-11</v>
      </c>
      <c r="T254" s="694" t="str">
        <f>+IF(JUNIO!T254=0,"",JUNIO!T254)</f>
        <v>Programas Especial 10</v>
      </c>
      <c r="U254" s="27">
        <f>+ENERO!U254</f>
        <v>0</v>
      </c>
      <c r="V254" s="15">
        <f>JUNIO!V254+JULIO!AL254</f>
        <v>0</v>
      </c>
      <c r="W254" s="15">
        <f>JUNIO!W254+JULIO!AM254</f>
        <v>0</v>
      </c>
      <c r="X254" s="18">
        <f>SUM(U254:W254)</f>
        <v>0</v>
      </c>
      <c r="Y254" s="19">
        <f>JUNIO!AA254</f>
        <v>0</v>
      </c>
      <c r="Z254" s="377">
        <v>0</v>
      </c>
      <c r="AA254" s="18">
        <f>SUM(Y254:Z254)</f>
        <v>0</v>
      </c>
      <c r="AB254" s="19">
        <f>JUNIO!AD254</f>
        <v>0</v>
      </c>
      <c r="AC254" s="377">
        <v>0</v>
      </c>
      <c r="AD254" s="18">
        <f>SUM(AB254:AC254)</f>
        <v>0</v>
      </c>
      <c r="AE254" s="19">
        <f>JUNIO!AG254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+IF(JUNIO!S255=0,"",JUNIO!S255)</f>
        <v>8002100-12</v>
      </c>
      <c r="T255" s="694" t="str">
        <f>+IF(JUNIO!T255=0,"",JUNIO!T255)</f>
        <v>Programas Especial 11</v>
      </c>
      <c r="U255" s="27">
        <f>+ENERO!U255</f>
        <v>0</v>
      </c>
      <c r="V255" s="15">
        <f>JUNIO!V255+JULIO!AL255</f>
        <v>0</v>
      </c>
      <c r="W255" s="15">
        <f>JUNIO!W255+JULIO!AM255</f>
        <v>0</v>
      </c>
      <c r="X255" s="18">
        <f t="shared" si="205"/>
        <v>0</v>
      </c>
      <c r="Y255" s="19">
        <f>JUNIO!AA255</f>
        <v>0</v>
      </c>
      <c r="Z255" s="377">
        <v>0</v>
      </c>
      <c r="AA255" s="18">
        <f t="shared" si="206"/>
        <v>0</v>
      </c>
      <c r="AB255" s="19">
        <f>JUNIO!AD255</f>
        <v>0</v>
      </c>
      <c r="AC255" s="377">
        <v>0</v>
      </c>
      <c r="AD255" s="18">
        <f t="shared" si="207"/>
        <v>0</v>
      </c>
      <c r="AE255" s="19">
        <f>JUNIO!AG255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+IF(JUNIO!S256=0,"",JUNIO!S256)</f>
        <v>8002999</v>
      </c>
      <c r="T256" s="710" t="str">
        <f>+IF(JUNIO!T256=0,"",JUNIO!T256)</f>
        <v>Vigencias Anteriores</v>
      </c>
      <c r="U256" s="136">
        <f>+ENERO!U256</f>
        <v>0</v>
      </c>
      <c r="V256" s="123">
        <f>JUNIO!V256+JULIO!AL256</f>
        <v>0</v>
      </c>
      <c r="W256" s="123">
        <f>JUNIO!W256+JULIO!AM256</f>
        <v>0</v>
      </c>
      <c r="X256" s="129">
        <f t="shared" si="205"/>
        <v>0</v>
      </c>
      <c r="Y256" s="127">
        <f>JUNIO!AA256</f>
        <v>0</v>
      </c>
      <c r="Z256" s="391">
        <v>0</v>
      </c>
      <c r="AA256" s="129">
        <f t="shared" si="206"/>
        <v>0</v>
      </c>
      <c r="AB256" s="127">
        <f>JUNIO!AD256</f>
        <v>0</v>
      </c>
      <c r="AC256" s="391">
        <v>0</v>
      </c>
      <c r="AD256" s="129">
        <f t="shared" si="207"/>
        <v>0</v>
      </c>
      <c r="AE256" s="127">
        <f>JUNIO!AG256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+IF(JUNIO!S257=0,"",JUNIO!S257)</f>
        <v/>
      </c>
      <c r="T257" s="707" t="str">
        <f>+IF(JUNIO!T257=0,"",JUNIO!T257)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+IF(JUNIO!S258=0,"",JUNIO!S258)</f>
        <v>E</v>
      </c>
      <c r="T258" s="711" t="str">
        <f>+IF(JUNIO!T258=0,"",JUNIO!T258)</f>
        <v>DISPONIBILIDAD FINAL</v>
      </c>
      <c r="U258" s="341">
        <f t="shared" ref="U258:AJ258" si="212">+(C10+C17+C113)-(U10+U207+U220+U232)</f>
        <v>0</v>
      </c>
      <c r="V258" s="341">
        <f t="shared" si="212"/>
        <v>0</v>
      </c>
      <c r="W258" s="341">
        <f t="shared" si="212"/>
        <v>0</v>
      </c>
      <c r="X258" s="341">
        <f t="shared" si="212"/>
        <v>0</v>
      </c>
      <c r="Y258" s="341">
        <f t="shared" si="212"/>
        <v>15456</v>
      </c>
      <c r="Z258" s="341">
        <f t="shared" si="212"/>
        <v>175544473</v>
      </c>
      <c r="AA258" s="341">
        <f t="shared" si="212"/>
        <v>175559929</v>
      </c>
      <c r="AB258" s="341">
        <f t="shared" si="212"/>
        <v>-384342507</v>
      </c>
      <c r="AC258" s="341">
        <f t="shared" si="212"/>
        <v>84754447</v>
      </c>
      <c r="AD258" s="341">
        <f t="shared" si="212"/>
        <v>-299588060</v>
      </c>
      <c r="AE258" s="341">
        <f t="shared" si="212"/>
        <v>24415944</v>
      </c>
      <c r="AF258" s="341">
        <f t="shared" si="212"/>
        <v>1937031430</v>
      </c>
      <c r="AG258" s="341">
        <f t="shared" si="212"/>
        <v>-1609195588</v>
      </c>
      <c r="AH258" s="341">
        <f t="shared" si="212"/>
        <v>-1568747063</v>
      </c>
      <c r="AI258" s="341">
        <f t="shared" si="212"/>
        <v>-1877867768</v>
      </c>
      <c r="AJ258" s="341">
        <f t="shared" si="212"/>
        <v>-2281405159</v>
      </c>
      <c r="AK258" s="9"/>
      <c r="AL258" s="341">
        <v>0</v>
      </c>
      <c r="AM258" s="342">
        <v>0</v>
      </c>
    </row>
    <row r="259" spans="1:39" ht="24.95" customHeight="1" thickBot="1" x14ac:dyDescent="0.25">
      <c r="S259" s="912" t="str">
        <f>+IF(JUNIO!S259=0,"",JUNIO!S259)</f>
        <v>TOTAL VIGENCIAS ANTERIORES</v>
      </c>
      <c r="T259" s="913"/>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296525291</v>
      </c>
      <c r="AF259" s="115">
        <f t="shared" si="213"/>
        <v>4287996</v>
      </c>
      <c r="AG259" s="126">
        <f t="shared" si="213"/>
        <v>300813287</v>
      </c>
      <c r="AH259" s="125">
        <f t="shared" si="213"/>
        <v>0</v>
      </c>
      <c r="AI259" s="115">
        <f t="shared" si="213"/>
        <v>0</v>
      </c>
      <c r="AJ259" s="116">
        <f t="shared" si="213"/>
        <v>41550769</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37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5"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1:BS260"/>
  <sheetViews>
    <sheetView showGridLines="0" topLeftCell="A104" zoomScale="80" zoomScaleNormal="80" workbookViewId="0">
      <selection activeCell="H38" sqref="H38"/>
    </sheetView>
  </sheetViews>
  <sheetFormatPr baseColWidth="10" defaultColWidth="0" defaultRowHeight="24.95" customHeight="1" x14ac:dyDescent="0.2"/>
  <cols>
    <col min="1" max="1" width="13.5703125" style="768" customWidth="1"/>
    <col min="2" max="2" width="50.5703125" style="670" customWidth="1"/>
    <col min="3" max="3" width="14.425781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5703125" style="712" customWidth="1"/>
    <col min="20" max="20" width="60.140625" style="686" customWidth="1"/>
    <col min="21" max="21" width="15.85546875" style="275" customWidth="1"/>
    <col min="22" max="23" width="14.7109375" style="275" customWidth="1"/>
    <col min="24" max="24" width="16.140625" style="275" customWidth="1"/>
    <col min="25" max="25" width="16" style="275" customWidth="1"/>
    <col min="26" max="26" width="14.7109375" style="275" customWidth="1"/>
    <col min="27" max="28" width="16" style="275" customWidth="1"/>
    <col min="29" max="29" width="14.7109375" style="275" customWidth="1"/>
    <col min="30" max="30" width="16.28515625" style="275" customWidth="1"/>
    <col min="31" max="31" width="16" style="275" customWidth="1"/>
    <col min="32" max="32" width="14.7109375" style="275" customWidth="1"/>
    <col min="33" max="33" width="16"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6"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7.570312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80" t="str">
        <f>IF($F$8-$X$8=0," ","OJO: PRESUPUESTO DESEQUILIBRADO")</f>
        <v xml:space="preserve"> </v>
      </c>
      <c r="B1" s="880"/>
      <c r="C1" s="934"/>
      <c r="D1" s="934"/>
      <c r="E1" s="934"/>
      <c r="F1" s="934"/>
      <c r="G1" s="934"/>
      <c r="H1" s="934"/>
      <c r="I1" s="934"/>
      <c r="J1" s="934"/>
      <c r="K1" s="881" t="str">
        <f>+IF(L8&gt;I8,"OJO - SUS RECAUDOS SON SUPERIORES A SUS RECONOCIMIENTOS, VERIFIQUE","")</f>
        <v/>
      </c>
      <c r="L1" s="881"/>
      <c r="M1" s="881"/>
      <c r="N1" s="881"/>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39" customHeight="1" thickBot="1" x14ac:dyDescent="0.3">
      <c r="A2" s="765"/>
      <c r="B2" s="732" t="s">
        <v>489</v>
      </c>
      <c r="C2" s="277"/>
      <c r="D2" s="890" t="str">
        <f>+IF(F2="","","MUNICIPIO:")</f>
        <v>MUNICIPIO:</v>
      </c>
      <c r="E2" s="890"/>
      <c r="F2" s="278" t="str">
        <f>IF(INSTRUCCIONES!B3=0,"",INSTRUCCIONES!B3)</f>
        <v>TITIRIBI</v>
      </c>
      <c r="G2" s="279"/>
      <c r="H2" s="279"/>
      <c r="I2" s="279"/>
      <c r="J2" s="279"/>
      <c r="K2" s="280"/>
      <c r="L2" s="891" t="s">
        <v>392</v>
      </c>
      <c r="M2" s="865"/>
      <c r="N2" s="281" t="s">
        <v>393</v>
      </c>
      <c r="P2" s="899" t="s">
        <v>478</v>
      </c>
      <c r="Q2" s="900"/>
      <c r="R2" s="282"/>
      <c r="S2" s="713"/>
      <c r="T2" s="672" t="s">
        <v>489</v>
      </c>
      <c r="U2" s="277"/>
      <c r="V2" s="898" t="str">
        <f>+IF(Y2="","","M U N I C I P I O:")</f>
        <v>M U N I C I P I O:</v>
      </c>
      <c r="W2" s="898"/>
      <c r="X2" s="898"/>
      <c r="Y2" s="867" t="str">
        <f>IF(INSTRUCCIONES!B3=0,"",INSTRUCCIONES!B3)</f>
        <v>TITIRIBI</v>
      </c>
      <c r="Z2" s="867"/>
      <c r="AA2" s="867"/>
      <c r="AB2" s="867"/>
      <c r="AC2" s="867"/>
      <c r="AD2" s="867"/>
      <c r="AE2" s="867"/>
      <c r="AF2" s="867"/>
      <c r="AG2" s="868"/>
      <c r="AH2" s="865" t="s">
        <v>392</v>
      </c>
      <c r="AI2" s="866"/>
      <c r="AJ2" s="281" t="s">
        <v>393</v>
      </c>
      <c r="AL2" s="899" t="s">
        <v>478</v>
      </c>
      <c r="AM2" s="900"/>
      <c r="AO2" s="2">
        <v>8</v>
      </c>
      <c r="AP2" s="283" t="s">
        <v>8</v>
      </c>
      <c r="AQ2" s="284"/>
      <c r="AR2" s="3"/>
      <c r="AS2" s="3"/>
      <c r="AT2" s="3"/>
      <c r="AU2" s="3"/>
      <c r="AV2" s="3"/>
      <c r="AW2" s="3"/>
      <c r="AX2" s="3"/>
      <c r="AY2" s="3"/>
      <c r="AZ2" s="4"/>
      <c r="BB2" s="899" t="s">
        <v>404</v>
      </c>
      <c r="BC2" s="901"/>
      <c r="BD2" s="51" t="s">
        <v>392</v>
      </c>
      <c r="BE2" s="281" t="str">
        <f>+L3</f>
        <v>AGOSTO</v>
      </c>
      <c r="BF2" s="276"/>
      <c r="BG2" s="899" t="s">
        <v>405</v>
      </c>
      <c r="BH2" s="901"/>
      <c r="BI2" s="901"/>
      <c r="BJ2" s="51" t="s">
        <v>392</v>
      </c>
      <c r="BK2" s="281" t="str">
        <f>+BE2</f>
        <v>AGOSTO</v>
      </c>
      <c r="BM2" s="899" t="s">
        <v>405</v>
      </c>
      <c r="BN2" s="901"/>
      <c r="BO2" s="901"/>
      <c r="BP2" s="51" t="s">
        <v>392</v>
      </c>
      <c r="BQ2" s="281" t="str">
        <f>+BK2</f>
        <v>AGOSTO</v>
      </c>
    </row>
    <row r="3" spans="1:69" ht="24.95" customHeight="1" thickBot="1" x14ac:dyDescent="0.3">
      <c r="A3" s="766"/>
      <c r="B3" s="914" t="s">
        <v>9</v>
      </c>
      <c r="C3" s="285"/>
      <c r="D3" s="930" t="str">
        <f>+IF(F3="","","INSTITUCION:")</f>
        <v>INSTITUCION:</v>
      </c>
      <c r="E3" s="930"/>
      <c r="F3" s="882" t="str">
        <f>IF(INSTRUCCIONES!B5=0,"",INSTRUCCIONES!B5)</f>
        <v>ESE HOSPITAL SAN JUAN DE DIOS</v>
      </c>
      <c r="G3" s="882"/>
      <c r="H3" s="882"/>
      <c r="I3" s="882"/>
      <c r="J3" s="882"/>
      <c r="K3" s="883"/>
      <c r="L3" s="915" t="s">
        <v>376</v>
      </c>
      <c r="M3" s="916"/>
      <c r="N3" s="888">
        <f>+INSTRUCCIONES!F3</f>
        <v>2015</v>
      </c>
      <c r="P3" s="904" t="s">
        <v>544</v>
      </c>
      <c r="Q3" s="907" t="s">
        <v>551</v>
      </c>
      <c r="R3" s="282"/>
      <c r="S3" s="714"/>
      <c r="T3" s="914" t="s">
        <v>11</v>
      </c>
      <c r="U3" s="286"/>
      <c r="V3" s="855" t="str">
        <f>+IF(Y3="","","E.S.E. H O S P I T A L:")</f>
        <v>E.S.E. H O S P I T A L:</v>
      </c>
      <c r="W3" s="855"/>
      <c r="X3" s="855"/>
      <c r="Y3" s="857" t="str">
        <f>IF(INSTRUCCIONES!B5=0,"",INSTRUCCIONES!B5)</f>
        <v>ESE HOSPITAL SAN JUAN DE DIOS</v>
      </c>
      <c r="Z3" s="857"/>
      <c r="AA3" s="857"/>
      <c r="AB3" s="857"/>
      <c r="AC3" s="857"/>
      <c r="AD3" s="857"/>
      <c r="AE3" s="857"/>
      <c r="AF3" s="857"/>
      <c r="AG3" s="858"/>
      <c r="AH3" s="861" t="str">
        <f>+L3</f>
        <v>AGOSTO</v>
      </c>
      <c r="AI3" s="862"/>
      <c r="AJ3" s="853">
        <f>+N3</f>
        <v>2015</v>
      </c>
      <c r="AL3" s="904" t="s">
        <v>552</v>
      </c>
      <c r="AM3" s="907" t="s">
        <v>551</v>
      </c>
      <c r="AO3" s="5"/>
      <c r="AP3" s="287" t="s">
        <v>13</v>
      </c>
      <c r="AQ3" s="288"/>
      <c r="AR3" s="288"/>
      <c r="AS3" s="288"/>
      <c r="AT3" s="288"/>
      <c r="AU3" s="288"/>
      <c r="AV3" s="288"/>
      <c r="AW3" s="288"/>
      <c r="AX3" s="288"/>
      <c r="AY3" s="288"/>
      <c r="AZ3" s="289"/>
      <c r="BB3" s="902" t="str">
        <f>+CONCATENATE(INSTRUCCIONES!B5, " - ", INSTRUCCIONES!B3)</f>
        <v>ESE HOSPITAL SAN JUAN DE DIOS - TITIRIBI</v>
      </c>
      <c r="BC3" s="903"/>
      <c r="BD3" s="52" t="s">
        <v>393</v>
      </c>
      <c r="BE3" s="50">
        <f>+N3</f>
        <v>2015</v>
      </c>
      <c r="BF3" s="6" t="s">
        <v>14</v>
      </c>
      <c r="BG3" s="902" t="str">
        <f>+CONCATENATE(INSTRUCCIONES!B5, " - ", INSTRUCCIONES!B3)</f>
        <v>ESE HOSPITAL SAN JUAN DE DIOS - TITIRIBI</v>
      </c>
      <c r="BH3" s="903"/>
      <c r="BI3" s="903"/>
      <c r="BJ3" s="52" t="s">
        <v>393</v>
      </c>
      <c r="BK3" s="50">
        <f>+BE3</f>
        <v>2015</v>
      </c>
      <c r="BM3" s="902" t="str">
        <f>+CONCATENATE(INSTRUCCIONES!B5, " - ", INSTRUCCIONES!B3)</f>
        <v>ESE HOSPITAL SAN JUAN DE DIOS - TITIRIBI</v>
      </c>
      <c r="BN3" s="903"/>
      <c r="BO3" s="903"/>
      <c r="BP3" s="52" t="s">
        <v>393</v>
      </c>
      <c r="BQ3" s="50">
        <f>+BK3</f>
        <v>2015</v>
      </c>
    </row>
    <row r="4" spans="1:69" ht="24.95" customHeight="1" thickBot="1" x14ac:dyDescent="0.25">
      <c r="A4" s="766"/>
      <c r="B4" s="939"/>
      <c r="C4" s="290"/>
      <c r="D4" s="931"/>
      <c r="E4" s="931"/>
      <c r="F4" s="884"/>
      <c r="G4" s="884"/>
      <c r="H4" s="884"/>
      <c r="I4" s="884"/>
      <c r="J4" s="884"/>
      <c r="K4" s="885"/>
      <c r="L4" s="917"/>
      <c r="M4" s="918"/>
      <c r="N4" s="889"/>
      <c r="P4" s="905"/>
      <c r="Q4" s="908"/>
      <c r="R4" s="282"/>
      <c r="S4" s="714"/>
      <c r="T4" s="914"/>
      <c r="U4" s="290"/>
      <c r="V4" s="856"/>
      <c r="W4" s="856"/>
      <c r="X4" s="856"/>
      <c r="Y4" s="859"/>
      <c r="Z4" s="859"/>
      <c r="AA4" s="859"/>
      <c r="AB4" s="859"/>
      <c r="AC4" s="859"/>
      <c r="AD4" s="859"/>
      <c r="AE4" s="859"/>
      <c r="AF4" s="859"/>
      <c r="AG4" s="860"/>
      <c r="AH4" s="863"/>
      <c r="AI4" s="864"/>
      <c r="AJ4" s="854"/>
      <c r="AL4" s="905"/>
      <c r="AM4" s="908"/>
      <c r="AO4" s="5"/>
      <c r="AP4" s="291"/>
      <c r="AQ4" s="292" t="s">
        <v>15</v>
      </c>
      <c r="AR4" s="292" t="s">
        <v>16</v>
      </c>
      <c r="AS4" s="292" t="s">
        <v>17</v>
      </c>
      <c r="AT4" s="292" t="s">
        <v>18</v>
      </c>
      <c r="AU4" s="292" t="s">
        <v>18</v>
      </c>
      <c r="AV4" s="293" t="s">
        <v>18</v>
      </c>
      <c r="AW4" s="872" t="str">
        <f>+CONCATENATE("PROYECCION A DICIEMBRE 31 DEL ",N3)</f>
        <v>PROYECCION A DICIEMBRE 31 DEL 2015</v>
      </c>
      <c r="AX4" s="873"/>
      <c r="AY4" s="873"/>
      <c r="AZ4" s="874"/>
      <c r="BB4" s="294"/>
      <c r="BC4" s="295"/>
      <c r="BD4" s="295"/>
      <c r="BE4" s="47"/>
      <c r="BF4" s="7"/>
      <c r="BG4" s="294"/>
      <c r="BH4" s="295"/>
      <c r="BI4" s="295"/>
      <c r="BJ4" s="48"/>
      <c r="BK4" s="296"/>
      <c r="BL4" s="8"/>
      <c r="BM4" s="294"/>
      <c r="BN4" s="297"/>
      <c r="BO4" s="297"/>
      <c r="BP4" s="49"/>
      <c r="BQ4" s="298"/>
    </row>
    <row r="5" spans="1:69" ht="42" customHeight="1" thickBot="1" x14ac:dyDescent="0.3">
      <c r="A5" s="935" t="s">
        <v>19</v>
      </c>
      <c r="B5" s="937" t="s">
        <v>20</v>
      </c>
      <c r="C5" s="919" t="s">
        <v>21</v>
      </c>
      <c r="D5" s="920"/>
      <c r="E5" s="920"/>
      <c r="F5" s="921"/>
      <c r="G5" s="922" t="s">
        <v>548</v>
      </c>
      <c r="H5" s="923"/>
      <c r="I5" s="924"/>
      <c r="J5" s="925" t="str">
        <f>+IF(L8&gt;I8,"OJO - RECAUDOS MAYORES QUE RECONOCIMIENTOS","RECAUDO")</f>
        <v>RECAUDO</v>
      </c>
      <c r="K5" s="926"/>
      <c r="L5" s="927"/>
      <c r="M5" s="928" t="s">
        <v>23</v>
      </c>
      <c r="N5" s="929"/>
      <c r="P5" s="906"/>
      <c r="Q5" s="909"/>
      <c r="R5" s="282"/>
      <c r="S5" s="945" t="s">
        <v>490</v>
      </c>
      <c r="T5" s="932" t="s">
        <v>20</v>
      </c>
      <c r="U5" s="299" t="s">
        <v>21</v>
      </c>
      <c r="V5" s="300"/>
      <c r="W5" s="300"/>
      <c r="X5" s="301"/>
      <c r="Y5" s="302" t="s">
        <v>549</v>
      </c>
      <c r="Z5" s="300"/>
      <c r="AA5" s="300"/>
      <c r="AB5" s="850" t="s">
        <v>550</v>
      </c>
      <c r="AC5" s="851"/>
      <c r="AD5" s="852"/>
      <c r="AE5" s="850" t="s">
        <v>24</v>
      </c>
      <c r="AF5" s="851"/>
      <c r="AG5" s="852"/>
      <c r="AH5" s="850" t="s">
        <v>25</v>
      </c>
      <c r="AI5" s="851"/>
      <c r="AJ5" s="852"/>
      <c r="AL5" s="906"/>
      <c r="AM5" s="909"/>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5" t="str">
        <f>+CONCATENATE("ACUMULADO ",N3)</f>
        <v>ACUMULADO 2015</v>
      </c>
      <c r="BI5" s="876"/>
      <c r="BJ5" s="876"/>
      <c r="BK5" s="877"/>
      <c r="BM5" s="910" t="s">
        <v>34</v>
      </c>
      <c r="BN5" s="311" t="str">
        <f>+CONCATENATE("ACUMULADO ",BQ3)</f>
        <v>ACUMULADO 2015</v>
      </c>
      <c r="BO5" s="312"/>
      <c r="BP5" s="313"/>
      <c r="BQ5" s="314"/>
    </row>
    <row r="6" spans="1:69" ht="24.95" customHeight="1" thickBot="1" x14ac:dyDescent="0.25">
      <c r="A6" s="936"/>
      <c r="B6" s="938"/>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946" t="s">
        <v>44</v>
      </c>
      <c r="T6" s="933"/>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AGOSTO</v>
      </c>
      <c r="AS6" s="319" t="str">
        <f>AR6</f>
        <v>AGOSTO</v>
      </c>
      <c r="AT6" s="319" t="str">
        <f>AR6</f>
        <v>AGOSTO</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11"/>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1281404872</v>
      </c>
      <c r="AS7" s="330">
        <f>L22</f>
        <v>696911732</v>
      </c>
      <c r="AT7" s="13"/>
      <c r="AU7" s="331">
        <f t="shared" ref="AU7:AU17" si="0">IF(AQ7=0," ",AR7/AQ7)</f>
        <v>0.72858622480680846</v>
      </c>
      <c r="AV7" s="331">
        <f t="shared" ref="AV7:AV17" si="1">IF(AQ7=0," ",AS7/AQ7)</f>
        <v>0.39625281512231852</v>
      </c>
      <c r="AW7" s="330">
        <f>I23/AO$2*12+I24</f>
        <v>1717306084.5</v>
      </c>
      <c r="AX7" s="330">
        <f>L23/AO$2*12+L24</f>
        <v>840566374.5</v>
      </c>
      <c r="AY7" s="330">
        <f t="shared" ref="AY7:AY16" si="2">AW7-AQ7</f>
        <v>-41449198.5</v>
      </c>
      <c r="AZ7" s="332">
        <f t="shared" ref="AZ7:AZ16" si="3">AX7-AQ7</f>
        <v>-918188908.5</v>
      </c>
      <c r="BB7" s="333" t="s">
        <v>55</v>
      </c>
      <c r="BC7" s="54">
        <f>F10</f>
        <v>90342061</v>
      </c>
      <c r="BD7" s="55">
        <f>I10</f>
        <v>90342061</v>
      </c>
      <c r="BE7" s="56">
        <f>K10</f>
        <v>0</v>
      </c>
      <c r="BF7" s="57"/>
      <c r="BG7" s="91" t="s">
        <v>56</v>
      </c>
      <c r="BH7" s="117">
        <f>+SUM(BH8:BH11)</f>
        <v>2821019353</v>
      </c>
      <c r="BI7" s="117">
        <f>+SUM(BI8:BI11)</f>
        <v>1812057357</v>
      </c>
      <c r="BJ7" s="117">
        <f>+SUM(BJ8:BJ11)</f>
        <v>1638498241</v>
      </c>
      <c r="BK7" s="117">
        <f>+SUM(BK8:BK11)</f>
        <v>163815785</v>
      </c>
      <c r="BM7" s="61" t="s">
        <v>56</v>
      </c>
      <c r="BN7" s="62">
        <f>BN8+BN15+BN22</f>
        <v>2821019353</v>
      </c>
      <c r="BO7" s="63">
        <f>BO8+BO15+BO22</f>
        <v>1812057357</v>
      </c>
      <c r="BP7" s="63">
        <f>BP8+BP15+BP22</f>
        <v>1638498241</v>
      </c>
      <c r="BQ7" s="64">
        <f>BQ8+BQ15+BQ22</f>
        <v>163815785</v>
      </c>
    </row>
    <row r="8" spans="1:69" s="9" customFormat="1" ht="24.95" customHeight="1" thickBot="1" x14ac:dyDescent="0.3">
      <c r="A8" s="744">
        <f>+IF(JULIO!A8=0,"",JULIO!A8)</f>
        <v>1</v>
      </c>
      <c r="B8" s="643" t="str">
        <f>+IF(JULIO!B8=0,"",JULIO!B8)</f>
        <v>INGRESOS</v>
      </c>
      <c r="C8" s="334">
        <f>C10+C17+C113</f>
        <v>3135701014</v>
      </c>
      <c r="D8" s="334">
        <f t="shared" ref="D8:Q8" si="4">D10+D17+D113</f>
        <v>0</v>
      </c>
      <c r="E8" s="334">
        <f t="shared" si="4"/>
        <v>754899733</v>
      </c>
      <c r="F8" s="334">
        <f t="shared" si="4"/>
        <v>3890600747</v>
      </c>
      <c r="G8" s="334">
        <f t="shared" si="4"/>
        <v>2497413613</v>
      </c>
      <c r="H8" s="334">
        <f t="shared" si="4"/>
        <v>239260353</v>
      </c>
      <c r="I8" s="334">
        <f t="shared" si="4"/>
        <v>2736673966</v>
      </c>
      <c r="J8" s="334">
        <f t="shared" si="4"/>
        <v>1713144919</v>
      </c>
      <c r="K8" s="334">
        <f t="shared" si="4"/>
        <v>167411073</v>
      </c>
      <c r="L8" s="334">
        <f t="shared" si="4"/>
        <v>1880555992</v>
      </c>
      <c r="M8" s="334">
        <f t="shared" si="4"/>
        <v>1153926781</v>
      </c>
      <c r="N8" s="334">
        <f t="shared" si="4"/>
        <v>2010044755</v>
      </c>
      <c r="O8" s="336"/>
      <c r="P8" s="337">
        <f t="shared" si="4"/>
        <v>0</v>
      </c>
      <c r="Q8" s="335">
        <f t="shared" si="4"/>
        <v>0</v>
      </c>
      <c r="S8" s="715" t="str">
        <f>+IF(JULIO!S8=0,"",JULIO!S8)</f>
        <v/>
      </c>
      <c r="T8" s="687" t="str">
        <f>+IF(JULIO!T8=0,"",JULIO!T8)</f>
        <v>GASTOS</v>
      </c>
      <c r="U8" s="338">
        <f t="shared" ref="U8:AM8" si="5">U10+U207+U220+U232</f>
        <v>3135701014</v>
      </c>
      <c r="V8" s="339">
        <f t="shared" si="5"/>
        <v>0</v>
      </c>
      <c r="W8" s="339">
        <f t="shared" si="5"/>
        <v>754899733</v>
      </c>
      <c r="X8" s="340">
        <f t="shared" si="5"/>
        <v>3890600747</v>
      </c>
      <c r="Y8" s="341">
        <f t="shared" si="5"/>
        <v>2321853684</v>
      </c>
      <c r="Z8" s="339">
        <f t="shared" si="5"/>
        <v>182017005</v>
      </c>
      <c r="AA8" s="340">
        <f t="shared" si="5"/>
        <v>2503870689</v>
      </c>
      <c r="AB8" s="341">
        <f t="shared" si="5"/>
        <v>2012732979</v>
      </c>
      <c r="AC8" s="339">
        <f t="shared" si="5"/>
        <v>242008163</v>
      </c>
      <c r="AD8" s="340">
        <f t="shared" si="5"/>
        <v>2254741142</v>
      </c>
      <c r="AE8" s="341">
        <f t="shared" si="5"/>
        <v>1609195588</v>
      </c>
      <c r="AF8" s="339">
        <f t="shared" si="5"/>
        <v>182762254</v>
      </c>
      <c r="AG8" s="340">
        <f t="shared" si="5"/>
        <v>1791957842</v>
      </c>
      <c r="AH8" s="341">
        <f t="shared" si="5"/>
        <v>1386730058</v>
      </c>
      <c r="AI8" s="339">
        <f t="shared" si="5"/>
        <v>1635859605</v>
      </c>
      <c r="AJ8" s="342">
        <f t="shared" si="5"/>
        <v>2098642905</v>
      </c>
      <c r="AL8" s="343">
        <f t="shared" si="5"/>
        <v>0</v>
      </c>
      <c r="AM8" s="344">
        <f t="shared" si="5"/>
        <v>0</v>
      </c>
      <c r="AO8" s="21"/>
      <c r="AP8" s="11" t="s">
        <v>58</v>
      </c>
      <c r="AQ8" s="12">
        <f>F25</f>
        <v>945539330</v>
      </c>
      <c r="AR8" s="12">
        <f>I25</f>
        <v>596438413</v>
      </c>
      <c r="AS8" s="12">
        <f>L25</f>
        <v>404954793</v>
      </c>
      <c r="AT8" s="13"/>
      <c r="AU8" s="345">
        <f t="shared" si="0"/>
        <v>0.63079175458518477</v>
      </c>
      <c r="AV8" s="345">
        <f t="shared" si="1"/>
        <v>0.42827916317346632</v>
      </c>
      <c r="AW8" s="12">
        <f>I26/AO$2*12+I27</f>
        <v>873958436</v>
      </c>
      <c r="AX8" s="12">
        <f>L26/AO$2*12+L27</f>
        <v>586733006</v>
      </c>
      <c r="AY8" s="12">
        <f t="shared" si="2"/>
        <v>-71580894</v>
      </c>
      <c r="AZ8" s="346">
        <f t="shared" si="3"/>
        <v>-358806324</v>
      </c>
      <c r="BB8" s="143" t="s">
        <v>59</v>
      </c>
      <c r="BC8" s="65">
        <f>BC9+BC19</f>
        <v>3195036512</v>
      </c>
      <c r="BD8" s="66">
        <f>BD9+BD19</f>
        <v>2115060618</v>
      </c>
      <c r="BE8" s="67">
        <f>BE9+BE19</f>
        <v>161869725</v>
      </c>
      <c r="BF8" s="57"/>
      <c r="BG8" s="68" t="s">
        <v>60</v>
      </c>
      <c r="BH8" s="69">
        <f>BN9+BN13</f>
        <v>1707852065</v>
      </c>
      <c r="BI8" s="69">
        <f>BO9+BO13</f>
        <v>1012587832</v>
      </c>
      <c r="BJ8" s="69">
        <f>BP9+BP13</f>
        <v>1012587832</v>
      </c>
      <c r="BK8" s="69">
        <f>BQ9+BQ13</f>
        <v>121619011</v>
      </c>
      <c r="BM8" s="71" t="s">
        <v>61</v>
      </c>
      <c r="BN8" s="72">
        <f>BN9+BN14+BN13</f>
        <v>2098181582</v>
      </c>
      <c r="BO8" s="69">
        <f>BO9+BO14+BO13</f>
        <v>1368841332</v>
      </c>
      <c r="BP8" s="69">
        <f>BP9+BP14+BP13</f>
        <v>1235596352</v>
      </c>
      <c r="BQ8" s="70">
        <f>BQ9+BQ14+BQ13</f>
        <v>142746209</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219504075</v>
      </c>
      <c r="AS9" s="12">
        <f>L28+L75</f>
        <v>201289791</v>
      </c>
      <c r="AT9" s="13"/>
      <c r="AU9" s="353">
        <f t="shared" si="0"/>
        <v>0.62585481769874762</v>
      </c>
      <c r="AV9" s="353">
        <f t="shared" si="1"/>
        <v>0.57392185293564146</v>
      </c>
      <c r="AW9" s="354">
        <f>(I30+I33+I36+I76)/AO$2*12+I31+I34+I37+I38+I39+I40+I77</f>
        <v>223788617</v>
      </c>
      <c r="AX9" s="354">
        <f>(L30+L33+L36+L76)/AO$2*12+L31+L34+L37+L38+L39+L40+L77</f>
        <v>202672098.5</v>
      </c>
      <c r="AY9" s="354">
        <f t="shared" si="2"/>
        <v>-126938211</v>
      </c>
      <c r="AZ9" s="355">
        <f t="shared" si="3"/>
        <v>-148054729.5</v>
      </c>
      <c r="BB9" s="356" t="s">
        <v>437</v>
      </c>
      <c r="BC9" s="73">
        <f>BC10+BC18</f>
        <v>3087854833</v>
      </c>
      <c r="BD9" s="74">
        <f>BD10+BD18</f>
        <v>2045480482</v>
      </c>
      <c r="BE9" s="75">
        <f>BE10+BE18</f>
        <v>154163125</v>
      </c>
      <c r="BF9" s="76"/>
      <c r="BG9" s="77" t="s">
        <v>64</v>
      </c>
      <c r="BH9" s="78">
        <f t="shared" ref="BH9:BK10" si="6">BN14</f>
        <v>390329517</v>
      </c>
      <c r="BI9" s="78">
        <f t="shared" si="6"/>
        <v>356253500</v>
      </c>
      <c r="BJ9" s="78">
        <f t="shared" si="6"/>
        <v>223008520</v>
      </c>
      <c r="BK9" s="78">
        <f t="shared" si="6"/>
        <v>21127198</v>
      </c>
      <c r="BM9" s="140" t="s">
        <v>65</v>
      </c>
      <c r="BN9" s="80">
        <f>SUM(BN10:BN12)</f>
        <v>1254304402</v>
      </c>
      <c r="BO9" s="78">
        <f>SUM(BO10:BO12)</f>
        <v>750311290</v>
      </c>
      <c r="BP9" s="78">
        <f>SUM(BP10:BP12)</f>
        <v>750311290</v>
      </c>
      <c r="BQ9" s="79">
        <f>SUM(BQ10:BQ12)</f>
        <v>93463696</v>
      </c>
    </row>
    <row r="10" spans="1:69" s="9" customFormat="1" ht="24.95" customHeight="1" x14ac:dyDescent="0.2">
      <c r="A10" s="745">
        <f>+IF(JULIO!A10=0,"",JULIO!A10)</f>
        <v>10</v>
      </c>
      <c r="B10" s="645" t="str">
        <f>+IF(JULIO!B10=0,"",JULIO!B10)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+IF(JULIO!S10=0,"",JULIO!S10)</f>
        <v>A</v>
      </c>
      <c r="T10" s="688" t="str">
        <f>+IF(JULIO!T10=0,"",JULIO!T10)</f>
        <v>GASTOS DE FUNCIONAMIENTO</v>
      </c>
      <c r="U10" s="361">
        <f t="shared" ref="U10:AJ10" si="8">U12+U110+U170+U193</f>
        <v>2832701014</v>
      </c>
      <c r="V10" s="362">
        <f t="shared" si="8"/>
        <v>103000000</v>
      </c>
      <c r="W10" s="362">
        <f t="shared" si="8"/>
        <v>576899733</v>
      </c>
      <c r="X10" s="365">
        <f t="shared" si="8"/>
        <v>3512600747</v>
      </c>
      <c r="Y10" s="364">
        <f t="shared" si="8"/>
        <v>2201692350</v>
      </c>
      <c r="Z10" s="362">
        <f t="shared" si="8"/>
        <v>182017005</v>
      </c>
      <c r="AA10" s="365">
        <f t="shared" si="8"/>
        <v>2383709355</v>
      </c>
      <c r="AB10" s="364">
        <f t="shared" si="8"/>
        <v>1968934979</v>
      </c>
      <c r="AC10" s="362">
        <f t="shared" si="8"/>
        <v>226858163</v>
      </c>
      <c r="AD10" s="365">
        <f t="shared" si="8"/>
        <v>2195793142</v>
      </c>
      <c r="AE10" s="364">
        <f t="shared" si="8"/>
        <v>1572650588</v>
      </c>
      <c r="AF10" s="362">
        <f t="shared" si="8"/>
        <v>170987254</v>
      </c>
      <c r="AG10" s="365">
        <f t="shared" si="8"/>
        <v>1743637842</v>
      </c>
      <c r="AH10" s="364">
        <f t="shared" si="8"/>
        <v>1128891392</v>
      </c>
      <c r="AI10" s="362">
        <f t="shared" si="8"/>
        <v>1316807605</v>
      </c>
      <c r="AJ10" s="363">
        <f t="shared" si="8"/>
        <v>1768962905</v>
      </c>
      <c r="AL10" s="366">
        <f>AL12+AL110+AL170+AL193</f>
        <v>0</v>
      </c>
      <c r="AM10" s="367">
        <f>AM12+AM110+AM170+AM193</f>
        <v>0</v>
      </c>
      <c r="AO10" s="352"/>
      <c r="AP10" s="11" t="s">
        <v>67</v>
      </c>
      <c r="AQ10" s="12">
        <f>F42</f>
        <v>111280673</v>
      </c>
      <c r="AR10" s="12">
        <f>I42</f>
        <v>57676049</v>
      </c>
      <c r="AS10" s="12">
        <f>L42</f>
        <v>55302287</v>
      </c>
      <c r="AT10" s="13"/>
      <c r="AU10" s="353">
        <f t="shared" si="0"/>
        <v>0.51829349558301108</v>
      </c>
      <c r="AV10" s="353">
        <f t="shared" si="1"/>
        <v>0.49696219037064954</v>
      </c>
      <c r="AW10" s="354">
        <f>I43/AO$2*12+I44</f>
        <v>86514073.5</v>
      </c>
      <c r="AX10" s="354">
        <f>L43/AO$2*12+L44</f>
        <v>82953430.5</v>
      </c>
      <c r="AY10" s="354">
        <f t="shared" si="2"/>
        <v>-24766599.5</v>
      </c>
      <c r="AZ10" s="355">
        <f t="shared" si="3"/>
        <v>-28327242.5</v>
      </c>
      <c r="BB10" s="368" t="s">
        <v>438</v>
      </c>
      <c r="BC10" s="73">
        <f>BC11+BC12+BC13+BC14+BC16+BC17+BC15</f>
        <v>3013140862</v>
      </c>
      <c r="BD10" s="74">
        <f>BD11+BD12+BD13+BD14+BD16+BD17+BD15</f>
        <v>1909175352</v>
      </c>
      <c r="BE10" s="75">
        <f>BE11+BE12+BE13+BE14+BE16+BE17+BE15</f>
        <v>154163125</v>
      </c>
      <c r="BF10" s="76"/>
      <c r="BG10" s="68" t="s">
        <v>68</v>
      </c>
      <c r="BH10" s="81">
        <f t="shared" si="6"/>
        <v>657265487</v>
      </c>
      <c r="BI10" s="81">
        <f t="shared" si="6"/>
        <v>414673712</v>
      </c>
      <c r="BJ10" s="81">
        <f t="shared" si="6"/>
        <v>374683108</v>
      </c>
      <c r="BK10" s="81">
        <f t="shared" si="6"/>
        <v>18163438</v>
      </c>
      <c r="BM10" s="137" t="s">
        <v>450</v>
      </c>
      <c r="BN10" s="83">
        <f>X17+X66</f>
        <v>943171180</v>
      </c>
      <c r="BO10" s="81">
        <f>AA17+AA66</f>
        <v>620373318</v>
      </c>
      <c r="BP10" s="81">
        <f>AD17+AD66</f>
        <v>620373318</v>
      </c>
      <c r="BQ10" s="82">
        <f>AF17+AF66</f>
        <v>76382921</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559</v>
      </c>
      <c r="AQ11" s="12">
        <f>F88</f>
        <v>0</v>
      </c>
      <c r="AR11" s="12">
        <f>I88</f>
        <v>0</v>
      </c>
      <c r="AS11" s="12">
        <f>L88</f>
        <v>0</v>
      </c>
      <c r="AT11" s="374">
        <f>AO2/12</f>
        <v>0.66666666666666663</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555040046</v>
      </c>
      <c r="BE11" s="75">
        <f>K26</f>
        <v>37702860</v>
      </c>
      <c r="BF11" s="76"/>
      <c r="BG11" s="68" t="s">
        <v>69</v>
      </c>
      <c r="BH11" s="84">
        <f>BN22</f>
        <v>65572284</v>
      </c>
      <c r="BI11" s="84">
        <f>BO22</f>
        <v>28542313</v>
      </c>
      <c r="BJ11" s="84">
        <f>BP22</f>
        <v>28218781</v>
      </c>
      <c r="BK11" s="84">
        <f>BQ22</f>
        <v>2906138</v>
      </c>
      <c r="BM11" s="138" t="s">
        <v>451</v>
      </c>
      <c r="BN11" s="86">
        <f>X18+X67</f>
        <v>138639980</v>
      </c>
      <c r="BO11" s="84">
        <f>AA18+AA67</f>
        <v>106811662</v>
      </c>
      <c r="BP11" s="84">
        <f>AD18+AD67</f>
        <v>106811662</v>
      </c>
      <c r="BQ11" s="85">
        <f>AF18+AF67</f>
        <v>14991907</v>
      </c>
    </row>
    <row r="12" spans="1:69" s="9" customFormat="1" ht="24.95" customHeight="1" x14ac:dyDescent="0.2">
      <c r="A12" s="618">
        <f>+IF(JULIO!A12=0,"",JULIO!A12)</f>
        <v>1001</v>
      </c>
      <c r="B12" s="646" t="str">
        <f>+IF(JULIO!B12=0,"",JULIO!B12)</f>
        <v>Bienestar Social (Caja, Bancos, Inversiones Tempor.) a Dic-31-2014</v>
      </c>
      <c r="C12" s="375">
        <f>+ENERO!C12</f>
        <v>0</v>
      </c>
      <c r="D12" s="376">
        <f>JULIO!D12+AGOSTO!P12</f>
        <v>0</v>
      </c>
      <c r="E12" s="376">
        <f>JULIO!E12+AGOSTO!Q12</f>
        <v>81553</v>
      </c>
      <c r="F12" s="146">
        <f>SUM(C12:E12)</f>
        <v>81553</v>
      </c>
      <c r="G12" s="222">
        <f>JULIO!I12</f>
        <v>81553</v>
      </c>
      <c r="H12" s="377">
        <v>0</v>
      </c>
      <c r="I12" s="146">
        <f>SUM(G12:H12)</f>
        <v>81553</v>
      </c>
      <c r="J12" s="222">
        <f>JULIO!L12</f>
        <v>81553</v>
      </c>
      <c r="K12" s="134">
        <v>0</v>
      </c>
      <c r="L12" s="146">
        <f>SUM(J12:K12)</f>
        <v>81553</v>
      </c>
      <c r="M12" s="222">
        <f>F12-I12</f>
        <v>0</v>
      </c>
      <c r="N12" s="146">
        <f>F12-L12</f>
        <v>0</v>
      </c>
      <c r="O12" s="297"/>
      <c r="P12" s="375">
        <v>0</v>
      </c>
      <c r="Q12" s="378">
        <v>0</v>
      </c>
      <c r="S12" s="716">
        <f>+IF(JULIO!S12=0,"",JULIO!S12)</f>
        <v>1000000</v>
      </c>
      <c r="T12" s="690" t="str">
        <f>+IF(JULIO!T12=0,"",JULIO!T12)</f>
        <v>GASTOS DE PERSONAL</v>
      </c>
      <c r="U12" s="379">
        <f t="shared" ref="U12:AJ12" si="9">U14+U63</f>
        <v>1994472741</v>
      </c>
      <c r="V12" s="380">
        <f t="shared" si="9"/>
        <v>90300000</v>
      </c>
      <c r="W12" s="380">
        <f t="shared" si="9"/>
        <v>152721141</v>
      </c>
      <c r="X12" s="381">
        <f t="shared" si="9"/>
        <v>2237493882</v>
      </c>
      <c r="Y12" s="366">
        <f t="shared" si="9"/>
        <v>1370839359</v>
      </c>
      <c r="Z12" s="380">
        <f t="shared" si="9"/>
        <v>137314273</v>
      </c>
      <c r="AA12" s="381">
        <f t="shared" si="9"/>
        <v>1508153632</v>
      </c>
      <c r="AB12" s="366">
        <f t="shared" si="9"/>
        <v>1210271639</v>
      </c>
      <c r="AC12" s="380">
        <f t="shared" si="9"/>
        <v>164637013</v>
      </c>
      <c r="AD12" s="381">
        <f t="shared" si="9"/>
        <v>1374908652</v>
      </c>
      <c r="AE12" s="366">
        <f t="shared" si="9"/>
        <v>1082847681</v>
      </c>
      <c r="AF12" s="380">
        <f t="shared" si="9"/>
        <v>142746209</v>
      </c>
      <c r="AG12" s="381">
        <f t="shared" si="9"/>
        <v>1225593890</v>
      </c>
      <c r="AH12" s="366">
        <f t="shared" si="9"/>
        <v>729340250</v>
      </c>
      <c r="AI12" s="380">
        <f t="shared" si="9"/>
        <v>862585230</v>
      </c>
      <c r="AJ12" s="367">
        <f t="shared" si="9"/>
        <v>1011899992</v>
      </c>
      <c r="AK12" s="10"/>
      <c r="AL12" s="382">
        <f>AL14+AL63</f>
        <v>21000000</v>
      </c>
      <c r="AM12" s="383">
        <f>AM14+AM63</f>
        <v>0</v>
      </c>
      <c r="AO12" s="373"/>
      <c r="AP12" s="536" t="s">
        <v>560</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871802425</v>
      </c>
      <c r="BE12" s="75">
        <f>K23</f>
        <v>60598628</v>
      </c>
      <c r="BF12" s="76"/>
      <c r="BG12" s="384" t="s">
        <v>395</v>
      </c>
      <c r="BH12" s="84">
        <f>BN25</f>
        <v>349217338</v>
      </c>
      <c r="BI12" s="15">
        <f>BO25</f>
        <v>229287942</v>
      </c>
      <c r="BJ12" s="84">
        <f>BP25</f>
        <v>214930845</v>
      </c>
      <c r="BK12" s="84">
        <f>BQ25</f>
        <v>7171469</v>
      </c>
      <c r="BM12" s="139" t="s">
        <v>452</v>
      </c>
      <c r="BN12" s="86">
        <f>X16+X65-X81-X33-BN10-BN11</f>
        <v>172493242</v>
      </c>
      <c r="BO12" s="84">
        <f>AA16+AA65-AA81-AA33-BO10-BO11</f>
        <v>23126310</v>
      </c>
      <c r="BP12" s="84">
        <f>AD16+AD65-AD81-AD33-BP10-BP11</f>
        <v>23126310</v>
      </c>
      <c r="BQ12" s="85">
        <f>AF16+AF65-AF81-AF33-BQ10-BQ11</f>
        <v>2088868</v>
      </c>
    </row>
    <row r="13" spans="1:69" s="9" customFormat="1" ht="24.95" customHeight="1" x14ac:dyDescent="0.25">
      <c r="A13" s="618">
        <f>+IF(JULIO!A13=0,"",JULIO!A13)</f>
        <v>1002</v>
      </c>
      <c r="B13" s="646" t="str">
        <f>+IF(JULIO!B13=0,"",JULIO!B13)</f>
        <v>Fondo Vivienda (Caja, Bancos, Inversiones Tempor.) a Dic-31-2014</v>
      </c>
      <c r="C13" s="375">
        <f>+ENERO!C13</f>
        <v>0</v>
      </c>
      <c r="D13" s="376">
        <f>JULIO!D13+AGOSTO!P13</f>
        <v>0</v>
      </c>
      <c r="E13" s="376">
        <f>JULIO!E13+AGOSTO!Q13</f>
        <v>0</v>
      </c>
      <c r="F13" s="146">
        <f>SUM(C13:E13)</f>
        <v>0</v>
      </c>
      <c r="G13" s="222">
        <f>JULIO!I13</f>
        <v>0</v>
      </c>
      <c r="H13" s="377">
        <v>0</v>
      </c>
      <c r="I13" s="146">
        <f>SUM(G13:H13)</f>
        <v>0</v>
      </c>
      <c r="J13" s="222">
        <f>JULIO!L13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561</v>
      </c>
      <c r="AQ13" s="12">
        <f>F90</f>
        <v>24000000</v>
      </c>
      <c r="AR13" s="12">
        <f>I90</f>
        <v>9600000</v>
      </c>
      <c r="AS13" s="12">
        <f>L90</f>
        <v>9600000</v>
      </c>
      <c r="AT13" s="13"/>
      <c r="AU13" s="353">
        <f t="shared" si="0"/>
        <v>0.4</v>
      </c>
      <c r="AV13" s="353">
        <f t="shared" si="1"/>
        <v>0.4</v>
      </c>
      <c r="AW13" s="354">
        <f>I90</f>
        <v>9600000</v>
      </c>
      <c r="AX13" s="354">
        <f>L90</f>
        <v>9600000</v>
      </c>
      <c r="AY13" s="354">
        <f t="shared" si="2"/>
        <v>-14400000</v>
      </c>
      <c r="AZ13" s="355">
        <f t="shared" si="3"/>
        <v>-14400000</v>
      </c>
      <c r="BA13" s="385"/>
      <c r="BB13" s="386" t="s">
        <v>441</v>
      </c>
      <c r="BC13" s="87">
        <f>+F30+F33+F36+F38+F39+F40</f>
        <v>350726828</v>
      </c>
      <c r="BD13" s="88">
        <f>+I30+I33+I36+I38+I39+I40</f>
        <v>219504075</v>
      </c>
      <c r="BE13" s="89">
        <f>+K30+K33+K36+K38+K39+K40</f>
        <v>25429407</v>
      </c>
      <c r="BF13" s="90"/>
      <c r="BG13" s="91" t="s">
        <v>72</v>
      </c>
      <c r="BH13" s="84">
        <f t="shared" ref="BH13:BK15" si="10">BN29</f>
        <v>378000000</v>
      </c>
      <c r="BI13" s="84">
        <f t="shared" si="10"/>
        <v>120161334</v>
      </c>
      <c r="BJ13" s="84">
        <f t="shared" si="10"/>
        <v>58948000</v>
      </c>
      <c r="BK13" s="84">
        <f t="shared" si="10"/>
        <v>11775000</v>
      </c>
      <c r="BM13" s="142" t="s">
        <v>453</v>
      </c>
      <c r="BN13" s="83">
        <f>X43-X55+X57-X61+X90-X102+X104-X108</f>
        <v>453547663</v>
      </c>
      <c r="BO13" s="81">
        <f>AA43-AA55+AA57-AA61+AA90-AA102+AA104-AA108</f>
        <v>262276542</v>
      </c>
      <c r="BP13" s="81">
        <f>AD43-AD55+AD57-AD61+AD90-AD102+AD104-AD108</f>
        <v>262276542</v>
      </c>
      <c r="BQ13" s="82">
        <f>AF43-AF55+AF57-AF61+AF90-AF102+AF104-AF108</f>
        <v>28155315</v>
      </c>
    </row>
    <row r="14" spans="1:69" s="9" customFormat="1" ht="24.95" customHeight="1" x14ac:dyDescent="0.25">
      <c r="A14" s="618">
        <f>+IF(JULIO!A14=0,"",JULIO!A14)</f>
        <v>1003</v>
      </c>
      <c r="B14" s="646" t="str">
        <f>+IF(JULIO!B14=0,"",JULIO!B14)</f>
        <v>Fondos Comunes y Especiales (Caja, Bancos, Invers. Tempor.) a Dic-31-2014</v>
      </c>
      <c r="C14" s="375">
        <f>+ENERO!C14</f>
        <v>0</v>
      </c>
      <c r="D14" s="376">
        <f>JULIO!D14+AGOSTO!P14</f>
        <v>0</v>
      </c>
      <c r="E14" s="376">
        <f>JULIO!E14+AGOSTO!Q14</f>
        <v>11310362</v>
      </c>
      <c r="F14" s="146">
        <f>SUM(C14:E14)</f>
        <v>11310362</v>
      </c>
      <c r="G14" s="222">
        <f>JULIO!I14</f>
        <v>11310362</v>
      </c>
      <c r="H14" s="377">
        <v>0</v>
      </c>
      <c r="I14" s="146">
        <f>SUM(G14:H14)</f>
        <v>11310362</v>
      </c>
      <c r="J14" s="222">
        <f>JULIO!L14</f>
        <v>11310362</v>
      </c>
      <c r="K14" s="134">
        <v>0</v>
      </c>
      <c r="L14" s="146">
        <f>SUM(J14:K14)</f>
        <v>11310362</v>
      </c>
      <c r="M14" s="222">
        <f>F14-I14</f>
        <v>0</v>
      </c>
      <c r="N14" s="146">
        <f>F14-L14</f>
        <v>0</v>
      </c>
      <c r="O14" s="385"/>
      <c r="P14" s="375">
        <v>0</v>
      </c>
      <c r="Q14" s="378">
        <v>0</v>
      </c>
      <c r="S14" s="717">
        <f>+IF(JULIO!S14=0,"",JULIO!S14)</f>
        <v>1010000</v>
      </c>
      <c r="T14" s="691" t="str">
        <f>+IF(JULIO!T14=0,"",JULIO!T14)</f>
        <v>Gastos de Administración</v>
      </c>
      <c r="U14" s="135">
        <f t="shared" ref="U14:AJ14" si="11">U16+U35+U43+U57</f>
        <v>717551072</v>
      </c>
      <c r="V14" s="124">
        <f t="shared" si="11"/>
        <v>3000000</v>
      </c>
      <c r="W14" s="124">
        <f t="shared" si="11"/>
        <v>74426723</v>
      </c>
      <c r="X14" s="132">
        <f t="shared" si="11"/>
        <v>794977795</v>
      </c>
      <c r="Y14" s="131">
        <f t="shared" si="11"/>
        <v>517753543</v>
      </c>
      <c r="Z14" s="124">
        <f t="shared" si="11"/>
        <v>35440053</v>
      </c>
      <c r="AA14" s="132">
        <f t="shared" si="11"/>
        <v>553193596</v>
      </c>
      <c r="AB14" s="131">
        <f t="shared" si="11"/>
        <v>423835823</v>
      </c>
      <c r="AC14" s="124">
        <f t="shared" si="11"/>
        <v>48862793</v>
      </c>
      <c r="AD14" s="132">
        <f t="shared" si="11"/>
        <v>472698616</v>
      </c>
      <c r="AE14" s="131">
        <f t="shared" si="11"/>
        <v>372129026</v>
      </c>
      <c r="AF14" s="124">
        <f t="shared" si="11"/>
        <v>46806651</v>
      </c>
      <c r="AG14" s="132">
        <f t="shared" si="11"/>
        <v>418935677</v>
      </c>
      <c r="AH14" s="131">
        <f t="shared" si="11"/>
        <v>241784199</v>
      </c>
      <c r="AI14" s="124">
        <f t="shared" si="11"/>
        <v>322279179</v>
      </c>
      <c r="AJ14" s="133">
        <f t="shared" si="11"/>
        <v>376042118</v>
      </c>
      <c r="AK14" s="10"/>
      <c r="AL14" s="131">
        <f>AL16+AL35+AL43+AL57</f>
        <v>3000000</v>
      </c>
      <c r="AM14" s="133">
        <f>AM16+AM35+AM43+AM57</f>
        <v>0</v>
      </c>
      <c r="AO14" s="21"/>
      <c r="AP14" s="11" t="s">
        <v>75</v>
      </c>
      <c r="AQ14" s="12">
        <f>F19-AQ7-AQ8-AQ9-AQ10-AQ11-AQ12-AQ13</f>
        <v>318225176</v>
      </c>
      <c r="AR14" s="12">
        <f>I19-AR7-AR8-AR9-AR10-AR11-AR12-AR13</f>
        <v>216310080</v>
      </c>
      <c r="AS14" s="12">
        <f>L19-AS7-AS8-AS9-AS10-AS11-AS12-AS13</f>
        <v>164086255</v>
      </c>
      <c r="AT14" s="385"/>
      <c r="AU14" s="353">
        <f t="shared" si="0"/>
        <v>0.67973905370705179</v>
      </c>
      <c r="AV14" s="353">
        <f t="shared" si="1"/>
        <v>0.51562939507966521</v>
      </c>
      <c r="AW14" s="354">
        <f>(I41+I46+I49+I52+I55+I58+I61+I64+I67+I70+I73+I78+I81+I82+I83+I85+I94+I104)/AO$2*12+I47+I50+I53+I56+I59+I62+I65+I68+I71+I74</f>
        <v>652093043.5</v>
      </c>
      <c r="AX14" s="354">
        <f>(L41+L46+L49+L52+L55+L58+L61+L64+L67+L70+L73+L78+L81+L82+L83+L85+L94+L104)/AO$2*12+L47+L50+L53+L56+L59+L62+L65+L68+L71+L74</f>
        <v>562763291.5</v>
      </c>
      <c r="AY14" s="354">
        <f t="shared" si="2"/>
        <v>333867867.5</v>
      </c>
      <c r="AZ14" s="355">
        <f t="shared" si="3"/>
        <v>244538115.5</v>
      </c>
      <c r="BB14" s="386" t="s">
        <v>442</v>
      </c>
      <c r="BC14" s="92">
        <f>+F64</f>
        <v>22951026</v>
      </c>
      <c r="BD14" s="93">
        <f>+I64</f>
        <v>20203054</v>
      </c>
      <c r="BE14" s="94">
        <f>K64</f>
        <v>2363224</v>
      </c>
      <c r="BF14" s="95"/>
      <c r="BG14" s="91" t="s">
        <v>76</v>
      </c>
      <c r="BH14" s="81">
        <f t="shared" si="10"/>
        <v>0</v>
      </c>
      <c r="BI14" s="81">
        <f t="shared" si="10"/>
        <v>0</v>
      </c>
      <c r="BJ14" s="81">
        <f t="shared" si="10"/>
        <v>0</v>
      </c>
      <c r="BK14" s="81">
        <f t="shared" si="10"/>
        <v>0</v>
      </c>
      <c r="BM14" s="141" t="s">
        <v>449</v>
      </c>
      <c r="BN14" s="86">
        <f>X35-X41+X83-X88</f>
        <v>390329517</v>
      </c>
      <c r="BO14" s="84">
        <f>AA35-AA41+AA83-AA88</f>
        <v>356253500</v>
      </c>
      <c r="BP14" s="84">
        <f>AD35-AD41+AD83-AD88</f>
        <v>223008520</v>
      </c>
      <c r="BQ14" s="85">
        <f>AF35-AF41+AF83-AF88</f>
        <v>21127198</v>
      </c>
    </row>
    <row r="15" spans="1:69" s="9" customFormat="1" ht="24.95" customHeight="1" thickBot="1" x14ac:dyDescent="0.3">
      <c r="A15" s="619">
        <f>+IF(JULIO!A15=0,"",JULIO!A15)</f>
        <v>1004</v>
      </c>
      <c r="B15" s="646" t="str">
        <f>+IF(JULIO!B15=0,"",JULIO!B15)</f>
        <v>Cesantias Ley 50/1990 a Dic-31-2014</v>
      </c>
      <c r="C15" s="387">
        <f>+ENERO!C15</f>
        <v>0</v>
      </c>
      <c r="D15" s="388">
        <f>JULIO!D15+AGOSTO!P15</f>
        <v>0</v>
      </c>
      <c r="E15" s="388">
        <f>JULIO!E15+AGOSTO!Q15</f>
        <v>78950146</v>
      </c>
      <c r="F15" s="389">
        <f>SUM(C15:E15)</f>
        <v>78950146</v>
      </c>
      <c r="G15" s="390">
        <f>JULIO!I15</f>
        <v>78950146</v>
      </c>
      <c r="H15" s="391">
        <v>0</v>
      </c>
      <c r="I15" s="389">
        <f>SUM(G15:H15)</f>
        <v>78950146</v>
      </c>
      <c r="J15" s="390">
        <f>JULIO!L15</f>
        <v>78950146</v>
      </c>
      <c r="K15" s="168">
        <v>0</v>
      </c>
      <c r="L15" s="389">
        <f>SUM(J15:K15)</f>
        <v>78950146</v>
      </c>
      <c r="M15" s="390">
        <f>F15-I15</f>
        <v>0</v>
      </c>
      <c r="N15" s="389">
        <f>F15-L15</f>
        <v>0</v>
      </c>
      <c r="O15" s="385"/>
      <c r="P15" s="387">
        <v>0</v>
      </c>
      <c r="Q15" s="392">
        <v>0</v>
      </c>
      <c r="S15" s="369" t="str">
        <f>+IF(JULIO!S15=0,"",JULIO!S15)</f>
        <v/>
      </c>
      <c r="T15" s="708" t="str">
        <f>+IF(JULIO!T15=0,"",JULIO!T15)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44774464</v>
      </c>
      <c r="AS15" s="12">
        <f>L113</f>
        <v>44774464</v>
      </c>
      <c r="AT15" s="13"/>
      <c r="AU15" s="353">
        <f t="shared" si="0"/>
        <v>0.74828955922100482</v>
      </c>
      <c r="AV15" s="345">
        <f t="shared" si="1"/>
        <v>0.74828955922100482</v>
      </c>
      <c r="AW15" s="12">
        <f>+AR15</f>
        <v>44774464</v>
      </c>
      <c r="AX15" s="12">
        <f>+AS15</f>
        <v>44774464</v>
      </c>
      <c r="AY15" s="12">
        <f t="shared" si="2"/>
        <v>-15061282</v>
      </c>
      <c r="AZ15" s="346">
        <f t="shared" si="3"/>
        <v>-15061282</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0</v>
      </c>
      <c r="BM15" s="71" t="s">
        <v>68</v>
      </c>
      <c r="BN15" s="83">
        <f>SUM(BN16:BN21)</f>
        <v>657265487</v>
      </c>
      <c r="BO15" s="81">
        <f>SUM(BO16:BO21)</f>
        <v>414673712</v>
      </c>
      <c r="BP15" s="81">
        <f>SUM(BP16:BP21)</f>
        <v>374683108</v>
      </c>
      <c r="BQ15" s="82">
        <f>SUM(BQ16:BQ21)</f>
        <v>18163438</v>
      </c>
    </row>
    <row r="16" spans="1:69" s="9" customFormat="1" ht="24.95" customHeight="1" thickBot="1" x14ac:dyDescent="0.3">
      <c r="A16" s="746" t="str">
        <f>+IF(JULIO!A16=0,"",JULIO!A16)</f>
        <v/>
      </c>
      <c r="B16" s="647" t="str">
        <f>+IF(JULIO!B16=0,"",JULIO!B16)</f>
        <v/>
      </c>
      <c r="C16" s="393"/>
      <c r="D16" s="393"/>
      <c r="E16" s="393"/>
      <c r="F16" s="393"/>
      <c r="G16" s="393"/>
      <c r="H16" s="393"/>
      <c r="I16" s="393"/>
      <c r="J16" s="393"/>
      <c r="K16" s="393"/>
      <c r="L16" s="393"/>
      <c r="M16" s="393"/>
      <c r="N16" s="394"/>
      <c r="O16" s="385"/>
      <c r="P16" s="395"/>
      <c r="Q16" s="396"/>
      <c r="S16" s="718">
        <f>+IF(JULIO!S16=0,"",JULIO!S16)</f>
        <v>1010100</v>
      </c>
      <c r="T16" s="692" t="str">
        <f>+IF(JULIO!T16=0,"",JULIO!T16)</f>
        <v>Servicios Personales Asociados a Nómina</v>
      </c>
      <c r="U16" s="135">
        <f t="shared" ref="U16:AJ16" si="12">SUM(U17:U20)+U33</f>
        <v>372660589</v>
      </c>
      <c r="V16" s="124">
        <f t="shared" si="12"/>
        <v>3000000</v>
      </c>
      <c r="W16" s="124">
        <f t="shared" si="12"/>
        <v>2702630</v>
      </c>
      <c r="X16" s="132">
        <f t="shared" si="12"/>
        <v>378363219</v>
      </c>
      <c r="Y16" s="131">
        <f t="shared" si="12"/>
        <v>191098000</v>
      </c>
      <c r="Z16" s="124">
        <f t="shared" si="12"/>
        <v>26860439</v>
      </c>
      <c r="AA16" s="132">
        <f t="shared" si="12"/>
        <v>217958439</v>
      </c>
      <c r="AB16" s="131">
        <f t="shared" si="12"/>
        <v>191098000</v>
      </c>
      <c r="AC16" s="124">
        <f t="shared" si="12"/>
        <v>26860439</v>
      </c>
      <c r="AD16" s="132">
        <f t="shared" si="12"/>
        <v>217958439</v>
      </c>
      <c r="AE16" s="131">
        <f t="shared" si="12"/>
        <v>190355648</v>
      </c>
      <c r="AF16" s="124">
        <f t="shared" si="12"/>
        <v>26860439</v>
      </c>
      <c r="AG16" s="132">
        <f t="shared" si="12"/>
        <v>217216087</v>
      </c>
      <c r="AH16" s="131">
        <f t="shared" si="12"/>
        <v>160404780</v>
      </c>
      <c r="AI16" s="124">
        <f t="shared" si="12"/>
        <v>160404780</v>
      </c>
      <c r="AJ16" s="133">
        <f t="shared" si="12"/>
        <v>161147132</v>
      </c>
      <c r="AK16" s="10"/>
      <c r="AL16" s="131">
        <f>SUM(AL17:AL20)+AL33</f>
        <v>3000000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57676049</v>
      </c>
      <c r="BE16" s="75">
        <f>K43</f>
        <v>12015983</v>
      </c>
      <c r="BF16" s="76"/>
      <c r="BG16" s="91" t="s">
        <v>84</v>
      </c>
      <c r="BH16" s="96">
        <f>BH7+BH12+BH13+BH14+BH15</f>
        <v>3890600747</v>
      </c>
      <c r="BI16" s="96">
        <f>BI7+BI12+BI13+BI14+BI15</f>
        <v>2503870689</v>
      </c>
      <c r="BJ16" s="96">
        <f>BJ7+BJ12+BJ13+BJ14+BJ15</f>
        <v>2254741142</v>
      </c>
      <c r="BK16" s="96">
        <f>BK7+BK12+BK13+BK14+BK15</f>
        <v>182762254</v>
      </c>
      <c r="BM16" s="140" t="s">
        <v>85</v>
      </c>
      <c r="BN16" s="83">
        <f>X114-X121+X147-X148-X153</f>
        <v>169444119</v>
      </c>
      <c r="BO16" s="81">
        <f>AA114-AA121+AA147-AA148-AA153</f>
        <v>91554173</v>
      </c>
      <c r="BP16" s="81">
        <f>AD114-AD121+AD147-AD148-AD153</f>
        <v>91554173</v>
      </c>
      <c r="BQ16" s="82">
        <f>AF114-AF121+AF147-AF148-AF153</f>
        <v>1627489</v>
      </c>
    </row>
    <row r="17" spans="1:70" s="385" customFormat="1" ht="24.95" customHeight="1" thickBot="1" x14ac:dyDescent="0.3">
      <c r="A17" s="745">
        <f>+IF(JULIO!A17=0,"",JULIO!A17)</f>
        <v>11</v>
      </c>
      <c r="B17" s="648" t="str">
        <f>+IF(JULIO!B17=0,"",JULIO!B17)</f>
        <v>INGRESOS  CORRIENTES</v>
      </c>
      <c r="C17" s="337">
        <f>C19+C94+C104</f>
        <v>3103041868</v>
      </c>
      <c r="D17" s="334">
        <f t="shared" ref="D17:Q17" si="13">D19+D94+D104</f>
        <v>0</v>
      </c>
      <c r="E17" s="334">
        <f t="shared" si="13"/>
        <v>637381072</v>
      </c>
      <c r="F17" s="334">
        <f t="shared" si="13"/>
        <v>3740422940</v>
      </c>
      <c r="G17" s="334">
        <f t="shared" si="13"/>
        <v>2364777791</v>
      </c>
      <c r="H17" s="334">
        <f t="shared" si="13"/>
        <v>236779650</v>
      </c>
      <c r="I17" s="334">
        <f t="shared" si="13"/>
        <v>2601557441</v>
      </c>
      <c r="J17" s="334">
        <f t="shared" si="13"/>
        <v>1580509097</v>
      </c>
      <c r="K17" s="334">
        <f t="shared" si="13"/>
        <v>164930370</v>
      </c>
      <c r="L17" s="334">
        <f t="shared" si="13"/>
        <v>1745439467</v>
      </c>
      <c r="M17" s="334">
        <f t="shared" si="13"/>
        <v>1138865499</v>
      </c>
      <c r="N17" s="335">
        <f t="shared" si="13"/>
        <v>1994983473</v>
      </c>
      <c r="P17" s="177">
        <f t="shared" si="13"/>
        <v>0</v>
      </c>
      <c r="Q17" s="178">
        <f t="shared" si="13"/>
        <v>0</v>
      </c>
      <c r="R17" s="9"/>
      <c r="S17" s="719">
        <f>+IF(JULIO!S17=0,"",JULIO!S17)</f>
        <v>1010101</v>
      </c>
      <c r="T17" s="693" t="str">
        <f>+IF(JULIO!T17=0,"",JULIO!T17)</f>
        <v>Sueldos del Personal de nómina</v>
      </c>
      <c r="U17" s="27">
        <f>+ENERO!U17</f>
        <v>304405836</v>
      </c>
      <c r="V17" s="15">
        <f>JULIO!V17+AGOSTO!AL17</f>
        <v>0</v>
      </c>
      <c r="W17" s="15">
        <f>JULIO!W17+AGOSTO!AM17</f>
        <v>0</v>
      </c>
      <c r="X17" s="18">
        <f>SUM(U17:W17)</f>
        <v>304405836</v>
      </c>
      <c r="Y17" s="19">
        <f>JULIO!AA17</f>
        <v>176075162</v>
      </c>
      <c r="Z17" s="377">
        <v>25354706</v>
      </c>
      <c r="AA17" s="18">
        <f>SUM(Y17:Z17)</f>
        <v>201429868</v>
      </c>
      <c r="AB17" s="19">
        <f>JULIO!AD17</f>
        <v>176075162</v>
      </c>
      <c r="AC17" s="377">
        <v>25354706</v>
      </c>
      <c r="AD17" s="18">
        <f>SUM(AB17:AC17)</f>
        <v>201429868</v>
      </c>
      <c r="AE17" s="19">
        <f>JULIO!AG17</f>
        <v>176075161</v>
      </c>
      <c r="AF17" s="377">
        <v>25354706</v>
      </c>
      <c r="AG17" s="18">
        <f>SUM(AE17:AF17)</f>
        <v>201429867</v>
      </c>
      <c r="AH17" s="19">
        <f>X17-AA17</f>
        <v>102975968</v>
      </c>
      <c r="AI17" s="15">
        <f>X17-AD17</f>
        <v>102975968</v>
      </c>
      <c r="AJ17" s="16">
        <f>X17-AG17</f>
        <v>102975969</v>
      </c>
      <c r="AK17" s="9"/>
      <c r="AL17" s="375">
        <v>0</v>
      </c>
      <c r="AM17" s="378">
        <v>0</v>
      </c>
      <c r="AN17" s="9"/>
      <c r="AO17" s="352"/>
      <c r="AP17" s="402" t="s">
        <v>87</v>
      </c>
      <c r="AQ17" s="403">
        <f>SUM(AQ7:AQ16)</f>
        <v>3708705097</v>
      </c>
      <c r="AR17" s="404">
        <f>SUM(AR7:AR16)</f>
        <v>2530708700</v>
      </c>
      <c r="AS17" s="405">
        <f>SUM(AS7:AS16)</f>
        <v>1674590726</v>
      </c>
      <c r="AT17" s="406"/>
      <c r="AU17" s="404">
        <f t="shared" si="0"/>
        <v>0.6823698929437958</v>
      </c>
      <c r="AV17" s="404">
        <f t="shared" si="1"/>
        <v>0.45152976098169395</v>
      </c>
      <c r="AW17" s="407">
        <f>SUM(AX7:AX16)</f>
        <v>2427734069</v>
      </c>
      <c r="AX17" s="407">
        <f>SUM(AX7:AX16)</f>
        <v>2427734069</v>
      </c>
      <c r="AY17" s="407">
        <f>SUM(AY7:AY16)</f>
        <v>4330368.5</v>
      </c>
      <c r="AZ17" s="408">
        <f>SUM(AZ7:AZ16)</f>
        <v>-1280971028</v>
      </c>
      <c r="BA17" s="9"/>
      <c r="BB17" s="368" t="s">
        <v>444</v>
      </c>
      <c r="BC17" s="73">
        <f>F41+F52+F55+F58+F61+F67+F70+F73+F76+F79+F82+F86+F87+F88+F89+F90+F91</f>
        <v>331051770</v>
      </c>
      <c r="BD17" s="74">
        <f>I41+I52+I55+I58+I61+I67+I70+I73+I76+I79+I82+I86+I87+I88+I89+I90+I91</f>
        <v>184949703</v>
      </c>
      <c r="BE17" s="75">
        <f>K41+K52+K55+K58+K61+K67+K70+K73+K76+K79+K82+K86+K87+K88+K89+K90+K91</f>
        <v>16053023</v>
      </c>
      <c r="BF17" s="76"/>
      <c r="BG17" s="98" t="s">
        <v>88</v>
      </c>
      <c r="BH17" s="99">
        <f>BC23-BH16</f>
        <v>-3890600747</v>
      </c>
      <c r="BI17" s="99"/>
      <c r="BJ17" s="99"/>
      <c r="BK17" s="99"/>
      <c r="BM17" s="140" t="s">
        <v>459</v>
      </c>
      <c r="BN17" s="83">
        <f>X123-X126-X139+X155-X156-X167-X168</f>
        <v>264763207</v>
      </c>
      <c r="BO17" s="81">
        <f>AA123-AA126-AA139+AA155-AA156-AA167-AA168</f>
        <v>174674071</v>
      </c>
      <c r="BP17" s="81">
        <f>AD123-AD126-AD139+AD155-AD156-AD167-AD168</f>
        <v>145110313</v>
      </c>
      <c r="BQ17" s="82">
        <f>AF123-AF126-AF139+AF155-AF156-AF167-AF168</f>
        <v>11428814</v>
      </c>
      <c r="BR17" s="9"/>
    </row>
    <row r="18" spans="1:70" s="9" customFormat="1" ht="24.95" customHeight="1" thickBot="1" x14ac:dyDescent="0.25">
      <c r="A18" s="618" t="str">
        <f>+IF(JULIO!A18=0,"",JULIO!A18)</f>
        <v/>
      </c>
      <c r="B18" s="649" t="str">
        <f>+IF(JULIO!B18=0,"",JULIO!B18)</f>
        <v/>
      </c>
      <c r="C18" s="297"/>
      <c r="D18" s="297"/>
      <c r="E18" s="297"/>
      <c r="F18" s="297"/>
      <c r="G18" s="297"/>
      <c r="H18" s="297"/>
      <c r="I18" s="297"/>
      <c r="J18" s="297"/>
      <c r="K18" s="297"/>
      <c r="L18" s="297"/>
      <c r="M18" s="297"/>
      <c r="N18" s="466"/>
      <c r="P18" s="410"/>
      <c r="Q18" s="409"/>
      <c r="S18" s="719">
        <f>+IF(JULIO!S18=0,"",JULIO!S18)</f>
        <v>1010102</v>
      </c>
      <c r="T18" s="693" t="str">
        <f>+IF(JULIO!T18=0,"",JULIO!T18)</f>
        <v>Horas Extras,Dominic.,Festivos y Rec. Nocturnos</v>
      </c>
      <c r="U18" s="27">
        <f>+ENERO!U18</f>
        <v>12090252</v>
      </c>
      <c r="V18" s="15">
        <f>JULIO!V18+AGOSTO!AL18</f>
        <v>3000000</v>
      </c>
      <c r="W18" s="15">
        <f>JULIO!W18+AGOSTO!AM18</f>
        <v>0</v>
      </c>
      <c r="X18" s="18">
        <f>SUM(U18:W18)</f>
        <v>15090252</v>
      </c>
      <c r="Y18" s="19">
        <f>JULIO!AA18</f>
        <v>9440985</v>
      </c>
      <c r="Z18" s="377">
        <v>1431733</v>
      </c>
      <c r="AA18" s="18">
        <f>SUM(Y18:Z18)</f>
        <v>10872718</v>
      </c>
      <c r="AB18" s="19">
        <f>JULIO!AD18</f>
        <v>9440985</v>
      </c>
      <c r="AC18" s="377">
        <v>1431733</v>
      </c>
      <c r="AD18" s="18">
        <f>SUM(AB18:AC18)</f>
        <v>10872718</v>
      </c>
      <c r="AE18" s="19">
        <f>JULIO!AG18</f>
        <v>9440986</v>
      </c>
      <c r="AF18" s="377">
        <v>1431733</v>
      </c>
      <c r="AG18" s="18">
        <f>SUM(AE18:AF18)</f>
        <v>10872719</v>
      </c>
      <c r="AH18" s="19">
        <f>X18-AA18</f>
        <v>4217534</v>
      </c>
      <c r="AI18" s="15">
        <f>X18-AD18</f>
        <v>4217534</v>
      </c>
      <c r="AJ18" s="16">
        <f>X18-AG18</f>
        <v>4217533</v>
      </c>
      <c r="AL18" s="375">
        <v>3000000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136305130</v>
      </c>
      <c r="BE18" s="75">
        <f>+K95+K96+K97+K99+K100+K101</f>
        <v>0</v>
      </c>
      <c r="BF18" s="95"/>
      <c r="BM18" s="140" t="s">
        <v>89</v>
      </c>
      <c r="BN18" s="83">
        <f>X148+X156</f>
        <v>156785051</v>
      </c>
      <c r="BO18" s="81">
        <f>AA148+AA156</f>
        <v>105521695</v>
      </c>
      <c r="BP18" s="81">
        <f>AD148+AD156</f>
        <v>95094849</v>
      </c>
      <c r="BQ18" s="82">
        <f>AF148+AF156</f>
        <v>1590200</v>
      </c>
      <c r="BR18" s="385"/>
    </row>
    <row r="19" spans="1:70" s="9" customFormat="1" ht="24.95" customHeight="1" thickBot="1" x14ac:dyDescent="0.3">
      <c r="A19" s="747">
        <f>+IF(JULIO!A19=0,"",JULIO!A19)</f>
        <v>113</v>
      </c>
      <c r="B19" s="650" t="str">
        <f>+IF(JULIO!B19=0,"",JULIO!B19)</f>
        <v>VENTA DE SERVICIOS</v>
      </c>
      <c r="C19" s="337">
        <f t="shared" ref="C19:N19" si="14">C21+C85</f>
        <v>2995860189</v>
      </c>
      <c r="D19" s="334">
        <f t="shared" si="14"/>
        <v>0</v>
      </c>
      <c r="E19" s="334">
        <f t="shared" si="14"/>
        <v>562667101</v>
      </c>
      <c r="F19" s="335">
        <f t="shared" si="14"/>
        <v>3558527290</v>
      </c>
      <c r="G19" s="337">
        <f t="shared" si="14"/>
        <v>2166519125</v>
      </c>
      <c r="H19" s="334">
        <f t="shared" si="14"/>
        <v>229073050</v>
      </c>
      <c r="I19" s="335">
        <f t="shared" si="14"/>
        <v>2395592175</v>
      </c>
      <c r="J19" s="337">
        <f t="shared" si="14"/>
        <v>1382250431</v>
      </c>
      <c r="K19" s="334">
        <f t="shared" si="14"/>
        <v>157223770</v>
      </c>
      <c r="L19" s="335">
        <f t="shared" si="14"/>
        <v>1539474201</v>
      </c>
      <c r="M19" s="337">
        <f t="shared" si="14"/>
        <v>1162935115</v>
      </c>
      <c r="N19" s="335">
        <f t="shared" si="14"/>
        <v>2019053089</v>
      </c>
      <c r="O19" s="385"/>
      <c r="P19" s="43">
        <f>P21+P85</f>
        <v>0</v>
      </c>
      <c r="Q19" s="45">
        <f>Q21+Q85</f>
        <v>0</v>
      </c>
      <c r="S19" s="719">
        <f>+IF(JULIO!S19=0,"",JULIO!S19)</f>
        <v>1010103</v>
      </c>
      <c r="T19" s="693" t="str">
        <f>+IF(JULIO!T19=0,"",JULIO!T19)</f>
        <v>Prima Técnica</v>
      </c>
      <c r="U19" s="27">
        <f>+ENERO!U19</f>
        <v>0</v>
      </c>
      <c r="V19" s="15">
        <f>JULIO!V19+AGOSTO!AL19</f>
        <v>0</v>
      </c>
      <c r="W19" s="15">
        <f>JULIO!W19+AGOSTO!AM19</f>
        <v>0</v>
      </c>
      <c r="X19" s="18">
        <f>SUM(U19:W19)</f>
        <v>0</v>
      </c>
      <c r="Y19" s="19">
        <f>JULIO!AA19</f>
        <v>0</v>
      </c>
      <c r="Z19" s="377">
        <v>0</v>
      </c>
      <c r="AA19" s="18">
        <f>SUM(Y19:Z19)</f>
        <v>0</v>
      </c>
      <c r="AB19" s="19">
        <f>JULIO!AD19</f>
        <v>0</v>
      </c>
      <c r="AC19" s="377">
        <v>0</v>
      </c>
      <c r="AD19" s="18">
        <f>SUM(AB19:AC19)</f>
        <v>0</v>
      </c>
      <c r="AE19" s="19">
        <f>JULIO!AG19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9" t="str">
        <f>+CONCATENATE("PROYECCION A DICIEMBRE 31 DEL ",N3)</f>
        <v>PROYECCION A DICIEMBRE 31 DEL 2015</v>
      </c>
      <c r="AX19" s="870"/>
      <c r="AY19" s="870"/>
      <c r="AZ19" s="871"/>
      <c r="BA19" s="385"/>
      <c r="BB19" s="417" t="s">
        <v>95</v>
      </c>
      <c r="BC19" s="629">
        <f>+F105+F106+F107+F108+F109+F110+F98</f>
        <v>107181679</v>
      </c>
      <c r="BD19" s="93">
        <f>+I105+I106+I107+I108+I109+I110+I98</f>
        <v>69580136</v>
      </c>
      <c r="BE19" s="94">
        <f>+K105+K106+K107+K108+K109+K110+K98</f>
        <v>7706600</v>
      </c>
      <c r="BF19" s="57"/>
      <c r="BG19" s="385"/>
      <c r="BH19" s="385">
        <f>BN33</f>
        <v>0</v>
      </c>
      <c r="BI19" s="385"/>
      <c r="BJ19" s="385"/>
      <c r="BK19" s="385"/>
      <c r="BM19" s="140" t="s">
        <v>96</v>
      </c>
      <c r="BN19" s="83">
        <f>X126+X167</f>
        <v>55492147</v>
      </c>
      <c r="BO19" s="81">
        <f>AA126+AA167</f>
        <v>39087662</v>
      </c>
      <c r="BP19" s="81">
        <f>AD126+AD167</f>
        <v>39087662</v>
      </c>
      <c r="BQ19" s="82">
        <f>AF126+AF167</f>
        <v>3516935</v>
      </c>
    </row>
    <row r="20" spans="1:70" s="425" customFormat="1" ht="24.95" customHeight="1" thickBot="1" x14ac:dyDescent="0.3">
      <c r="A20" s="618" t="str">
        <f>+IF(JULIO!A20=0,"",JULIO!A20)</f>
        <v/>
      </c>
      <c r="B20" s="651" t="str">
        <f>+IF(JULIO!B20=0,"",JULIO!B20)</f>
        <v/>
      </c>
      <c r="C20" s="297"/>
      <c r="D20" s="297"/>
      <c r="E20" s="297"/>
      <c r="F20" s="297"/>
      <c r="G20" s="297"/>
      <c r="H20" s="297"/>
      <c r="I20" s="297"/>
      <c r="J20" s="297"/>
      <c r="K20" s="297"/>
      <c r="L20" s="297"/>
      <c r="M20" s="297"/>
      <c r="N20" s="466"/>
      <c r="O20" s="9"/>
      <c r="P20" s="410"/>
      <c r="Q20" s="409"/>
      <c r="R20" s="9"/>
      <c r="S20" s="719">
        <f>+IF(JULIO!S20=0,"",JULIO!S20)</f>
        <v>1010104</v>
      </c>
      <c r="T20" s="693" t="str">
        <f>+IF(JULIO!T20=0,"",JULIO!T20)</f>
        <v>Otros</v>
      </c>
      <c r="U20" s="27">
        <f t="shared" ref="U20:AJ20" si="15">SUM(U21:U32)</f>
        <v>56164501</v>
      </c>
      <c r="V20" s="15">
        <f t="shared" si="15"/>
        <v>0</v>
      </c>
      <c r="W20" s="15">
        <f t="shared" si="15"/>
        <v>0</v>
      </c>
      <c r="X20" s="18">
        <f t="shared" si="15"/>
        <v>56164501</v>
      </c>
      <c r="Y20" s="19">
        <f t="shared" si="15"/>
        <v>2879223</v>
      </c>
      <c r="Z20" s="145">
        <f t="shared" si="15"/>
        <v>74000</v>
      </c>
      <c r="AA20" s="18">
        <f t="shared" si="15"/>
        <v>2953223</v>
      </c>
      <c r="AB20" s="19">
        <f t="shared" si="15"/>
        <v>2879223</v>
      </c>
      <c r="AC20" s="145">
        <f t="shared" si="15"/>
        <v>74000</v>
      </c>
      <c r="AD20" s="18">
        <f t="shared" si="15"/>
        <v>2953223</v>
      </c>
      <c r="AE20" s="19">
        <f t="shared" si="15"/>
        <v>2879222</v>
      </c>
      <c r="AF20" s="145">
        <f t="shared" si="15"/>
        <v>74000</v>
      </c>
      <c r="AG20" s="18">
        <f t="shared" si="15"/>
        <v>2953222</v>
      </c>
      <c r="AH20" s="19">
        <f t="shared" si="15"/>
        <v>53211278</v>
      </c>
      <c r="AI20" s="15">
        <f t="shared" si="15"/>
        <v>53211278</v>
      </c>
      <c r="AJ20" s="16">
        <f t="shared" si="15"/>
        <v>53211279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40674057</v>
      </c>
      <c r="BE20" s="67">
        <f>+K115+K117+K119+K120+K121+K123+K124</f>
        <v>76</v>
      </c>
      <c r="BF20" s="57"/>
      <c r="BG20" s="385"/>
      <c r="BH20" s="385">
        <f>BH19-BH16</f>
        <v>-3890600747</v>
      </c>
      <c r="BI20" s="385"/>
      <c r="BJ20" s="385"/>
      <c r="BK20" s="385"/>
      <c r="BL20" s="385"/>
      <c r="BM20" s="142" t="s">
        <v>454</v>
      </c>
      <c r="BN20" s="83">
        <f>+X141-X143</f>
        <v>10780963</v>
      </c>
      <c r="BO20" s="81">
        <f>+AA141-AA143</f>
        <v>3836111</v>
      </c>
      <c r="BP20" s="81">
        <f>+AD141-AD143</f>
        <v>3836111</v>
      </c>
      <c r="BQ20" s="82">
        <f>+AF141-AF143</f>
        <v>0</v>
      </c>
      <c r="BR20" s="9"/>
    </row>
    <row r="21" spans="1:70" s="425" customFormat="1" ht="24.95" customHeight="1" thickBot="1" x14ac:dyDescent="0.3">
      <c r="A21" s="748">
        <f>+IF(JULIO!A21=0,"",JULIO!A21)</f>
        <v>11301</v>
      </c>
      <c r="B21" s="652" t="str">
        <f>+IF(JULIO!B21=0,"",JULIO!B21)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2144660439</v>
      </c>
      <c r="H21" s="357">
        <f t="shared" si="16"/>
        <v>226673050</v>
      </c>
      <c r="I21" s="357">
        <f t="shared" si="16"/>
        <v>2371333489</v>
      </c>
      <c r="J21" s="357">
        <f t="shared" si="16"/>
        <v>1367721088</v>
      </c>
      <c r="K21" s="357">
        <f t="shared" si="16"/>
        <v>154823770</v>
      </c>
      <c r="L21" s="357">
        <f t="shared" si="16"/>
        <v>1522544858</v>
      </c>
      <c r="M21" s="357">
        <f t="shared" si="16"/>
        <v>1113193801</v>
      </c>
      <c r="N21" s="178">
        <f t="shared" si="16"/>
        <v>1961982432</v>
      </c>
      <c r="O21" s="385"/>
      <c r="P21" s="43">
        <f>P22+P25+P28+P41+P42+P45+P48+P51+P54+P57+P60+P63+P66+P69+P72+P75+P78+P81</f>
        <v>0</v>
      </c>
      <c r="Q21" s="45">
        <f>Q22+Q25+Q28+Q41+Q42+Q45+Q48+Q51+Q54+Q57+Q60+Q63+Q66+Q69+Q72+Q75+Q78+Q81</f>
        <v>0</v>
      </c>
      <c r="R21" s="9"/>
      <c r="S21" s="720" t="str">
        <f>+IF(JULIO!S21=0,"",JULIO!S21)</f>
        <v>1010104-1</v>
      </c>
      <c r="T21" s="694" t="str">
        <f>+IF(JULIO!T21=0,"",JULIO!T21)</f>
        <v xml:space="preserve">Prima de Navidad </v>
      </c>
      <c r="U21" s="27">
        <f>+ENERO!U21</f>
        <v>27481083</v>
      </c>
      <c r="V21" s="15">
        <f>JULIO!V21+AGOSTO!AL21</f>
        <v>0</v>
      </c>
      <c r="W21" s="15">
        <f>JULIO!W21+AGOSTO!AM21</f>
        <v>0</v>
      </c>
      <c r="X21" s="18">
        <f t="shared" ref="X21:X33" si="17">SUM(U21:W21)</f>
        <v>27481083</v>
      </c>
      <c r="Y21" s="19">
        <f>JULIO!AA21</f>
        <v>0</v>
      </c>
      <c r="Z21" s="377">
        <v>0</v>
      </c>
      <c r="AA21" s="18">
        <f t="shared" ref="AA21:AA33" si="18">SUM(Y21:Z21)</f>
        <v>0</v>
      </c>
      <c r="AB21" s="19">
        <f>JULIO!AD21</f>
        <v>0</v>
      </c>
      <c r="AC21" s="377">
        <v>0</v>
      </c>
      <c r="AD21" s="18">
        <f t="shared" ref="AD21:AD33" si="19">SUM(AB21:AC21)</f>
        <v>0</v>
      </c>
      <c r="AE21" s="19">
        <f>JULIO!AG21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AGOSTO</v>
      </c>
      <c r="AS21" s="429" t="str">
        <f>AR6</f>
        <v>AGOSTO</v>
      </c>
      <c r="AT21" s="428" t="str">
        <f>AR6</f>
        <v>AGOSTO</v>
      </c>
      <c r="AU21" s="428" t="s">
        <v>46</v>
      </c>
      <c r="AV21" s="428" t="s">
        <v>24</v>
      </c>
      <c r="AW21" s="430"/>
      <c r="AX21" s="430"/>
      <c r="AY21" s="428" t="s">
        <v>46</v>
      </c>
      <c r="AZ21" s="431" t="s">
        <v>24</v>
      </c>
      <c r="BA21" s="9"/>
      <c r="BB21" s="101" t="s">
        <v>447</v>
      </c>
      <c r="BC21" s="65">
        <f>SUMIF($B8:B122,$B24,F8:F122)+F122</f>
        <v>577451227</v>
      </c>
      <c r="BD21" s="66">
        <f>SUMIF($B8:B122,$B24,I8:I122)+I122</f>
        <v>490597230</v>
      </c>
      <c r="BE21" s="67">
        <f>SUMIF($B8:B122,$B24,K8:K122)+K122</f>
        <v>5541272</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+IF(JULIO!A22=0,"",JULIO!A22)</f>
        <v>1130101</v>
      </c>
      <c r="B22" s="653" t="str">
        <f>+IF(JULIO!B22=0,"",JULIO!B22)</f>
        <v>EPS - REGIMEN CONTRIBUTIVO</v>
      </c>
      <c r="C22" s="43">
        <f t="shared" ref="C22:N22" si="24">SUM(C23:C24)</f>
        <v>1323143662</v>
      </c>
      <c r="D22" s="44">
        <f t="shared" si="24"/>
        <v>0</v>
      </c>
      <c r="E22" s="44">
        <f t="shared" si="24"/>
        <v>435611621</v>
      </c>
      <c r="F22" s="44">
        <f t="shared" si="24"/>
        <v>1758755283</v>
      </c>
      <c r="G22" s="44">
        <f t="shared" si="24"/>
        <v>1182483287</v>
      </c>
      <c r="H22" s="44">
        <f t="shared" si="24"/>
        <v>98921585</v>
      </c>
      <c r="I22" s="44">
        <f t="shared" si="24"/>
        <v>1281404872</v>
      </c>
      <c r="J22" s="44">
        <f t="shared" si="24"/>
        <v>634073123</v>
      </c>
      <c r="K22" s="44">
        <f t="shared" si="24"/>
        <v>62838609</v>
      </c>
      <c r="L22" s="44">
        <f t="shared" si="24"/>
        <v>696911732</v>
      </c>
      <c r="M22" s="44">
        <f t="shared" si="24"/>
        <v>477350411</v>
      </c>
      <c r="N22" s="45">
        <f t="shared" si="24"/>
        <v>1061843551</v>
      </c>
      <c r="P22" s="43">
        <f>SUM(P23:P24)</f>
        <v>0</v>
      </c>
      <c r="Q22" s="45">
        <f>SUM(Q23:Q24)</f>
        <v>0</v>
      </c>
      <c r="S22" s="720" t="str">
        <f>+IF(JULIO!S22=0,"",JULIO!S22)</f>
        <v>1010104-2</v>
      </c>
      <c r="T22" s="694" t="str">
        <f>+IF(JULIO!T22=0,"",JULIO!T22)</f>
        <v>Prima Vida Cara</v>
      </c>
      <c r="U22" s="27">
        <f>+ENERO!U22</f>
        <v>0</v>
      </c>
      <c r="V22" s="15">
        <f>JULIO!V22+AGOSTO!AL22</f>
        <v>0</v>
      </c>
      <c r="W22" s="15">
        <f>JULIO!W22+AGOSTO!AM22</f>
        <v>0</v>
      </c>
      <c r="X22" s="18">
        <f t="shared" si="17"/>
        <v>0</v>
      </c>
      <c r="Y22" s="19">
        <f>JULIO!AA22</f>
        <v>0</v>
      </c>
      <c r="Z22" s="377">
        <v>0</v>
      </c>
      <c r="AA22" s="18">
        <f t="shared" si="18"/>
        <v>0</v>
      </c>
      <c r="AB22" s="19">
        <f>JULIO!AD22</f>
        <v>0</v>
      </c>
      <c r="AC22" s="377">
        <v>0</v>
      </c>
      <c r="AD22" s="18">
        <f t="shared" si="19"/>
        <v>0</v>
      </c>
      <c r="AE22" s="19">
        <f>JULIO!AG22</f>
        <v>0</v>
      </c>
      <c r="AF22" s="377">
        <v>0</v>
      </c>
      <c r="AG22" s="18">
        <f t="shared" si="20"/>
        <v>0</v>
      </c>
      <c r="AH22" s="19">
        <f t="shared" si="21"/>
        <v>0</v>
      </c>
      <c r="AI22" s="15">
        <f t="shared" si="22"/>
        <v>0</v>
      </c>
      <c r="AJ22" s="16">
        <f t="shared" si="23"/>
        <v>0</v>
      </c>
      <c r="AL22" s="375">
        <v>0</v>
      </c>
      <c r="AM22" s="378">
        <v>0</v>
      </c>
      <c r="AO22" s="21"/>
      <c r="AP22" s="432" t="s">
        <v>106</v>
      </c>
      <c r="AQ22" s="433">
        <f>X17+X66</f>
        <v>943171180</v>
      </c>
      <c r="AR22" s="433">
        <f>AD17+AD66</f>
        <v>620373318</v>
      </c>
      <c r="AS22" s="433">
        <f>AG17+AG66</f>
        <v>592507262</v>
      </c>
      <c r="AT22" s="434"/>
      <c r="AU22" s="435">
        <f t="shared" ref="AU22:AU32" si="25">IF(AQ22=0," ",AR22/AQ22)</f>
        <v>0.65775262344212004</v>
      </c>
      <c r="AV22" s="435">
        <f t="shared" ref="AV22:AV32" si="26">IF(AQ22=0," ",AS22/AQ22)</f>
        <v>0.62820755612994872</v>
      </c>
      <c r="AW22" s="436">
        <f>AR22/$AO$2*12</f>
        <v>930559977</v>
      </c>
      <c r="AX22" s="436">
        <f>AS22/$AO$2*12</f>
        <v>888760893</v>
      </c>
      <c r="AY22" s="436">
        <f t="shared" ref="AY22:AY31" si="27">AW22-AQ22</f>
        <v>-12611203</v>
      </c>
      <c r="AZ22" s="437">
        <f t="shared" ref="AZ22:AZ31" si="28">AQ22-AX22</f>
        <v>54410287</v>
      </c>
      <c r="BA22" s="385"/>
      <c r="BB22" s="102" t="s">
        <v>111</v>
      </c>
      <c r="BC22" s="103">
        <f>BC7+BC8+BC20+BC21</f>
        <v>3890600747</v>
      </c>
      <c r="BD22" s="104">
        <f>BD7+BD8+BD20+BD21</f>
        <v>2736673966</v>
      </c>
      <c r="BE22" s="105">
        <f>BE7+BE8+BE20+BE21</f>
        <v>167411073</v>
      </c>
      <c r="BF22" s="57"/>
      <c r="BG22" s="385"/>
      <c r="BH22" s="385"/>
      <c r="BI22" s="385"/>
      <c r="BJ22" s="385"/>
      <c r="BK22" s="385"/>
      <c r="BM22" s="71" t="s">
        <v>69</v>
      </c>
      <c r="BN22" s="83">
        <f>BN23+BN24</f>
        <v>65572284</v>
      </c>
      <c r="BO22" s="81">
        <f>BO23+BO24</f>
        <v>28542313</v>
      </c>
      <c r="BP22" s="81">
        <f>BP23+BP24</f>
        <v>28218781</v>
      </c>
      <c r="BQ22" s="82">
        <f>BQ23+BQ24</f>
        <v>2906138</v>
      </c>
      <c r="BR22" s="385"/>
    </row>
    <row r="23" spans="1:70" s="425" customFormat="1" ht="24.95" customHeight="1" x14ac:dyDescent="0.2">
      <c r="A23" s="618" t="str">
        <f>+IF(JULIO!A23=0,"",JULIO!A23)</f>
        <v>1130101-1</v>
      </c>
      <c r="B23" s="654" t="str">
        <f>+CONCATENATE("Vigencia ",INSTRUCCIONES!$F$3)</f>
        <v>Vigencia 2015</v>
      </c>
      <c r="C23" s="375">
        <f>+ENERO!C23</f>
        <v>1323143662</v>
      </c>
      <c r="D23" s="376">
        <f>JULIO!D23+AGOSTO!P23</f>
        <v>0</v>
      </c>
      <c r="E23" s="376">
        <f>JULIO!E23+AGOSTO!Q23</f>
        <v>0</v>
      </c>
      <c r="F23" s="376">
        <f>SUM(C23:E23)</f>
        <v>1323143662</v>
      </c>
      <c r="G23" s="376">
        <f>JULIO!I23</f>
        <v>775120821</v>
      </c>
      <c r="H23" s="377">
        <v>96681604</v>
      </c>
      <c r="I23" s="376">
        <f>SUM(G23:H23)</f>
        <v>871802425</v>
      </c>
      <c r="J23" s="376">
        <f>JULIO!L23</f>
        <v>226710657</v>
      </c>
      <c r="K23" s="377">
        <v>60598628</v>
      </c>
      <c r="L23" s="376">
        <f>SUM(J23:K23)</f>
        <v>287309285</v>
      </c>
      <c r="M23" s="376">
        <f>F23-I23</f>
        <v>451341237</v>
      </c>
      <c r="N23" s="146">
        <f>F23-L23</f>
        <v>1035834377</v>
      </c>
      <c r="O23" s="9"/>
      <c r="P23" s="375">
        <v>0</v>
      </c>
      <c r="Q23" s="378">
        <v>0</v>
      </c>
      <c r="R23" s="9"/>
      <c r="S23" s="720" t="str">
        <f>+IF(JULIO!S23=0,"",JULIO!S23)</f>
        <v>1010104-3</v>
      </c>
      <c r="T23" s="694" t="str">
        <f>+IF(JULIO!T23=0,"",JULIO!T23)</f>
        <v>Prima de Vacaciones</v>
      </c>
      <c r="U23" s="27">
        <f>+ENERO!U23</f>
        <v>12683577</v>
      </c>
      <c r="V23" s="15">
        <f>JULIO!V23+AGOSTO!AL23</f>
        <v>0</v>
      </c>
      <c r="W23" s="15">
        <f>JULIO!W23+AGOSTO!AM23</f>
        <v>0</v>
      </c>
      <c r="X23" s="18">
        <f t="shared" si="17"/>
        <v>12683577</v>
      </c>
      <c r="Y23" s="19">
        <f>JULIO!AA23</f>
        <v>2128961</v>
      </c>
      <c r="Z23" s="377">
        <v>0</v>
      </c>
      <c r="AA23" s="18">
        <f t="shared" si="18"/>
        <v>2128961</v>
      </c>
      <c r="AB23" s="19">
        <f>JULIO!AD23</f>
        <v>2128961</v>
      </c>
      <c r="AC23" s="377">
        <v>0</v>
      </c>
      <c r="AD23" s="18">
        <f t="shared" si="19"/>
        <v>2128961</v>
      </c>
      <c r="AE23" s="19">
        <f>JULIO!AG23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327491529</v>
      </c>
      <c r="AR23" s="439">
        <f>AD16+AD65-AR22</f>
        <v>146296279</v>
      </c>
      <c r="AS23" s="439">
        <f>AG16+AG65-AS22</f>
        <v>126977466</v>
      </c>
      <c r="AT23" s="330"/>
      <c r="AU23" s="345">
        <f t="shared" si="25"/>
        <v>0.44671775006430775</v>
      </c>
      <c r="AV23" s="345">
        <f t="shared" si="26"/>
        <v>0.387727482258022</v>
      </c>
      <c r="AW23" s="439">
        <f>(AR23-AD21-AD22-AD23-AD25-AD30-AD33-AD70-AD71-AD72-AD74-AD78-AD81)/$AO$2*12+AX22/12*2.5+AD30+AD33+AD78+AD81</f>
        <v>366024824.875</v>
      </c>
      <c r="AX23" s="439">
        <f>(AS23-AG21-AG22-AG23-AG25-AG30-AG33-AG70-AG71-AG72-AG74-AG78-AG81)/$AO$2*12+AX22/12*2.5+AG30+AG33+AG78+AG81</f>
        <v>349453712.875</v>
      </c>
      <c r="AY23" s="439">
        <f t="shared" si="27"/>
        <v>38533295.875</v>
      </c>
      <c r="AZ23" s="46">
        <f t="shared" si="28"/>
        <v>-21962183.875</v>
      </c>
      <c r="BA23" s="385"/>
      <c r="BF23" s="385"/>
      <c r="BG23" s="385"/>
      <c r="BH23" s="385"/>
      <c r="BI23" s="385"/>
      <c r="BJ23" s="385"/>
      <c r="BK23" s="385"/>
      <c r="BL23" s="385"/>
      <c r="BM23" s="140" t="s">
        <v>107</v>
      </c>
      <c r="BN23" s="83">
        <f>X177</f>
        <v>39279816</v>
      </c>
      <c r="BO23" s="81">
        <f>AA177</f>
        <v>20353332</v>
      </c>
      <c r="BP23" s="81">
        <f>AD177</f>
        <v>20353332</v>
      </c>
      <c r="BQ23" s="82">
        <f>AF177</f>
        <v>2544030</v>
      </c>
      <c r="BR23" s="9"/>
    </row>
    <row r="24" spans="1:70" s="425" customFormat="1" ht="24.95" customHeight="1" x14ac:dyDescent="0.2">
      <c r="A24" s="618" t="str">
        <f>+IF(JULIO!A24=0,"",JULIO!A24)</f>
        <v>1130101-2</v>
      </c>
      <c r="B24" s="654" t="str">
        <f>+IF(JULIO!B24=0,"",JULIO!B24)</f>
        <v>Vigencia Anterior</v>
      </c>
      <c r="C24" s="375">
        <f>+ENERO!C24</f>
        <v>0</v>
      </c>
      <c r="D24" s="376">
        <f>JULIO!D24+AGOSTO!P24</f>
        <v>0</v>
      </c>
      <c r="E24" s="376">
        <f>JULIO!E24+AGOSTO!Q24</f>
        <v>435611621</v>
      </c>
      <c r="F24" s="376">
        <f>SUM(C24:E24)</f>
        <v>435611621</v>
      </c>
      <c r="G24" s="376">
        <f>JULIO!I24</f>
        <v>407362466</v>
      </c>
      <c r="H24" s="377">
        <v>2239981</v>
      </c>
      <c r="I24" s="376">
        <f>SUM(G24:H24)</f>
        <v>409602447</v>
      </c>
      <c r="J24" s="376">
        <f>JULIO!L24</f>
        <v>407362466</v>
      </c>
      <c r="K24" s="377">
        <v>2239981</v>
      </c>
      <c r="L24" s="376">
        <f>SUM(J24:K24)</f>
        <v>409602447</v>
      </c>
      <c r="M24" s="376">
        <f>F24-I24</f>
        <v>26009174</v>
      </c>
      <c r="N24" s="146">
        <f>F24-L24</f>
        <v>26009174</v>
      </c>
      <c r="O24" s="385"/>
      <c r="P24" s="375">
        <v>0</v>
      </c>
      <c r="Q24" s="378">
        <v>0</v>
      </c>
      <c r="R24" s="9"/>
      <c r="S24" s="720" t="str">
        <f>+IF(JULIO!S24=0,"",JULIO!S24)</f>
        <v>1010104-4</v>
      </c>
      <c r="T24" s="694" t="str">
        <f>+IF(JULIO!T24=0,"",JULIO!T24)</f>
        <v>Prima Clima</v>
      </c>
      <c r="U24" s="27">
        <f>+ENERO!U24</f>
        <v>0</v>
      </c>
      <c r="V24" s="15">
        <f>JULIO!V24+AGOSTO!AL24</f>
        <v>0</v>
      </c>
      <c r="W24" s="15">
        <f>JULIO!W24+AGOSTO!AM24</f>
        <v>0</v>
      </c>
      <c r="X24" s="18">
        <f t="shared" si="17"/>
        <v>0</v>
      </c>
      <c r="Y24" s="19">
        <f>JULIO!AA24</f>
        <v>0</v>
      </c>
      <c r="Z24" s="377">
        <v>0</v>
      </c>
      <c r="AA24" s="18">
        <f t="shared" si="18"/>
        <v>0</v>
      </c>
      <c r="AB24" s="19">
        <f>JULIO!AD24</f>
        <v>0</v>
      </c>
      <c r="AC24" s="377">
        <v>0</v>
      </c>
      <c r="AD24" s="18">
        <f t="shared" si="19"/>
        <v>0</v>
      </c>
      <c r="AE24" s="19">
        <f>JULIO!AG24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256962998</v>
      </c>
      <c r="AS24" s="434">
        <f>AG35+AG83</f>
        <v>208378320</v>
      </c>
      <c r="AT24" s="434"/>
      <c r="AU24" s="376">
        <f t="shared" si="25"/>
        <v>0.60563914978692512</v>
      </c>
      <c r="AV24" s="376">
        <f t="shared" si="26"/>
        <v>0.49112934368405764</v>
      </c>
      <c r="AW24" s="376">
        <f>(AR24-AD41-AD88)/$AO$2*12+AD41+AD88</f>
        <v>368467258</v>
      </c>
      <c r="AX24" s="376">
        <f>(AS24-AG41-AG88)/$AO$2*12+AG41+AG88</f>
        <v>299065168</v>
      </c>
      <c r="AY24" s="376">
        <f t="shared" si="27"/>
        <v>-55816737</v>
      </c>
      <c r="AZ24" s="146">
        <f t="shared" si="28"/>
        <v>125218827</v>
      </c>
      <c r="BA24" s="9"/>
      <c r="BB24" s="440"/>
      <c r="BC24" s="385"/>
      <c r="BD24" s="385"/>
      <c r="BE24" s="385"/>
      <c r="BF24" s="385"/>
      <c r="BG24" s="385"/>
      <c r="BH24" s="385"/>
      <c r="BI24" s="385"/>
      <c r="BJ24" s="385"/>
      <c r="BK24" s="385"/>
      <c r="BL24" s="385"/>
      <c r="BM24" s="140" t="s">
        <v>112</v>
      </c>
      <c r="BN24" s="83">
        <f>X170-X177-X174-X183-X191</f>
        <v>26292468</v>
      </c>
      <c r="BO24" s="81">
        <f>AA170-AA177-AA174-AA183-AA191</f>
        <v>8188981</v>
      </c>
      <c r="BP24" s="81">
        <f>AD170-AD177-AD174-AD183-AD191</f>
        <v>7865449</v>
      </c>
      <c r="BQ24" s="82">
        <f>AF170-AF177-AF174-AF183-AF191</f>
        <v>362108</v>
      </c>
      <c r="BR24" s="385"/>
    </row>
    <row r="25" spans="1:70" s="385" customFormat="1" ht="24.95" customHeight="1" x14ac:dyDescent="0.25">
      <c r="A25" s="747">
        <f>+IF(JULIO!A25=0,"",JULIO!A25)</f>
        <v>1130102</v>
      </c>
      <c r="B25" s="653" t="str">
        <f>+IF(JULIO!B25=0,"",JULIO!B25)</f>
        <v>ARS - REGIMEN SUBSIDIADO</v>
      </c>
      <c r="C25" s="43">
        <f t="shared" ref="C25:N25" si="29">SUM(C26:C27)</f>
        <v>873986903</v>
      </c>
      <c r="D25" s="44">
        <f t="shared" si="29"/>
        <v>0</v>
      </c>
      <c r="E25" s="44">
        <f t="shared" si="29"/>
        <v>71552427</v>
      </c>
      <c r="F25" s="44">
        <f t="shared" si="29"/>
        <v>945539330</v>
      </c>
      <c r="G25" s="44">
        <f t="shared" si="29"/>
        <v>528492280</v>
      </c>
      <c r="H25" s="44">
        <f t="shared" si="29"/>
        <v>67946133</v>
      </c>
      <c r="I25" s="44">
        <f t="shared" si="29"/>
        <v>596438413</v>
      </c>
      <c r="J25" s="44">
        <f t="shared" si="29"/>
        <v>366431269</v>
      </c>
      <c r="K25" s="44">
        <f t="shared" si="29"/>
        <v>38523524</v>
      </c>
      <c r="L25" s="44">
        <f t="shared" si="29"/>
        <v>404954793</v>
      </c>
      <c r="M25" s="44">
        <f t="shared" si="29"/>
        <v>349100917</v>
      </c>
      <c r="N25" s="45">
        <f t="shared" si="29"/>
        <v>540584537</v>
      </c>
      <c r="P25" s="43">
        <f>SUM(P26:P27)</f>
        <v>0</v>
      </c>
      <c r="Q25" s="45">
        <f>SUM(Q26:Q27)</f>
        <v>0</v>
      </c>
      <c r="R25" s="9"/>
      <c r="S25" s="720" t="str">
        <f>+IF(JULIO!S25=0,"",JULIO!S25)</f>
        <v>1010104-5</v>
      </c>
      <c r="T25" s="694" t="str">
        <f>+IF(JULIO!T25=0,"",JULIO!T25)</f>
        <v>Prima de Servicios</v>
      </c>
      <c r="U25" s="27">
        <f>+ENERO!U25</f>
        <v>12683577</v>
      </c>
      <c r="V25" s="15">
        <f>JULIO!V25+AGOSTO!AL25</f>
        <v>0</v>
      </c>
      <c r="W25" s="15">
        <f>JULIO!W25+AGOSTO!AM25</f>
        <v>0</v>
      </c>
      <c r="X25" s="18">
        <f t="shared" si="17"/>
        <v>12683577</v>
      </c>
      <c r="Y25" s="19">
        <f>JULIO!AA25</f>
        <v>0</v>
      </c>
      <c r="Z25" s="377">
        <v>0</v>
      </c>
      <c r="AA25" s="18">
        <f t="shared" si="18"/>
        <v>0</v>
      </c>
      <c r="AB25" s="19">
        <f>JULIO!AD25</f>
        <v>0</v>
      </c>
      <c r="AC25" s="377">
        <v>0</v>
      </c>
      <c r="AD25" s="18">
        <f t="shared" si="19"/>
        <v>0</v>
      </c>
      <c r="AE25" s="19">
        <f>JULIO!AG25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351276057</v>
      </c>
      <c r="AS25" s="376">
        <f>AG43+AG57+AG90+AG104</f>
        <v>297730842</v>
      </c>
      <c r="AT25" s="434"/>
      <c r="AU25" s="376">
        <f t="shared" si="25"/>
        <v>0.64745716362384254</v>
      </c>
      <c r="AV25" s="376">
        <f t="shared" si="26"/>
        <v>0.54876488916139932</v>
      </c>
      <c r="AW25" s="376">
        <f>(AR25-AD55-AD61-AD102-AD108)/$AO$2*12+AD55+AD61+AD102+AD108</f>
        <v>482414328</v>
      </c>
      <c r="AX25" s="376">
        <f>(AS25-AG55-AG61-AG102-AG108)/$AO$2*12+AG55+AG61+AG102+AG108</f>
        <v>403082965</v>
      </c>
      <c r="AY25" s="376">
        <f t="shared" si="27"/>
        <v>-60132850</v>
      </c>
      <c r="AZ25" s="146">
        <f t="shared" si="28"/>
        <v>139464213</v>
      </c>
      <c r="BM25" s="143" t="s">
        <v>455</v>
      </c>
      <c r="BN25" s="106">
        <f>+SUM(BN26:BN28)</f>
        <v>349217338</v>
      </c>
      <c r="BO25" s="107">
        <f>+SUM(BO26:BO28)</f>
        <v>229287942</v>
      </c>
      <c r="BP25" s="107">
        <f>+SUM(BP26:BP28)</f>
        <v>214930845</v>
      </c>
      <c r="BQ25" s="108">
        <f>+SUM(BQ26:BQ28)</f>
        <v>7171469</v>
      </c>
    </row>
    <row r="26" spans="1:70" s="9" customFormat="1" ht="24.95" customHeight="1" x14ac:dyDescent="0.2">
      <c r="A26" s="618" t="str">
        <f>+IF(JULIO!A26=0,"",JULIO!A26)</f>
        <v>1130102-1</v>
      </c>
      <c r="B26" s="654" t="str">
        <f>+CONCATENATE("Vigencia ",INSTRUCCIONES!$F$3)</f>
        <v>Vigencia 2015</v>
      </c>
      <c r="C26" s="375">
        <f>+ENERO!C26</f>
        <v>873986903</v>
      </c>
      <c r="D26" s="376">
        <f>JULIO!D26+AGOSTO!P26</f>
        <v>0</v>
      </c>
      <c r="E26" s="376">
        <f>JULIO!E26+AGOSTO!Q26</f>
        <v>0</v>
      </c>
      <c r="F26" s="376">
        <f>SUM(C26:E26)</f>
        <v>873986903</v>
      </c>
      <c r="G26" s="376">
        <f>JULIO!I26</f>
        <v>487914577</v>
      </c>
      <c r="H26" s="377">
        <v>67125469</v>
      </c>
      <c r="I26" s="376">
        <f>SUM(G26:H26)</f>
        <v>555040046</v>
      </c>
      <c r="J26" s="376">
        <f>JULIO!L26</f>
        <v>325853566</v>
      </c>
      <c r="K26" s="377">
        <v>37702860</v>
      </c>
      <c r="L26" s="376">
        <f>SUM(J26:K26)</f>
        <v>363556426</v>
      </c>
      <c r="M26" s="376">
        <f>F26-I26</f>
        <v>318946857</v>
      </c>
      <c r="N26" s="146">
        <f>F26-L26</f>
        <v>510430477</v>
      </c>
      <c r="P26" s="375">
        <v>0</v>
      </c>
      <c r="Q26" s="378">
        <v>0</v>
      </c>
      <c r="S26" s="720" t="str">
        <f>+IF(JULIO!S26=0,"",JULIO!S26)</f>
        <v>1010104-8</v>
      </c>
      <c r="T26" s="694" t="str">
        <f>+IF(JULIO!T26=0,"",JULIO!T26)</f>
        <v>Bonific. por Servicios Prestados (Convencional)</v>
      </c>
      <c r="U26" s="27">
        <f>+ENERO!U26</f>
        <v>0</v>
      </c>
      <c r="V26" s="15">
        <f>JULIO!V26+AGOSTO!AL26</f>
        <v>0</v>
      </c>
      <c r="W26" s="15">
        <f>JULIO!W26+AGOSTO!AM26</f>
        <v>0</v>
      </c>
      <c r="X26" s="18">
        <f t="shared" si="17"/>
        <v>0</v>
      </c>
      <c r="Y26" s="19">
        <f>JULIO!AA26</f>
        <v>0</v>
      </c>
      <c r="Z26" s="377">
        <v>0</v>
      </c>
      <c r="AA26" s="18">
        <f t="shared" si="18"/>
        <v>0</v>
      </c>
      <c r="AB26" s="19">
        <f>JULIO!AD26</f>
        <v>0</v>
      </c>
      <c r="AC26" s="377">
        <v>0</v>
      </c>
      <c r="AD26" s="18">
        <f t="shared" si="19"/>
        <v>0</v>
      </c>
      <c r="AE26" s="19">
        <f>JULIO!AG26</f>
        <v>0</v>
      </c>
      <c r="AF26" s="377">
        <v>0</v>
      </c>
      <c r="AG26" s="18">
        <f t="shared" si="20"/>
        <v>0</v>
      </c>
      <c r="AH26" s="19">
        <f t="shared" si="21"/>
        <v>0</v>
      </c>
      <c r="AI26" s="15">
        <f t="shared" si="22"/>
        <v>0</v>
      </c>
      <c r="AJ26" s="16">
        <f t="shared" si="23"/>
        <v>0</v>
      </c>
      <c r="AL26" s="375">
        <v>0</v>
      </c>
      <c r="AM26" s="378">
        <v>0</v>
      </c>
      <c r="AO26" s="21"/>
      <c r="AP26" s="442" t="s">
        <v>122</v>
      </c>
      <c r="AQ26" s="330">
        <f>X110</f>
        <v>759559501</v>
      </c>
      <c r="AR26" s="330">
        <f>AD110</f>
        <v>476977122</v>
      </c>
      <c r="AS26" s="330">
        <f>AG110</f>
        <v>329962054</v>
      </c>
      <c r="AT26" s="374">
        <f>AO2/12</f>
        <v>0.66666666666666663</v>
      </c>
      <c r="AU26" s="345">
        <f t="shared" si="25"/>
        <v>0.62796544756801087</v>
      </c>
      <c r="AV26" s="345">
        <f t="shared" si="26"/>
        <v>0.43441238450126374</v>
      </c>
      <c r="AW26" s="439">
        <f>(AR26-AD121-AD139-AD143-AD153-AD168)/$AO$2*12+AD121+AD139+AD143+AD153+AD168</f>
        <v>664318676</v>
      </c>
      <c r="AX26" s="439">
        <f>(AS26-AG121-AG139-AG143-AG153-AG168)/$AO$2*12+AG121+AG139+AG143+AG153+AG168</f>
        <v>456357075.5</v>
      </c>
      <c r="AY26" s="439">
        <f t="shared" si="27"/>
        <v>-95240825</v>
      </c>
      <c r="AZ26" s="46">
        <f t="shared" si="28"/>
        <v>303202425.5</v>
      </c>
      <c r="BA26" s="385"/>
      <c r="BB26" s="385"/>
      <c r="BC26" s="385"/>
      <c r="BD26" s="385"/>
      <c r="BE26" s="385"/>
      <c r="BF26" s="385"/>
      <c r="BG26" s="385"/>
      <c r="BH26" s="385"/>
      <c r="BI26" s="385"/>
      <c r="BJ26" s="385"/>
      <c r="BK26" s="385"/>
      <c r="BM26" s="109" t="s">
        <v>456</v>
      </c>
      <c r="BN26" s="86">
        <f>+X196+X212</f>
        <v>211675731</v>
      </c>
      <c r="BO26" s="84">
        <f>+AA196+AA212</f>
        <v>137944966</v>
      </c>
      <c r="BP26" s="84">
        <f>+AD196+AD212</f>
        <v>123587869</v>
      </c>
      <c r="BQ26" s="85">
        <f>+AF196+AF212</f>
        <v>3106568</v>
      </c>
      <c r="BR26" s="385"/>
    </row>
    <row r="27" spans="1:70" s="425" customFormat="1" ht="24.95" customHeight="1" x14ac:dyDescent="0.2">
      <c r="A27" s="618" t="str">
        <f>+IF(JULIO!A27=0,"",JULIO!A27)</f>
        <v>1130102-2</v>
      </c>
      <c r="B27" s="654" t="str">
        <f>+IF(JULIO!B27=0,"",JULIO!B27)</f>
        <v>Vigencia Anterior</v>
      </c>
      <c r="C27" s="375">
        <f>+ENERO!C27</f>
        <v>0</v>
      </c>
      <c r="D27" s="376">
        <f>JULIO!D27+AGOSTO!P27</f>
        <v>0</v>
      </c>
      <c r="E27" s="376">
        <f>JULIO!E27+AGOSTO!Q27</f>
        <v>71552427</v>
      </c>
      <c r="F27" s="376">
        <f>SUM(C27:E27)</f>
        <v>71552427</v>
      </c>
      <c r="G27" s="376">
        <f>JULIO!I27</f>
        <v>40577703</v>
      </c>
      <c r="H27" s="377">
        <v>820664</v>
      </c>
      <c r="I27" s="376">
        <f>SUM(G27:H27)</f>
        <v>41398367</v>
      </c>
      <c r="J27" s="376">
        <f>JULIO!L27</f>
        <v>40577703</v>
      </c>
      <c r="K27" s="377">
        <v>820664</v>
      </c>
      <c r="L27" s="376">
        <f>SUM(J27:K27)</f>
        <v>41398367</v>
      </c>
      <c r="M27" s="376">
        <f>F27-I27</f>
        <v>30154060</v>
      </c>
      <c r="N27" s="146">
        <f>F27-L27</f>
        <v>30154060</v>
      </c>
      <c r="O27" s="385"/>
      <c r="P27" s="375">
        <v>0</v>
      </c>
      <c r="Q27" s="378">
        <v>0</v>
      </c>
      <c r="R27" s="9"/>
      <c r="S27" s="720" t="str">
        <f>+IF(JULIO!S27=0,"",JULIO!S27)</f>
        <v>1010104-9</v>
      </c>
      <c r="T27" s="694" t="str">
        <f>+IF(JULIO!T27=0,"",JULIO!T27)</f>
        <v>Auxilio de Transporte</v>
      </c>
      <c r="U27" s="27">
        <f>+ENERO!U27</f>
        <v>1625120</v>
      </c>
      <c r="V27" s="15">
        <f>JULIO!V27+AGOSTO!AL27</f>
        <v>0</v>
      </c>
      <c r="W27" s="15">
        <f>JULIO!W27+AGOSTO!AM27</f>
        <v>0</v>
      </c>
      <c r="X27" s="18">
        <f t="shared" si="17"/>
        <v>1625120</v>
      </c>
      <c r="Y27" s="19">
        <f>JULIO!AA27</f>
        <v>466400</v>
      </c>
      <c r="Z27" s="377">
        <v>74000</v>
      </c>
      <c r="AA27" s="18">
        <f t="shared" si="18"/>
        <v>540400</v>
      </c>
      <c r="AB27" s="19">
        <f>JULIO!AD27</f>
        <v>466400</v>
      </c>
      <c r="AC27" s="377">
        <v>74000</v>
      </c>
      <c r="AD27" s="18">
        <f t="shared" si="19"/>
        <v>540400</v>
      </c>
      <c r="AE27" s="19">
        <f>JULIO!AG27</f>
        <v>466399</v>
      </c>
      <c r="AF27" s="377">
        <v>74000</v>
      </c>
      <c r="AG27" s="18">
        <f t="shared" si="20"/>
        <v>540399</v>
      </c>
      <c r="AH27" s="19">
        <f t="shared" si="21"/>
        <v>1084720</v>
      </c>
      <c r="AI27" s="15">
        <f t="shared" si="22"/>
        <v>1084720</v>
      </c>
      <c r="AJ27" s="16">
        <f t="shared" si="23"/>
        <v>1084721</v>
      </c>
      <c r="AK27" s="9"/>
      <c r="AL27" s="375">
        <v>0</v>
      </c>
      <c r="AM27" s="378">
        <v>0</v>
      </c>
      <c r="AN27" s="9"/>
      <c r="AO27" s="352"/>
      <c r="AP27" s="441" t="s">
        <v>126</v>
      </c>
      <c r="AQ27" s="376">
        <f>X170</f>
        <v>74494094</v>
      </c>
      <c r="AR27" s="376">
        <f>AD170</f>
        <v>37140591</v>
      </c>
      <c r="AS27" s="376">
        <f>AG170</f>
        <v>31637906</v>
      </c>
      <c r="AT27" s="434"/>
      <c r="AU27" s="376">
        <f t="shared" si="25"/>
        <v>0.4985709471142773</v>
      </c>
      <c r="AV27" s="376">
        <f t="shared" si="26"/>
        <v>0.42470354763962898</v>
      </c>
      <c r="AW27" s="376">
        <f>(AR27-AD174-AD183-AD191)/$AO$2*12+AD174+AD183+AD191</f>
        <v>51249981.5</v>
      </c>
      <c r="AX27" s="376">
        <f>(AS27-AG174-AG183-AG191)/$AO$2*12+AG174+AG183+AG191</f>
        <v>43002004.5</v>
      </c>
      <c r="AY27" s="376">
        <f t="shared" si="27"/>
        <v>-23244112.5</v>
      </c>
      <c r="AZ27" s="146">
        <f t="shared" si="28"/>
        <v>31492089.5</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+IF(JULIO!A28=0,"",JULIO!A28)</f>
        <v>1130103</v>
      </c>
      <c r="B28" s="630" t="str">
        <f>+IF(JULIO!B28=0,"",JULIO!B28)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190982967</v>
      </c>
      <c r="H28" s="44">
        <f t="shared" si="30"/>
        <v>28521108</v>
      </c>
      <c r="I28" s="44">
        <f t="shared" si="30"/>
        <v>219504075</v>
      </c>
      <c r="J28" s="44">
        <f t="shared" si="30"/>
        <v>175860384</v>
      </c>
      <c r="K28" s="44">
        <f t="shared" si="30"/>
        <v>25429407</v>
      </c>
      <c r="L28" s="44">
        <f t="shared" si="30"/>
        <v>201289791</v>
      </c>
      <c r="M28" s="44">
        <f t="shared" si="30"/>
        <v>131222753</v>
      </c>
      <c r="N28" s="45">
        <f t="shared" si="30"/>
        <v>149437037</v>
      </c>
      <c r="O28" s="385"/>
      <c r="P28" s="43">
        <f>P29+P32+P35+P38+P39+P940</f>
        <v>0</v>
      </c>
      <c r="Q28" s="45">
        <f>Q29+Q32+Q35+Q38+Q39+Q40</f>
        <v>0</v>
      </c>
      <c r="R28" s="9"/>
      <c r="S28" s="720" t="str">
        <f>+IF(JULIO!S28=0,"",JULIO!S28)</f>
        <v>1010104-10</v>
      </c>
      <c r="T28" s="694" t="str">
        <f>+IF(JULIO!T28=0,"",JULIO!T28)</f>
        <v>Subsidio de Alimentación</v>
      </c>
      <c r="U28" s="27">
        <f>+ENERO!U28</f>
        <v>0</v>
      </c>
      <c r="V28" s="15">
        <f>JULIO!V28+AGOSTO!AL28</f>
        <v>0</v>
      </c>
      <c r="W28" s="15">
        <f>JULIO!W28+AGOSTO!AM28</f>
        <v>0</v>
      </c>
      <c r="X28" s="18">
        <f t="shared" si="17"/>
        <v>0</v>
      </c>
      <c r="Y28" s="19">
        <f>JULIO!AA28</f>
        <v>0</v>
      </c>
      <c r="Z28" s="377">
        <v>0</v>
      </c>
      <c r="AA28" s="18">
        <f t="shared" si="18"/>
        <v>0</v>
      </c>
      <c r="AB28" s="19">
        <f>JULIO!AD28</f>
        <v>0</v>
      </c>
      <c r="AC28" s="377">
        <v>0</v>
      </c>
      <c r="AD28" s="18">
        <f t="shared" si="19"/>
        <v>0</v>
      </c>
      <c r="AE28" s="19">
        <f>JULIO!AG28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441053270</v>
      </c>
      <c r="AR28" s="434">
        <f>AD193</f>
        <v>306766777</v>
      </c>
      <c r="AS28" s="434">
        <f>AG193</f>
        <v>156443992</v>
      </c>
      <c r="AT28" s="434"/>
      <c r="AU28" s="376">
        <f t="shared" si="25"/>
        <v>0.6955322584956688</v>
      </c>
      <c r="AV28" s="376">
        <f t="shared" si="26"/>
        <v>0.35470543501468654</v>
      </c>
      <c r="AW28" s="376">
        <f>(AR28-AD205)/$AO$2*12+AD205</f>
        <v>414232199.5</v>
      </c>
      <c r="AX28" s="376">
        <f>(AS28-AG205)/$AO$2*12+AG205</f>
        <v>188861203</v>
      </c>
      <c r="AY28" s="376">
        <f t="shared" si="27"/>
        <v>-26821070.5</v>
      </c>
      <c r="AZ28" s="146">
        <f t="shared" si="28"/>
        <v>252192067</v>
      </c>
      <c r="BA28" s="385"/>
      <c r="BB28" s="385"/>
      <c r="BC28" s="385"/>
      <c r="BD28" s="385"/>
      <c r="BE28" s="385"/>
      <c r="BF28" s="385"/>
      <c r="BG28" s="385"/>
      <c r="BH28" s="385"/>
      <c r="BI28" s="385"/>
      <c r="BJ28" s="385"/>
      <c r="BK28" s="385"/>
      <c r="BL28" s="385"/>
      <c r="BM28" s="71" t="s">
        <v>458</v>
      </c>
      <c r="BN28" s="83">
        <f>+X194-X196-X205</f>
        <v>137541607</v>
      </c>
      <c r="BO28" s="81">
        <f>+AA194-AA196-AA205</f>
        <v>91342976</v>
      </c>
      <c r="BP28" s="81">
        <f>+AD194-AD196-AD205</f>
        <v>91342976</v>
      </c>
      <c r="BQ28" s="82">
        <f>+AF194-AF196-AF205</f>
        <v>4064901</v>
      </c>
      <c r="BR28" s="9"/>
    </row>
    <row r="29" spans="1:70" s="9" customFormat="1" ht="24.95" customHeight="1" x14ac:dyDescent="0.25">
      <c r="A29" s="618" t="str">
        <f>+IF(JULIO!A29=0,"",JULIO!A29)</f>
        <v>1130103-1</v>
      </c>
      <c r="B29" s="655" t="str">
        <f>+IF(JULIO!B29=0,"",JULIO!B29)</f>
        <v>Prestación de Servicios de salud  1er Nivel</v>
      </c>
      <c r="C29" s="19">
        <f t="shared" ref="C29:N29" si="31">SUM(C30:C31)</f>
        <v>24095828</v>
      </c>
      <c r="D29" s="15">
        <f t="shared" si="31"/>
        <v>0</v>
      </c>
      <c r="E29" s="15">
        <f t="shared" si="31"/>
        <v>0</v>
      </c>
      <c r="F29" s="15">
        <f t="shared" si="31"/>
        <v>24095828</v>
      </c>
      <c r="G29" s="15">
        <f t="shared" si="31"/>
        <v>4863623</v>
      </c>
      <c r="H29" s="15">
        <f t="shared" si="31"/>
        <v>3705461</v>
      </c>
      <c r="I29" s="15">
        <f t="shared" si="31"/>
        <v>8569084</v>
      </c>
      <c r="J29" s="15">
        <f t="shared" si="31"/>
        <v>2150855</v>
      </c>
      <c r="K29" s="15">
        <f t="shared" si="31"/>
        <v>613760</v>
      </c>
      <c r="L29" s="15">
        <f t="shared" si="31"/>
        <v>2764615</v>
      </c>
      <c r="M29" s="15">
        <f t="shared" si="31"/>
        <v>15526744</v>
      </c>
      <c r="N29" s="16">
        <f t="shared" si="31"/>
        <v>21331213</v>
      </c>
      <c r="O29" s="385"/>
      <c r="P29" s="147">
        <f>SUM(P30:P31)</f>
        <v>0</v>
      </c>
      <c r="Q29" s="148">
        <f>SUM(Q30:Q31)</f>
        <v>0</v>
      </c>
      <c r="S29" s="720" t="str">
        <f>+IF(JULIO!S29=0,"",JULIO!S29)</f>
        <v>1010104-11</v>
      </c>
      <c r="T29" s="694" t="str">
        <f>+IF(JULIO!T29=0,"",JULIO!T29)</f>
        <v>Gastos de Representación</v>
      </c>
      <c r="U29" s="27">
        <f>+ENERO!U29</f>
        <v>0</v>
      </c>
      <c r="V29" s="15">
        <f>JULIO!V29+AGOSTO!AL29</f>
        <v>0</v>
      </c>
      <c r="W29" s="15">
        <f>JULIO!W29+AGOSTO!AM29</f>
        <v>0</v>
      </c>
      <c r="X29" s="18">
        <f t="shared" si="17"/>
        <v>0</v>
      </c>
      <c r="Y29" s="19">
        <f>JULIO!AA29</f>
        <v>0</v>
      </c>
      <c r="Z29" s="377">
        <v>0</v>
      </c>
      <c r="AA29" s="18">
        <f t="shared" si="18"/>
        <v>0</v>
      </c>
      <c r="AB29" s="19">
        <f>JULIO!AD29</f>
        <v>0</v>
      </c>
      <c r="AC29" s="377">
        <v>0</v>
      </c>
      <c r="AD29" s="18">
        <f t="shared" si="19"/>
        <v>0</v>
      </c>
      <c r="AE29" s="19">
        <f>JULIO!AG29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378000000</v>
      </c>
      <c r="BO29" s="107">
        <f>AA232-AA256-AA241</f>
        <v>120161334</v>
      </c>
      <c r="BP29" s="107">
        <f>AD232-AD256-AD241</f>
        <v>58948000</v>
      </c>
      <c r="BQ29" s="108">
        <f>AF232-AF256-AF241</f>
        <v>11775000</v>
      </c>
      <c r="BR29" s="385"/>
    </row>
    <row r="30" spans="1:70" s="425" customFormat="1" ht="24.95" customHeight="1" x14ac:dyDescent="0.25">
      <c r="A30" s="618" t="str">
        <f>+IF(JULIO!A30=0,"",JULIO!A30)</f>
        <v>1130103-1-1</v>
      </c>
      <c r="B30" s="654" t="str">
        <f>+CONCATENATE("Vigencia ",INSTRUCCIONES!$F$3)</f>
        <v>Vigencia 2015</v>
      </c>
      <c r="C30" s="375">
        <f>+ENERO!C30</f>
        <v>24095828</v>
      </c>
      <c r="D30" s="376">
        <f>JULIO!D30+AGOSTO!P30</f>
        <v>0</v>
      </c>
      <c r="E30" s="376">
        <f>JULIO!E30+AGOSTO!Q30</f>
        <v>0</v>
      </c>
      <c r="F30" s="376">
        <f>SUM(C30:E30)</f>
        <v>24095828</v>
      </c>
      <c r="G30" s="376">
        <f>JULIO!I30</f>
        <v>4863623</v>
      </c>
      <c r="H30" s="377">
        <v>3705461</v>
      </c>
      <c r="I30" s="376">
        <f>SUM(G30:H30)</f>
        <v>8569084</v>
      </c>
      <c r="J30" s="376">
        <f>JULIO!L30</f>
        <v>2150855</v>
      </c>
      <c r="K30" s="377">
        <v>613760</v>
      </c>
      <c r="L30" s="376">
        <f>SUM(J30:K30)</f>
        <v>2764615</v>
      </c>
      <c r="M30" s="376">
        <f>F30-I30</f>
        <v>15526744</v>
      </c>
      <c r="N30" s="146">
        <f>F30-L30</f>
        <v>21331213</v>
      </c>
      <c r="O30" s="9"/>
      <c r="P30" s="375">
        <v>0</v>
      </c>
      <c r="Q30" s="378">
        <v>0</v>
      </c>
      <c r="R30" s="9"/>
      <c r="S30" s="720" t="str">
        <f>+IF(JULIO!S30=0,"",JULIO!S30)</f>
        <v>1010104-12</v>
      </c>
      <c r="T30" s="694" t="str">
        <f>+IF(JULIO!T30=0,"",JULIO!T30)</f>
        <v xml:space="preserve"> Indemnizaciones por Vacaciones o Supresión de Cargos por Reestructuración</v>
      </c>
      <c r="U30" s="27">
        <f>+ENERO!U30</f>
        <v>0</v>
      </c>
      <c r="V30" s="15">
        <f>JULIO!V30+AGOSTO!AL30</f>
        <v>0</v>
      </c>
      <c r="W30" s="15">
        <f>JULIO!W30+AGOSTO!AM30</f>
        <v>0</v>
      </c>
      <c r="X30" s="18">
        <f t="shared" si="17"/>
        <v>0</v>
      </c>
      <c r="Y30" s="19">
        <f>JULIO!AA30</f>
        <v>0</v>
      </c>
      <c r="Z30" s="377">
        <v>0</v>
      </c>
      <c r="AA30" s="18">
        <f t="shared" si="18"/>
        <v>0</v>
      </c>
      <c r="AB30" s="19">
        <f>JULIO!AD30</f>
        <v>0</v>
      </c>
      <c r="AC30" s="377">
        <v>0</v>
      </c>
      <c r="AD30" s="18">
        <f t="shared" si="19"/>
        <v>0</v>
      </c>
      <c r="AE30" s="19">
        <f>JULIO!AG30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378000000</v>
      </c>
      <c r="AR30" s="376">
        <f>AD220+AD232</f>
        <v>58948000</v>
      </c>
      <c r="AS30" s="376">
        <f>AG220+AG232</f>
        <v>48320000</v>
      </c>
      <c r="AT30" s="434"/>
      <c r="AU30" s="376">
        <f t="shared" si="25"/>
        <v>0.15594708994708995</v>
      </c>
      <c r="AV30" s="376">
        <f t="shared" si="26"/>
        <v>0.12783068783068782</v>
      </c>
      <c r="AW30" s="376">
        <f>(AR30-AD225-AD230-AD241-AD256)/$AO$2*12+AD225+AD230+AD241+AD256</f>
        <v>88422000</v>
      </c>
      <c r="AX30" s="376">
        <f>(AS30-AG225-AG230-AG241-AG256)/$AO$2*12+AG225+AG230+AG241+AG256</f>
        <v>72480000</v>
      </c>
      <c r="AY30" s="376">
        <f t="shared" si="27"/>
        <v>-289578000</v>
      </c>
      <c r="AZ30" s="146">
        <f t="shared" si="28"/>
        <v>305520000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+IF(JULIO!A31=0,"",JULIO!A31)</f>
        <v>1130103-1-2</v>
      </c>
      <c r="B31" s="654" t="str">
        <f>+IF(JULIO!B31=0,"",JULIO!B31)</f>
        <v>Vigencia Anterior</v>
      </c>
      <c r="C31" s="375">
        <f>+ENERO!C31</f>
        <v>0</v>
      </c>
      <c r="D31" s="376">
        <f>JULIO!D31+AGOSTO!P31</f>
        <v>0</v>
      </c>
      <c r="E31" s="376">
        <f>JULIO!E31+AGOSTO!Q31</f>
        <v>0</v>
      </c>
      <c r="F31" s="376">
        <f>SUM(C31:E31)</f>
        <v>0</v>
      </c>
      <c r="G31" s="376">
        <f>JULIO!I31</f>
        <v>0</v>
      </c>
      <c r="H31" s="377">
        <v>0</v>
      </c>
      <c r="I31" s="376">
        <f>SUM(G31:H31)</f>
        <v>0</v>
      </c>
      <c r="J31" s="376">
        <f>JULIO!L31</f>
        <v>0</v>
      </c>
      <c r="K31" s="377">
        <v>0</v>
      </c>
      <c r="L31" s="376">
        <f>SUM(J31:K31)</f>
        <v>0</v>
      </c>
      <c r="M31" s="376">
        <f>F31-I31</f>
        <v>0</v>
      </c>
      <c r="N31" s="146">
        <f>F31-L31</f>
        <v>0</v>
      </c>
      <c r="O31" s="385"/>
      <c r="P31" s="375">
        <v>0</v>
      </c>
      <c r="Q31" s="378">
        <v>0</v>
      </c>
      <c r="R31" s="9"/>
      <c r="S31" s="720" t="str">
        <f>+IF(JULIO!S31=0,"",JULIO!S31)</f>
        <v>1010104-13</v>
      </c>
      <c r="T31" s="694" t="str">
        <f>+IF(JULIO!T31=0,"",JULIO!T31)</f>
        <v>Bonificación Especial por Recreación</v>
      </c>
      <c r="U31" s="27">
        <f>+ENERO!U31</f>
        <v>1691144</v>
      </c>
      <c r="V31" s="15">
        <f>JULIO!V31+AGOSTO!AL31</f>
        <v>0</v>
      </c>
      <c r="W31" s="15">
        <f>JULIO!W31+AGOSTO!AM31</f>
        <v>0</v>
      </c>
      <c r="X31" s="18">
        <f t="shared" si="17"/>
        <v>1691144</v>
      </c>
      <c r="Y31" s="19">
        <f>JULIO!AA31</f>
        <v>283862</v>
      </c>
      <c r="Z31" s="377">
        <v>0</v>
      </c>
      <c r="AA31" s="18">
        <f t="shared" si="18"/>
        <v>283862</v>
      </c>
      <c r="AB31" s="19">
        <f>JULIO!AD31</f>
        <v>283862</v>
      </c>
      <c r="AC31" s="377">
        <v>0</v>
      </c>
      <c r="AD31" s="18">
        <f t="shared" si="19"/>
        <v>283862</v>
      </c>
      <c r="AE31" s="19">
        <f>JULIO!AG31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-374185150</v>
      </c>
      <c r="AS31" s="434">
        <f>AG258</f>
        <v>-1791957842</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0</v>
      </c>
      <c r="BR31" s="9"/>
    </row>
    <row r="32" spans="1:70" s="9" customFormat="1" ht="24.95" customHeight="1" thickBot="1" x14ac:dyDescent="0.3">
      <c r="A32" s="618" t="str">
        <f>+IF(JULIO!A32=0,"",JULIO!A32)</f>
        <v>1130103-2</v>
      </c>
      <c r="B32" s="655" t="str">
        <f>+IF(JULIO!B32=0,"",JULIO!B32)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+IF(JULIO!S32=0,"",JULIO!S32)</f>
        <v>1010104-14</v>
      </c>
      <c r="T32" s="694" t="str">
        <f>+IF(JULIO!T32=0,"",JULIO!T32)</f>
        <v/>
      </c>
      <c r="U32" s="27">
        <f>+ENERO!U32</f>
        <v>0</v>
      </c>
      <c r="V32" s="15">
        <f>JULIO!V32+AGOSTO!AL32</f>
        <v>0</v>
      </c>
      <c r="W32" s="15">
        <f>JULIO!W32+AGOSTO!AM32</f>
        <v>0</v>
      </c>
      <c r="X32" s="18">
        <f t="shared" si="17"/>
        <v>0</v>
      </c>
      <c r="Y32" s="19">
        <f>JULIO!AA32</f>
        <v>0</v>
      </c>
      <c r="Z32" s="377">
        <v>0</v>
      </c>
      <c r="AA32" s="18">
        <f t="shared" si="18"/>
        <v>0</v>
      </c>
      <c r="AB32" s="19">
        <f>JULIO!AD32</f>
        <v>0</v>
      </c>
      <c r="AC32" s="377">
        <v>0</v>
      </c>
      <c r="AD32" s="18">
        <f t="shared" si="19"/>
        <v>0</v>
      </c>
      <c r="AE32" s="19">
        <f>JULIO!AG32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1880555992</v>
      </c>
      <c r="AS32" s="398">
        <f>SUM(AS22:AS31)</f>
        <v>0</v>
      </c>
      <c r="AT32" s="444"/>
      <c r="AU32" s="445">
        <f t="shared" si="25"/>
        <v>0.48335877009484368</v>
      </c>
      <c r="AV32" s="445">
        <f t="shared" si="26"/>
        <v>0</v>
      </c>
      <c r="AW32" s="354">
        <f>SUM(AW22:AW31)</f>
        <v>3365689244.875</v>
      </c>
      <c r="AX32" s="354">
        <f>SUM(AX22:AX31)</f>
        <v>2701063021.875</v>
      </c>
      <c r="AY32" s="354">
        <f>SUM(AY22:AY31)</f>
        <v>-524911502.125</v>
      </c>
      <c r="AZ32" s="355">
        <f>SUM(AZ22:AZ31)</f>
        <v>1189537725.125</v>
      </c>
      <c r="BA32" s="385"/>
      <c r="BB32" s="425"/>
      <c r="BC32" s="425"/>
      <c r="BD32" s="425"/>
      <c r="BE32" s="425"/>
      <c r="BF32" s="425"/>
      <c r="BG32" s="385"/>
      <c r="BH32" s="385"/>
      <c r="BI32" s="385"/>
      <c r="BJ32" s="385"/>
      <c r="BK32" s="385"/>
      <c r="BM32" s="110" t="s">
        <v>140</v>
      </c>
      <c r="BN32" s="106">
        <f>+BN7+BN25+BN29+BN30+BN31</f>
        <v>3890600747</v>
      </c>
      <c r="BO32" s="107">
        <f>+BO7+BO25+BO29+BO30+BO31</f>
        <v>2503870689</v>
      </c>
      <c r="BP32" s="107">
        <f>+BP7+BP25+BP29+BP30+BP31</f>
        <v>2254741142</v>
      </c>
      <c r="BQ32" s="108">
        <f>+BQ7+BQ25+BQ29+BQ30+BQ31</f>
        <v>182762254</v>
      </c>
      <c r="BR32" s="385"/>
    </row>
    <row r="33" spans="1:70" s="425" customFormat="1" ht="24.95" customHeight="1" thickBot="1" x14ac:dyDescent="0.3">
      <c r="A33" s="618" t="str">
        <f>+IF(JULIO!A33=0,"",JULIO!A33)</f>
        <v>1130103-2-1</v>
      </c>
      <c r="B33" s="654" t="str">
        <f>+CONCATENATE("Vigencia ",INSTRUCCIONES!$F$3)</f>
        <v>Vigencia 2015</v>
      </c>
      <c r="C33" s="375">
        <f>+ENERO!C33</f>
        <v>0</v>
      </c>
      <c r="D33" s="376">
        <f>JULIO!D33+AGOSTO!P33</f>
        <v>0</v>
      </c>
      <c r="E33" s="376">
        <f>JULIO!E33+AGOSTO!Q33</f>
        <v>0</v>
      </c>
      <c r="F33" s="376">
        <f>SUM(C33:E33)</f>
        <v>0</v>
      </c>
      <c r="G33" s="376">
        <f>JULIO!I33</f>
        <v>0</v>
      </c>
      <c r="H33" s="377">
        <v>0</v>
      </c>
      <c r="I33" s="376">
        <f>SUM(G33:H33)</f>
        <v>0</v>
      </c>
      <c r="J33" s="376">
        <f>JULIO!L33</f>
        <v>0</v>
      </c>
      <c r="K33" s="377">
        <v>0</v>
      </c>
      <c r="L33" s="376">
        <f>SUM(J33:K33)</f>
        <v>0</v>
      </c>
      <c r="M33" s="376">
        <f>F33-I33</f>
        <v>0</v>
      </c>
      <c r="N33" s="146">
        <f>F33-L33</f>
        <v>0</v>
      </c>
      <c r="O33" s="9"/>
      <c r="P33" s="375">
        <v>0</v>
      </c>
      <c r="Q33" s="378">
        <v>0</v>
      </c>
      <c r="R33" s="9"/>
      <c r="S33" s="719">
        <f>+IF(JULIO!S33=0,"",JULIO!S33)</f>
        <v>1010199</v>
      </c>
      <c r="T33" s="693" t="str">
        <f>+IF(JULIO!T33=0,"",JULIO!T33)</f>
        <v>Vigencias Anteriores</v>
      </c>
      <c r="U33" s="27">
        <f>+ENERO!U33</f>
        <v>0</v>
      </c>
      <c r="V33" s="15">
        <f>JULIO!V33+AGOSTO!AL33</f>
        <v>0</v>
      </c>
      <c r="W33" s="15">
        <f>JULIO!W33+AGOSTO!AM33</f>
        <v>2702630</v>
      </c>
      <c r="X33" s="18">
        <f t="shared" si="17"/>
        <v>2702630</v>
      </c>
      <c r="Y33" s="19">
        <f>JULIO!AA33</f>
        <v>2702630</v>
      </c>
      <c r="Z33" s="377">
        <v>0</v>
      </c>
      <c r="AA33" s="18">
        <f t="shared" si="18"/>
        <v>2702630</v>
      </c>
      <c r="AB33" s="19">
        <f>JULIO!AD33</f>
        <v>2702630</v>
      </c>
      <c r="AC33" s="377">
        <v>0</v>
      </c>
      <c r="AD33" s="18">
        <f t="shared" si="19"/>
        <v>2702630</v>
      </c>
      <c r="AE33" s="19">
        <f>JULIO!AG33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232803277</v>
      </c>
      <c r="BP33" s="113">
        <f>AD258</f>
        <v>-374185150</v>
      </c>
      <c r="BQ33" s="114">
        <f>AF258</f>
        <v>1827282501</v>
      </c>
      <c r="BR33" s="385"/>
    </row>
    <row r="34" spans="1:70" s="425" customFormat="1" ht="24.95" customHeight="1" thickBot="1" x14ac:dyDescent="0.25">
      <c r="A34" s="618" t="str">
        <f>+IF(JULIO!A34=0,"",JULIO!A34)</f>
        <v>1130103-2-2</v>
      </c>
      <c r="B34" s="654" t="str">
        <f>+IF(JULIO!B34=0,"",JULIO!B34)</f>
        <v>Vigencia Anterior</v>
      </c>
      <c r="C34" s="375">
        <f>+ENERO!C34</f>
        <v>0</v>
      </c>
      <c r="D34" s="376">
        <f>JULIO!D34+AGOSTO!P34</f>
        <v>0</v>
      </c>
      <c r="E34" s="376">
        <f>JULIO!E34+AGOSTO!Q34</f>
        <v>0</v>
      </c>
      <c r="F34" s="376">
        <f>SUM(C34:E34)</f>
        <v>0</v>
      </c>
      <c r="G34" s="376">
        <f>JULIO!I34</f>
        <v>0</v>
      </c>
      <c r="H34" s="377">
        <v>0</v>
      </c>
      <c r="I34" s="376">
        <f>SUM(G34:H34)</f>
        <v>0</v>
      </c>
      <c r="J34" s="376">
        <f>JULIO!L34</f>
        <v>0</v>
      </c>
      <c r="K34" s="377">
        <v>0</v>
      </c>
      <c r="L34" s="376">
        <f>SUM(J34:K34)</f>
        <v>0</v>
      </c>
      <c r="M34" s="376">
        <f>F34-I34</f>
        <v>0</v>
      </c>
      <c r="N34" s="146">
        <f>F34-L34</f>
        <v>0</v>
      </c>
      <c r="O34" s="385"/>
      <c r="P34" s="375">
        <v>0</v>
      </c>
      <c r="Q34" s="378">
        <v>0</v>
      </c>
      <c r="R34" s="9"/>
      <c r="S34" s="369" t="str">
        <f>+IF(JULIO!S34=0,"",JULIO!S34)</f>
        <v/>
      </c>
      <c r="T34" s="708" t="str">
        <f>+IF(JULIO!T34=0,"",JULIO!T34)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+IF(JULIO!A35=0,"",JULIO!A35)</f>
        <v>1130103-3</v>
      </c>
      <c r="B35" s="655" t="str">
        <f>+IF(JULIO!B35=0,"",JULIO!B35)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+IF(JULIO!S35=0,"",JULIO!S35)</f>
        <v>1010200</v>
      </c>
      <c r="T35" s="692" t="str">
        <f>+IF(JULIO!T35=0,"",JULIO!T35)</f>
        <v>Servicios Personales Indirectos</v>
      </c>
      <c r="U35" s="135">
        <f t="shared" ref="U35:AJ35" si="34">SUM(U36:U41)</f>
        <v>215072393</v>
      </c>
      <c r="V35" s="124">
        <f t="shared" si="34"/>
        <v>0</v>
      </c>
      <c r="W35" s="124">
        <f t="shared" si="34"/>
        <v>27070478</v>
      </c>
      <c r="X35" s="132">
        <f t="shared" si="34"/>
        <v>242142871</v>
      </c>
      <c r="Y35" s="131">
        <f t="shared" si="34"/>
        <v>226840978</v>
      </c>
      <c r="Z35" s="124">
        <f t="shared" si="34"/>
        <v>650000</v>
      </c>
      <c r="AA35" s="132">
        <f t="shared" si="34"/>
        <v>227490978</v>
      </c>
      <c r="AB35" s="131">
        <f t="shared" si="34"/>
        <v>132923258</v>
      </c>
      <c r="AC35" s="124">
        <f t="shared" si="34"/>
        <v>14072740</v>
      </c>
      <c r="AD35" s="132">
        <f t="shared" si="34"/>
        <v>146995998</v>
      </c>
      <c r="AE35" s="131">
        <f t="shared" si="34"/>
        <v>99124122</v>
      </c>
      <c r="AF35" s="124">
        <f t="shared" si="34"/>
        <v>12037198</v>
      </c>
      <c r="AG35" s="132">
        <f t="shared" si="34"/>
        <v>111161320</v>
      </c>
      <c r="AH35" s="131">
        <f t="shared" si="34"/>
        <v>14651893</v>
      </c>
      <c r="AI35" s="124">
        <f t="shared" si="34"/>
        <v>95146873</v>
      </c>
      <c r="AJ35" s="133">
        <f t="shared" si="34"/>
        <v>130981551</v>
      </c>
      <c r="AK35" s="9"/>
      <c r="AL35" s="131">
        <f>SUM(AL36:AL41)</f>
        <v>0</v>
      </c>
      <c r="AM35" s="133">
        <f>SUM(AM36:AM41)</f>
        <v>0</v>
      </c>
      <c r="AN35" s="9"/>
      <c r="AO35" s="352"/>
      <c r="AP35" s="453"/>
      <c r="AQ35" s="295"/>
      <c r="AR35" s="454"/>
      <c r="AS35" s="454"/>
      <c r="AT35" s="454"/>
      <c r="AU35" s="455">
        <f>AR17-AR32</f>
        <v>650152708</v>
      </c>
      <c r="AV35" s="456">
        <f>AS17-AR32</f>
        <v>-205965266</v>
      </c>
      <c r="AW35" s="456" t="s">
        <v>158</v>
      </c>
      <c r="AX35" s="457"/>
      <c r="AY35" s="456">
        <f>AY17+AY32</f>
        <v>-520581133.625</v>
      </c>
      <c r="AZ35" s="458">
        <f>AZ17+AY32</f>
        <v>-1805882530.125</v>
      </c>
      <c r="BB35" s="425"/>
      <c r="BC35" s="425"/>
      <c r="BD35" s="425"/>
      <c r="BE35" s="425"/>
      <c r="BF35" s="425"/>
    </row>
    <row r="36" spans="1:70" s="385" customFormat="1" ht="24.95" customHeight="1" thickBot="1" x14ac:dyDescent="0.25">
      <c r="A36" s="618" t="str">
        <f>+IF(JULIO!A36=0,"",JULIO!A36)</f>
        <v>1130103-3-1</v>
      </c>
      <c r="B36" s="654" t="str">
        <f>+CONCATENATE("Vigencia ",INSTRUCCIONES!$F$3)</f>
        <v>Vigencia 2015</v>
      </c>
      <c r="C36" s="375">
        <f>+ENERO!C36</f>
        <v>0</v>
      </c>
      <c r="D36" s="376">
        <f>JULIO!D36+AGOSTO!P36</f>
        <v>0</v>
      </c>
      <c r="E36" s="376">
        <f>JULIO!E36+AGOSTO!Q36</f>
        <v>0</v>
      </c>
      <c r="F36" s="376">
        <f t="shared" ref="F36:F41" si="35">SUM(C36:E36)</f>
        <v>0</v>
      </c>
      <c r="G36" s="376">
        <f>JULIO!I36</f>
        <v>0</v>
      </c>
      <c r="H36" s="377">
        <v>0</v>
      </c>
      <c r="I36" s="376">
        <f t="shared" ref="I36:I41" si="36">SUM(G36:H36)</f>
        <v>0</v>
      </c>
      <c r="J36" s="376">
        <f>JULIO!L36</f>
        <v>0</v>
      </c>
      <c r="K36" s="377">
        <v>0</v>
      </c>
      <c r="L36" s="376">
        <f t="shared" ref="L36:L41" si="37">SUM(J36:K36)</f>
        <v>0</v>
      </c>
      <c r="M36" s="376">
        <f t="shared" ref="M36:M41" si="38">F36-I36</f>
        <v>0</v>
      </c>
      <c r="N36" s="146">
        <f t="shared" ref="N36:N41" si="39">F36-L36</f>
        <v>0</v>
      </c>
      <c r="O36" s="9"/>
      <c r="P36" s="375">
        <v>0</v>
      </c>
      <c r="Q36" s="378">
        <v>0</v>
      </c>
      <c r="R36" s="9"/>
      <c r="S36" s="719" t="str">
        <f>+IF(JULIO!S36=0,"",JULIO!S36)</f>
        <v>1010200-1</v>
      </c>
      <c r="T36" s="693" t="str">
        <f>+IF(JULIO!T36=0,"",JULIO!T36)</f>
        <v>Remuneración y Honorarios por Servicios Técnicos y Profesionales</v>
      </c>
      <c r="U36" s="27">
        <f>+ENERO!U36</f>
        <v>213224393</v>
      </c>
      <c r="V36" s="15">
        <f>JULIO!V36+AGOSTO!AL36</f>
        <v>0</v>
      </c>
      <c r="W36" s="15">
        <f>JULIO!W36+AGOSTO!AM36</f>
        <v>0</v>
      </c>
      <c r="X36" s="18">
        <f t="shared" ref="X36:X41" si="40">SUM(U36:W36)</f>
        <v>213224393</v>
      </c>
      <c r="Y36" s="19">
        <f>JULIO!AA36</f>
        <v>199770500</v>
      </c>
      <c r="Z36" s="377">
        <v>650000</v>
      </c>
      <c r="AA36" s="18">
        <f t="shared" ref="AA36:AA41" si="41">SUM(Y36:Z36)</f>
        <v>200420500</v>
      </c>
      <c r="AB36" s="19">
        <f>JULIO!AD36</f>
        <v>105852780</v>
      </c>
      <c r="AC36" s="377">
        <v>14072740</v>
      </c>
      <c r="AD36" s="18">
        <f t="shared" ref="AD36:AD41" si="42">SUM(AB36:AC36)</f>
        <v>119925520</v>
      </c>
      <c r="AE36" s="19">
        <f>JULIO!AG36</f>
        <v>79003498</v>
      </c>
      <c r="AF36" s="377">
        <v>12037198</v>
      </c>
      <c r="AG36" s="18">
        <f t="shared" ref="AG36:AG41" si="43">SUM(AE36:AF36)</f>
        <v>91040696</v>
      </c>
      <c r="AH36" s="19">
        <f t="shared" ref="AH36:AH41" si="44">X36-AA36</f>
        <v>12803893</v>
      </c>
      <c r="AI36" s="15">
        <f t="shared" ref="AI36:AI41" si="45">X36-AD36</f>
        <v>93298873</v>
      </c>
      <c r="AJ36" s="16">
        <f t="shared" ref="AJ36:AJ41" si="46">X36-AG36</f>
        <v>122183697</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+IF(JULIO!A37=0,"",JULIO!A37)</f>
        <v>1130103-3-2</v>
      </c>
      <c r="B37" s="654" t="str">
        <f>+IF(JULIO!B37=0,"",JULIO!B37)</f>
        <v>Vigencia Anterior</v>
      </c>
      <c r="C37" s="375">
        <f>+ENERO!C37</f>
        <v>0</v>
      </c>
      <c r="D37" s="376">
        <f>JULIO!D37+AGOSTO!P37</f>
        <v>0</v>
      </c>
      <c r="E37" s="376">
        <f>JULIO!E37+AGOSTO!Q37</f>
        <v>0</v>
      </c>
      <c r="F37" s="376">
        <f t="shared" si="35"/>
        <v>0</v>
      </c>
      <c r="G37" s="376">
        <f>JULIO!I37</f>
        <v>0</v>
      </c>
      <c r="H37" s="377">
        <v>0</v>
      </c>
      <c r="I37" s="376">
        <f t="shared" si="36"/>
        <v>0</v>
      </c>
      <c r="J37" s="376">
        <f>JULIO!L37</f>
        <v>0</v>
      </c>
      <c r="K37" s="377">
        <v>0</v>
      </c>
      <c r="L37" s="376">
        <f t="shared" si="37"/>
        <v>0</v>
      </c>
      <c r="M37" s="376">
        <f t="shared" si="38"/>
        <v>0</v>
      </c>
      <c r="N37" s="146">
        <f t="shared" si="39"/>
        <v>0</v>
      </c>
      <c r="P37" s="375">
        <v>0</v>
      </c>
      <c r="Q37" s="378">
        <v>0</v>
      </c>
      <c r="R37" s="9"/>
      <c r="S37" s="719" t="str">
        <f>+IF(JULIO!S37=0,"",JULIO!S37)</f>
        <v>1010200-2</v>
      </c>
      <c r="T37" s="693" t="str">
        <f>+IF(JULIO!T37=0,"",JULIO!T37)</f>
        <v>Personal Supernumerario</v>
      </c>
      <c r="U37" s="27">
        <f>+ENERO!U37</f>
        <v>0</v>
      </c>
      <c r="V37" s="15">
        <f>JULIO!V37+AGOSTO!AL37</f>
        <v>0</v>
      </c>
      <c r="W37" s="15">
        <f>JULIO!W37+AGOSTO!AM37</f>
        <v>0</v>
      </c>
      <c r="X37" s="18">
        <f t="shared" si="40"/>
        <v>0</v>
      </c>
      <c r="Y37" s="19">
        <f>JULIO!AA37</f>
        <v>0</v>
      </c>
      <c r="Z37" s="377">
        <v>0</v>
      </c>
      <c r="AA37" s="18">
        <f t="shared" si="41"/>
        <v>0</v>
      </c>
      <c r="AB37" s="19">
        <f>JULIO!AD37</f>
        <v>0</v>
      </c>
      <c r="AC37" s="377">
        <v>0</v>
      </c>
      <c r="AD37" s="18">
        <f t="shared" si="42"/>
        <v>0</v>
      </c>
      <c r="AE37" s="19">
        <f>JULIO!AG37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+IF(JULIO!A38=0,"",JULIO!A38)</f>
        <v>1130103-4</v>
      </c>
      <c r="B38" s="656" t="str">
        <f>+IF(JULIO!B38=0,"",JULIO!B38)</f>
        <v xml:space="preserve"> Aportes Patronales  1o. Nivel</v>
      </c>
      <c r="C38" s="375">
        <f>+ENERO!C38</f>
        <v>326631000</v>
      </c>
      <c r="D38" s="376">
        <f>JULIO!D38+AGOSTO!P38</f>
        <v>0</v>
      </c>
      <c r="E38" s="376">
        <f>JULIO!E38+AGOSTO!Q38</f>
        <v>0</v>
      </c>
      <c r="F38" s="376">
        <f t="shared" si="35"/>
        <v>326631000</v>
      </c>
      <c r="G38" s="376">
        <f>JULIO!I38</f>
        <v>186119344</v>
      </c>
      <c r="H38" s="377">
        <v>24815647</v>
      </c>
      <c r="I38" s="376">
        <f t="shared" si="36"/>
        <v>210934991</v>
      </c>
      <c r="J38" s="376">
        <f>JULIO!L38</f>
        <v>173709529</v>
      </c>
      <c r="K38" s="377">
        <v>24815647</v>
      </c>
      <c r="L38" s="376">
        <f t="shared" si="37"/>
        <v>198525176</v>
      </c>
      <c r="M38" s="376">
        <f t="shared" si="38"/>
        <v>115696009</v>
      </c>
      <c r="N38" s="146">
        <f t="shared" si="39"/>
        <v>128105824</v>
      </c>
      <c r="O38" s="533"/>
      <c r="P38" s="375">
        <v>0</v>
      </c>
      <c r="Q38" s="378">
        <v>0</v>
      </c>
      <c r="R38" s="9"/>
      <c r="S38" s="719" t="str">
        <f>+IF(JULIO!S38=0,"",JULIO!S38)</f>
        <v>1010200-3</v>
      </c>
      <c r="T38" s="693" t="str">
        <f>+IF(JULIO!T38=0,"",JULIO!T38)</f>
        <v>Honorarios de la Junta Directiva</v>
      </c>
      <c r="U38" s="27">
        <f>+ENERO!U38</f>
        <v>1848000</v>
      </c>
      <c r="V38" s="15">
        <f>JULIO!V38+AGOSTO!AL38</f>
        <v>0</v>
      </c>
      <c r="W38" s="15">
        <f>JULIO!W38+AGOSTO!AM38</f>
        <v>0</v>
      </c>
      <c r="X38" s="18">
        <f t="shared" si="40"/>
        <v>1848000</v>
      </c>
      <c r="Y38" s="19">
        <f>JULIO!AA38</f>
        <v>0</v>
      </c>
      <c r="Z38" s="377">
        <v>0</v>
      </c>
      <c r="AA38" s="18">
        <f t="shared" si="41"/>
        <v>0</v>
      </c>
      <c r="AB38" s="19">
        <f>JULIO!AD38</f>
        <v>0</v>
      </c>
      <c r="AC38" s="377">
        <v>0</v>
      </c>
      <c r="AD38" s="18">
        <f t="shared" si="42"/>
        <v>0</v>
      </c>
      <c r="AE38" s="19">
        <f>JULIO!AG38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+IF(JULIO!A39=0,"",JULIO!A39)</f>
        <v>1130103-5</v>
      </c>
      <c r="B39" s="656" t="str">
        <f>+IF(JULIO!B39=0,"",JULIO!B39)</f>
        <v xml:space="preserve"> Aportes Patronales  2o. Nivel</v>
      </c>
      <c r="C39" s="375">
        <f>+ENERO!C39</f>
        <v>0</v>
      </c>
      <c r="D39" s="376">
        <f>JULIO!D39+AGOSTO!P39</f>
        <v>0</v>
      </c>
      <c r="E39" s="376">
        <f>JULIO!E39+AGOSTO!Q39</f>
        <v>0</v>
      </c>
      <c r="F39" s="376">
        <f t="shared" si="35"/>
        <v>0</v>
      </c>
      <c r="G39" s="376">
        <f>JULIO!I39</f>
        <v>0</v>
      </c>
      <c r="H39" s="377">
        <v>0</v>
      </c>
      <c r="I39" s="376">
        <f t="shared" si="36"/>
        <v>0</v>
      </c>
      <c r="J39" s="376">
        <f>JULIO!L39</f>
        <v>0</v>
      </c>
      <c r="K39" s="377">
        <v>0</v>
      </c>
      <c r="L39" s="376">
        <f t="shared" si="37"/>
        <v>0</v>
      </c>
      <c r="M39" s="376">
        <f t="shared" si="38"/>
        <v>0</v>
      </c>
      <c r="N39" s="146">
        <f t="shared" si="39"/>
        <v>0</v>
      </c>
      <c r="O39" s="533"/>
      <c r="P39" s="375">
        <v>0</v>
      </c>
      <c r="Q39" s="378">
        <v>0</v>
      </c>
      <c r="R39" s="9"/>
      <c r="S39" s="719" t="str">
        <f>+IF(JULIO!S39=0,"",JULIO!S39)</f>
        <v>1010200-4</v>
      </c>
      <c r="T39" s="693" t="str">
        <f>+IF(JULIO!T39=0,"",JULIO!T39)</f>
        <v>Otros Honorarios (Servicios de Cooperativa)</v>
      </c>
      <c r="U39" s="27">
        <f>+ENERO!U39</f>
        <v>0</v>
      </c>
      <c r="V39" s="15">
        <f>JULIO!V39+AGOSTO!AL39</f>
        <v>0</v>
      </c>
      <c r="W39" s="15">
        <f>JULIO!W39+AGOSTO!AM39</f>
        <v>0</v>
      </c>
      <c r="X39" s="18">
        <f t="shared" si="40"/>
        <v>0</v>
      </c>
      <c r="Y39" s="19">
        <f>JULIO!AA39</f>
        <v>0</v>
      </c>
      <c r="Z39" s="377">
        <v>0</v>
      </c>
      <c r="AA39" s="18">
        <f t="shared" si="41"/>
        <v>0</v>
      </c>
      <c r="AB39" s="19">
        <f>JULIO!AD39</f>
        <v>0</v>
      </c>
      <c r="AC39" s="377">
        <v>0</v>
      </c>
      <c r="AD39" s="18">
        <f t="shared" si="42"/>
        <v>0</v>
      </c>
      <c r="AE39" s="19">
        <f>JULIO!AG39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+IF(JULIO!A40=0,"",JULIO!A40)</f>
        <v>1130103-6</v>
      </c>
      <c r="B40" s="656" t="str">
        <f>+IF(JULIO!B40=0,"",JULIO!B40)</f>
        <v xml:space="preserve"> Aportes Patronales  3er. Nivel</v>
      </c>
      <c r="C40" s="375">
        <f>+ENERO!C40</f>
        <v>0</v>
      </c>
      <c r="D40" s="376">
        <f>JULIO!D40+AGOSTO!P40</f>
        <v>0</v>
      </c>
      <c r="E40" s="376">
        <f>JULIO!E40+AGOSTO!Q40</f>
        <v>0</v>
      </c>
      <c r="F40" s="376">
        <f t="shared" si="35"/>
        <v>0</v>
      </c>
      <c r="G40" s="376">
        <f>JULIO!I40</f>
        <v>0</v>
      </c>
      <c r="H40" s="377">
        <v>0</v>
      </c>
      <c r="I40" s="376">
        <f t="shared" si="36"/>
        <v>0</v>
      </c>
      <c r="J40" s="376">
        <f>JULIO!L40</f>
        <v>0</v>
      </c>
      <c r="K40" s="377">
        <v>0</v>
      </c>
      <c r="L40" s="376">
        <f t="shared" si="37"/>
        <v>0</v>
      </c>
      <c r="M40" s="376">
        <f t="shared" si="38"/>
        <v>0</v>
      </c>
      <c r="N40" s="146">
        <f t="shared" si="39"/>
        <v>0</v>
      </c>
      <c r="O40" s="533"/>
      <c r="P40" s="375">
        <v>0</v>
      </c>
      <c r="Q40" s="378">
        <v>0</v>
      </c>
      <c r="R40" s="9"/>
      <c r="S40" s="719" t="str">
        <f>+IF(JULIO!S40=0,"",JULIO!S40)</f>
        <v>1010200-6</v>
      </c>
      <c r="T40" s="693" t="str">
        <f>+IF(JULIO!T40=0,"",JULIO!T40)</f>
        <v>Certificación, Habilitación y Acreditación</v>
      </c>
      <c r="U40" s="27">
        <f>+ENERO!U40</f>
        <v>0</v>
      </c>
      <c r="V40" s="15">
        <f>JULIO!V40+AGOSTO!AL40</f>
        <v>0</v>
      </c>
      <c r="W40" s="15">
        <f>JULIO!W40+AGOSTO!AM40</f>
        <v>0</v>
      </c>
      <c r="X40" s="18">
        <f t="shared" si="40"/>
        <v>0</v>
      </c>
      <c r="Y40" s="19">
        <f>JULIO!AA40</f>
        <v>0</v>
      </c>
      <c r="Z40" s="377">
        <v>0</v>
      </c>
      <c r="AA40" s="18">
        <f t="shared" si="41"/>
        <v>0</v>
      </c>
      <c r="AB40" s="19">
        <f>JULIO!AD40</f>
        <v>0</v>
      </c>
      <c r="AC40" s="377">
        <v>0</v>
      </c>
      <c r="AD40" s="18">
        <f t="shared" si="42"/>
        <v>0</v>
      </c>
      <c r="AE40" s="19">
        <f>JULIO!AG40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+IF(JULIO!A41=0,"",JULIO!A41)</f>
        <v>1130104</v>
      </c>
      <c r="B41" s="653" t="str">
        <f>+IF(JULIO!B41=0,"",JULIO!B41)</f>
        <v>SUBSIDIO A LA OFERTA- ACTIVIDADES NO POS-S</v>
      </c>
      <c r="C41" s="375">
        <f>+ENERO!C41</f>
        <v>0</v>
      </c>
      <c r="D41" s="124">
        <f>JULIO!D41+AGOSTO!P41</f>
        <v>0</v>
      </c>
      <c r="E41" s="124">
        <f>JULIO!E41+AGOSTO!Q41</f>
        <v>0</v>
      </c>
      <c r="F41" s="124">
        <f t="shared" si="35"/>
        <v>0</v>
      </c>
      <c r="G41" s="124">
        <f>JULIO!I41</f>
        <v>0</v>
      </c>
      <c r="H41" s="377">
        <v>0</v>
      </c>
      <c r="I41" s="124">
        <f t="shared" si="36"/>
        <v>0</v>
      </c>
      <c r="J41" s="124">
        <f>JULIO!L41</f>
        <v>0</v>
      </c>
      <c r="K41" s="377">
        <v>0</v>
      </c>
      <c r="L41" s="124">
        <f t="shared" si="37"/>
        <v>0</v>
      </c>
      <c r="M41" s="124">
        <f t="shared" si="38"/>
        <v>0</v>
      </c>
      <c r="N41" s="133">
        <f t="shared" si="39"/>
        <v>0</v>
      </c>
      <c r="O41" s="385"/>
      <c r="P41" s="377">
        <v>0</v>
      </c>
      <c r="Q41" s="378">
        <v>0</v>
      </c>
      <c r="R41" s="9"/>
      <c r="S41" s="719">
        <f>+IF(JULIO!S41=0,"",JULIO!S41)</f>
        <v>1010299</v>
      </c>
      <c r="T41" s="693" t="str">
        <f>+IF(JULIO!T41=0,"",JULIO!T41)</f>
        <v>Vigencias Anteriores</v>
      </c>
      <c r="U41" s="27">
        <f>+ENERO!U41</f>
        <v>0</v>
      </c>
      <c r="V41" s="15">
        <f>JULIO!V41+AGOSTO!AL41</f>
        <v>0</v>
      </c>
      <c r="W41" s="15">
        <f>JULIO!W41+AGOSTO!AM41</f>
        <v>27070478</v>
      </c>
      <c r="X41" s="18">
        <f t="shared" si="40"/>
        <v>27070478</v>
      </c>
      <c r="Y41" s="19">
        <f>JULIO!AA41</f>
        <v>27070478</v>
      </c>
      <c r="Z41" s="377">
        <v>0</v>
      </c>
      <c r="AA41" s="18">
        <f t="shared" si="41"/>
        <v>27070478</v>
      </c>
      <c r="AB41" s="19">
        <f>JULIO!AD41</f>
        <v>27070478</v>
      </c>
      <c r="AC41" s="377">
        <v>0</v>
      </c>
      <c r="AD41" s="18">
        <f t="shared" si="42"/>
        <v>27070478</v>
      </c>
      <c r="AE41" s="19">
        <f>JULIO!AG41</f>
        <v>20120624</v>
      </c>
      <c r="AF41" s="377">
        <v>0</v>
      </c>
      <c r="AG41" s="18">
        <f t="shared" si="43"/>
        <v>20120624</v>
      </c>
      <c r="AH41" s="19">
        <f t="shared" si="44"/>
        <v>0</v>
      </c>
      <c r="AI41" s="15">
        <f t="shared" si="45"/>
        <v>0</v>
      </c>
      <c r="AJ41" s="16">
        <f t="shared" si="46"/>
        <v>6949854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+IF(JULIO!A42=0,"",JULIO!A42)</f>
        <v>1130106</v>
      </c>
      <c r="B42" s="653" t="str">
        <f>+IF(JULIO!B42=0,"",JULIO!B42)</f>
        <v>SALUD PUBLICA - PLAN DE INTERVENCIONES COLECTIVAS</v>
      </c>
      <c r="C42" s="43">
        <f t="shared" ref="C42:N42" si="47">SUM(C43:C44)</f>
        <v>94000000</v>
      </c>
      <c r="D42" s="44">
        <f t="shared" si="47"/>
        <v>0</v>
      </c>
      <c r="E42" s="44">
        <f t="shared" si="47"/>
        <v>17280673</v>
      </c>
      <c r="F42" s="44">
        <f t="shared" si="47"/>
        <v>111280673</v>
      </c>
      <c r="G42" s="44">
        <f t="shared" si="47"/>
        <v>47972944</v>
      </c>
      <c r="H42" s="44">
        <f t="shared" si="47"/>
        <v>9703105</v>
      </c>
      <c r="I42" s="44">
        <f t="shared" si="47"/>
        <v>57676049</v>
      </c>
      <c r="J42" s="44">
        <f t="shared" si="47"/>
        <v>43286304</v>
      </c>
      <c r="K42" s="44">
        <f t="shared" si="47"/>
        <v>12015983</v>
      </c>
      <c r="L42" s="44">
        <f t="shared" si="47"/>
        <v>55302287</v>
      </c>
      <c r="M42" s="44">
        <f t="shared" si="47"/>
        <v>53604624</v>
      </c>
      <c r="N42" s="45">
        <f t="shared" si="47"/>
        <v>55978386</v>
      </c>
      <c r="P42" s="43">
        <f>SUM(P43:P44)</f>
        <v>0</v>
      </c>
      <c r="Q42" s="45">
        <f>SUM(Q43:Q44)</f>
        <v>0</v>
      </c>
      <c r="R42" s="9"/>
      <c r="S42" s="369" t="str">
        <f>+IF(JULIO!S42=0,"",JULIO!S42)</f>
        <v/>
      </c>
      <c r="T42" s="708" t="str">
        <f>+IF(JULIO!T42=0,"",JULIO!T42)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+IF(JULIO!A43=0,"",JULIO!A43)</f>
        <v>1130106-1</v>
      </c>
      <c r="B43" s="654" t="str">
        <f>+CONCATENATE("Vigencia ",INSTRUCCIONES!$F$3)</f>
        <v>Vigencia 2015</v>
      </c>
      <c r="C43" s="375">
        <f>+ENERO!C43</f>
        <v>94000000</v>
      </c>
      <c r="D43" s="376">
        <f>JULIO!D43+AGOSTO!P43</f>
        <v>0</v>
      </c>
      <c r="E43" s="376">
        <f>JULIO!E43+AGOSTO!Q43</f>
        <v>17280673</v>
      </c>
      <c r="F43" s="376">
        <f>SUM(C43:E43)</f>
        <v>111280673</v>
      </c>
      <c r="G43" s="376">
        <f>JULIO!I43</f>
        <v>47972944</v>
      </c>
      <c r="H43" s="377">
        <v>9703105</v>
      </c>
      <c r="I43" s="376">
        <f>SUM(G43:H43)</f>
        <v>57676049</v>
      </c>
      <c r="J43" s="376">
        <f>JULIO!L43</f>
        <v>43286304</v>
      </c>
      <c r="K43" s="377">
        <v>12015983</v>
      </c>
      <c r="L43" s="376">
        <f>SUM(J43:K43)</f>
        <v>55302287</v>
      </c>
      <c r="M43" s="376">
        <f>F43-I43</f>
        <v>53604624</v>
      </c>
      <c r="N43" s="146">
        <f>F43-L43</f>
        <v>55978386</v>
      </c>
      <c r="O43" s="385"/>
      <c r="P43" s="375">
        <v>0</v>
      </c>
      <c r="Q43" s="378">
        <v>0</v>
      </c>
      <c r="R43" s="9"/>
      <c r="S43" s="718">
        <f>+IF(JULIO!S43=0,"",JULIO!S43)</f>
        <v>1010300</v>
      </c>
      <c r="T43" s="692" t="str">
        <f>+IF(JULIO!T43=0,"",JULIO!T43)</f>
        <v>Contribuciones Inherentes nómina al Sector Privado</v>
      </c>
      <c r="U43" s="135">
        <f t="shared" ref="U43:AJ43" si="48">U44+U49+U55</f>
        <v>111328187</v>
      </c>
      <c r="V43" s="124">
        <f t="shared" si="48"/>
        <v>0</v>
      </c>
      <c r="W43" s="124">
        <f t="shared" si="48"/>
        <v>43373015</v>
      </c>
      <c r="X43" s="132">
        <f t="shared" si="48"/>
        <v>154701202</v>
      </c>
      <c r="Y43" s="131">
        <f t="shared" si="48"/>
        <v>88959065</v>
      </c>
      <c r="Z43" s="124">
        <f t="shared" si="48"/>
        <v>6652514</v>
      </c>
      <c r="AA43" s="132">
        <f t="shared" si="48"/>
        <v>95611579</v>
      </c>
      <c r="AB43" s="131">
        <f t="shared" si="48"/>
        <v>88959065</v>
      </c>
      <c r="AC43" s="124">
        <f t="shared" si="48"/>
        <v>6652514</v>
      </c>
      <c r="AD43" s="132">
        <f t="shared" si="48"/>
        <v>95611579</v>
      </c>
      <c r="AE43" s="131">
        <f t="shared" si="48"/>
        <v>73059456</v>
      </c>
      <c r="AF43" s="124">
        <f t="shared" si="48"/>
        <v>6643314</v>
      </c>
      <c r="AG43" s="132">
        <f t="shared" si="48"/>
        <v>79702770</v>
      </c>
      <c r="AH43" s="131">
        <f t="shared" si="48"/>
        <v>59089623</v>
      </c>
      <c r="AI43" s="124">
        <f t="shared" si="48"/>
        <v>59089623</v>
      </c>
      <c r="AJ43" s="133">
        <f t="shared" si="48"/>
        <v>74998432</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+IF(JULIO!A44=0,"",JULIO!A44)</f>
        <v>1130106-2</v>
      </c>
      <c r="B44" s="654" t="str">
        <f>+IF(JULIO!B44=0,"",JULIO!B44)</f>
        <v>Vigencia Anterior</v>
      </c>
      <c r="C44" s="375">
        <f>+ENERO!C44</f>
        <v>0</v>
      </c>
      <c r="D44" s="376">
        <f>JULIO!D44+AGOSTO!P44</f>
        <v>0</v>
      </c>
      <c r="E44" s="376">
        <f>JULIO!E44+AGOSTO!Q44</f>
        <v>0</v>
      </c>
      <c r="F44" s="376">
        <f>SUM(C44:E44)</f>
        <v>0</v>
      </c>
      <c r="G44" s="376">
        <f>JULIO!I44</f>
        <v>0</v>
      </c>
      <c r="H44" s="377">
        <v>0</v>
      </c>
      <c r="I44" s="376">
        <f>SUM(G44:H44)</f>
        <v>0</v>
      </c>
      <c r="J44" s="376">
        <f>JULIO!L44</f>
        <v>0</v>
      </c>
      <c r="K44" s="377">
        <v>0</v>
      </c>
      <c r="L44" s="376">
        <f>SUM(J44:K44)</f>
        <v>0</v>
      </c>
      <c r="M44" s="376">
        <f>F44-I44</f>
        <v>0</v>
      </c>
      <c r="N44" s="146">
        <f>F44-L44</f>
        <v>0</v>
      </c>
      <c r="O44" s="385"/>
      <c r="P44" s="375">
        <v>0</v>
      </c>
      <c r="Q44" s="378">
        <v>0</v>
      </c>
      <c r="R44" s="9"/>
      <c r="S44" s="719">
        <f>+IF(JULIO!S44=0,"",JULIO!S44)</f>
        <v>1010301</v>
      </c>
      <c r="T44" s="693" t="str">
        <f>+IF(JULIO!T44=0,"",JULIO!T44)</f>
        <v>Contribuciones - Sin Situación de Fondos</v>
      </c>
      <c r="U44" s="27">
        <f t="shared" ref="U44:AJ44" si="49">SUM(U45:U48)</f>
        <v>96536264</v>
      </c>
      <c r="V44" s="15">
        <f t="shared" si="49"/>
        <v>0</v>
      </c>
      <c r="W44" s="15">
        <f t="shared" si="49"/>
        <v>0</v>
      </c>
      <c r="X44" s="18">
        <f t="shared" si="49"/>
        <v>96536264</v>
      </c>
      <c r="Y44" s="19">
        <f t="shared" si="49"/>
        <v>38863250</v>
      </c>
      <c r="Z44" s="145">
        <f t="shared" si="49"/>
        <v>5630914</v>
      </c>
      <c r="AA44" s="18">
        <f t="shared" si="49"/>
        <v>44494164</v>
      </c>
      <c r="AB44" s="19">
        <f t="shared" si="49"/>
        <v>38863250</v>
      </c>
      <c r="AC44" s="145">
        <f t="shared" si="49"/>
        <v>5630914</v>
      </c>
      <c r="AD44" s="18">
        <f t="shared" si="49"/>
        <v>44494164</v>
      </c>
      <c r="AE44" s="19">
        <f t="shared" si="49"/>
        <v>37577996</v>
      </c>
      <c r="AF44" s="145">
        <f t="shared" si="49"/>
        <v>5630914</v>
      </c>
      <c r="AG44" s="18">
        <f t="shared" si="49"/>
        <v>43208910</v>
      </c>
      <c r="AH44" s="19">
        <f t="shared" si="49"/>
        <v>52042100</v>
      </c>
      <c r="AI44" s="15">
        <f t="shared" si="49"/>
        <v>52042100</v>
      </c>
      <c r="AJ44" s="16">
        <f t="shared" si="49"/>
        <v>53327354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+IF(JULIO!A45=0,"",JULIO!A45)</f>
        <v>1130107</v>
      </c>
      <c r="B45" s="653" t="str">
        <f>+IF(JULIO!B45=0,"",JULIO!B45)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+IF(JULIO!S45=0,"",JULIO!S45)</f>
        <v>1010301-1</v>
      </c>
      <c r="T45" s="694" t="str">
        <f>+IF(JULIO!T45=0,"",JULIO!T45)</f>
        <v>Aportes a E.P.S.- Sin sit. Fondos</v>
      </c>
      <c r="U45" s="27">
        <f>+ENERO!U45</f>
        <v>26843256</v>
      </c>
      <c r="V45" s="15">
        <f>JULIO!V45+AGOSTO!AL45</f>
        <v>0</v>
      </c>
      <c r="W45" s="15">
        <f>JULIO!W45+AGOSTO!AM45</f>
        <v>0</v>
      </c>
      <c r="X45" s="18">
        <f>SUM(U45:W45)</f>
        <v>26843256</v>
      </c>
      <c r="Y45" s="19">
        <f>JULIO!AA45</f>
        <v>15733675</v>
      </c>
      <c r="Z45" s="377">
        <v>2276846</v>
      </c>
      <c r="AA45" s="18">
        <f>SUM(Y45:Z45)</f>
        <v>18010521</v>
      </c>
      <c r="AB45" s="19">
        <f>JULIO!AD45</f>
        <v>15733675</v>
      </c>
      <c r="AC45" s="377">
        <v>2276846</v>
      </c>
      <c r="AD45" s="18">
        <f>SUM(AB45:AC45)</f>
        <v>18010521</v>
      </c>
      <c r="AE45" s="19">
        <f>JULIO!AG45</f>
        <v>15733675</v>
      </c>
      <c r="AF45" s="377">
        <v>2276846</v>
      </c>
      <c r="AG45" s="18">
        <f>SUM(AE45:AF45)</f>
        <v>18010521</v>
      </c>
      <c r="AH45" s="19">
        <f>X45-AA45</f>
        <v>8832735</v>
      </c>
      <c r="AI45" s="15">
        <f>X45-AD45</f>
        <v>8832735</v>
      </c>
      <c r="AJ45" s="16">
        <f>X45-AG45</f>
        <v>8832735</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+IF(JULIO!A46=0,"",JULIO!A46)</f>
        <v>1130107-1</v>
      </c>
      <c r="B46" s="654" t="str">
        <f>+CONCATENATE("Vigencia ",INSTRUCCIONES!$F$3)</f>
        <v>Vigencia 2015</v>
      </c>
      <c r="C46" s="375">
        <f>+ENERO!C46</f>
        <v>0</v>
      </c>
      <c r="D46" s="376">
        <f>JULIO!D46+AGOSTO!P46</f>
        <v>0</v>
      </c>
      <c r="E46" s="376">
        <f>JULIO!E46+AGOSTO!Q46</f>
        <v>0</v>
      </c>
      <c r="F46" s="376">
        <f>SUM(C46:E46)</f>
        <v>0</v>
      </c>
      <c r="G46" s="376">
        <f>JULIO!I46</f>
        <v>0</v>
      </c>
      <c r="H46" s="377">
        <v>0</v>
      </c>
      <c r="I46" s="376">
        <f>SUM(G46:H46)</f>
        <v>0</v>
      </c>
      <c r="J46" s="376">
        <f>JULIO!L46</f>
        <v>0</v>
      </c>
      <c r="K46" s="377">
        <v>0</v>
      </c>
      <c r="L46" s="376">
        <f>SUM(J46:K46)</f>
        <v>0</v>
      </c>
      <c r="M46" s="376">
        <f>F46-I46</f>
        <v>0</v>
      </c>
      <c r="N46" s="146">
        <f>F46-L46</f>
        <v>0</v>
      </c>
      <c r="O46" s="385"/>
      <c r="P46" s="375">
        <v>0</v>
      </c>
      <c r="Q46" s="378">
        <v>0</v>
      </c>
      <c r="R46" s="9"/>
      <c r="S46" s="720" t="str">
        <f>+IF(JULIO!S46=0,"",JULIO!S46)</f>
        <v>1010301-2</v>
      </c>
      <c r="T46" s="694" t="str">
        <f>+IF(JULIO!T46=0,"",JULIO!T46)</f>
        <v>Aportes Fondos Pensionales - Sin Sit. Fondos</v>
      </c>
      <c r="U46" s="27">
        <f>+ENERO!U46</f>
        <v>37896396</v>
      </c>
      <c r="V46" s="15">
        <f>JULIO!V46+AGOSTO!AL46</f>
        <v>0</v>
      </c>
      <c r="W46" s="15">
        <f>JULIO!W46+AGOSTO!AM46</f>
        <v>0</v>
      </c>
      <c r="X46" s="18">
        <f>SUM(U46:W46)</f>
        <v>37896396</v>
      </c>
      <c r="Y46" s="19">
        <f>JULIO!AA46</f>
        <v>22212249</v>
      </c>
      <c r="Z46" s="377">
        <v>3214372</v>
      </c>
      <c r="AA46" s="18">
        <f>SUM(Y46:Z46)</f>
        <v>25426621</v>
      </c>
      <c r="AB46" s="19">
        <f>JULIO!AD46</f>
        <v>22212249</v>
      </c>
      <c r="AC46" s="377">
        <v>3214372</v>
      </c>
      <c r="AD46" s="18">
        <f>SUM(AB46:AC46)</f>
        <v>25426621</v>
      </c>
      <c r="AE46" s="19">
        <f>JULIO!AG46</f>
        <v>20926995</v>
      </c>
      <c r="AF46" s="377">
        <v>3214372</v>
      </c>
      <c r="AG46" s="18">
        <f>SUM(AE46:AF46)</f>
        <v>24141367</v>
      </c>
      <c r="AH46" s="19">
        <f>X46-AA46</f>
        <v>12469775</v>
      </c>
      <c r="AI46" s="15">
        <f>X46-AD46</f>
        <v>12469775</v>
      </c>
      <c r="AJ46" s="16">
        <f>X46-AG46</f>
        <v>13755029</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+IF(JULIO!A47=0,"",JULIO!A47)</f>
        <v>1130107-2</v>
      </c>
      <c r="B47" s="654" t="str">
        <f>+IF(JULIO!B47=0,"",JULIO!B47)</f>
        <v>Vigencia Anterior</v>
      </c>
      <c r="C47" s="375">
        <f>+ENERO!C47</f>
        <v>0</v>
      </c>
      <c r="D47" s="376">
        <f>JULIO!D47+AGOSTO!P47</f>
        <v>0</v>
      </c>
      <c r="E47" s="376">
        <f>JULIO!E47+AGOSTO!Q47</f>
        <v>0</v>
      </c>
      <c r="F47" s="376">
        <f>SUM(C47:E47)</f>
        <v>0</v>
      </c>
      <c r="G47" s="376">
        <f>JULIO!I47</f>
        <v>0</v>
      </c>
      <c r="H47" s="377">
        <v>0</v>
      </c>
      <c r="I47" s="376">
        <f>SUM(G47:H47)</f>
        <v>0</v>
      </c>
      <c r="J47" s="376">
        <f>JULIO!L47</f>
        <v>0</v>
      </c>
      <c r="K47" s="377">
        <v>0</v>
      </c>
      <c r="L47" s="376">
        <f>SUM(J47:K47)</f>
        <v>0</v>
      </c>
      <c r="M47" s="376">
        <f>F47-I47</f>
        <v>0</v>
      </c>
      <c r="N47" s="146">
        <f>F47-L47</f>
        <v>0</v>
      </c>
      <c r="O47" s="385"/>
      <c r="P47" s="375">
        <v>0</v>
      </c>
      <c r="Q47" s="378">
        <v>0</v>
      </c>
      <c r="R47" s="9"/>
      <c r="S47" s="720" t="str">
        <f>+IF(JULIO!S47=0,"",JULIO!S47)</f>
        <v>1010301-3</v>
      </c>
      <c r="T47" s="694" t="str">
        <f>+IF(JULIO!T47=0,"",JULIO!T47)</f>
        <v xml:space="preserve">Aportes a Fondos de Cesantia - Sin Sit. de Fondos </v>
      </c>
      <c r="U47" s="27">
        <f>+ENERO!U47</f>
        <v>30148119</v>
      </c>
      <c r="V47" s="15">
        <f>JULIO!V47+AGOSTO!AL47</f>
        <v>0</v>
      </c>
      <c r="W47" s="15">
        <f>JULIO!W47+AGOSTO!AM47</f>
        <v>0</v>
      </c>
      <c r="X47" s="18">
        <f>SUM(U47:W47)</f>
        <v>30148119</v>
      </c>
      <c r="Y47" s="19">
        <f>JULIO!AA47</f>
        <v>0</v>
      </c>
      <c r="Z47" s="377">
        <v>0</v>
      </c>
      <c r="AA47" s="18">
        <f>SUM(Y47:Z47)</f>
        <v>0</v>
      </c>
      <c r="AB47" s="19">
        <f>JULIO!AD47</f>
        <v>0</v>
      </c>
      <c r="AC47" s="377">
        <v>0</v>
      </c>
      <c r="AD47" s="18">
        <f>SUM(AB47:AC47)</f>
        <v>0</v>
      </c>
      <c r="AE47" s="19">
        <f>JULIO!AG47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+IF(JULIO!A48=0,"",JULIO!A48)</f>
        <v>1130108</v>
      </c>
      <c r="B48" s="653" t="str">
        <f>+IF(JULIO!B48=0,"",JULIO!B48)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+IF(JULIO!S48=0,"",JULIO!S48)</f>
        <v>1010301-4</v>
      </c>
      <c r="T48" s="694" t="str">
        <f>+IF(JULIO!T48=0,"",JULIO!T48)</f>
        <v xml:space="preserve">Aporte a ARL. - Sin Sit. de Fondos </v>
      </c>
      <c r="U48" s="27">
        <f>+ENERO!U48</f>
        <v>1648493</v>
      </c>
      <c r="V48" s="15">
        <f>JULIO!V48+AGOSTO!AL48</f>
        <v>0</v>
      </c>
      <c r="W48" s="15">
        <f>JULIO!W48+AGOSTO!AM48</f>
        <v>0</v>
      </c>
      <c r="X48" s="18">
        <f>SUM(U48:W48)</f>
        <v>1648493</v>
      </c>
      <c r="Y48" s="19">
        <f>JULIO!AA48</f>
        <v>917326</v>
      </c>
      <c r="Z48" s="377">
        <v>139696</v>
      </c>
      <c r="AA48" s="18">
        <f>SUM(Y48:Z48)</f>
        <v>1057022</v>
      </c>
      <c r="AB48" s="19">
        <f>JULIO!AD48</f>
        <v>917326</v>
      </c>
      <c r="AC48" s="377">
        <v>139696</v>
      </c>
      <c r="AD48" s="18">
        <f>SUM(AB48:AC48)</f>
        <v>1057022</v>
      </c>
      <c r="AE48" s="19">
        <f>JULIO!AG48</f>
        <v>917326</v>
      </c>
      <c r="AF48" s="377">
        <v>139696</v>
      </c>
      <c r="AG48" s="18">
        <f>SUM(AE48:AF48)</f>
        <v>1057022</v>
      </c>
      <c r="AH48" s="19">
        <f>X48-AA48</f>
        <v>591471</v>
      </c>
      <c r="AI48" s="15">
        <f>X48-AD48</f>
        <v>591471</v>
      </c>
      <c r="AJ48" s="16">
        <f>X48-AG48</f>
        <v>591471</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+IF(JULIO!A49=0,"",JULIO!A49)</f>
        <v>1130108-1</v>
      </c>
      <c r="B49" s="654" t="str">
        <f>+CONCATENATE("Vigencia ",INSTRUCCIONES!$F$3)</f>
        <v>Vigencia 2015</v>
      </c>
      <c r="C49" s="375">
        <f>+ENERO!C49</f>
        <v>0</v>
      </c>
      <c r="D49" s="376">
        <f>JULIO!D49+AGOSTO!P49</f>
        <v>0</v>
      </c>
      <c r="E49" s="376">
        <f>JULIO!E49+AGOSTO!Q49</f>
        <v>0</v>
      </c>
      <c r="F49" s="376">
        <f>SUM(C49:E49)</f>
        <v>0</v>
      </c>
      <c r="G49" s="376">
        <f>JULIO!I49</f>
        <v>0</v>
      </c>
      <c r="H49" s="377">
        <v>0</v>
      </c>
      <c r="I49" s="376">
        <f>SUM(G49:H49)</f>
        <v>0</v>
      </c>
      <c r="J49" s="376">
        <f>JULIO!L49</f>
        <v>0</v>
      </c>
      <c r="K49" s="377">
        <v>0</v>
      </c>
      <c r="L49" s="376">
        <f>SUM(J49:K49)</f>
        <v>0</v>
      </c>
      <c r="M49" s="376">
        <f>F49-I49</f>
        <v>0</v>
      </c>
      <c r="N49" s="146">
        <f>F49-L49</f>
        <v>0</v>
      </c>
      <c r="O49" s="385"/>
      <c r="P49" s="375">
        <v>0</v>
      </c>
      <c r="Q49" s="378">
        <v>0</v>
      </c>
      <c r="R49" s="9"/>
      <c r="S49" s="719">
        <f>+IF(JULIO!S49=0,"",JULIO!S49)</f>
        <v>1010302</v>
      </c>
      <c r="T49" s="693" t="str">
        <f>+IF(JULIO!T49=0,"",JULIO!T49)</f>
        <v>Contribuciones - Otros</v>
      </c>
      <c r="U49" s="27">
        <f t="shared" ref="U49:AJ49" si="52">SUM(U50:U54)</f>
        <v>14791923</v>
      </c>
      <c r="V49" s="15">
        <f t="shared" si="52"/>
        <v>0</v>
      </c>
      <c r="W49" s="15">
        <f t="shared" si="52"/>
        <v>13408841</v>
      </c>
      <c r="X49" s="18">
        <f t="shared" si="52"/>
        <v>28200764</v>
      </c>
      <c r="Y49" s="19">
        <f t="shared" si="52"/>
        <v>20131641</v>
      </c>
      <c r="Z49" s="145">
        <f t="shared" si="52"/>
        <v>1021600</v>
      </c>
      <c r="AA49" s="18">
        <f t="shared" si="52"/>
        <v>21153241</v>
      </c>
      <c r="AB49" s="19">
        <f t="shared" si="52"/>
        <v>20131641</v>
      </c>
      <c r="AC49" s="145">
        <f t="shared" si="52"/>
        <v>1021600</v>
      </c>
      <c r="AD49" s="18">
        <f t="shared" si="52"/>
        <v>21153241</v>
      </c>
      <c r="AE49" s="19">
        <f t="shared" si="52"/>
        <v>5710400</v>
      </c>
      <c r="AF49" s="145">
        <f t="shared" si="52"/>
        <v>1012400</v>
      </c>
      <c r="AG49" s="18">
        <f t="shared" si="52"/>
        <v>6722800</v>
      </c>
      <c r="AH49" s="19">
        <f t="shared" si="52"/>
        <v>7047523</v>
      </c>
      <c r="AI49" s="15">
        <f t="shared" si="52"/>
        <v>7047523</v>
      </c>
      <c r="AJ49" s="16">
        <f t="shared" si="52"/>
        <v>21477964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+IF(JULIO!A50=0,"",JULIO!A50)</f>
        <v>1130108-2</v>
      </c>
      <c r="B50" s="654" t="str">
        <f>+IF(JULIO!B50=0,"",JULIO!B50)</f>
        <v>Vigencia Anterior</v>
      </c>
      <c r="C50" s="375">
        <f>+ENERO!C50</f>
        <v>0</v>
      </c>
      <c r="D50" s="376">
        <f>JULIO!D50+AGOSTO!P50</f>
        <v>0</v>
      </c>
      <c r="E50" s="376">
        <f>JULIO!E50+AGOSTO!Q50</f>
        <v>0</v>
      </c>
      <c r="F50" s="376">
        <f>SUM(C50:E50)</f>
        <v>0</v>
      </c>
      <c r="G50" s="376">
        <f>JULIO!I50</f>
        <v>0</v>
      </c>
      <c r="H50" s="377">
        <v>0</v>
      </c>
      <c r="I50" s="376">
        <f>SUM(G50:H50)</f>
        <v>0</v>
      </c>
      <c r="J50" s="376">
        <f>JULIO!L50</f>
        <v>0</v>
      </c>
      <c r="K50" s="377">
        <v>0</v>
      </c>
      <c r="L50" s="376">
        <f>SUM(J50:K50)</f>
        <v>0</v>
      </c>
      <c r="M50" s="376">
        <f>F50-I50</f>
        <v>0</v>
      </c>
      <c r="N50" s="146">
        <f>F50-L50</f>
        <v>0</v>
      </c>
      <c r="O50" s="385"/>
      <c r="P50" s="375">
        <v>0</v>
      </c>
      <c r="Q50" s="378">
        <v>0</v>
      </c>
      <c r="R50" s="9"/>
      <c r="S50" s="720" t="str">
        <f>+IF(JULIO!S50=0,"",JULIO!S50)</f>
        <v>1010302-1</v>
      </c>
      <c r="T50" s="694" t="str">
        <f>+IF(JULIO!T50=0,"",JULIO!T50)</f>
        <v>Aportes a E.P.S.- Con sit. Fondos</v>
      </c>
      <c r="U50" s="27">
        <f>+ENERO!U50</f>
        <v>0</v>
      </c>
      <c r="V50" s="15">
        <f>JULIO!V50+AGOSTO!AL50</f>
        <v>0</v>
      </c>
      <c r="W50" s="15">
        <f>JULIO!W50+AGOSTO!AM50</f>
        <v>13408841</v>
      </c>
      <c r="X50" s="18">
        <f t="shared" ref="X50:X55" si="53">SUM(U50:W50)</f>
        <v>13408841</v>
      </c>
      <c r="Y50" s="19">
        <f>JULIO!AA50</f>
        <v>13408841</v>
      </c>
      <c r="Z50" s="377">
        <v>0</v>
      </c>
      <c r="AA50" s="18">
        <f t="shared" ref="AA50:AA55" si="54">SUM(Y50:Z50)</f>
        <v>13408841</v>
      </c>
      <c r="AB50" s="19">
        <f>JULIO!AD50</f>
        <v>13408841</v>
      </c>
      <c r="AC50" s="377">
        <v>0</v>
      </c>
      <c r="AD50" s="18">
        <f t="shared" ref="AD50:AD55" si="55">SUM(AB50:AC50)</f>
        <v>13408841</v>
      </c>
      <c r="AE50" s="19">
        <f>JULIO!AG50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+IF(JULIO!A51=0,"",JULIO!A51)</f>
        <v>1130109</v>
      </c>
      <c r="B51" s="653" t="str">
        <f>+IF(JULIO!B51=0,"",JULIO!B51)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+IF(JULIO!S51=0,"",JULIO!S51)</f>
        <v>1010302-2</v>
      </c>
      <c r="T51" s="694" t="str">
        <f>+IF(JULIO!T51=0,"",JULIO!T51)</f>
        <v>Aportes Fondos Pensionales - Con Sit. Fondos</v>
      </c>
      <c r="U51" s="27">
        <f>+ENERO!U51</f>
        <v>0</v>
      </c>
      <c r="V51" s="15">
        <f>JULIO!V51+AGOSTO!AL51</f>
        <v>0</v>
      </c>
      <c r="W51" s="15">
        <f>JULIO!W51+AGOSTO!AM51</f>
        <v>0</v>
      </c>
      <c r="X51" s="18">
        <f t="shared" si="53"/>
        <v>0</v>
      </c>
      <c r="Y51" s="19">
        <f>JULIO!AA51</f>
        <v>0</v>
      </c>
      <c r="Z51" s="377">
        <v>0</v>
      </c>
      <c r="AA51" s="18">
        <f t="shared" si="54"/>
        <v>0</v>
      </c>
      <c r="AB51" s="19">
        <f>JULIO!AD51</f>
        <v>0</v>
      </c>
      <c r="AC51" s="377">
        <v>0</v>
      </c>
      <c r="AD51" s="18">
        <f t="shared" si="55"/>
        <v>0</v>
      </c>
      <c r="AE51" s="19">
        <f>JULIO!AG51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+IF(JULIO!A52=0,"",JULIO!A52)</f>
        <v>1130109-1</v>
      </c>
      <c r="B52" s="654" t="str">
        <f>+CONCATENATE("Vigencia ",INSTRUCCIONES!$F$3)</f>
        <v>Vigencia 2015</v>
      </c>
      <c r="C52" s="375">
        <f>+ENERO!C52</f>
        <v>0</v>
      </c>
      <c r="D52" s="376">
        <f>JULIO!D52+AGOSTO!P52</f>
        <v>0</v>
      </c>
      <c r="E52" s="376">
        <f>JULIO!E52+AGOSTO!Q52</f>
        <v>0</v>
      </c>
      <c r="F52" s="376">
        <f>SUM(C52:E52)</f>
        <v>0</v>
      </c>
      <c r="G52" s="376">
        <f>JULIO!I52</f>
        <v>0</v>
      </c>
      <c r="H52" s="377">
        <v>0</v>
      </c>
      <c r="I52" s="376">
        <f>SUM(G52:H52)</f>
        <v>0</v>
      </c>
      <c r="J52" s="376">
        <f>JULIO!L52</f>
        <v>0</v>
      </c>
      <c r="K52" s="377">
        <v>0</v>
      </c>
      <c r="L52" s="376">
        <f>SUM(J52:K52)</f>
        <v>0</v>
      </c>
      <c r="M52" s="376">
        <f>F52-I52</f>
        <v>0</v>
      </c>
      <c r="N52" s="146">
        <f>F52-L52</f>
        <v>0</v>
      </c>
      <c r="O52" s="385"/>
      <c r="P52" s="375">
        <v>0</v>
      </c>
      <c r="Q52" s="378">
        <v>0</v>
      </c>
      <c r="R52" s="9"/>
      <c r="S52" s="720" t="str">
        <f>+IF(JULIO!S52=0,"",JULIO!S52)</f>
        <v>1010302-3</v>
      </c>
      <c r="T52" s="694" t="str">
        <f>+IF(JULIO!T52=0,"",JULIO!T52)</f>
        <v xml:space="preserve">Aportes a Fondos de Cesantia - Con Sit. de Fondos </v>
      </c>
      <c r="U52" s="27">
        <f>+ENERO!U52</f>
        <v>0</v>
      </c>
      <c r="V52" s="15">
        <f>JULIO!V52+AGOSTO!AL52</f>
        <v>0</v>
      </c>
      <c r="W52" s="15">
        <f>JULIO!W52+AGOSTO!AM52</f>
        <v>0</v>
      </c>
      <c r="X52" s="18">
        <f t="shared" si="53"/>
        <v>0</v>
      </c>
      <c r="Y52" s="19">
        <f>JULIO!AA52</f>
        <v>0</v>
      </c>
      <c r="Z52" s="377">
        <v>0</v>
      </c>
      <c r="AA52" s="18">
        <f t="shared" si="54"/>
        <v>0</v>
      </c>
      <c r="AB52" s="19">
        <f>JULIO!AD52</f>
        <v>0</v>
      </c>
      <c r="AC52" s="377">
        <v>0</v>
      </c>
      <c r="AD52" s="18">
        <f t="shared" si="55"/>
        <v>0</v>
      </c>
      <c r="AE52" s="19">
        <f>JULIO!AG52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+IF(JULIO!A53=0,"",JULIO!A53)</f>
        <v>1130109-2</v>
      </c>
      <c r="B53" s="654" t="str">
        <f>+IF(JULIO!B53=0,"",JULIO!B53)</f>
        <v>Vigencia Anterior</v>
      </c>
      <c r="C53" s="375">
        <f>+ENERO!C53</f>
        <v>0</v>
      </c>
      <c r="D53" s="376">
        <f>JULIO!D53+AGOSTO!P53</f>
        <v>0</v>
      </c>
      <c r="E53" s="376">
        <f>JULIO!E53+AGOSTO!Q53</f>
        <v>0</v>
      </c>
      <c r="F53" s="376">
        <f>SUM(C53:E53)</f>
        <v>0</v>
      </c>
      <c r="G53" s="376">
        <f>JULIO!I53</f>
        <v>0</v>
      </c>
      <c r="H53" s="377">
        <v>0</v>
      </c>
      <c r="I53" s="376">
        <f>SUM(G53:H53)</f>
        <v>0</v>
      </c>
      <c r="J53" s="376">
        <f>JULIO!L53</f>
        <v>0</v>
      </c>
      <c r="K53" s="377">
        <v>0</v>
      </c>
      <c r="L53" s="376">
        <f>SUM(J53:K53)</f>
        <v>0</v>
      </c>
      <c r="M53" s="376">
        <f>F53-I53</f>
        <v>0</v>
      </c>
      <c r="N53" s="146">
        <f>F53-L53</f>
        <v>0</v>
      </c>
      <c r="O53" s="385"/>
      <c r="P53" s="375">
        <v>0</v>
      </c>
      <c r="Q53" s="378">
        <v>0</v>
      </c>
      <c r="R53" s="9"/>
      <c r="S53" s="720" t="str">
        <f>+IF(JULIO!S53=0,"",JULIO!S53)</f>
        <v>1010302-4</v>
      </c>
      <c r="T53" s="694" t="str">
        <f>+IF(JULIO!T53=0,"",JULIO!T53)</f>
        <v>Aporte a ARL. - Con Sit. de Fondos</v>
      </c>
      <c r="U53" s="27">
        <f>+ENERO!U53</f>
        <v>0</v>
      </c>
      <c r="V53" s="15">
        <f>JULIO!V53+AGOSTO!AL53</f>
        <v>0</v>
      </c>
      <c r="W53" s="15">
        <f>JULIO!W53+AGOSTO!AM53</f>
        <v>0</v>
      </c>
      <c r="X53" s="18">
        <f t="shared" si="53"/>
        <v>0</v>
      </c>
      <c r="Y53" s="19">
        <f>JULIO!AA53</f>
        <v>0</v>
      </c>
      <c r="Z53" s="377">
        <v>0</v>
      </c>
      <c r="AA53" s="18">
        <f t="shared" si="54"/>
        <v>0</v>
      </c>
      <c r="AB53" s="19">
        <f>JULIO!AD53</f>
        <v>0</v>
      </c>
      <c r="AC53" s="377">
        <v>0</v>
      </c>
      <c r="AD53" s="18">
        <f t="shared" si="55"/>
        <v>0</v>
      </c>
      <c r="AE53" s="19">
        <f>JULIO!AG53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+IF(JULIO!A54=0,"",JULIO!A54)</f>
        <v>1130110</v>
      </c>
      <c r="B54" s="653" t="str">
        <f>+IF(JULIO!B54=0,"",JULIO!B54)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+IF(JULIO!S54=0,"",JULIO!S54)</f>
        <v>1010302-5</v>
      </c>
      <c r="T54" s="694" t="str">
        <f>+IF(JULIO!T54=0,"",JULIO!T54)</f>
        <v>Aporte a Caja Compensación Familiar</v>
      </c>
      <c r="U54" s="27">
        <f>+ENERO!U54</f>
        <v>14791923</v>
      </c>
      <c r="V54" s="15">
        <f>JULIO!V54+AGOSTO!AL54</f>
        <v>0</v>
      </c>
      <c r="W54" s="15">
        <f>JULIO!W54+AGOSTO!AM54</f>
        <v>0</v>
      </c>
      <c r="X54" s="18">
        <f t="shared" si="53"/>
        <v>14791923</v>
      </c>
      <c r="Y54" s="19">
        <f>JULIO!AA54</f>
        <v>6722800</v>
      </c>
      <c r="Z54" s="377">
        <v>1021600</v>
      </c>
      <c r="AA54" s="18">
        <f t="shared" si="54"/>
        <v>7744400</v>
      </c>
      <c r="AB54" s="19">
        <f>JULIO!AD54</f>
        <v>6722800</v>
      </c>
      <c r="AC54" s="377">
        <v>1021600</v>
      </c>
      <c r="AD54" s="18">
        <f t="shared" si="55"/>
        <v>7744400</v>
      </c>
      <c r="AE54" s="19">
        <f>JULIO!AG54</f>
        <v>5710400</v>
      </c>
      <c r="AF54" s="377">
        <v>1012400</v>
      </c>
      <c r="AG54" s="18">
        <f t="shared" si="56"/>
        <v>6722800</v>
      </c>
      <c r="AH54" s="19">
        <f t="shared" si="57"/>
        <v>7047523</v>
      </c>
      <c r="AI54" s="15">
        <f t="shared" si="58"/>
        <v>7047523</v>
      </c>
      <c r="AJ54" s="16">
        <f t="shared" si="59"/>
        <v>8069123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+IF(JULIO!A55=0,"",JULIO!A55)</f>
        <v>1130110-1</v>
      </c>
      <c r="B55" s="654" t="str">
        <f>+CONCATENATE("Vigencia ",INSTRUCCIONES!$F$3)</f>
        <v>Vigencia 2015</v>
      </c>
      <c r="C55" s="375">
        <f>+ENERO!C55</f>
        <v>0</v>
      </c>
      <c r="D55" s="376">
        <f>JULIO!D55+AGOSTO!P55</f>
        <v>0</v>
      </c>
      <c r="E55" s="376">
        <f>JULIO!E55+AGOSTO!Q55</f>
        <v>0</v>
      </c>
      <c r="F55" s="376">
        <f>SUM(C55:E55)</f>
        <v>0</v>
      </c>
      <c r="G55" s="376">
        <f>JULIO!I55</f>
        <v>0</v>
      </c>
      <c r="H55" s="377">
        <v>0</v>
      </c>
      <c r="I55" s="376">
        <f>SUM(G55:H55)</f>
        <v>0</v>
      </c>
      <c r="J55" s="376">
        <f>JULIO!L55</f>
        <v>0</v>
      </c>
      <c r="K55" s="377">
        <v>0</v>
      </c>
      <c r="L55" s="376">
        <f>SUM(J55:K55)</f>
        <v>0</v>
      </c>
      <c r="M55" s="376">
        <f>F55-I55</f>
        <v>0</v>
      </c>
      <c r="N55" s="146">
        <f>F55-L55</f>
        <v>0</v>
      </c>
      <c r="O55" s="385"/>
      <c r="P55" s="375">
        <v>0</v>
      </c>
      <c r="Q55" s="378">
        <v>0</v>
      </c>
      <c r="R55" s="9"/>
      <c r="S55" s="719">
        <f>+IF(JULIO!S55=0,"",JULIO!S55)</f>
        <v>1010399</v>
      </c>
      <c r="T55" s="693" t="str">
        <f>+IF(JULIO!T55=0,"",JULIO!T55)</f>
        <v>Vigencias Anteriores</v>
      </c>
      <c r="U55" s="27">
        <f>+ENERO!U55</f>
        <v>0</v>
      </c>
      <c r="V55" s="15">
        <f>JULIO!V55+AGOSTO!AL55</f>
        <v>0</v>
      </c>
      <c r="W55" s="15">
        <f>JULIO!W55+AGOSTO!AM55</f>
        <v>29964174</v>
      </c>
      <c r="X55" s="18">
        <f t="shared" si="53"/>
        <v>29964174</v>
      </c>
      <c r="Y55" s="19">
        <f>JULIO!AA55</f>
        <v>29964174</v>
      </c>
      <c r="Z55" s="377">
        <v>0</v>
      </c>
      <c r="AA55" s="18">
        <f t="shared" si="54"/>
        <v>29964174</v>
      </c>
      <c r="AB55" s="19">
        <f>JULIO!AD55</f>
        <v>29964174</v>
      </c>
      <c r="AC55" s="377">
        <v>0</v>
      </c>
      <c r="AD55" s="18">
        <f t="shared" si="55"/>
        <v>29964174</v>
      </c>
      <c r="AE55" s="19">
        <f>JULIO!AG55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+IF(JULIO!A56=0,"",JULIO!A56)</f>
        <v>1130110-2</v>
      </c>
      <c r="B56" s="654" t="str">
        <f>+IF(JULIO!B56=0,"",JULIO!B56)</f>
        <v>Vigencia Anterior</v>
      </c>
      <c r="C56" s="375">
        <f>+ENERO!C56</f>
        <v>0</v>
      </c>
      <c r="D56" s="376">
        <f>JULIO!D56+AGOSTO!P56</f>
        <v>0</v>
      </c>
      <c r="E56" s="376">
        <f>JULIO!E56+AGOSTO!Q56</f>
        <v>0</v>
      </c>
      <c r="F56" s="376">
        <f>SUM(C56:E56)</f>
        <v>0</v>
      </c>
      <c r="G56" s="376">
        <f>JULIO!I56</f>
        <v>0</v>
      </c>
      <c r="H56" s="377">
        <v>0</v>
      </c>
      <c r="I56" s="376">
        <f>SUM(G56:H56)</f>
        <v>0</v>
      </c>
      <c r="J56" s="376">
        <f>JULIO!L56</f>
        <v>0</v>
      </c>
      <c r="K56" s="377">
        <v>0</v>
      </c>
      <c r="L56" s="376">
        <f>SUM(J56:K56)</f>
        <v>0</v>
      </c>
      <c r="M56" s="376">
        <f>F56-I56</f>
        <v>0</v>
      </c>
      <c r="N56" s="146">
        <f>F56-L56</f>
        <v>0</v>
      </c>
      <c r="O56" s="385"/>
      <c r="P56" s="375">
        <v>0</v>
      </c>
      <c r="Q56" s="378">
        <v>0</v>
      </c>
      <c r="R56" s="9"/>
      <c r="S56" s="369" t="str">
        <f>+IF(JULIO!S56=0,"",JULIO!S56)</f>
        <v/>
      </c>
      <c r="T56" s="708" t="str">
        <f>+IF(JULIO!T56=0,"",JULIO!T56)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+IF(JULIO!A57=0,"",JULIO!A57)</f>
        <v>1130111</v>
      </c>
      <c r="B57" s="653" t="str">
        <f>+IF(JULIO!B57=0,"",JULIO!B57)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+IF(JULIO!S57=0,"",JULIO!S57)</f>
        <v>1010400</v>
      </c>
      <c r="T57" s="692" t="str">
        <f>+IF(JULIO!T57=0,"",JULIO!T57)</f>
        <v>Contribuciones Inherentes nómina del Sector Publico</v>
      </c>
      <c r="U57" s="135">
        <f t="shared" ref="U57:AJ57" si="63">U58+U61</f>
        <v>18489903</v>
      </c>
      <c r="V57" s="124">
        <f t="shared" si="63"/>
        <v>0</v>
      </c>
      <c r="W57" s="124">
        <f t="shared" si="63"/>
        <v>1280600</v>
      </c>
      <c r="X57" s="132">
        <f t="shared" si="63"/>
        <v>19770503</v>
      </c>
      <c r="Y57" s="131">
        <f t="shared" si="63"/>
        <v>10855500</v>
      </c>
      <c r="Z57" s="124">
        <f t="shared" si="63"/>
        <v>1277100</v>
      </c>
      <c r="AA57" s="132">
        <f t="shared" si="63"/>
        <v>12132600</v>
      </c>
      <c r="AB57" s="131">
        <f t="shared" si="63"/>
        <v>10855500</v>
      </c>
      <c r="AC57" s="124">
        <f t="shared" si="63"/>
        <v>1277100</v>
      </c>
      <c r="AD57" s="132">
        <f t="shared" si="63"/>
        <v>12132600</v>
      </c>
      <c r="AE57" s="131">
        <f t="shared" si="63"/>
        <v>9589800</v>
      </c>
      <c r="AF57" s="124">
        <f t="shared" si="63"/>
        <v>1265700</v>
      </c>
      <c r="AG57" s="132">
        <f t="shared" si="63"/>
        <v>10855500</v>
      </c>
      <c r="AH57" s="131">
        <f t="shared" si="63"/>
        <v>7637903</v>
      </c>
      <c r="AI57" s="124">
        <f t="shared" si="63"/>
        <v>7637903</v>
      </c>
      <c r="AJ57" s="133">
        <f t="shared" si="63"/>
        <v>8915003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+IF(JULIO!A58=0,"",JULIO!A58)</f>
        <v>1130111-1</v>
      </c>
      <c r="B58" s="654" t="str">
        <f>+CONCATENATE("Vigencia ",INSTRUCCIONES!$F$3)</f>
        <v>Vigencia 2015</v>
      </c>
      <c r="C58" s="375">
        <f>+ENERO!C58</f>
        <v>0</v>
      </c>
      <c r="D58" s="376">
        <f>JULIO!D58+AGOSTO!P58</f>
        <v>0</v>
      </c>
      <c r="E58" s="376">
        <f>JULIO!E58+AGOSTO!Q58</f>
        <v>0</v>
      </c>
      <c r="F58" s="376">
        <f>SUM(C58:E58)</f>
        <v>0</v>
      </c>
      <c r="G58" s="376">
        <f>JULIO!I58</f>
        <v>0</v>
      </c>
      <c r="H58" s="377">
        <v>0</v>
      </c>
      <c r="I58" s="376">
        <f>SUM(G58:H58)</f>
        <v>0</v>
      </c>
      <c r="J58" s="376">
        <f>JULIO!L58</f>
        <v>0</v>
      </c>
      <c r="K58" s="377">
        <v>0</v>
      </c>
      <c r="L58" s="376">
        <f>SUM(J58:K58)</f>
        <v>0</v>
      </c>
      <c r="M58" s="376">
        <f>F58-I58</f>
        <v>0</v>
      </c>
      <c r="N58" s="146">
        <f>F58-L58</f>
        <v>0</v>
      </c>
      <c r="O58" s="385"/>
      <c r="P58" s="375">
        <v>0</v>
      </c>
      <c r="Q58" s="378">
        <v>0</v>
      </c>
      <c r="R58" s="9"/>
      <c r="S58" s="719">
        <f>+IF(JULIO!S58=0,"",JULIO!S58)</f>
        <v>1010402</v>
      </c>
      <c r="T58" s="693" t="str">
        <f>+IF(JULIO!T58=0,"",JULIO!T58)</f>
        <v>Contribuciones - Otros</v>
      </c>
      <c r="U58" s="27">
        <f t="shared" ref="U58:AJ58" si="64">SUM(U59:U60)</f>
        <v>18489903</v>
      </c>
      <c r="V58" s="15">
        <f t="shared" si="64"/>
        <v>0</v>
      </c>
      <c r="W58" s="15">
        <f t="shared" si="64"/>
        <v>0</v>
      </c>
      <c r="X58" s="18">
        <f t="shared" si="64"/>
        <v>18489903</v>
      </c>
      <c r="Y58" s="19">
        <f t="shared" si="64"/>
        <v>9574900</v>
      </c>
      <c r="Z58" s="145">
        <f t="shared" si="64"/>
        <v>1277100</v>
      </c>
      <c r="AA58" s="18">
        <f t="shared" si="64"/>
        <v>10852000</v>
      </c>
      <c r="AB58" s="19">
        <f t="shared" si="64"/>
        <v>9574900</v>
      </c>
      <c r="AC58" s="145">
        <f t="shared" si="64"/>
        <v>1277100</v>
      </c>
      <c r="AD58" s="18">
        <f t="shared" si="64"/>
        <v>10852000</v>
      </c>
      <c r="AE58" s="19">
        <f t="shared" si="64"/>
        <v>8309200</v>
      </c>
      <c r="AF58" s="145">
        <f t="shared" si="64"/>
        <v>1265700</v>
      </c>
      <c r="AG58" s="18">
        <f t="shared" si="64"/>
        <v>9574900</v>
      </c>
      <c r="AH58" s="19">
        <f t="shared" si="64"/>
        <v>7637903</v>
      </c>
      <c r="AI58" s="15">
        <f t="shared" si="64"/>
        <v>7637903</v>
      </c>
      <c r="AJ58" s="16">
        <f t="shared" si="64"/>
        <v>8915003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+IF(JULIO!A59=0,"",JULIO!A59)</f>
        <v>1130111-2</v>
      </c>
      <c r="B59" s="654" t="str">
        <f>+IF(JULIO!B59=0,"",JULIO!B59)</f>
        <v>Vigencia Anterior</v>
      </c>
      <c r="C59" s="375">
        <f>+ENERO!C59</f>
        <v>0</v>
      </c>
      <c r="D59" s="376">
        <f>JULIO!D59+AGOSTO!P59</f>
        <v>0</v>
      </c>
      <c r="E59" s="376">
        <f>JULIO!E59+AGOSTO!Q59</f>
        <v>0</v>
      </c>
      <c r="F59" s="376">
        <f>SUM(C59:E59)</f>
        <v>0</v>
      </c>
      <c r="G59" s="376">
        <f>JULIO!I59</f>
        <v>0</v>
      </c>
      <c r="H59" s="377">
        <v>0</v>
      </c>
      <c r="I59" s="376">
        <f>SUM(G59:H59)</f>
        <v>0</v>
      </c>
      <c r="J59" s="376">
        <f>JULIO!L59</f>
        <v>0</v>
      </c>
      <c r="K59" s="377">
        <v>0</v>
      </c>
      <c r="L59" s="376">
        <f>SUM(J59:K59)</f>
        <v>0</v>
      </c>
      <c r="M59" s="376">
        <f>F59-I59</f>
        <v>0</v>
      </c>
      <c r="N59" s="146">
        <f>F59-L59</f>
        <v>0</v>
      </c>
      <c r="O59" s="385"/>
      <c r="P59" s="375">
        <v>0</v>
      </c>
      <c r="Q59" s="378">
        <v>0</v>
      </c>
      <c r="R59" s="9"/>
      <c r="S59" s="720" t="str">
        <f>+IF(JULIO!S59=0,"",JULIO!S59)</f>
        <v>1010402-1</v>
      </c>
      <c r="T59" s="693" t="str">
        <f>+IF(JULIO!T59=0,"",JULIO!T59)</f>
        <v>S.E.N.A.</v>
      </c>
      <c r="U59" s="27">
        <f>+ENERO!U59</f>
        <v>7395961</v>
      </c>
      <c r="V59" s="15">
        <f>JULIO!V59+AGOSTO!AL59</f>
        <v>0</v>
      </c>
      <c r="W59" s="15">
        <f>JULIO!W59+AGOSTO!AM59</f>
        <v>0</v>
      </c>
      <c r="X59" s="18">
        <f>SUM(U59:W59)</f>
        <v>7395961</v>
      </c>
      <c r="Y59" s="19">
        <f>JULIO!AA59</f>
        <v>3873300</v>
      </c>
      <c r="Z59" s="377">
        <v>511100</v>
      </c>
      <c r="AA59" s="18">
        <f>SUM(Y59:Z59)</f>
        <v>4384400</v>
      </c>
      <c r="AB59" s="19">
        <f>JULIO!AD59</f>
        <v>3873300</v>
      </c>
      <c r="AC59" s="377">
        <v>511100</v>
      </c>
      <c r="AD59" s="18">
        <f>SUM(AB59:AC59)</f>
        <v>4384400</v>
      </c>
      <c r="AE59" s="19">
        <f>JULIO!AG59</f>
        <v>3366900</v>
      </c>
      <c r="AF59" s="377">
        <v>506400</v>
      </c>
      <c r="AG59" s="18">
        <f>SUM(AE59:AF59)</f>
        <v>3873300</v>
      </c>
      <c r="AH59" s="19">
        <f>X59-AA59</f>
        <v>3011561</v>
      </c>
      <c r="AI59" s="15">
        <f>X59-AD59</f>
        <v>3011561</v>
      </c>
      <c r="AJ59" s="16">
        <f>X59-AG59</f>
        <v>3522661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+IF(JULIO!A60=0,"",JULIO!A60)</f>
        <v>1130112</v>
      </c>
      <c r="B60" s="653" t="str">
        <f>+IF(JULIO!B60=0,"",JULIO!B60)</f>
        <v>IPS PUBLICAS</v>
      </c>
      <c r="C60" s="43">
        <f t="shared" ref="C60:N60" si="65">SUM(C61:C62)</f>
        <v>3473660</v>
      </c>
      <c r="D60" s="44">
        <f t="shared" si="65"/>
        <v>0</v>
      </c>
      <c r="E60" s="44">
        <f t="shared" si="65"/>
        <v>0</v>
      </c>
      <c r="F60" s="44">
        <f t="shared" si="65"/>
        <v>3473660</v>
      </c>
      <c r="G60" s="44">
        <f t="shared" si="65"/>
        <v>4024749</v>
      </c>
      <c r="H60" s="44">
        <f t="shared" si="65"/>
        <v>453875</v>
      </c>
      <c r="I60" s="44">
        <f t="shared" si="65"/>
        <v>4478624</v>
      </c>
      <c r="J60" s="44">
        <f t="shared" si="65"/>
        <v>1251568</v>
      </c>
      <c r="K60" s="44">
        <f t="shared" si="65"/>
        <v>443944</v>
      </c>
      <c r="L60" s="44">
        <f t="shared" si="65"/>
        <v>1695512</v>
      </c>
      <c r="M60" s="44">
        <f t="shared" si="65"/>
        <v>-1004964</v>
      </c>
      <c r="N60" s="45">
        <f t="shared" si="65"/>
        <v>1778148</v>
      </c>
      <c r="P60" s="43">
        <f>SUM(P61:P62)</f>
        <v>0</v>
      </c>
      <c r="Q60" s="45">
        <f>SUM(Q61:Q62)</f>
        <v>0</v>
      </c>
      <c r="R60" s="9"/>
      <c r="S60" s="720" t="str">
        <f>+IF(JULIO!S60=0,"",JULIO!S60)</f>
        <v>1010402-2</v>
      </c>
      <c r="T60" s="693" t="str">
        <f>+IF(JULIO!T60=0,"",JULIO!T60)</f>
        <v>I.C.B.F.</v>
      </c>
      <c r="U60" s="27">
        <f>+ENERO!U60</f>
        <v>11093942</v>
      </c>
      <c r="V60" s="15">
        <f>JULIO!V60+AGOSTO!AL60</f>
        <v>0</v>
      </c>
      <c r="W60" s="15">
        <f>JULIO!W60+AGOSTO!AM60</f>
        <v>0</v>
      </c>
      <c r="X60" s="18">
        <f>SUM(U60:W60)</f>
        <v>11093942</v>
      </c>
      <c r="Y60" s="19">
        <f>JULIO!AA60</f>
        <v>5701600</v>
      </c>
      <c r="Z60" s="377">
        <v>766000</v>
      </c>
      <c r="AA60" s="18">
        <f>SUM(Y60:Z60)</f>
        <v>6467600</v>
      </c>
      <c r="AB60" s="19">
        <f>JULIO!AD60</f>
        <v>5701600</v>
      </c>
      <c r="AC60" s="377">
        <v>766000</v>
      </c>
      <c r="AD60" s="18">
        <f>SUM(AB60:AC60)</f>
        <v>6467600</v>
      </c>
      <c r="AE60" s="19">
        <f>JULIO!AG60</f>
        <v>4942300</v>
      </c>
      <c r="AF60" s="377">
        <v>759300</v>
      </c>
      <c r="AG60" s="18">
        <f>SUM(AE60:AF60)</f>
        <v>5701600</v>
      </c>
      <c r="AH60" s="19">
        <f>X60-AA60</f>
        <v>4626342</v>
      </c>
      <c r="AI60" s="15">
        <f>X60-AD60</f>
        <v>4626342</v>
      </c>
      <c r="AJ60" s="16">
        <f>X60-AG60</f>
        <v>5392342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+IF(JULIO!A61=0,"",JULIO!A61)</f>
        <v>1130112-1</v>
      </c>
      <c r="B61" s="654" t="str">
        <f>+CONCATENATE("Vigencia ",INSTRUCCIONES!$F$3)</f>
        <v>Vigencia 2015</v>
      </c>
      <c r="C61" s="375">
        <f>+ENERO!C61</f>
        <v>3473660</v>
      </c>
      <c r="D61" s="376">
        <f>JULIO!D61+AGOSTO!P61</f>
        <v>0</v>
      </c>
      <c r="E61" s="376">
        <f>JULIO!E61+AGOSTO!Q61</f>
        <v>0</v>
      </c>
      <c r="F61" s="376">
        <f>SUM(C61:E61)</f>
        <v>3473660</v>
      </c>
      <c r="G61" s="376">
        <f>JULIO!I61</f>
        <v>3648209</v>
      </c>
      <c r="H61" s="377">
        <v>453875</v>
      </c>
      <c r="I61" s="376">
        <f>SUM(G61:H61)</f>
        <v>4102084</v>
      </c>
      <c r="J61" s="376">
        <f>JULIO!L61</f>
        <v>875028</v>
      </c>
      <c r="K61" s="377">
        <v>443944</v>
      </c>
      <c r="L61" s="376">
        <f>SUM(J61:K61)</f>
        <v>1318972</v>
      </c>
      <c r="M61" s="376">
        <f>F61-I61</f>
        <v>-628424</v>
      </c>
      <c r="N61" s="146">
        <f>F61-L61</f>
        <v>2154688</v>
      </c>
      <c r="O61" s="385"/>
      <c r="P61" s="375">
        <v>0</v>
      </c>
      <c r="Q61" s="378">
        <v>0</v>
      </c>
      <c r="R61" s="9"/>
      <c r="S61" s="719">
        <f>+IF(JULIO!S61=0,"",JULIO!S61)</f>
        <v>1010499</v>
      </c>
      <c r="T61" s="693" t="str">
        <f>+IF(JULIO!T61=0,"",JULIO!T61)</f>
        <v>Vigencias Anteriores</v>
      </c>
      <c r="U61" s="27">
        <f>+ENERO!U61</f>
        <v>0</v>
      </c>
      <c r="V61" s="15">
        <f>JULIO!V61+AGOSTO!AL61</f>
        <v>0</v>
      </c>
      <c r="W61" s="15">
        <f>JULIO!W61+AGOSTO!AM61</f>
        <v>1280600</v>
      </c>
      <c r="X61" s="18">
        <f>SUM(U61:W61)</f>
        <v>1280600</v>
      </c>
      <c r="Y61" s="19">
        <f>JULIO!AA61</f>
        <v>1280600</v>
      </c>
      <c r="Z61" s="377">
        <v>0</v>
      </c>
      <c r="AA61" s="18">
        <f>SUM(Y61:Z61)</f>
        <v>1280600</v>
      </c>
      <c r="AB61" s="19">
        <f>JULIO!AD61</f>
        <v>1280600</v>
      </c>
      <c r="AC61" s="377">
        <v>0</v>
      </c>
      <c r="AD61" s="18">
        <f>SUM(AB61:AC61)</f>
        <v>1280600</v>
      </c>
      <c r="AE61" s="19">
        <f>JULIO!AG61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+IF(JULIO!A62=0,"",JULIO!A62)</f>
        <v>1130112-2</v>
      </c>
      <c r="B62" s="654" t="str">
        <f>+IF(JULIO!B62=0,"",JULIO!B62)</f>
        <v>Vigencia Anterior</v>
      </c>
      <c r="C62" s="375">
        <f>+ENERO!C62</f>
        <v>0</v>
      </c>
      <c r="D62" s="376">
        <f>JULIO!D62+AGOSTO!P62</f>
        <v>0</v>
      </c>
      <c r="E62" s="376">
        <f>JULIO!E62+AGOSTO!Q62</f>
        <v>0</v>
      </c>
      <c r="F62" s="376">
        <f>SUM(C62:E62)</f>
        <v>0</v>
      </c>
      <c r="G62" s="376">
        <f>JULIO!I62</f>
        <v>376540</v>
      </c>
      <c r="H62" s="377">
        <v>0</v>
      </c>
      <c r="I62" s="376">
        <f>SUM(G62:H62)</f>
        <v>376540</v>
      </c>
      <c r="J62" s="376">
        <f>JULIO!L62</f>
        <v>376540</v>
      </c>
      <c r="K62" s="377">
        <v>0</v>
      </c>
      <c r="L62" s="376">
        <f>SUM(J62:K62)</f>
        <v>376540</v>
      </c>
      <c r="M62" s="376">
        <f>F62-I62</f>
        <v>-376540</v>
      </c>
      <c r="N62" s="146">
        <f>F62-L62</f>
        <v>-376540</v>
      </c>
      <c r="O62" s="385"/>
      <c r="P62" s="375">
        <v>0</v>
      </c>
      <c r="Q62" s="378">
        <v>0</v>
      </c>
      <c r="R62" s="9"/>
      <c r="S62" s="369" t="str">
        <f>+IF(JULIO!S62=0,"",JULIO!S62)</f>
        <v/>
      </c>
      <c r="T62" s="708" t="str">
        <f>+IF(JULIO!T62=0,"",JULIO!T62)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+IF(JULIO!A63=0,"",JULIO!A63)</f>
        <v>1130113</v>
      </c>
      <c r="B63" s="653" t="str">
        <f>+IF(JULIO!B63=0,"",JULIO!B63)</f>
        <v>COMPAÑIAS DE SEGUROS  - ACCIDENTES DE TRANSITO (SOAT)</v>
      </c>
      <c r="C63" s="43">
        <f t="shared" ref="C63:N63" si="66">SUM(C64:C65)</f>
        <v>22951026</v>
      </c>
      <c r="D63" s="44">
        <f t="shared" si="66"/>
        <v>0</v>
      </c>
      <c r="E63" s="44">
        <f t="shared" si="66"/>
        <v>2940835</v>
      </c>
      <c r="F63" s="44">
        <f t="shared" si="66"/>
        <v>25891861</v>
      </c>
      <c r="G63" s="44">
        <f t="shared" si="66"/>
        <v>21720027</v>
      </c>
      <c r="H63" s="44">
        <f t="shared" si="66"/>
        <v>1790879</v>
      </c>
      <c r="I63" s="44">
        <f t="shared" si="66"/>
        <v>23510906</v>
      </c>
      <c r="J63" s="44">
        <f t="shared" si="66"/>
        <v>8404423</v>
      </c>
      <c r="K63" s="44">
        <f t="shared" si="66"/>
        <v>2363224</v>
      </c>
      <c r="L63" s="44">
        <f t="shared" si="66"/>
        <v>10767647</v>
      </c>
      <c r="M63" s="44">
        <f t="shared" si="66"/>
        <v>2380955</v>
      </c>
      <c r="N63" s="45">
        <f t="shared" si="66"/>
        <v>15124214</v>
      </c>
      <c r="P63" s="43">
        <f>SUM(P64:P65)</f>
        <v>0</v>
      </c>
      <c r="Q63" s="45">
        <f>SUM(Q64:Q65)</f>
        <v>0</v>
      </c>
      <c r="R63" s="9"/>
      <c r="S63" s="717">
        <f>+IF(JULIO!S63=0,"",JULIO!S63)</f>
        <v>1020010</v>
      </c>
      <c r="T63" s="691" t="str">
        <f>+IF(JULIO!T63=0,"",JULIO!T63)</f>
        <v>Gastos de Operación</v>
      </c>
      <c r="U63" s="135">
        <f t="shared" ref="U63:AJ63" si="67">U65+U83+U90+U104</f>
        <v>1276921669</v>
      </c>
      <c r="V63" s="124">
        <f t="shared" si="67"/>
        <v>87300000</v>
      </c>
      <c r="W63" s="124">
        <f t="shared" si="67"/>
        <v>78294418</v>
      </c>
      <c r="X63" s="132">
        <f t="shared" si="67"/>
        <v>1442516087</v>
      </c>
      <c r="Y63" s="131">
        <f t="shared" si="67"/>
        <v>853085816</v>
      </c>
      <c r="Z63" s="124">
        <f t="shared" si="67"/>
        <v>101874220</v>
      </c>
      <c r="AA63" s="132">
        <f t="shared" si="67"/>
        <v>954960036</v>
      </c>
      <c r="AB63" s="131">
        <f t="shared" si="67"/>
        <v>786435816</v>
      </c>
      <c r="AC63" s="124">
        <f t="shared" si="67"/>
        <v>115774220</v>
      </c>
      <c r="AD63" s="132">
        <f t="shared" si="67"/>
        <v>902210036</v>
      </c>
      <c r="AE63" s="131">
        <f t="shared" si="67"/>
        <v>710718655</v>
      </c>
      <c r="AF63" s="124">
        <f t="shared" si="67"/>
        <v>95939558</v>
      </c>
      <c r="AG63" s="132">
        <f t="shared" si="67"/>
        <v>806658213</v>
      </c>
      <c r="AH63" s="131">
        <f t="shared" si="67"/>
        <v>487556051</v>
      </c>
      <c r="AI63" s="124">
        <f t="shared" si="67"/>
        <v>540306051</v>
      </c>
      <c r="AJ63" s="133">
        <f t="shared" si="67"/>
        <v>635857874</v>
      </c>
      <c r="AK63" s="9"/>
      <c r="AL63" s="131">
        <f>AL65+AL83+AL90+AL104</f>
        <v>18000000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+IF(JULIO!A64=0,"",JULIO!A64)</f>
        <v>1130113-1</v>
      </c>
      <c r="B64" s="654" t="str">
        <f>+CONCATENATE("Vigencia ",INSTRUCCIONES!$F$3)</f>
        <v>Vigencia 2015</v>
      </c>
      <c r="C64" s="375">
        <f>+ENERO!C64</f>
        <v>22951026</v>
      </c>
      <c r="D64" s="376">
        <f>JULIO!D64+AGOSTO!P64</f>
        <v>0</v>
      </c>
      <c r="E64" s="376">
        <f>JULIO!E64+AGOSTO!Q64</f>
        <v>0</v>
      </c>
      <c r="F64" s="376">
        <f>SUM(C64:E64)</f>
        <v>22951026</v>
      </c>
      <c r="G64" s="376">
        <f>JULIO!I64</f>
        <v>18412175</v>
      </c>
      <c r="H64" s="377">
        <v>1790879</v>
      </c>
      <c r="I64" s="376">
        <f>SUM(G64:H64)</f>
        <v>20203054</v>
      </c>
      <c r="J64" s="376">
        <f>JULIO!L64</f>
        <v>5096571</v>
      </c>
      <c r="K64" s="377">
        <v>2363224</v>
      </c>
      <c r="L64" s="376">
        <f>SUM(J64:K64)</f>
        <v>7459795</v>
      </c>
      <c r="M64" s="376">
        <f>F64-I64</f>
        <v>2747972</v>
      </c>
      <c r="N64" s="146">
        <f>F64-L64</f>
        <v>15491231</v>
      </c>
      <c r="O64" s="385"/>
      <c r="P64" s="375">
        <v>0</v>
      </c>
      <c r="Q64" s="378">
        <v>0</v>
      </c>
      <c r="R64" s="9"/>
      <c r="S64" s="369" t="str">
        <f>+IF(JULIO!S64=0,"",JULIO!S64)</f>
        <v/>
      </c>
      <c r="T64" s="708" t="str">
        <f>+IF(JULIO!T64=0,"",JULIO!T64)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+IF(JULIO!A65=0,"",JULIO!A65)</f>
        <v>1130113-2</v>
      </c>
      <c r="B65" s="654" t="str">
        <f>+IF(JULIO!B65=0,"",JULIO!B65)</f>
        <v>Vigencia Anterior</v>
      </c>
      <c r="C65" s="375">
        <f>+ENERO!C65</f>
        <v>0</v>
      </c>
      <c r="D65" s="376">
        <f>JULIO!D65+AGOSTO!P65</f>
        <v>0</v>
      </c>
      <c r="E65" s="376">
        <f>JULIO!E65+AGOSTO!Q65</f>
        <v>2940835</v>
      </c>
      <c r="F65" s="376">
        <f>SUM(C65:E65)</f>
        <v>2940835</v>
      </c>
      <c r="G65" s="376">
        <f>JULIO!I65</f>
        <v>3307852</v>
      </c>
      <c r="H65" s="377">
        <v>0</v>
      </c>
      <c r="I65" s="376">
        <f>SUM(G65:H65)</f>
        <v>3307852</v>
      </c>
      <c r="J65" s="376">
        <f>JULIO!L65</f>
        <v>3307852</v>
      </c>
      <c r="K65" s="377">
        <v>0</v>
      </c>
      <c r="L65" s="376">
        <f>SUM(J65:K65)</f>
        <v>3307852</v>
      </c>
      <c r="M65" s="376">
        <f>F65-I65</f>
        <v>-367017</v>
      </c>
      <c r="N65" s="146">
        <f>F65-L65</f>
        <v>-367017</v>
      </c>
      <c r="O65" s="385"/>
      <c r="P65" s="375">
        <v>0</v>
      </c>
      <c r="Q65" s="378">
        <v>0</v>
      </c>
      <c r="R65" s="9"/>
      <c r="S65" s="718">
        <f>+IF(JULIO!S65=0,"",JULIO!S65)</f>
        <v>1020100</v>
      </c>
      <c r="T65" s="692" t="str">
        <f>+IF(JULIO!T65=0,"",JULIO!T65)</f>
        <v>Servicios Personales Asociados a Nómina</v>
      </c>
      <c r="U65" s="135">
        <f t="shared" ref="U65:AJ65" si="68">SUM(U66:U69)+U81</f>
        <v>815343813</v>
      </c>
      <c r="V65" s="124">
        <f t="shared" si="68"/>
        <v>63300000</v>
      </c>
      <c r="W65" s="124">
        <f t="shared" si="68"/>
        <v>13655677</v>
      </c>
      <c r="X65" s="132">
        <f t="shared" si="68"/>
        <v>892299490</v>
      </c>
      <c r="Y65" s="131">
        <f t="shared" si="68"/>
        <v>471803214</v>
      </c>
      <c r="Z65" s="124">
        <f t="shared" si="68"/>
        <v>76907944</v>
      </c>
      <c r="AA65" s="132">
        <f t="shared" si="68"/>
        <v>548711158</v>
      </c>
      <c r="AB65" s="131">
        <f t="shared" si="68"/>
        <v>471803214</v>
      </c>
      <c r="AC65" s="124">
        <f t="shared" si="68"/>
        <v>76907944</v>
      </c>
      <c r="AD65" s="132">
        <f t="shared" si="68"/>
        <v>548711158</v>
      </c>
      <c r="AE65" s="131">
        <f t="shared" si="68"/>
        <v>435665384</v>
      </c>
      <c r="AF65" s="124">
        <f t="shared" si="68"/>
        <v>66603257</v>
      </c>
      <c r="AG65" s="132">
        <f t="shared" si="68"/>
        <v>502268641</v>
      </c>
      <c r="AH65" s="131">
        <f t="shared" si="68"/>
        <v>343588332</v>
      </c>
      <c r="AI65" s="124">
        <f t="shared" si="68"/>
        <v>343588332</v>
      </c>
      <c r="AJ65" s="133">
        <f t="shared" si="68"/>
        <v>390030849</v>
      </c>
      <c r="AK65" s="9"/>
      <c r="AL65" s="131">
        <f>SUM(AL66:AL69)+AL81</f>
        <v>18000000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+IF(JULIO!A66=0,"",JULIO!A66)</f>
        <v>1130114</v>
      </c>
      <c r="B66" s="653" t="str">
        <f>+IF(JULIO!B66=0,"",JULIO!B66)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+IF(JULIO!S66=0,"",JULIO!S66)</f>
        <v>1020101</v>
      </c>
      <c r="T66" s="693" t="str">
        <f>+IF(JULIO!T66=0,"",JULIO!T66)</f>
        <v>Sueldos del Personal de nómina</v>
      </c>
      <c r="U66" s="27">
        <f>+ENERO!U66</f>
        <v>641065344</v>
      </c>
      <c r="V66" s="15">
        <f>JULIO!V66+AGOSTO!AL66</f>
        <v>-2300000</v>
      </c>
      <c r="W66" s="15">
        <f>JULIO!W66+AGOSTO!AM66</f>
        <v>0</v>
      </c>
      <c r="X66" s="18">
        <f>SUM(U66:W66)</f>
        <v>638765344</v>
      </c>
      <c r="Y66" s="19">
        <f>JULIO!AA66</f>
        <v>364167755</v>
      </c>
      <c r="Z66" s="377">
        <v>54775695</v>
      </c>
      <c r="AA66" s="18">
        <f>SUM(Y66:Z66)</f>
        <v>418943450</v>
      </c>
      <c r="AB66" s="19">
        <f>JULIO!AD66</f>
        <v>364167755</v>
      </c>
      <c r="AC66" s="377">
        <v>54775695</v>
      </c>
      <c r="AD66" s="18">
        <f>SUM(AB66:AC66)</f>
        <v>418943450</v>
      </c>
      <c r="AE66" s="19">
        <f>JULIO!AG66</f>
        <v>340049180</v>
      </c>
      <c r="AF66" s="377">
        <v>51028215</v>
      </c>
      <c r="AG66" s="18">
        <f>SUM(AE66:AF66)</f>
        <v>391077395</v>
      </c>
      <c r="AH66" s="19">
        <f>X66-AA66</f>
        <v>219821894</v>
      </c>
      <c r="AI66" s="15">
        <f>X66-AD66</f>
        <v>219821894</v>
      </c>
      <c r="AJ66" s="16">
        <f>X66-AG66</f>
        <v>247687949</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+IF(JULIO!A67=0,"",JULIO!A67)</f>
        <v>1130114-1</v>
      </c>
      <c r="B67" s="654" t="str">
        <f>+CONCATENATE("Vigencia ",INSTRUCCIONES!$F$3)</f>
        <v>Vigencia 2015</v>
      </c>
      <c r="C67" s="375">
        <f>+ENERO!C67</f>
        <v>338898</v>
      </c>
      <c r="D67" s="376">
        <f>JULIO!D67+AGOSTO!P67</f>
        <v>0</v>
      </c>
      <c r="E67" s="376">
        <f>JULIO!E67+AGOSTO!Q67</f>
        <v>0</v>
      </c>
      <c r="F67" s="376">
        <f>SUM(C67:E67)</f>
        <v>338898</v>
      </c>
      <c r="G67" s="376">
        <f>JULIO!I67</f>
        <v>0</v>
      </c>
      <c r="H67" s="377">
        <v>0</v>
      </c>
      <c r="I67" s="376">
        <f>SUM(G67:H67)</f>
        <v>0</v>
      </c>
      <c r="J67" s="376">
        <f>JULIO!L67</f>
        <v>0</v>
      </c>
      <c r="K67" s="377">
        <v>0</v>
      </c>
      <c r="L67" s="376">
        <f>SUM(J67:K67)</f>
        <v>0</v>
      </c>
      <c r="M67" s="376">
        <f>F67-I67</f>
        <v>338898</v>
      </c>
      <c r="N67" s="146">
        <f>F67-L67</f>
        <v>338898</v>
      </c>
      <c r="O67" s="385"/>
      <c r="P67" s="375">
        <v>0</v>
      </c>
      <c r="Q67" s="378">
        <v>0</v>
      </c>
      <c r="R67" s="9"/>
      <c r="S67" s="719">
        <f>+IF(JULIO!S67=0,"",JULIO!S67)</f>
        <v>1020102</v>
      </c>
      <c r="T67" s="693" t="str">
        <f>+IF(JULIO!T67=0,"",JULIO!T67)</f>
        <v>Horas Extras,Dominic.,Festivos y Rec. Nocturnos</v>
      </c>
      <c r="U67" s="27">
        <f>+ENERO!U67</f>
        <v>57949728</v>
      </c>
      <c r="V67" s="15">
        <f>JULIO!V67+AGOSTO!AL67</f>
        <v>65600000</v>
      </c>
      <c r="W67" s="15">
        <f>JULIO!W67+AGOSTO!AM67</f>
        <v>0</v>
      </c>
      <c r="X67" s="18">
        <f>SUM(U67:W67)</f>
        <v>123549728</v>
      </c>
      <c r="Y67" s="19">
        <f>JULIO!AA67</f>
        <v>82061319</v>
      </c>
      <c r="Z67" s="377">
        <v>13877625</v>
      </c>
      <c r="AA67" s="18">
        <f>SUM(Y67:Z67)</f>
        <v>95938944</v>
      </c>
      <c r="AB67" s="19">
        <f>JULIO!AD67</f>
        <v>82061319</v>
      </c>
      <c r="AC67" s="377">
        <v>13877625</v>
      </c>
      <c r="AD67" s="18">
        <f>SUM(AB67:AC67)</f>
        <v>95938944</v>
      </c>
      <c r="AE67" s="19">
        <f>JULIO!AG67</f>
        <v>76577735</v>
      </c>
      <c r="AF67" s="377">
        <v>13560174</v>
      </c>
      <c r="AG67" s="18">
        <f>SUM(AE67:AF67)</f>
        <v>90137909</v>
      </c>
      <c r="AH67" s="19">
        <f>X67-AA67</f>
        <v>27610784</v>
      </c>
      <c r="AI67" s="15">
        <f>X67-AD67</f>
        <v>27610784</v>
      </c>
      <c r="AJ67" s="16">
        <f>X67-AG67</f>
        <v>33411819</v>
      </c>
      <c r="AK67" s="9"/>
      <c r="AL67" s="375">
        <v>18000000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+IF(JULIO!A68=0,"",JULIO!A68)</f>
        <v>1130114-2</v>
      </c>
      <c r="B68" s="654" t="str">
        <f>+IF(JULIO!B68=0,"",JULIO!B68)</f>
        <v>Vigencia Anterior</v>
      </c>
      <c r="C68" s="375">
        <f>+ENERO!C68</f>
        <v>0</v>
      </c>
      <c r="D68" s="376">
        <f>JULIO!D68+AGOSTO!P68</f>
        <v>0</v>
      </c>
      <c r="E68" s="376">
        <f>JULIO!E68+AGOSTO!Q68</f>
        <v>0</v>
      </c>
      <c r="F68" s="376">
        <f>SUM(C68:E68)</f>
        <v>0</v>
      </c>
      <c r="G68" s="376">
        <f>JULIO!I68</f>
        <v>78500</v>
      </c>
      <c r="H68" s="377">
        <v>0</v>
      </c>
      <c r="I68" s="376">
        <f>SUM(G68:H68)</f>
        <v>78500</v>
      </c>
      <c r="J68" s="376">
        <f>JULIO!L68</f>
        <v>78500</v>
      </c>
      <c r="K68" s="377">
        <v>0</v>
      </c>
      <c r="L68" s="376">
        <f>SUM(J68:K68)</f>
        <v>78500</v>
      </c>
      <c r="M68" s="376">
        <f>F68-I68</f>
        <v>-78500</v>
      </c>
      <c r="N68" s="146">
        <f>F68-L68</f>
        <v>-78500</v>
      </c>
      <c r="O68" s="385"/>
      <c r="P68" s="375">
        <v>0</v>
      </c>
      <c r="Q68" s="378">
        <v>0</v>
      </c>
      <c r="R68" s="9"/>
      <c r="S68" s="719">
        <f>+IF(JULIO!S68=0,"",JULIO!S68)</f>
        <v>1020103</v>
      </c>
      <c r="T68" s="693" t="str">
        <f>+IF(JULIO!T68=0,"",JULIO!T68)</f>
        <v>Prima Técnica</v>
      </c>
      <c r="U68" s="27">
        <f>+ENERO!U68</f>
        <v>0</v>
      </c>
      <c r="V68" s="15">
        <f>JULIO!V68+AGOSTO!AL68</f>
        <v>0</v>
      </c>
      <c r="W68" s="15">
        <f>JULIO!W68+AGOSTO!AM68</f>
        <v>0</v>
      </c>
      <c r="X68" s="18">
        <f>SUM(U68:W68)</f>
        <v>0</v>
      </c>
      <c r="Y68" s="19">
        <f>JULIO!AA68</f>
        <v>0</v>
      </c>
      <c r="Z68" s="377">
        <v>0</v>
      </c>
      <c r="AA68" s="18">
        <f>SUM(Y68:Z68)</f>
        <v>0</v>
      </c>
      <c r="AB68" s="19">
        <f>JULIO!AD68</f>
        <v>0</v>
      </c>
      <c r="AC68" s="377">
        <v>0</v>
      </c>
      <c r="AD68" s="18">
        <f>SUM(AB68:AC68)</f>
        <v>0</v>
      </c>
      <c r="AE68" s="19">
        <f>JULIO!AG68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+IF(JULIO!A69=0,"",JULIO!A69)</f>
        <v>1130115</v>
      </c>
      <c r="B69" s="653" t="str">
        <f>+IF(JULIO!B69=0,"",JULIO!B69)</f>
        <v>ENTIDADES DE REGIMEN ESPECIAL (Magisterio, Fuerza Pca.)</v>
      </c>
      <c r="C69" s="43">
        <f t="shared" ref="C69:N69" si="70">SUM(C70:C71)</f>
        <v>53468516</v>
      </c>
      <c r="D69" s="44">
        <f t="shared" si="70"/>
        <v>0</v>
      </c>
      <c r="E69" s="44">
        <f t="shared" si="70"/>
        <v>27541841</v>
      </c>
      <c r="F69" s="44">
        <f t="shared" si="70"/>
        <v>81010357</v>
      </c>
      <c r="G69" s="44">
        <f t="shared" si="70"/>
        <v>56623230</v>
      </c>
      <c r="H69" s="44">
        <f t="shared" si="70"/>
        <v>5098823</v>
      </c>
      <c r="I69" s="44">
        <f t="shared" si="70"/>
        <v>61722053</v>
      </c>
      <c r="J69" s="44">
        <f t="shared" si="70"/>
        <v>32069896</v>
      </c>
      <c r="K69" s="44">
        <f t="shared" si="70"/>
        <v>1141831</v>
      </c>
      <c r="L69" s="44">
        <f t="shared" si="70"/>
        <v>33211727</v>
      </c>
      <c r="M69" s="44">
        <f t="shared" si="70"/>
        <v>19288304</v>
      </c>
      <c r="N69" s="45">
        <f t="shared" si="70"/>
        <v>47798630</v>
      </c>
      <c r="P69" s="43">
        <f>SUM(P70:P71)</f>
        <v>0</v>
      </c>
      <c r="Q69" s="45">
        <f>SUM(Q70:Q71)</f>
        <v>0</v>
      </c>
      <c r="R69" s="9"/>
      <c r="S69" s="719">
        <f>+IF(JULIO!S69=0,"",JULIO!S69)</f>
        <v>1020104</v>
      </c>
      <c r="T69" s="693" t="str">
        <f>+IF(JULIO!T69=0,"",JULIO!T69)</f>
        <v>Otros</v>
      </c>
      <c r="U69" s="27">
        <f t="shared" ref="U69:AJ69" si="71">SUM(U70:U80)</f>
        <v>116328741</v>
      </c>
      <c r="V69" s="15">
        <f t="shared" si="71"/>
        <v>0</v>
      </c>
      <c r="W69" s="15">
        <f t="shared" si="71"/>
        <v>0</v>
      </c>
      <c r="X69" s="18">
        <f t="shared" si="71"/>
        <v>116328741</v>
      </c>
      <c r="Y69" s="19">
        <f t="shared" si="71"/>
        <v>11918463</v>
      </c>
      <c r="Z69" s="145">
        <f t="shared" si="71"/>
        <v>8254624</v>
      </c>
      <c r="AA69" s="18">
        <f t="shared" si="71"/>
        <v>20173087</v>
      </c>
      <c r="AB69" s="19">
        <f t="shared" si="71"/>
        <v>11918463</v>
      </c>
      <c r="AC69" s="145">
        <f t="shared" si="71"/>
        <v>8254624</v>
      </c>
      <c r="AD69" s="18">
        <f t="shared" si="71"/>
        <v>20173087</v>
      </c>
      <c r="AE69" s="19">
        <f t="shared" si="71"/>
        <v>11907971</v>
      </c>
      <c r="AF69" s="145">
        <f t="shared" si="71"/>
        <v>2014868</v>
      </c>
      <c r="AG69" s="18">
        <f t="shared" si="71"/>
        <v>13922839</v>
      </c>
      <c r="AH69" s="19">
        <f t="shared" si="71"/>
        <v>96155654</v>
      </c>
      <c r="AI69" s="15">
        <f t="shared" si="71"/>
        <v>96155654</v>
      </c>
      <c r="AJ69" s="16">
        <f t="shared" si="71"/>
        <v>102405902</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+IF(JULIO!A70=0,"",JULIO!A70)</f>
        <v>1130115-1</v>
      </c>
      <c r="B70" s="654" t="str">
        <f>+CONCATENATE("Vigencia ",INSTRUCCIONES!$F$3)</f>
        <v>Vigencia 2015</v>
      </c>
      <c r="C70" s="375">
        <f>+ENERO!C70</f>
        <v>53468516</v>
      </c>
      <c r="D70" s="376">
        <f>JULIO!D70+AGOSTO!P70</f>
        <v>0</v>
      </c>
      <c r="E70" s="376">
        <f>JULIO!E70+AGOSTO!Q70</f>
        <v>0</v>
      </c>
      <c r="F70" s="376">
        <f>SUM(C70:E70)</f>
        <v>53468516</v>
      </c>
      <c r="G70" s="376">
        <f>JULIO!I70</f>
        <v>32242133</v>
      </c>
      <c r="H70" s="377">
        <v>5098823</v>
      </c>
      <c r="I70" s="376">
        <f>SUM(G70:H70)</f>
        <v>37340956</v>
      </c>
      <c r="J70" s="376">
        <f>JULIO!L70</f>
        <v>7688799</v>
      </c>
      <c r="K70" s="377">
        <v>1141831</v>
      </c>
      <c r="L70" s="376">
        <f>SUM(J70:K70)</f>
        <v>8830630</v>
      </c>
      <c r="M70" s="376">
        <f>F70-I70</f>
        <v>16127560</v>
      </c>
      <c r="N70" s="146">
        <f>F70-L70</f>
        <v>44637886</v>
      </c>
      <c r="O70" s="385"/>
      <c r="P70" s="375">
        <v>0</v>
      </c>
      <c r="Q70" s="378">
        <v>0</v>
      </c>
      <c r="R70" s="9"/>
      <c r="S70" s="720" t="str">
        <f>+IF(JULIO!S70=0,"",JULIO!S70)</f>
        <v>1020104-1</v>
      </c>
      <c r="T70" s="694" t="str">
        <f>+IF(JULIO!T70=0,"",JULIO!T70)</f>
        <v xml:space="preserve">Prima de Navidad </v>
      </c>
      <c r="U70" s="27">
        <f>+ENERO!U70</f>
        <v>57873955</v>
      </c>
      <c r="V70" s="15">
        <f>JULIO!V70+AGOSTO!AL70</f>
        <v>0</v>
      </c>
      <c r="W70" s="15">
        <f>JULIO!W70+AGOSTO!AM70</f>
        <v>0</v>
      </c>
      <c r="X70" s="18">
        <f t="shared" ref="X70:X81" si="72">SUM(U70:W70)</f>
        <v>57873955</v>
      </c>
      <c r="Y70" s="19">
        <f>JULIO!AA70</f>
        <v>552167</v>
      </c>
      <c r="Z70" s="377">
        <v>3671004</v>
      </c>
      <c r="AA70" s="18">
        <f t="shared" ref="AA70:AA81" si="73">SUM(Y70:Z70)</f>
        <v>4223171</v>
      </c>
      <c r="AB70" s="19">
        <f>JULIO!AD70</f>
        <v>552167</v>
      </c>
      <c r="AC70" s="377">
        <v>3671004</v>
      </c>
      <c r="AD70" s="18">
        <f t="shared" ref="AD70:AD81" si="74">SUM(AB70:AC70)</f>
        <v>4223171</v>
      </c>
      <c r="AE70" s="19">
        <f>JULIO!AG70</f>
        <v>552167</v>
      </c>
      <c r="AF70" s="377">
        <v>800604</v>
      </c>
      <c r="AG70" s="18">
        <f t="shared" ref="AG70:AG81" si="75">SUM(AE70:AF70)</f>
        <v>1352771</v>
      </c>
      <c r="AH70" s="19">
        <f t="shared" ref="AH70:AH81" si="76">X70-AA70</f>
        <v>53650784</v>
      </c>
      <c r="AI70" s="15">
        <f t="shared" ref="AI70:AI81" si="77">X70-AD70</f>
        <v>53650784</v>
      </c>
      <c r="AJ70" s="16">
        <f t="shared" ref="AJ70:AJ81" si="78">X70-AG70</f>
        <v>56521184</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+IF(JULIO!A71=0,"",JULIO!A71)</f>
        <v>1130115-2</v>
      </c>
      <c r="B71" s="654" t="str">
        <f>+IF(JULIO!B71=0,"",JULIO!B71)</f>
        <v>Vigencia Anterior</v>
      </c>
      <c r="C71" s="375">
        <f>+ENERO!C71</f>
        <v>0</v>
      </c>
      <c r="D71" s="376">
        <f>JULIO!D71+AGOSTO!P71</f>
        <v>0</v>
      </c>
      <c r="E71" s="376">
        <f>JULIO!E71+AGOSTO!Q71</f>
        <v>27541841</v>
      </c>
      <c r="F71" s="376">
        <f>SUM(C71:E71)</f>
        <v>27541841</v>
      </c>
      <c r="G71" s="376">
        <f>JULIO!I71</f>
        <v>24381097</v>
      </c>
      <c r="H71" s="377">
        <v>0</v>
      </c>
      <c r="I71" s="376">
        <f>SUM(G71:H71)</f>
        <v>24381097</v>
      </c>
      <c r="J71" s="376">
        <f>JULIO!L71</f>
        <v>24381097</v>
      </c>
      <c r="K71" s="377">
        <v>0</v>
      </c>
      <c r="L71" s="376">
        <f>SUM(J71:K71)</f>
        <v>24381097</v>
      </c>
      <c r="M71" s="376">
        <f>F71-I71</f>
        <v>3160744</v>
      </c>
      <c r="N71" s="146">
        <f>F71-L71</f>
        <v>3160744</v>
      </c>
      <c r="O71" s="385"/>
      <c r="P71" s="375">
        <v>0</v>
      </c>
      <c r="Q71" s="378">
        <v>0</v>
      </c>
      <c r="R71" s="9"/>
      <c r="S71" s="720" t="str">
        <f>+IF(JULIO!S71=0,"",JULIO!S71)</f>
        <v>1020104-2</v>
      </c>
      <c r="T71" s="694" t="str">
        <f>+IF(JULIO!T71=0,"",JULIO!T71)</f>
        <v>Prima Vida Cara</v>
      </c>
      <c r="U71" s="27">
        <f>+ENERO!U71</f>
        <v>0</v>
      </c>
      <c r="V71" s="15">
        <f>JULIO!V71+AGOSTO!AL71</f>
        <v>0</v>
      </c>
      <c r="W71" s="15">
        <f>JULIO!W71+AGOSTO!AM71</f>
        <v>0</v>
      </c>
      <c r="X71" s="18">
        <f t="shared" si="72"/>
        <v>0</v>
      </c>
      <c r="Y71" s="19">
        <f>JULIO!AA71</f>
        <v>0</v>
      </c>
      <c r="Z71" s="377">
        <v>0</v>
      </c>
      <c r="AA71" s="18">
        <f t="shared" si="73"/>
        <v>0</v>
      </c>
      <c r="AB71" s="19">
        <f>JULIO!AD71</f>
        <v>0</v>
      </c>
      <c r="AC71" s="377">
        <v>0</v>
      </c>
      <c r="AD71" s="18">
        <f t="shared" si="74"/>
        <v>0</v>
      </c>
      <c r="AE71" s="19">
        <f>JULIO!AG71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+IF(JULIO!A72=0,"",JULIO!A72)</f>
        <v>1130116</v>
      </c>
      <c r="B72" s="653" t="str">
        <f>+IF(JULIO!B72=0,"",JULIO!B72)</f>
        <v>ADMINISTRADORAS DE RIESGOS PROFESIONALES</v>
      </c>
      <c r="C72" s="43">
        <f t="shared" ref="C72:N72" si="79">SUM(C73:C74)</f>
        <v>47982534</v>
      </c>
      <c r="D72" s="44">
        <f t="shared" si="79"/>
        <v>0</v>
      </c>
      <c r="E72" s="44">
        <f t="shared" si="79"/>
        <v>7739704</v>
      </c>
      <c r="F72" s="44">
        <f t="shared" si="79"/>
        <v>55722238</v>
      </c>
      <c r="G72" s="44">
        <f t="shared" si="79"/>
        <v>32818738</v>
      </c>
      <c r="H72" s="44">
        <f t="shared" si="79"/>
        <v>3241480</v>
      </c>
      <c r="I72" s="44">
        <f t="shared" si="79"/>
        <v>36060218</v>
      </c>
      <c r="J72" s="44">
        <f t="shared" si="79"/>
        <v>26801904</v>
      </c>
      <c r="K72" s="44">
        <f t="shared" si="79"/>
        <v>1071186</v>
      </c>
      <c r="L72" s="44">
        <f t="shared" si="79"/>
        <v>27873090</v>
      </c>
      <c r="M72" s="44">
        <f t="shared" si="79"/>
        <v>19662020</v>
      </c>
      <c r="N72" s="45">
        <f t="shared" si="79"/>
        <v>27849148</v>
      </c>
      <c r="P72" s="43">
        <f>SUM(P73:P74)</f>
        <v>0</v>
      </c>
      <c r="Q72" s="45">
        <f>SUM(Q73:Q74)</f>
        <v>0</v>
      </c>
      <c r="R72" s="9"/>
      <c r="S72" s="720" t="str">
        <f>+IF(JULIO!S72=0,"",JULIO!S72)</f>
        <v>1020104-3</v>
      </c>
      <c r="T72" s="694" t="str">
        <f>+IF(JULIO!T72=0,"",JULIO!T72)</f>
        <v>Prima de Vacaciones</v>
      </c>
      <c r="U72" s="27">
        <f>+ENERO!U72</f>
        <v>26711056</v>
      </c>
      <c r="V72" s="15">
        <f>JULIO!V72+AGOSTO!AL72</f>
        <v>0</v>
      </c>
      <c r="W72" s="15">
        <f>JULIO!W72+AGOSTO!AM72</f>
        <v>0</v>
      </c>
      <c r="X72" s="18">
        <f t="shared" si="72"/>
        <v>26711056</v>
      </c>
      <c r="Y72" s="19">
        <f>JULIO!AA72</f>
        <v>9867875</v>
      </c>
      <c r="Z72" s="377">
        <v>4045966</v>
      </c>
      <c r="AA72" s="18">
        <f t="shared" si="73"/>
        <v>13913841</v>
      </c>
      <c r="AB72" s="19">
        <f>JULIO!AD72</f>
        <v>9867875</v>
      </c>
      <c r="AC72" s="377">
        <v>4045966</v>
      </c>
      <c r="AD72" s="18">
        <f t="shared" si="74"/>
        <v>13913841</v>
      </c>
      <c r="AE72" s="19">
        <f>JULIO!AG72</f>
        <v>9867875</v>
      </c>
      <c r="AF72" s="377">
        <v>1067471</v>
      </c>
      <c r="AG72" s="18">
        <f t="shared" si="75"/>
        <v>10935346</v>
      </c>
      <c r="AH72" s="19">
        <f t="shared" si="76"/>
        <v>12797215</v>
      </c>
      <c r="AI72" s="15">
        <f t="shared" si="77"/>
        <v>12797215</v>
      </c>
      <c r="AJ72" s="16">
        <f t="shared" si="78"/>
        <v>15775710</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+IF(JULIO!A73=0,"",JULIO!A73)</f>
        <v>1130116-1</v>
      </c>
      <c r="B73" s="654" t="str">
        <f>+CONCATENATE("Vigencia ",INSTRUCCIONES!$F$3)</f>
        <v>Vigencia 2015</v>
      </c>
      <c r="C73" s="375">
        <f>+ENERO!C73</f>
        <v>47982534</v>
      </c>
      <c r="D73" s="376">
        <f>JULIO!D73+AGOSTO!P73</f>
        <v>0</v>
      </c>
      <c r="E73" s="376">
        <f>JULIO!E73+AGOSTO!Q73</f>
        <v>0</v>
      </c>
      <c r="F73" s="376">
        <f>SUM(C73:E73)</f>
        <v>47982534</v>
      </c>
      <c r="G73" s="376">
        <f>JULIO!I73</f>
        <v>25546718</v>
      </c>
      <c r="H73" s="377">
        <v>3241480</v>
      </c>
      <c r="I73" s="376">
        <f>SUM(G73:H73)</f>
        <v>28788198</v>
      </c>
      <c r="J73" s="376">
        <f>JULIO!L73</f>
        <v>19529884</v>
      </c>
      <c r="K73" s="377">
        <v>1071186</v>
      </c>
      <c r="L73" s="376">
        <f>SUM(J73:K73)</f>
        <v>20601070</v>
      </c>
      <c r="M73" s="376">
        <f>F73-I73</f>
        <v>19194336</v>
      </c>
      <c r="N73" s="146">
        <f>F73-L73</f>
        <v>27381464</v>
      </c>
      <c r="O73" s="385"/>
      <c r="P73" s="375">
        <v>0</v>
      </c>
      <c r="Q73" s="378">
        <v>0</v>
      </c>
      <c r="R73" s="9"/>
      <c r="S73" s="720" t="str">
        <f>+IF(JULIO!S73=0,"",JULIO!S73)</f>
        <v>1020104-4</v>
      </c>
      <c r="T73" s="694" t="str">
        <f>+IF(JULIO!T73=0,"",JULIO!T73)</f>
        <v>Prima Clima</v>
      </c>
      <c r="U73" s="27">
        <f>+ENERO!U73</f>
        <v>0</v>
      </c>
      <c r="V73" s="15">
        <f>JULIO!V73+AGOSTO!AL73</f>
        <v>0</v>
      </c>
      <c r="W73" s="15">
        <f>JULIO!W73+AGOSTO!AM73</f>
        <v>0</v>
      </c>
      <c r="X73" s="18">
        <f t="shared" si="72"/>
        <v>0</v>
      </c>
      <c r="Y73" s="19">
        <f>JULIO!AA73</f>
        <v>0</v>
      </c>
      <c r="Z73" s="377">
        <v>0</v>
      </c>
      <c r="AA73" s="18">
        <f t="shared" si="73"/>
        <v>0</v>
      </c>
      <c r="AB73" s="19">
        <f>JULIO!AD73</f>
        <v>0</v>
      </c>
      <c r="AC73" s="377">
        <v>0</v>
      </c>
      <c r="AD73" s="18">
        <f t="shared" si="74"/>
        <v>0</v>
      </c>
      <c r="AE73" s="19">
        <f>JULIO!AG73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+IF(JULIO!A74=0,"",JULIO!A74)</f>
        <v>1130116-2</v>
      </c>
      <c r="B74" s="654" t="str">
        <f>+IF(JULIO!B74=0,"",JULIO!B74)</f>
        <v>Vigencia Anterior</v>
      </c>
      <c r="C74" s="375">
        <f>+ENERO!C74</f>
        <v>0</v>
      </c>
      <c r="D74" s="376">
        <f>JULIO!D74+AGOSTO!P74</f>
        <v>0</v>
      </c>
      <c r="E74" s="376">
        <f>JULIO!E74+AGOSTO!Q74</f>
        <v>7739704</v>
      </c>
      <c r="F74" s="376">
        <f>SUM(C74:E74)</f>
        <v>7739704</v>
      </c>
      <c r="G74" s="376">
        <f>JULIO!I74</f>
        <v>7272020</v>
      </c>
      <c r="H74" s="377">
        <v>0</v>
      </c>
      <c r="I74" s="376">
        <f>SUM(G74:H74)</f>
        <v>7272020</v>
      </c>
      <c r="J74" s="376">
        <f>JULIO!L74</f>
        <v>7272020</v>
      </c>
      <c r="K74" s="377">
        <v>0</v>
      </c>
      <c r="L74" s="376">
        <f>SUM(J74:K74)</f>
        <v>7272020</v>
      </c>
      <c r="M74" s="376">
        <f>F74-I74</f>
        <v>467684</v>
      </c>
      <c r="N74" s="146">
        <f>F74-L74</f>
        <v>467684</v>
      </c>
      <c r="O74" s="385"/>
      <c r="P74" s="375">
        <v>0</v>
      </c>
      <c r="Q74" s="378">
        <v>0</v>
      </c>
      <c r="R74" s="9"/>
      <c r="S74" s="720" t="str">
        <f>+IF(JULIO!S74=0,"",JULIO!S74)</f>
        <v>1020104-5</v>
      </c>
      <c r="T74" s="694" t="str">
        <f>+IF(JULIO!T74=0,"",JULIO!T74)</f>
        <v>Prima de Servicios</v>
      </c>
      <c r="U74" s="27">
        <f>+ENERO!U74</f>
        <v>26711056</v>
      </c>
      <c r="V74" s="15">
        <f>JULIO!V74+AGOSTO!AL74</f>
        <v>0</v>
      </c>
      <c r="W74" s="15">
        <f>JULIO!W74+AGOSTO!AM74</f>
        <v>0</v>
      </c>
      <c r="X74" s="18">
        <f t="shared" si="72"/>
        <v>26711056</v>
      </c>
      <c r="Y74" s="19">
        <f>JULIO!AA74</f>
        <v>0</v>
      </c>
      <c r="Z74" s="377">
        <v>0</v>
      </c>
      <c r="AA74" s="18">
        <f t="shared" si="73"/>
        <v>0</v>
      </c>
      <c r="AB74" s="19">
        <f>JULIO!AD74</f>
        <v>0</v>
      </c>
      <c r="AC74" s="377">
        <v>0</v>
      </c>
      <c r="AD74" s="18">
        <f t="shared" si="74"/>
        <v>0</v>
      </c>
      <c r="AE74" s="19">
        <f>JULIO!AG74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+IF(JULIO!A75=0,"",JULIO!A75)</f>
        <v>1130117</v>
      </c>
      <c r="B75" s="653" t="str">
        <f>+IF(JULIO!B75=0,"",JULIO!B75)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+IF(JULIO!S75=0,"",JULIO!S75)</f>
        <v>1020104-8</v>
      </c>
      <c r="T75" s="694" t="str">
        <f>+IF(JULIO!T75=0,"",JULIO!T75)</f>
        <v>Bonific. por Servicios Prestados (Convencional)</v>
      </c>
      <c r="U75" s="27">
        <f>+ENERO!U75</f>
        <v>0</v>
      </c>
      <c r="V75" s="15">
        <f>JULIO!V75+AGOSTO!AL75</f>
        <v>0</v>
      </c>
      <c r="W75" s="15">
        <f>JULIO!W75+AGOSTO!AM75</f>
        <v>0</v>
      </c>
      <c r="X75" s="18">
        <f t="shared" si="72"/>
        <v>0</v>
      </c>
      <c r="Y75" s="19">
        <f>JULIO!AA75</f>
        <v>0</v>
      </c>
      <c r="Z75" s="377">
        <v>0</v>
      </c>
      <c r="AA75" s="18">
        <f t="shared" si="73"/>
        <v>0</v>
      </c>
      <c r="AB75" s="19">
        <f>JULIO!AD75</f>
        <v>0</v>
      </c>
      <c r="AC75" s="377">
        <v>0</v>
      </c>
      <c r="AD75" s="18">
        <f t="shared" si="74"/>
        <v>0</v>
      </c>
      <c r="AE75" s="19">
        <f>JULIO!AG75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+IF(JULIO!A76=0,"",JULIO!A76)</f>
        <v>1130117-1</v>
      </c>
      <c r="B76" s="654" t="str">
        <f>+CONCATENATE("Vigencia ",INSTRUCCIONES!$F$3)</f>
        <v>Vigencia 2015</v>
      </c>
      <c r="C76" s="375">
        <f>+ENERO!C76</f>
        <v>0</v>
      </c>
      <c r="D76" s="376">
        <f>JULIO!D76+AGOSTO!P76</f>
        <v>0</v>
      </c>
      <c r="E76" s="376">
        <f>JULIO!E76+AGOSTO!Q76</f>
        <v>0</v>
      </c>
      <c r="F76" s="376">
        <f t="shared" ref="F76:F83" si="81">SUM(C76:E76)</f>
        <v>0</v>
      </c>
      <c r="G76" s="376">
        <f>JULIO!I76</f>
        <v>0</v>
      </c>
      <c r="H76" s="377">
        <v>0</v>
      </c>
      <c r="I76" s="376">
        <f t="shared" ref="I76:I83" si="82">SUM(G76:H76)</f>
        <v>0</v>
      </c>
      <c r="J76" s="376">
        <f>JULIO!L76</f>
        <v>0</v>
      </c>
      <c r="K76" s="377">
        <v>0</v>
      </c>
      <c r="L76" s="376">
        <f t="shared" ref="L76:L83" si="83">SUM(J76:K76)</f>
        <v>0</v>
      </c>
      <c r="M76" s="376">
        <f t="shared" ref="M76:M83" si="84">F76-I76</f>
        <v>0</v>
      </c>
      <c r="N76" s="146">
        <f t="shared" ref="N76:N83" si="85">F76-L76</f>
        <v>0</v>
      </c>
      <c r="O76" s="385"/>
      <c r="P76" s="375">
        <v>0</v>
      </c>
      <c r="Q76" s="378">
        <v>0</v>
      </c>
      <c r="R76" s="9"/>
      <c r="S76" s="720" t="str">
        <f>+IF(JULIO!S76=0,"",JULIO!S76)</f>
        <v>1020104-9</v>
      </c>
      <c r="T76" s="694" t="str">
        <f>+IF(JULIO!T76=0,"",JULIO!T76)</f>
        <v>Auxilio de Transporte</v>
      </c>
      <c r="U76" s="27">
        <f>+ENERO!U76</f>
        <v>1471200</v>
      </c>
      <c r="V76" s="15">
        <f>JULIO!V76+AGOSTO!AL76</f>
        <v>0</v>
      </c>
      <c r="W76" s="15">
        <f>JULIO!W76+AGOSTO!AM76</f>
        <v>0</v>
      </c>
      <c r="X76" s="18">
        <f t="shared" si="72"/>
        <v>1471200</v>
      </c>
      <c r="Y76" s="19">
        <f>JULIO!AA76</f>
        <v>146000</v>
      </c>
      <c r="Z76" s="377">
        <v>0</v>
      </c>
      <c r="AA76" s="18">
        <f t="shared" si="73"/>
        <v>146000</v>
      </c>
      <c r="AB76" s="19">
        <f>JULIO!AD76</f>
        <v>146000</v>
      </c>
      <c r="AC76" s="377">
        <v>0</v>
      </c>
      <c r="AD76" s="18">
        <f t="shared" si="74"/>
        <v>146000</v>
      </c>
      <c r="AE76" s="19">
        <f>JULIO!AG76</f>
        <v>135508</v>
      </c>
      <c r="AF76" s="377">
        <v>4463</v>
      </c>
      <c r="AG76" s="18">
        <f t="shared" si="75"/>
        <v>139971</v>
      </c>
      <c r="AH76" s="19">
        <f t="shared" si="76"/>
        <v>1325200</v>
      </c>
      <c r="AI76" s="15">
        <f t="shared" si="77"/>
        <v>1325200</v>
      </c>
      <c r="AJ76" s="16">
        <f t="shared" si="78"/>
        <v>1331229</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+IF(JULIO!A77=0,"",JULIO!A77)</f>
        <v>1130117-2</v>
      </c>
      <c r="B77" s="654" t="str">
        <f>+IF(JULIO!B77=0,"",JULIO!B77)</f>
        <v>Vigencia Anterior</v>
      </c>
      <c r="C77" s="375">
        <f>+ENERO!C77</f>
        <v>0</v>
      </c>
      <c r="D77" s="376">
        <f>JULIO!D77+AGOSTO!P77</f>
        <v>0</v>
      </c>
      <c r="E77" s="376">
        <f>JULIO!E77+AGOSTO!Q77</f>
        <v>0</v>
      </c>
      <c r="F77" s="376">
        <f t="shared" si="81"/>
        <v>0</v>
      </c>
      <c r="G77" s="376">
        <f>JULIO!I77</f>
        <v>0</v>
      </c>
      <c r="H77" s="377">
        <v>0</v>
      </c>
      <c r="I77" s="376">
        <f t="shared" si="82"/>
        <v>0</v>
      </c>
      <c r="J77" s="376">
        <f>JULIO!L77</f>
        <v>0</v>
      </c>
      <c r="K77" s="377">
        <v>0</v>
      </c>
      <c r="L77" s="376">
        <f t="shared" si="83"/>
        <v>0</v>
      </c>
      <c r="M77" s="376">
        <f t="shared" si="84"/>
        <v>0</v>
      </c>
      <c r="N77" s="146">
        <f t="shared" si="85"/>
        <v>0</v>
      </c>
      <c r="O77" s="385"/>
      <c r="P77" s="375">
        <v>0</v>
      </c>
      <c r="Q77" s="378">
        <v>0</v>
      </c>
      <c r="R77" s="9"/>
      <c r="S77" s="720" t="str">
        <f>+IF(JULIO!S77=0,"",JULIO!S77)</f>
        <v>1020104-10</v>
      </c>
      <c r="T77" s="694" t="str">
        <f>+IF(JULIO!T77=0,"",JULIO!T77)</f>
        <v>Subsidio de Alimentación</v>
      </c>
      <c r="U77" s="27">
        <f>+ENERO!U77</f>
        <v>0</v>
      </c>
      <c r="V77" s="15">
        <f>JULIO!V77+AGOSTO!AL77</f>
        <v>0</v>
      </c>
      <c r="W77" s="15">
        <f>JULIO!W77+AGOSTO!AM77</f>
        <v>0</v>
      </c>
      <c r="X77" s="18">
        <f t="shared" si="72"/>
        <v>0</v>
      </c>
      <c r="Y77" s="19">
        <f>JULIO!AA77</f>
        <v>0</v>
      </c>
      <c r="Z77" s="377">
        <v>0</v>
      </c>
      <c r="AA77" s="18">
        <f t="shared" si="73"/>
        <v>0</v>
      </c>
      <c r="AB77" s="19">
        <f>JULIO!AD77</f>
        <v>0</v>
      </c>
      <c r="AC77" s="377">
        <v>0</v>
      </c>
      <c r="AD77" s="18">
        <f t="shared" si="74"/>
        <v>0</v>
      </c>
      <c r="AE77" s="19">
        <f>JULIO!AG77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+IF(JULIO!A78=0,"",JULIO!A78)</f>
        <v>1130118</v>
      </c>
      <c r="B78" s="653" t="str">
        <f>+IF(JULIO!B78=0,"",JULIO!B78)</f>
        <v>PARTICULARES   (Venta de Contado)</v>
      </c>
      <c r="C78" s="43">
        <f>SUM(C79:C80)</f>
        <v>151788162</v>
      </c>
      <c r="D78" s="44">
        <f>SUM(D79:D80)</f>
        <v>0</v>
      </c>
      <c r="E78" s="44">
        <f>SUM(E79:E80)</f>
        <v>0</v>
      </c>
      <c r="F78" s="44">
        <f t="shared" si="81"/>
        <v>151788162</v>
      </c>
      <c r="G78" s="44">
        <f>SUM(G79:G80)</f>
        <v>79463717</v>
      </c>
      <c r="H78" s="44">
        <f>SUM(H79:H80)</f>
        <v>10996062</v>
      </c>
      <c r="I78" s="44">
        <f t="shared" si="82"/>
        <v>90459779</v>
      </c>
      <c r="J78" s="44">
        <f>SUM(J79:J80)</f>
        <v>79463717</v>
      </c>
      <c r="K78" s="44">
        <f>SUM(K79:K80)</f>
        <v>10996062</v>
      </c>
      <c r="L78" s="44">
        <f t="shared" si="83"/>
        <v>90459779</v>
      </c>
      <c r="M78" s="44">
        <f t="shared" si="84"/>
        <v>61328383</v>
      </c>
      <c r="N78" s="45">
        <f t="shared" si="85"/>
        <v>61328383</v>
      </c>
      <c r="O78" s="385"/>
      <c r="P78" s="43">
        <f>SUM(P79:P80)</f>
        <v>0</v>
      </c>
      <c r="Q78" s="45">
        <f>SUM(Q79:Q80)</f>
        <v>0</v>
      </c>
      <c r="R78" s="9"/>
      <c r="S78" s="720" t="str">
        <f>+IF(JULIO!S78=0,"",JULIO!S78)</f>
        <v>1020104-12</v>
      </c>
      <c r="T78" s="694" t="str">
        <f>+IF(JULIO!T78=0,"",JULIO!T78)</f>
        <v>Indemnizaciones por Vacaciones o Supresión de Cargos por Reestructuración</v>
      </c>
      <c r="U78" s="27">
        <f>+ENERO!U78</f>
        <v>0</v>
      </c>
      <c r="V78" s="15">
        <f>JULIO!V78+AGOSTO!AL78</f>
        <v>0</v>
      </c>
      <c r="W78" s="15">
        <f>JULIO!W78+AGOSTO!AM78</f>
        <v>0</v>
      </c>
      <c r="X78" s="18">
        <f t="shared" si="72"/>
        <v>0</v>
      </c>
      <c r="Y78" s="19">
        <f>JULIO!AA78</f>
        <v>0</v>
      </c>
      <c r="Z78" s="377">
        <v>0</v>
      </c>
      <c r="AA78" s="18">
        <f t="shared" si="73"/>
        <v>0</v>
      </c>
      <c r="AB78" s="19">
        <f>JULIO!AD78</f>
        <v>0</v>
      </c>
      <c r="AC78" s="377">
        <v>0</v>
      </c>
      <c r="AD78" s="18">
        <f t="shared" si="74"/>
        <v>0</v>
      </c>
      <c r="AE78" s="19">
        <f>JULIO!AG78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+IF(JULIO!A79=0,"",JULIO!A79)</f>
        <v>1130118-1</v>
      </c>
      <c r="B79" s="654" t="str">
        <f>+CONCATENATE("Vigencia ",INSTRUCCIONES!$F$3)</f>
        <v>Vigencia 2015</v>
      </c>
      <c r="C79" s="375">
        <f>+ENERO!C79</f>
        <v>151788162</v>
      </c>
      <c r="D79" s="376">
        <f>JULIO!D79+AGOSTO!P79</f>
        <v>0</v>
      </c>
      <c r="E79" s="376">
        <f>JULIO!E79+AGOSTO!Q79</f>
        <v>0</v>
      </c>
      <c r="F79" s="376">
        <f t="shared" si="81"/>
        <v>151788162</v>
      </c>
      <c r="G79" s="376">
        <f>JULIO!I79</f>
        <v>79463717</v>
      </c>
      <c r="H79" s="377">
        <v>10996062</v>
      </c>
      <c r="I79" s="376">
        <f t="shared" si="82"/>
        <v>90459779</v>
      </c>
      <c r="J79" s="376">
        <f>JULIO!L79</f>
        <v>79463717</v>
      </c>
      <c r="K79" s="377">
        <v>10996062</v>
      </c>
      <c r="L79" s="376">
        <f t="shared" si="83"/>
        <v>90459779</v>
      </c>
      <c r="M79" s="376">
        <f t="shared" si="84"/>
        <v>61328383</v>
      </c>
      <c r="N79" s="146">
        <f t="shared" si="85"/>
        <v>61328383</v>
      </c>
      <c r="P79" s="375">
        <v>0</v>
      </c>
      <c r="Q79" s="378">
        <v>0</v>
      </c>
      <c r="R79" s="9"/>
      <c r="S79" s="720" t="str">
        <f>+IF(JULIO!S79=0,"",JULIO!S79)</f>
        <v>1020104-13</v>
      </c>
      <c r="T79" s="694" t="str">
        <f>+IF(JULIO!T79=0,"",JULIO!T79)</f>
        <v>Bonificación Especial por Recreación</v>
      </c>
      <c r="U79" s="27">
        <f>+ENERO!U79</f>
        <v>3561474</v>
      </c>
      <c r="V79" s="15">
        <f>JULIO!V79+AGOSTO!AL79</f>
        <v>0</v>
      </c>
      <c r="W79" s="15">
        <f>JULIO!W79+AGOSTO!AM79</f>
        <v>0</v>
      </c>
      <c r="X79" s="18">
        <f t="shared" si="72"/>
        <v>3561474</v>
      </c>
      <c r="Y79" s="19">
        <f>JULIO!AA79</f>
        <v>1352421</v>
      </c>
      <c r="Z79" s="377">
        <v>537654</v>
      </c>
      <c r="AA79" s="18">
        <f t="shared" si="73"/>
        <v>1890075</v>
      </c>
      <c r="AB79" s="19">
        <f>JULIO!AD79</f>
        <v>1352421</v>
      </c>
      <c r="AC79" s="377">
        <v>537654</v>
      </c>
      <c r="AD79" s="18">
        <f t="shared" si="74"/>
        <v>1890075</v>
      </c>
      <c r="AE79" s="19">
        <f>JULIO!AG79</f>
        <v>1352421</v>
      </c>
      <c r="AF79" s="377">
        <v>142330</v>
      </c>
      <c r="AG79" s="18">
        <f t="shared" si="75"/>
        <v>1494751</v>
      </c>
      <c r="AH79" s="19">
        <f t="shared" si="76"/>
        <v>1671399</v>
      </c>
      <c r="AI79" s="15">
        <f t="shared" si="77"/>
        <v>1671399</v>
      </c>
      <c r="AJ79" s="16">
        <f t="shared" si="78"/>
        <v>2066723</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+IF(JULIO!A80=0,"",JULIO!A80)</f>
        <v>1130118-2</v>
      </c>
      <c r="B80" s="654" t="str">
        <f>+IF(JULIO!B80=0,"",JULIO!B80)</f>
        <v>Vigencia Anterior</v>
      </c>
      <c r="C80" s="375">
        <f>+ENERO!C80</f>
        <v>0</v>
      </c>
      <c r="D80" s="376">
        <f>JULIO!D80+AGOSTO!P80</f>
        <v>0</v>
      </c>
      <c r="E80" s="376">
        <f>JULIO!E80+AGOSTO!Q80</f>
        <v>0</v>
      </c>
      <c r="F80" s="376">
        <f t="shared" si="81"/>
        <v>0</v>
      </c>
      <c r="G80" s="376">
        <f>JULIO!I80</f>
        <v>0</v>
      </c>
      <c r="H80" s="377">
        <v>0</v>
      </c>
      <c r="I80" s="376">
        <f t="shared" si="82"/>
        <v>0</v>
      </c>
      <c r="J80" s="376">
        <f>JULIO!L80</f>
        <v>0</v>
      </c>
      <c r="K80" s="377">
        <v>0</v>
      </c>
      <c r="L80" s="376">
        <f t="shared" si="83"/>
        <v>0</v>
      </c>
      <c r="M80" s="376">
        <f t="shared" si="84"/>
        <v>0</v>
      </c>
      <c r="N80" s="146">
        <f t="shared" si="85"/>
        <v>0</v>
      </c>
      <c r="O80" s="385"/>
      <c r="P80" s="375">
        <v>0</v>
      </c>
      <c r="Q80" s="378">
        <v>0</v>
      </c>
      <c r="S80" s="720" t="str">
        <f>+IF(JULIO!S80=0,"",JULIO!S80)</f>
        <v>1020104-14</v>
      </c>
      <c r="T80" s="694" t="str">
        <f>+IF(JULIO!T80=0,"",JULIO!T80)</f>
        <v/>
      </c>
      <c r="U80" s="27">
        <f>+ENERO!U80</f>
        <v>0</v>
      </c>
      <c r="V80" s="15">
        <f>JULIO!V80+AGOSTO!AL80</f>
        <v>0</v>
      </c>
      <c r="W80" s="15">
        <f>JULIO!W80+AGOSTO!AM80</f>
        <v>0</v>
      </c>
      <c r="X80" s="18">
        <f t="shared" si="72"/>
        <v>0</v>
      </c>
      <c r="Y80" s="19">
        <f>JULIO!AA80</f>
        <v>0</v>
      </c>
      <c r="Z80" s="377">
        <v>0</v>
      </c>
      <c r="AA80" s="18">
        <f t="shared" si="73"/>
        <v>0</v>
      </c>
      <c r="AB80" s="19">
        <f>JULIO!AD80</f>
        <v>0</v>
      </c>
      <c r="AC80" s="377">
        <v>0</v>
      </c>
      <c r="AD80" s="18">
        <f t="shared" si="74"/>
        <v>0</v>
      </c>
      <c r="AE80" s="19">
        <f>JULIO!AG80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+IF(JULIO!A81=0,"",JULIO!A81)</f>
        <v>1130119</v>
      </c>
      <c r="B81" s="657" t="str">
        <f>+IF(JULIO!B81=0,"",JULIO!B81)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+IF(JULIO!S81=0,"",JULIO!S81)</f>
        <v>1020199</v>
      </c>
      <c r="T81" s="693" t="str">
        <f>+IF(JULIO!T81=0,"",JULIO!T81)</f>
        <v>Vigencias Anteriores</v>
      </c>
      <c r="U81" s="27">
        <f>+ENERO!U81</f>
        <v>0</v>
      </c>
      <c r="V81" s="15">
        <f>JULIO!V81+AGOSTO!AL81</f>
        <v>0</v>
      </c>
      <c r="W81" s="15">
        <f>JULIO!W81+AGOSTO!AM81</f>
        <v>13655677</v>
      </c>
      <c r="X81" s="18">
        <f t="shared" si="72"/>
        <v>13655677</v>
      </c>
      <c r="Y81" s="19">
        <f>JULIO!AA81</f>
        <v>13655677</v>
      </c>
      <c r="Z81" s="377">
        <v>0</v>
      </c>
      <c r="AA81" s="18">
        <f t="shared" si="73"/>
        <v>13655677</v>
      </c>
      <c r="AB81" s="19">
        <f>JULIO!AD81</f>
        <v>13655677</v>
      </c>
      <c r="AC81" s="377">
        <v>0</v>
      </c>
      <c r="AD81" s="18">
        <f t="shared" si="74"/>
        <v>13655677</v>
      </c>
      <c r="AE81" s="19">
        <f>JULIO!AG81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+IF(JULIO!A82=0,"",JULIO!A82)</f>
        <v>1130119-1</v>
      </c>
      <c r="B82" s="654" t="str">
        <f>+CONCATENATE("Vigencia ",INSTRUCCIONES!$F$3)</f>
        <v>Vigencia 2015</v>
      </c>
      <c r="C82" s="375">
        <f>+ENERO!C82</f>
        <v>0</v>
      </c>
      <c r="D82" s="376">
        <f>JULIO!D82+AGOSTO!P82</f>
        <v>0</v>
      </c>
      <c r="E82" s="376">
        <f>JULIO!E82+AGOSTO!Q82</f>
        <v>0</v>
      </c>
      <c r="F82" s="376">
        <f t="shared" si="81"/>
        <v>0</v>
      </c>
      <c r="G82" s="376">
        <f>JULIO!I82</f>
        <v>0</v>
      </c>
      <c r="H82" s="377">
        <v>0</v>
      </c>
      <c r="I82" s="376">
        <f t="shared" si="82"/>
        <v>0</v>
      </c>
      <c r="J82" s="376">
        <f>JULIO!L82</f>
        <v>0</v>
      </c>
      <c r="K82" s="377">
        <v>0</v>
      </c>
      <c r="L82" s="376">
        <f t="shared" si="83"/>
        <v>0</v>
      </c>
      <c r="M82" s="376">
        <f t="shared" si="84"/>
        <v>0</v>
      </c>
      <c r="N82" s="146">
        <f t="shared" si="85"/>
        <v>0</v>
      </c>
      <c r="P82" s="375">
        <v>0</v>
      </c>
      <c r="Q82" s="378">
        <v>0</v>
      </c>
      <c r="R82" s="9"/>
      <c r="S82" s="369" t="str">
        <f>+IF(JULIO!S82=0,"",JULIO!S82)</f>
        <v/>
      </c>
      <c r="T82" s="708" t="str">
        <f>+IF(JULIO!T82=0,"",JULIO!T82)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+IF(JULIO!A83=0,"",JULIO!A83)</f>
        <v>1130119-2</v>
      </c>
      <c r="B83" s="658" t="str">
        <f>+IF(JULIO!B83=0,"",JULIO!B83)</f>
        <v>Vigencia Anterior</v>
      </c>
      <c r="C83" s="387">
        <f>+ENERO!C83</f>
        <v>0</v>
      </c>
      <c r="D83" s="388">
        <f>JULIO!D83+AGOSTO!P83</f>
        <v>0</v>
      </c>
      <c r="E83" s="388">
        <f>JULIO!E83+AGOSTO!Q83</f>
        <v>0</v>
      </c>
      <c r="F83" s="388">
        <f t="shared" si="81"/>
        <v>0</v>
      </c>
      <c r="G83" s="388">
        <f>JULIO!I83</f>
        <v>0</v>
      </c>
      <c r="H83" s="391">
        <v>0</v>
      </c>
      <c r="I83" s="388">
        <f t="shared" si="82"/>
        <v>0</v>
      </c>
      <c r="J83" s="388">
        <f>JULIO!L83</f>
        <v>0</v>
      </c>
      <c r="K83" s="391">
        <v>0</v>
      </c>
      <c r="L83" s="388">
        <f t="shared" si="83"/>
        <v>0</v>
      </c>
      <c r="M83" s="388">
        <f t="shared" si="84"/>
        <v>0</v>
      </c>
      <c r="N83" s="389">
        <f t="shared" si="85"/>
        <v>0</v>
      </c>
      <c r="P83" s="375">
        <v>0</v>
      </c>
      <c r="Q83" s="378">
        <v>0</v>
      </c>
      <c r="R83" s="9"/>
      <c r="S83" s="718">
        <f>+IF(JULIO!S83=0,"",JULIO!S83)</f>
        <v>1020200</v>
      </c>
      <c r="T83" s="692" t="str">
        <f>+IF(JULIO!T83=0,"",JULIO!T83)</f>
        <v>Servicios Personales Indirectos</v>
      </c>
      <c r="U83" s="135">
        <f t="shared" ref="U83:AJ83" si="87">SUM(U84:U88)</f>
        <v>151257124</v>
      </c>
      <c r="V83" s="124">
        <f t="shared" si="87"/>
        <v>24000000</v>
      </c>
      <c r="W83" s="124">
        <f t="shared" si="87"/>
        <v>6884000</v>
      </c>
      <c r="X83" s="132">
        <f t="shared" si="87"/>
        <v>182141124</v>
      </c>
      <c r="Y83" s="131">
        <f t="shared" si="87"/>
        <v>162627000</v>
      </c>
      <c r="Z83" s="124">
        <f t="shared" si="87"/>
        <v>90000</v>
      </c>
      <c r="AA83" s="132">
        <f t="shared" si="87"/>
        <v>162717000</v>
      </c>
      <c r="AB83" s="131">
        <f t="shared" si="87"/>
        <v>95977000</v>
      </c>
      <c r="AC83" s="124">
        <f t="shared" si="87"/>
        <v>13990000</v>
      </c>
      <c r="AD83" s="132">
        <f t="shared" si="87"/>
        <v>109967000</v>
      </c>
      <c r="AE83" s="131">
        <f t="shared" si="87"/>
        <v>88127000</v>
      </c>
      <c r="AF83" s="124">
        <f t="shared" si="87"/>
        <v>9090000</v>
      </c>
      <c r="AG83" s="132">
        <f t="shared" si="87"/>
        <v>97217000</v>
      </c>
      <c r="AH83" s="131">
        <f t="shared" si="87"/>
        <v>19424124</v>
      </c>
      <c r="AI83" s="124">
        <f t="shared" si="87"/>
        <v>72174124</v>
      </c>
      <c r="AJ83" s="133">
        <f t="shared" si="87"/>
        <v>84924124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+IF(JULIO!A84=0,"",JULIO!A84)</f>
        <v/>
      </c>
      <c r="B84" s="659" t="str">
        <f>+IF(JULIO!B84=0,"",JULIO!B84)</f>
        <v/>
      </c>
      <c r="C84" s="297"/>
      <c r="D84" s="297"/>
      <c r="E84" s="297"/>
      <c r="F84" s="297"/>
      <c r="G84" s="297"/>
      <c r="H84" s="297"/>
      <c r="I84" s="297"/>
      <c r="J84" s="297"/>
      <c r="K84" s="297"/>
      <c r="L84" s="297"/>
      <c r="M84" s="297"/>
      <c r="N84" s="466"/>
      <c r="O84" s="464"/>
      <c r="P84" s="470"/>
      <c r="Q84" s="394"/>
      <c r="R84" s="9"/>
      <c r="S84" s="719" t="str">
        <f>+IF(JULIO!S84=0,"",JULIO!S84)</f>
        <v>1020200-1</v>
      </c>
      <c r="T84" s="693" t="str">
        <f>+IF(JULIO!T84=0,"",JULIO!T84)</f>
        <v>Remuneración y Honorarios por Servicios Técnicos y Profesionales</v>
      </c>
      <c r="U84" s="27">
        <f>+ENERO!U84</f>
        <v>151257124</v>
      </c>
      <c r="V84" s="15">
        <f>JULIO!V84+AGOSTO!AL84</f>
        <v>24000000</v>
      </c>
      <c r="W84" s="15">
        <f>JULIO!W84+AGOSTO!AM84</f>
        <v>0</v>
      </c>
      <c r="X84" s="18">
        <f>SUM(U84:W84)</f>
        <v>175257124</v>
      </c>
      <c r="Y84" s="19">
        <f>JULIO!AA84</f>
        <v>155743000</v>
      </c>
      <c r="Z84" s="377">
        <v>90000</v>
      </c>
      <c r="AA84" s="18">
        <f>SUM(Y84:Z84)</f>
        <v>155833000</v>
      </c>
      <c r="AB84" s="19">
        <f>JULIO!AD84</f>
        <v>89093000</v>
      </c>
      <c r="AC84" s="377">
        <v>13990000</v>
      </c>
      <c r="AD84" s="18">
        <f>SUM(AB84:AC84)</f>
        <v>103083000</v>
      </c>
      <c r="AE84" s="19">
        <f>JULIO!AG84</f>
        <v>81243000</v>
      </c>
      <c r="AF84" s="377">
        <v>9090000</v>
      </c>
      <c r="AG84" s="18">
        <f>SUM(AE84:AF84)</f>
        <v>90333000</v>
      </c>
      <c r="AH84" s="19">
        <f>X84-AA84</f>
        <v>19424124</v>
      </c>
      <c r="AI84" s="15">
        <f>X84-AD84</f>
        <v>72174124</v>
      </c>
      <c r="AJ84" s="16">
        <f>X84-AG84</f>
        <v>84924124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+IF(JULIO!A85=0,"",JULIO!A85)</f>
        <v>11302</v>
      </c>
      <c r="B85" s="660" t="str">
        <f>+IF(JULIO!B85=0,"",JULIO!B85)</f>
        <v>Otras Ventas de Servicios de Salud</v>
      </c>
      <c r="C85" s="625">
        <f t="shared" ref="C85:N85" si="88">SUM(C86:C92)</f>
        <v>74000000</v>
      </c>
      <c r="D85" s="623">
        <f t="shared" si="88"/>
        <v>0</v>
      </c>
      <c r="E85" s="623">
        <f t="shared" si="88"/>
        <v>0</v>
      </c>
      <c r="F85" s="623">
        <f t="shared" si="88"/>
        <v>74000000</v>
      </c>
      <c r="G85" s="623">
        <f t="shared" si="88"/>
        <v>21858686</v>
      </c>
      <c r="H85" s="623">
        <f t="shared" si="88"/>
        <v>2400000</v>
      </c>
      <c r="I85" s="623">
        <f t="shared" si="88"/>
        <v>24258686</v>
      </c>
      <c r="J85" s="623">
        <f t="shared" si="88"/>
        <v>14529343</v>
      </c>
      <c r="K85" s="623">
        <f t="shared" si="88"/>
        <v>2400000</v>
      </c>
      <c r="L85" s="623">
        <f t="shared" si="88"/>
        <v>16929343</v>
      </c>
      <c r="M85" s="623">
        <f t="shared" si="88"/>
        <v>49741314</v>
      </c>
      <c r="N85" s="624">
        <f t="shared" si="88"/>
        <v>57070657</v>
      </c>
      <c r="P85" s="43">
        <f>SUM(P86:P92)</f>
        <v>0</v>
      </c>
      <c r="Q85" s="45">
        <f>SUM(Q86:Q92)</f>
        <v>0</v>
      </c>
      <c r="R85" s="9"/>
      <c r="S85" s="719" t="str">
        <f>+IF(JULIO!S85=0,"",JULIO!S85)</f>
        <v>1020200-2</v>
      </c>
      <c r="T85" s="693" t="str">
        <f>+IF(JULIO!T85=0,"",JULIO!T85)</f>
        <v>Personal Supernumerario</v>
      </c>
      <c r="U85" s="27">
        <f>+ENERO!U85</f>
        <v>0</v>
      </c>
      <c r="V85" s="15">
        <f>JULIO!V85+AGOSTO!AL85</f>
        <v>0</v>
      </c>
      <c r="W85" s="15">
        <f>JULIO!W85+AGOSTO!AM85</f>
        <v>0</v>
      </c>
      <c r="X85" s="18">
        <f>SUM(U85:W85)</f>
        <v>0</v>
      </c>
      <c r="Y85" s="19">
        <f>JULIO!AA85</f>
        <v>0</v>
      </c>
      <c r="Z85" s="377">
        <v>0</v>
      </c>
      <c r="AA85" s="18">
        <f>SUM(Y85:Z85)</f>
        <v>0</v>
      </c>
      <c r="AB85" s="19">
        <f>JULIO!AD85</f>
        <v>0</v>
      </c>
      <c r="AC85" s="377">
        <v>0</v>
      </c>
      <c r="AD85" s="18">
        <f>SUM(AB85:AC85)</f>
        <v>0</v>
      </c>
      <c r="AE85" s="19">
        <f>JULIO!AG85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+IF(JULIO!A86=0,"",JULIO!A86)</f>
        <v>1130201</v>
      </c>
      <c r="B86" s="634" t="str">
        <f>+IF(JULIO!B86=0,"",JULIO!B86)</f>
        <v/>
      </c>
      <c r="C86" s="401">
        <f>+ENERO!C86</f>
        <v>0</v>
      </c>
      <c r="D86" s="376">
        <f>JULIO!D86+AGOSTO!P86</f>
        <v>0</v>
      </c>
      <c r="E86" s="376">
        <f>JULIO!E86+AGOSTO!Q86</f>
        <v>0</v>
      </c>
      <c r="F86" s="376">
        <f t="shared" ref="F86:F92" si="89">SUM(C86:E86)</f>
        <v>0</v>
      </c>
      <c r="G86" s="376">
        <f>JULIO!I86</f>
        <v>0</v>
      </c>
      <c r="H86" s="377">
        <v>0</v>
      </c>
      <c r="I86" s="376">
        <f t="shared" ref="I86:I92" si="90">SUM(G86:H86)</f>
        <v>0</v>
      </c>
      <c r="J86" s="376">
        <f>JULIO!L86</f>
        <v>0</v>
      </c>
      <c r="K86" s="377">
        <v>0</v>
      </c>
      <c r="L86" s="376">
        <f t="shared" ref="L86:L92" si="91">SUM(J86:K86)</f>
        <v>0</v>
      </c>
      <c r="M86" s="376">
        <f t="shared" ref="M86:M92" si="92">F86-I86</f>
        <v>0</v>
      </c>
      <c r="N86" s="146">
        <f t="shared" ref="N86:N92" si="93">F86-L86</f>
        <v>0</v>
      </c>
      <c r="O86" s="385"/>
      <c r="P86" s="375">
        <v>0</v>
      </c>
      <c r="Q86" s="378">
        <v>0</v>
      </c>
      <c r="S86" s="719" t="str">
        <f>+IF(JULIO!S86=0,"",JULIO!S86)</f>
        <v>1020200-4</v>
      </c>
      <c r="T86" s="693" t="str">
        <f>+IF(JULIO!T86=0,"",JULIO!T86)</f>
        <v>Otros Honorarios (Servicios de Cooperativa)</v>
      </c>
      <c r="U86" s="27">
        <f>+ENERO!U86</f>
        <v>0</v>
      </c>
      <c r="V86" s="15">
        <f>JULIO!V86+AGOSTO!AL86</f>
        <v>0</v>
      </c>
      <c r="W86" s="15">
        <f>JULIO!W86+AGOSTO!AM86</f>
        <v>0</v>
      </c>
      <c r="X86" s="18">
        <f>SUM(U86:W86)</f>
        <v>0</v>
      </c>
      <c r="Y86" s="19">
        <f>JULIO!AA86</f>
        <v>0</v>
      </c>
      <c r="Z86" s="377">
        <v>0</v>
      </c>
      <c r="AA86" s="18">
        <f>SUM(Y86:Z86)</f>
        <v>0</v>
      </c>
      <c r="AB86" s="19">
        <f>JULIO!AD86</f>
        <v>0</v>
      </c>
      <c r="AC86" s="377">
        <v>0</v>
      </c>
      <c r="AD86" s="18">
        <f>SUM(AB86:AC86)</f>
        <v>0</v>
      </c>
      <c r="AE86" s="19">
        <f>JULIO!AG86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+IF(JULIO!A87=0,"",JULIO!A87)</f>
        <v>1130202</v>
      </c>
      <c r="B87" s="634" t="str">
        <f>+IF(JULIO!B87=0,"",JULIO!B87)</f>
        <v/>
      </c>
      <c r="C87" s="401">
        <f>+ENERO!C87</f>
        <v>0</v>
      </c>
      <c r="D87" s="376">
        <f>JULIO!D87+AGOSTO!P87</f>
        <v>0</v>
      </c>
      <c r="E87" s="376">
        <f>JULIO!E87+AGOSTO!Q87</f>
        <v>0</v>
      </c>
      <c r="F87" s="376">
        <f t="shared" si="89"/>
        <v>0</v>
      </c>
      <c r="G87" s="376">
        <f>JULIO!I87</f>
        <v>0</v>
      </c>
      <c r="H87" s="377">
        <v>0</v>
      </c>
      <c r="I87" s="376">
        <f t="shared" si="90"/>
        <v>0</v>
      </c>
      <c r="J87" s="376">
        <f>JULIO!L87</f>
        <v>0</v>
      </c>
      <c r="K87" s="377">
        <v>0</v>
      </c>
      <c r="L87" s="376">
        <f t="shared" si="91"/>
        <v>0</v>
      </c>
      <c r="M87" s="376">
        <f t="shared" si="92"/>
        <v>0</v>
      </c>
      <c r="N87" s="146">
        <f t="shared" si="93"/>
        <v>0</v>
      </c>
      <c r="P87" s="375">
        <v>0</v>
      </c>
      <c r="Q87" s="378">
        <v>0</v>
      </c>
      <c r="R87" s="9"/>
      <c r="S87" s="719" t="str">
        <f>+IF(JULIO!S87=0,"",JULIO!S87)</f>
        <v/>
      </c>
      <c r="T87" s="693" t="str">
        <f>+IF(JULIO!T87=0,"",JULIO!T87)</f>
        <v/>
      </c>
      <c r="U87" s="27">
        <f>+ENERO!U87</f>
        <v>0</v>
      </c>
      <c r="V87" s="15">
        <f>JULIO!V87+AGOSTO!AL87</f>
        <v>0</v>
      </c>
      <c r="W87" s="15">
        <f>JULIO!W87+AGOSTO!AM87</f>
        <v>0</v>
      </c>
      <c r="X87" s="18">
        <f>SUM(U87:W87)</f>
        <v>0</v>
      </c>
      <c r="Y87" s="19">
        <f>JULIO!AA87</f>
        <v>0</v>
      </c>
      <c r="Z87" s="377">
        <v>0</v>
      </c>
      <c r="AA87" s="18">
        <f>SUM(Y87:Z87)</f>
        <v>0</v>
      </c>
      <c r="AB87" s="19">
        <f>JULIO!AD87</f>
        <v>0</v>
      </c>
      <c r="AC87" s="377">
        <v>0</v>
      </c>
      <c r="AD87" s="18">
        <f>SUM(AB87:AC87)</f>
        <v>0</v>
      </c>
      <c r="AE87" s="19">
        <f>JULIO!AG87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+IF(JULIO!A88=0,"",JULIO!A88)</f>
        <v>1130203</v>
      </c>
      <c r="B88" s="635" t="str">
        <f>+IF(JULIO!B88=0,"",JULIO!B88)</f>
        <v>CONVENIOS CON LA NACION LIGADOS A LA VENTA DE SERVICIOS</v>
      </c>
      <c r="C88" s="401">
        <f>+ENERO!C88</f>
        <v>0</v>
      </c>
      <c r="D88" s="376">
        <f>JULIO!D88+AGOSTO!P88</f>
        <v>0</v>
      </c>
      <c r="E88" s="376">
        <f>JULIO!E88+AGOSTO!Q88</f>
        <v>0</v>
      </c>
      <c r="F88" s="376">
        <f t="shared" si="89"/>
        <v>0</v>
      </c>
      <c r="G88" s="376">
        <f>JULIO!I88</f>
        <v>0</v>
      </c>
      <c r="H88" s="377">
        <v>0</v>
      </c>
      <c r="I88" s="376">
        <f t="shared" si="90"/>
        <v>0</v>
      </c>
      <c r="J88" s="376">
        <f>JULIO!L88</f>
        <v>0</v>
      </c>
      <c r="K88" s="377">
        <v>0</v>
      </c>
      <c r="L88" s="376">
        <f t="shared" si="91"/>
        <v>0</v>
      </c>
      <c r="M88" s="376">
        <f t="shared" si="92"/>
        <v>0</v>
      </c>
      <c r="N88" s="146">
        <f t="shared" si="93"/>
        <v>0</v>
      </c>
      <c r="P88" s="375">
        <v>0</v>
      </c>
      <c r="Q88" s="378">
        <v>0</v>
      </c>
      <c r="R88" s="9"/>
      <c r="S88" s="719">
        <f>+IF(JULIO!S88=0,"",JULIO!S88)</f>
        <v>1020299</v>
      </c>
      <c r="T88" s="693" t="str">
        <f>+IF(JULIO!T88=0,"",JULIO!T88)</f>
        <v>Vigencias Anteriores</v>
      </c>
      <c r="U88" s="27">
        <f>+ENERO!U88</f>
        <v>0</v>
      </c>
      <c r="V88" s="15">
        <f>JULIO!V88+AGOSTO!AL88</f>
        <v>0</v>
      </c>
      <c r="W88" s="15">
        <f>JULIO!W88+AGOSTO!AM88</f>
        <v>6884000</v>
      </c>
      <c r="X88" s="18">
        <f>SUM(U88:W88)</f>
        <v>6884000</v>
      </c>
      <c r="Y88" s="19">
        <f>JULIO!AA88</f>
        <v>6884000</v>
      </c>
      <c r="Z88" s="377">
        <v>0</v>
      </c>
      <c r="AA88" s="18">
        <f>SUM(Y88:Z88)</f>
        <v>6884000</v>
      </c>
      <c r="AB88" s="19">
        <f>JULIO!AD88</f>
        <v>6884000</v>
      </c>
      <c r="AC88" s="377">
        <v>0</v>
      </c>
      <c r="AD88" s="18">
        <f>SUM(AB88:AC88)</f>
        <v>6884000</v>
      </c>
      <c r="AE88" s="19">
        <f>JULIO!AG88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+IF(JULIO!A89=0,"",JULIO!A89)</f>
        <v>1130204</v>
      </c>
      <c r="B89" s="635" t="str">
        <f>+IF(JULIO!B89=0,"",JULIO!B89)</f>
        <v>CONVENIOS CON EL DEPARTAMENTO LIGADOS A LA VENTA SERVICIOS</v>
      </c>
      <c r="C89" s="401">
        <f>+ENERO!C89</f>
        <v>50000000</v>
      </c>
      <c r="D89" s="376">
        <f>JULIO!D89+AGOSTO!P89</f>
        <v>0</v>
      </c>
      <c r="E89" s="376">
        <f>JULIO!E89+AGOSTO!Q89</f>
        <v>0</v>
      </c>
      <c r="F89" s="376">
        <f t="shared" si="89"/>
        <v>50000000</v>
      </c>
      <c r="G89" s="376">
        <f>JULIO!I89</f>
        <v>14658686</v>
      </c>
      <c r="H89" s="377">
        <v>0</v>
      </c>
      <c r="I89" s="376">
        <f t="shared" si="90"/>
        <v>14658686</v>
      </c>
      <c r="J89" s="376">
        <f>JULIO!L89</f>
        <v>7329343</v>
      </c>
      <c r="K89" s="377">
        <v>0</v>
      </c>
      <c r="L89" s="376">
        <f t="shared" si="91"/>
        <v>7329343</v>
      </c>
      <c r="M89" s="376">
        <f t="shared" si="92"/>
        <v>35341314</v>
      </c>
      <c r="N89" s="146">
        <f t="shared" si="93"/>
        <v>42670657</v>
      </c>
      <c r="P89" s="375">
        <v>0</v>
      </c>
      <c r="Q89" s="378">
        <v>0</v>
      </c>
      <c r="R89" s="9"/>
      <c r="S89" s="369" t="str">
        <f>+IF(JULIO!S89=0,"",JULIO!S89)</f>
        <v/>
      </c>
      <c r="T89" s="708" t="str">
        <f>+IF(JULIO!T89=0,"",JULIO!T89)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+IF(JULIO!A90=0,"",JULIO!A90)</f>
        <v>1130205</v>
      </c>
      <c r="B90" s="635" t="str">
        <f>+IF(JULIO!B90=0,"",JULIO!B90)</f>
        <v>CONVENIOS CON EL MUNICIPIO LIGADOS A LA VENTA DE SERVICIOS</v>
      </c>
      <c r="C90" s="401">
        <f>+ENERO!C90</f>
        <v>24000000</v>
      </c>
      <c r="D90" s="376">
        <f>JULIO!D90+AGOSTO!P90</f>
        <v>0</v>
      </c>
      <c r="E90" s="376">
        <f>JULIO!E90+AGOSTO!Q90</f>
        <v>0</v>
      </c>
      <c r="F90" s="376">
        <f t="shared" si="89"/>
        <v>24000000</v>
      </c>
      <c r="G90" s="376">
        <f>JULIO!I90</f>
        <v>7200000</v>
      </c>
      <c r="H90" s="377">
        <v>2400000</v>
      </c>
      <c r="I90" s="376">
        <f t="shared" si="90"/>
        <v>9600000</v>
      </c>
      <c r="J90" s="376">
        <f>JULIO!L90</f>
        <v>7200000</v>
      </c>
      <c r="K90" s="377">
        <v>2400000</v>
      </c>
      <c r="L90" s="376">
        <f t="shared" si="91"/>
        <v>9600000</v>
      </c>
      <c r="M90" s="376">
        <f t="shared" si="92"/>
        <v>14400000</v>
      </c>
      <c r="N90" s="146">
        <f t="shared" si="93"/>
        <v>14400000</v>
      </c>
      <c r="O90" s="385"/>
      <c r="P90" s="375">
        <v>0</v>
      </c>
      <c r="Q90" s="378">
        <v>0</v>
      </c>
      <c r="R90" s="30"/>
      <c r="S90" s="718">
        <f>+IF(JULIO!S90=0,"",JULIO!S90)</f>
        <v>1020300</v>
      </c>
      <c r="T90" s="692" t="str">
        <f>+IF(JULIO!T90=0,"",JULIO!T90)</f>
        <v>Contribuciones Inherentes nómina al Sector Privado</v>
      </c>
      <c r="U90" s="135">
        <f t="shared" ref="U90:AJ90" si="94">U91+U96+U102</f>
        <v>269700847</v>
      </c>
      <c r="V90" s="124">
        <f t="shared" si="94"/>
        <v>0</v>
      </c>
      <c r="W90" s="124">
        <f t="shared" si="94"/>
        <v>54740941</v>
      </c>
      <c r="X90" s="132">
        <f t="shared" si="94"/>
        <v>324441788</v>
      </c>
      <c r="Y90" s="131">
        <f t="shared" si="94"/>
        <v>193507702</v>
      </c>
      <c r="Z90" s="124">
        <f t="shared" si="94"/>
        <v>21673376</v>
      </c>
      <c r="AA90" s="132">
        <f t="shared" si="94"/>
        <v>215181078</v>
      </c>
      <c r="AB90" s="131">
        <f t="shared" si="94"/>
        <v>193507702</v>
      </c>
      <c r="AC90" s="124">
        <f t="shared" si="94"/>
        <v>21673376</v>
      </c>
      <c r="AD90" s="132">
        <f t="shared" si="94"/>
        <v>215181078</v>
      </c>
      <c r="AE90" s="131">
        <f t="shared" si="94"/>
        <v>164898671</v>
      </c>
      <c r="AF90" s="124">
        <f t="shared" si="94"/>
        <v>17126001</v>
      </c>
      <c r="AG90" s="132">
        <f t="shared" si="94"/>
        <v>182024672</v>
      </c>
      <c r="AH90" s="131">
        <f t="shared" si="94"/>
        <v>109260710</v>
      </c>
      <c r="AI90" s="124">
        <f t="shared" si="94"/>
        <v>109260710</v>
      </c>
      <c r="AJ90" s="133">
        <f t="shared" si="94"/>
        <v>142417116</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+IF(JULIO!A91=0,"",JULIO!A91)</f>
        <v>1130206</v>
      </c>
      <c r="B91" s="635" t="str">
        <f>+IF(JULIO!B91=0,"",JULIO!B91)</f>
        <v>OTROS CONVENIOS LIGADOS A LA VENTA DE SERVICIOS</v>
      </c>
      <c r="C91" s="401">
        <f>+ENERO!C91</f>
        <v>0</v>
      </c>
      <c r="D91" s="376">
        <f>JULIO!D91+AGOSTO!P91</f>
        <v>0</v>
      </c>
      <c r="E91" s="376">
        <f>JULIO!E91+AGOSTO!Q91</f>
        <v>0</v>
      </c>
      <c r="F91" s="376">
        <f t="shared" si="89"/>
        <v>0</v>
      </c>
      <c r="G91" s="376">
        <f>JULIO!I91</f>
        <v>0</v>
      </c>
      <c r="H91" s="377">
        <v>0</v>
      </c>
      <c r="I91" s="376">
        <f t="shared" si="90"/>
        <v>0</v>
      </c>
      <c r="J91" s="376">
        <f>JULIO!L91</f>
        <v>0</v>
      </c>
      <c r="K91" s="377">
        <v>0</v>
      </c>
      <c r="L91" s="376">
        <f t="shared" si="91"/>
        <v>0</v>
      </c>
      <c r="M91" s="376">
        <f t="shared" si="92"/>
        <v>0</v>
      </c>
      <c r="N91" s="146">
        <f t="shared" si="93"/>
        <v>0</v>
      </c>
      <c r="O91" s="385"/>
      <c r="P91" s="375">
        <v>0</v>
      </c>
      <c r="Q91" s="378">
        <v>0</v>
      </c>
      <c r="R91" s="30"/>
      <c r="S91" s="719">
        <f>+IF(JULIO!S91=0,"",JULIO!S91)</f>
        <v>1020301</v>
      </c>
      <c r="T91" s="693" t="str">
        <f>+IF(JULIO!T91=0,"",JULIO!T91)</f>
        <v>Contribuciones - Sin Situación de Fondos</v>
      </c>
      <c r="U91" s="27">
        <f t="shared" ref="U91:AJ91" si="95">SUM(U92:U95)</f>
        <v>230094736</v>
      </c>
      <c r="V91" s="15">
        <f t="shared" si="95"/>
        <v>0</v>
      </c>
      <c r="W91" s="15">
        <f t="shared" si="95"/>
        <v>0</v>
      </c>
      <c r="X91" s="18">
        <f t="shared" si="95"/>
        <v>230094736</v>
      </c>
      <c r="Y91" s="19">
        <f t="shared" si="95"/>
        <v>120855461</v>
      </c>
      <c r="Z91" s="145">
        <f t="shared" si="95"/>
        <v>19111176</v>
      </c>
      <c r="AA91" s="18">
        <f t="shared" si="95"/>
        <v>139966637</v>
      </c>
      <c r="AB91" s="19">
        <f t="shared" si="95"/>
        <v>120855461</v>
      </c>
      <c r="AC91" s="145">
        <f t="shared" si="95"/>
        <v>19111176</v>
      </c>
      <c r="AD91" s="18">
        <f t="shared" si="95"/>
        <v>139966637</v>
      </c>
      <c r="AE91" s="19">
        <f t="shared" si="95"/>
        <v>96522435</v>
      </c>
      <c r="AF91" s="145">
        <f t="shared" si="95"/>
        <v>14629801</v>
      </c>
      <c r="AG91" s="18">
        <f t="shared" si="95"/>
        <v>111152236</v>
      </c>
      <c r="AH91" s="19">
        <f t="shared" si="95"/>
        <v>90128099</v>
      </c>
      <c r="AI91" s="15">
        <f t="shared" si="95"/>
        <v>90128099</v>
      </c>
      <c r="AJ91" s="16">
        <f t="shared" si="95"/>
        <v>118942500</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+IF(JULIO!A92=0,"",JULIO!A92)</f>
        <v>1130207</v>
      </c>
      <c r="B92" s="636" t="str">
        <f>+IF(JULIO!B92=0,"",JULIO!B92)</f>
        <v>Vigencia Anterior</v>
      </c>
      <c r="C92" s="491">
        <f>+ENERO!C92</f>
        <v>0</v>
      </c>
      <c r="D92" s="388">
        <f>JULIO!D92+AGOSTO!P92</f>
        <v>0</v>
      </c>
      <c r="E92" s="388">
        <f>JULIO!E92+AGOSTO!Q92</f>
        <v>0</v>
      </c>
      <c r="F92" s="388">
        <f t="shared" si="89"/>
        <v>0</v>
      </c>
      <c r="G92" s="388">
        <f>JULIO!I92</f>
        <v>0</v>
      </c>
      <c r="H92" s="391">
        <v>0</v>
      </c>
      <c r="I92" s="388">
        <f t="shared" si="90"/>
        <v>0</v>
      </c>
      <c r="J92" s="388">
        <f>JULIO!L92</f>
        <v>0</v>
      </c>
      <c r="K92" s="391">
        <v>0</v>
      </c>
      <c r="L92" s="388">
        <f t="shared" si="91"/>
        <v>0</v>
      </c>
      <c r="M92" s="388">
        <f t="shared" si="92"/>
        <v>0</v>
      </c>
      <c r="N92" s="389">
        <f t="shared" si="93"/>
        <v>0</v>
      </c>
      <c r="O92" s="385"/>
      <c r="P92" s="375">
        <v>0</v>
      </c>
      <c r="Q92" s="378">
        <v>0</v>
      </c>
      <c r="R92" s="30"/>
      <c r="S92" s="720" t="str">
        <f>+IF(JULIO!S92=0,"",JULIO!S92)</f>
        <v>1020301-1</v>
      </c>
      <c r="T92" s="694" t="str">
        <f>+IF(JULIO!T92=0,"",JULIO!T92)</f>
        <v>Aportes a E.P.S.- Sin sit. Fondos</v>
      </c>
      <c r="U92" s="27">
        <f>+ENERO!U92</f>
        <v>59416260</v>
      </c>
      <c r="V92" s="15">
        <f>JULIO!V92+AGOSTO!AL92</f>
        <v>0</v>
      </c>
      <c r="W92" s="15">
        <f>JULIO!W92+AGOSTO!AM92</f>
        <v>0</v>
      </c>
      <c r="X92" s="18">
        <f>SUM(U92:W92)</f>
        <v>59416260</v>
      </c>
      <c r="Y92" s="19">
        <f>JULIO!AA92</f>
        <v>37668556</v>
      </c>
      <c r="Z92" s="377">
        <v>5308877</v>
      </c>
      <c r="AA92" s="18">
        <f>SUM(Y92:Z92)</f>
        <v>42977433</v>
      </c>
      <c r="AB92" s="19">
        <f>JULIO!AD92</f>
        <v>37668556</v>
      </c>
      <c r="AC92" s="377">
        <v>5308877</v>
      </c>
      <c r="AD92" s="18">
        <f>SUM(AB92:AC92)</f>
        <v>42977433</v>
      </c>
      <c r="AE92" s="19">
        <f>JULIO!AG92</f>
        <v>37668556</v>
      </c>
      <c r="AF92" s="377">
        <v>5308877</v>
      </c>
      <c r="AG92" s="18">
        <f>SUM(AE92:AF92)</f>
        <v>42977433</v>
      </c>
      <c r="AH92" s="19">
        <f>X92-AA92</f>
        <v>16438827</v>
      </c>
      <c r="AI92" s="15">
        <f>X92-AD92</f>
        <v>16438827</v>
      </c>
      <c r="AJ92" s="16">
        <f>X92-AG92</f>
        <v>16438827</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+IF(JULIO!A93=0,"",JULIO!A93)</f>
        <v/>
      </c>
      <c r="B93" s="659" t="str">
        <f>+IF(JULIO!B93=0,"",JULIO!B93)</f>
        <v/>
      </c>
      <c r="C93" s="297"/>
      <c r="D93" s="297"/>
      <c r="E93" s="297"/>
      <c r="F93" s="297"/>
      <c r="G93" s="297"/>
      <c r="H93" s="297"/>
      <c r="I93" s="297"/>
      <c r="J93" s="297"/>
      <c r="K93" s="297"/>
      <c r="L93" s="297"/>
      <c r="M93" s="297"/>
      <c r="N93" s="466"/>
      <c r="P93" s="470"/>
      <c r="Q93" s="394"/>
      <c r="R93" s="30"/>
      <c r="S93" s="720" t="str">
        <f>+IF(JULIO!S93=0,"",JULIO!S93)</f>
        <v>1020301-2</v>
      </c>
      <c r="T93" s="694" t="str">
        <f>+IF(JULIO!T93=0,"",JULIO!T93)</f>
        <v>Aportes Fondos Pensionales - Sin Sit. Fondos</v>
      </c>
      <c r="U93" s="27">
        <f>+ENERO!U93</f>
        <v>81857136</v>
      </c>
      <c r="V93" s="15">
        <f>JULIO!V93+AGOSTO!AL93</f>
        <v>0</v>
      </c>
      <c r="W93" s="15">
        <f>JULIO!W93+AGOSTO!AM93</f>
        <v>0</v>
      </c>
      <c r="X93" s="18">
        <f>SUM(U93:W93)</f>
        <v>81857136</v>
      </c>
      <c r="Y93" s="19">
        <f>JULIO!AA93</f>
        <v>53465077</v>
      </c>
      <c r="Z93" s="377">
        <v>7752879</v>
      </c>
      <c r="AA93" s="18">
        <f>SUM(Y93:Z93)</f>
        <v>61217956</v>
      </c>
      <c r="AB93" s="19">
        <f>JULIO!AD93</f>
        <v>53465077</v>
      </c>
      <c r="AC93" s="377">
        <v>7752879</v>
      </c>
      <c r="AD93" s="18">
        <f>SUM(AB93:AC93)</f>
        <v>61217956</v>
      </c>
      <c r="AE93" s="19">
        <f>JULIO!AG93</f>
        <v>48366433</v>
      </c>
      <c r="AF93" s="377">
        <v>7752879</v>
      </c>
      <c r="AG93" s="18">
        <f>SUM(AE93:AF93)</f>
        <v>56119312</v>
      </c>
      <c r="AH93" s="19">
        <f>X93-AA93</f>
        <v>20639180</v>
      </c>
      <c r="AI93" s="15">
        <f>X93-AD93</f>
        <v>20639180</v>
      </c>
      <c r="AJ93" s="16">
        <f>X93-AG93</f>
        <v>25737824</v>
      </c>
      <c r="AK93" s="9"/>
      <c r="AL93" s="375">
        <v>0</v>
      </c>
      <c r="AM93" s="378">
        <v>0</v>
      </c>
      <c r="AN93" s="30"/>
      <c r="AO93" s="463"/>
      <c r="AP93" s="463"/>
      <c r="AQ93" s="463"/>
      <c r="AR93" s="463"/>
      <c r="AS93" s="463"/>
      <c r="AT93" s="463"/>
      <c r="AU93" s="463"/>
      <c r="AV93" s="463"/>
      <c r="AW93" s="463"/>
      <c r="AX93" s="463"/>
      <c r="AY93" s="463"/>
      <c r="AZ93" s="463"/>
      <c r="BL93" s="30"/>
    </row>
    <row r="94" spans="1:70" s="464" customFormat="1" ht="36.75" customHeight="1" x14ac:dyDescent="0.2">
      <c r="A94" s="753">
        <f>+IF(JULIO!A94=0,"",JULIO!A94)</f>
        <v>11303</v>
      </c>
      <c r="B94" s="626" t="str">
        <f>+IF(JULIO!B94=0,"",JULIO!B94)</f>
        <v>Aportes (No ligados a la venta de servicios de salud)</v>
      </c>
      <c r="C94" s="625">
        <f>SUM(C95:C102)</f>
        <v>0</v>
      </c>
      <c r="D94" s="623">
        <f t="shared" ref="D94:N94" si="96">SUM(D95:D102)</f>
        <v>0</v>
      </c>
      <c r="E94" s="623">
        <f t="shared" si="96"/>
        <v>74713971</v>
      </c>
      <c r="F94" s="623">
        <f t="shared" si="96"/>
        <v>74713971</v>
      </c>
      <c r="G94" s="623">
        <f t="shared" si="96"/>
        <v>136305130</v>
      </c>
      <c r="H94" s="623">
        <f t="shared" si="96"/>
        <v>0</v>
      </c>
      <c r="I94" s="623">
        <f t="shared" si="96"/>
        <v>136305130</v>
      </c>
      <c r="J94" s="623">
        <f t="shared" si="96"/>
        <v>136305130</v>
      </c>
      <c r="K94" s="623">
        <f t="shared" si="96"/>
        <v>0</v>
      </c>
      <c r="L94" s="623">
        <f t="shared" si="96"/>
        <v>136305130</v>
      </c>
      <c r="M94" s="623">
        <f t="shared" si="96"/>
        <v>-61591159</v>
      </c>
      <c r="N94" s="624">
        <f t="shared" si="96"/>
        <v>-61591159</v>
      </c>
      <c r="O94" s="385"/>
      <c r="P94" s="43">
        <f>SUM(P95:P102)</f>
        <v>0</v>
      </c>
      <c r="Q94" s="45">
        <f>SUM(Q95:Q102)</f>
        <v>0</v>
      </c>
      <c r="R94" s="30"/>
      <c r="S94" s="720" t="str">
        <f>+IF(JULIO!S94=0,"",JULIO!S94)</f>
        <v>1020301-3</v>
      </c>
      <c r="T94" s="694" t="str">
        <f>+IF(JULIO!T94=0,"",JULIO!T94)</f>
        <v xml:space="preserve">Aportes a Fondos de Cesantia - Sin Sit. de Fondos </v>
      </c>
      <c r="U94" s="27">
        <f>+ENERO!U94</f>
        <v>71793333</v>
      </c>
      <c r="V94" s="15">
        <f>JULIO!V94+AGOSTO!AL94</f>
        <v>0</v>
      </c>
      <c r="W94" s="15">
        <f>JULIO!W94+AGOSTO!AM94</f>
        <v>0</v>
      </c>
      <c r="X94" s="18">
        <f>SUM(U94:W94)</f>
        <v>71793333</v>
      </c>
      <c r="Y94" s="19">
        <f>JULIO!AA94</f>
        <v>19234382</v>
      </c>
      <c r="Z94" s="377">
        <v>4481375</v>
      </c>
      <c r="AA94" s="18">
        <f>SUM(Y94:Z94)</f>
        <v>23715757</v>
      </c>
      <c r="AB94" s="19">
        <f>JULIO!AD94</f>
        <v>19234382</v>
      </c>
      <c r="AC94" s="377">
        <v>4481375</v>
      </c>
      <c r="AD94" s="18">
        <f>SUM(AB94:AC94)</f>
        <v>23715757</v>
      </c>
      <c r="AE94" s="19">
        <f>JULIO!AG94</f>
        <v>0</v>
      </c>
      <c r="AF94" s="377">
        <v>0</v>
      </c>
      <c r="AG94" s="18">
        <f>SUM(AE94:AF94)</f>
        <v>0</v>
      </c>
      <c r="AH94" s="19">
        <f>X94-AA94</f>
        <v>48077576</v>
      </c>
      <c r="AI94" s="15">
        <f>X94-AD94</f>
        <v>48077576</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+IF(JULIO!A95=0,"",JULIO!A95)</f>
        <v>11303-1</v>
      </c>
      <c r="B95" s="627" t="str">
        <f>+IF(JULIO!B95=0,"",JULIO!B95)</f>
        <v>NACION</v>
      </c>
      <c r="C95" s="401">
        <f>+ENERO!C95</f>
        <v>0</v>
      </c>
      <c r="D95" s="376">
        <f>JULIO!D95+AGOSTO!P95</f>
        <v>0</v>
      </c>
      <c r="E95" s="376">
        <f>JULIO!E95+AGOSTO!Q95</f>
        <v>0</v>
      </c>
      <c r="F95" s="376">
        <f t="shared" ref="F95:F102" si="97">SUM(C95:E95)</f>
        <v>0</v>
      </c>
      <c r="G95" s="376">
        <f>JULIO!I95</f>
        <v>0</v>
      </c>
      <c r="H95" s="377">
        <v>0</v>
      </c>
      <c r="I95" s="376">
        <f t="shared" ref="I95:I102" si="98">SUM(G95:H95)</f>
        <v>0</v>
      </c>
      <c r="J95" s="376">
        <f>JULIO!L95</f>
        <v>0</v>
      </c>
      <c r="K95" s="377">
        <v>0</v>
      </c>
      <c r="L95" s="376">
        <f t="shared" ref="L95:L102" si="99">SUM(J95:K95)</f>
        <v>0</v>
      </c>
      <c r="M95" s="376">
        <f t="shared" ref="M95:M102" si="100">F95-I95</f>
        <v>0</v>
      </c>
      <c r="N95" s="146">
        <f t="shared" ref="N95:N102" si="101">F95-L95</f>
        <v>0</v>
      </c>
      <c r="O95" s="385"/>
      <c r="P95" s="375">
        <v>0</v>
      </c>
      <c r="Q95" s="378">
        <v>0</v>
      </c>
      <c r="R95" s="30"/>
      <c r="S95" s="720" t="str">
        <f>+IF(JULIO!S95=0,"",JULIO!S95)</f>
        <v>1020301-4</v>
      </c>
      <c r="T95" s="694" t="str">
        <f>+IF(JULIO!T95=0,"",JULIO!T95)</f>
        <v>Aporte a ARL. - Sin Sit. de Fondos</v>
      </c>
      <c r="U95" s="27">
        <f>+ENERO!U95</f>
        <v>17028007</v>
      </c>
      <c r="V95" s="15">
        <f>JULIO!V95+AGOSTO!AL95</f>
        <v>0</v>
      </c>
      <c r="W95" s="15">
        <f>JULIO!W95+AGOSTO!AM95</f>
        <v>0</v>
      </c>
      <c r="X95" s="18">
        <f>SUM(U95:W95)</f>
        <v>17028007</v>
      </c>
      <c r="Y95" s="19">
        <f>JULIO!AA95</f>
        <v>10487446</v>
      </c>
      <c r="Z95" s="377">
        <v>1568045</v>
      </c>
      <c r="AA95" s="18">
        <f>SUM(Y95:Z95)</f>
        <v>12055491</v>
      </c>
      <c r="AB95" s="19">
        <f>JULIO!AD95</f>
        <v>10487446</v>
      </c>
      <c r="AC95" s="377">
        <v>1568045</v>
      </c>
      <c r="AD95" s="18">
        <f>SUM(AB95:AC95)</f>
        <v>12055491</v>
      </c>
      <c r="AE95" s="19">
        <f>JULIO!AG95</f>
        <v>10487446</v>
      </c>
      <c r="AF95" s="377">
        <v>1568045</v>
      </c>
      <c r="AG95" s="18">
        <f>SUM(AE95:AF95)</f>
        <v>12055491</v>
      </c>
      <c r="AH95" s="19">
        <f>X95-AA95</f>
        <v>4972516</v>
      </c>
      <c r="AI95" s="15">
        <f>X95-AD95</f>
        <v>4972516</v>
      </c>
      <c r="AJ95" s="16">
        <f>X95-AG95</f>
        <v>4972516</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+IF(JULIO!A96=0,"",JULIO!A96)</f>
        <v>11303-2</v>
      </c>
      <c r="B96" s="627" t="str">
        <f>+IF(JULIO!B96=0,"",JULIO!B96)</f>
        <v>DEPARTAMENTO</v>
      </c>
      <c r="C96" s="401">
        <f>+ENERO!C96</f>
        <v>0</v>
      </c>
      <c r="D96" s="376">
        <f>JULIO!D96+AGOSTO!P96</f>
        <v>0</v>
      </c>
      <c r="E96" s="376">
        <f>JULIO!E96+AGOSTO!Q96</f>
        <v>61305130</v>
      </c>
      <c r="F96" s="376">
        <f t="shared" si="97"/>
        <v>61305130</v>
      </c>
      <c r="G96" s="376">
        <f>JULIO!I96</f>
        <v>136305130</v>
      </c>
      <c r="H96" s="377">
        <v>0</v>
      </c>
      <c r="I96" s="376">
        <f t="shared" si="98"/>
        <v>136305130</v>
      </c>
      <c r="J96" s="376">
        <f>JULIO!L96</f>
        <v>136305130</v>
      </c>
      <c r="K96" s="377">
        <v>0</v>
      </c>
      <c r="L96" s="376">
        <f t="shared" si="99"/>
        <v>136305130</v>
      </c>
      <c r="M96" s="376">
        <f t="shared" si="100"/>
        <v>-75000000</v>
      </c>
      <c r="N96" s="146">
        <f t="shared" si="101"/>
        <v>-75000000</v>
      </c>
      <c r="O96" s="385"/>
      <c r="P96" s="375">
        <v>0</v>
      </c>
      <c r="Q96" s="378">
        <v>0</v>
      </c>
      <c r="S96" s="719">
        <f>+IF(JULIO!S96=0,"",JULIO!S96)</f>
        <v>1020302</v>
      </c>
      <c r="T96" s="693" t="str">
        <f>+IF(JULIO!T96=0,"",JULIO!T96)</f>
        <v>Contribuciones - Otros</v>
      </c>
      <c r="U96" s="27">
        <f t="shared" ref="U96:AJ96" si="102">SUM(U97:U101)</f>
        <v>39606111</v>
      </c>
      <c r="V96" s="15">
        <f t="shared" si="102"/>
        <v>0</v>
      </c>
      <c r="W96" s="15">
        <f t="shared" si="102"/>
        <v>0</v>
      </c>
      <c r="X96" s="18">
        <f t="shared" si="102"/>
        <v>39606111</v>
      </c>
      <c r="Y96" s="19">
        <f t="shared" si="102"/>
        <v>17911300</v>
      </c>
      <c r="Z96" s="145">
        <f t="shared" si="102"/>
        <v>2562200</v>
      </c>
      <c r="AA96" s="18">
        <f t="shared" si="102"/>
        <v>20473500</v>
      </c>
      <c r="AB96" s="19">
        <f t="shared" si="102"/>
        <v>17911300</v>
      </c>
      <c r="AC96" s="145">
        <f t="shared" si="102"/>
        <v>2562200</v>
      </c>
      <c r="AD96" s="18">
        <f t="shared" si="102"/>
        <v>20473500</v>
      </c>
      <c r="AE96" s="19">
        <f t="shared" si="102"/>
        <v>15415100</v>
      </c>
      <c r="AF96" s="145">
        <f t="shared" si="102"/>
        <v>2496200</v>
      </c>
      <c r="AG96" s="18">
        <f t="shared" si="102"/>
        <v>17911300</v>
      </c>
      <c r="AH96" s="19">
        <f t="shared" si="102"/>
        <v>19132611</v>
      </c>
      <c r="AI96" s="15">
        <f t="shared" si="102"/>
        <v>19132611</v>
      </c>
      <c r="AJ96" s="16">
        <f t="shared" si="102"/>
        <v>21694811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+IF(JULIO!A97=0,"",JULIO!A97)</f>
        <v>11303-3</v>
      </c>
      <c r="B97" s="627" t="str">
        <f>+IF(JULIO!B97=0,"",JULIO!B97)</f>
        <v>MUNICIPIO</v>
      </c>
      <c r="C97" s="401">
        <f>+ENERO!C97</f>
        <v>0</v>
      </c>
      <c r="D97" s="376">
        <f>JULIO!D97+AGOSTO!P97</f>
        <v>0</v>
      </c>
      <c r="E97" s="376">
        <f>JULIO!E97+AGOSTO!Q97</f>
        <v>0</v>
      </c>
      <c r="F97" s="376">
        <f t="shared" si="97"/>
        <v>0</v>
      </c>
      <c r="G97" s="376">
        <f>JULIO!I97</f>
        <v>0</v>
      </c>
      <c r="H97" s="377">
        <v>0</v>
      </c>
      <c r="I97" s="376">
        <f t="shared" si="98"/>
        <v>0</v>
      </c>
      <c r="J97" s="376">
        <f>JULIO!L97</f>
        <v>0</v>
      </c>
      <c r="K97" s="377">
        <v>0</v>
      </c>
      <c r="L97" s="376">
        <f t="shared" si="99"/>
        <v>0</v>
      </c>
      <c r="M97" s="376">
        <f t="shared" si="100"/>
        <v>0</v>
      </c>
      <c r="N97" s="146">
        <f t="shared" si="101"/>
        <v>0</v>
      </c>
      <c r="O97" s="385"/>
      <c r="P97" s="375">
        <v>0</v>
      </c>
      <c r="Q97" s="378">
        <v>0</v>
      </c>
      <c r="R97" s="30"/>
      <c r="S97" s="720" t="str">
        <f>+IF(JULIO!S97=0,"",JULIO!S97)</f>
        <v>1020302-1</v>
      </c>
      <c r="T97" s="694" t="str">
        <f>+IF(JULIO!T97=0,"",JULIO!T97)</f>
        <v>Aportes a E.P.S.- Con sit. Fondos</v>
      </c>
      <c r="U97" s="27">
        <f>+ENERO!U97</f>
        <v>1005165</v>
      </c>
      <c r="V97" s="15">
        <f>JULIO!V97+AGOSTO!AL97</f>
        <v>0</v>
      </c>
      <c r="W97" s="15">
        <f>JULIO!W97+AGOSTO!AM97</f>
        <v>0</v>
      </c>
      <c r="X97" s="18">
        <f t="shared" ref="X97:X102" si="103">SUM(U97:W97)</f>
        <v>1005165</v>
      </c>
      <c r="Y97" s="19">
        <f>JULIO!AA97</f>
        <v>203600</v>
      </c>
      <c r="Z97" s="377">
        <v>0</v>
      </c>
      <c r="AA97" s="18">
        <f t="shared" ref="AA97:AA102" si="104">SUM(Y97:Z97)</f>
        <v>203600</v>
      </c>
      <c r="AB97" s="19">
        <f>JULIO!AD97</f>
        <v>203600</v>
      </c>
      <c r="AC97" s="377">
        <v>0</v>
      </c>
      <c r="AD97" s="18">
        <f t="shared" ref="AD97:AD102" si="105">SUM(AB97:AC97)</f>
        <v>203600</v>
      </c>
      <c r="AE97" s="19">
        <f>JULIO!AG97</f>
        <v>203600</v>
      </c>
      <c r="AF97" s="377">
        <v>0</v>
      </c>
      <c r="AG97" s="18">
        <f t="shared" ref="AG97:AG102" si="106">SUM(AE97:AF97)</f>
        <v>203600</v>
      </c>
      <c r="AH97" s="19">
        <f t="shared" ref="AH97:AH102" si="107">X97-AA97</f>
        <v>801565</v>
      </c>
      <c r="AI97" s="15">
        <f t="shared" ref="AI97:AI102" si="108">X97-AD97</f>
        <v>801565</v>
      </c>
      <c r="AJ97" s="16">
        <f t="shared" ref="AJ97:AJ102" si="109">X97-AG97</f>
        <v>801565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+IF(JULIO!A98=0,"",JULIO!A98)</f>
        <v>11303-4</v>
      </c>
      <c r="B98" s="627" t="str">
        <f>+IF(JULIO!B98=0,"",JULIO!B98)</f>
        <v>CONVENIOS (EMPRESTITO)</v>
      </c>
      <c r="C98" s="401">
        <f>+ENERO!C98</f>
        <v>0</v>
      </c>
      <c r="D98" s="376">
        <f>JULIO!D98+AGOSTO!P98</f>
        <v>0</v>
      </c>
      <c r="E98" s="376">
        <f>JULIO!E98+AGOSTO!Q98</f>
        <v>0</v>
      </c>
      <c r="F98" s="376">
        <f t="shared" si="97"/>
        <v>0</v>
      </c>
      <c r="G98" s="376">
        <f>JULIO!I98</f>
        <v>0</v>
      </c>
      <c r="H98" s="377">
        <v>0</v>
      </c>
      <c r="I98" s="376">
        <f t="shared" si="98"/>
        <v>0</v>
      </c>
      <c r="J98" s="376">
        <f>JULIO!L98</f>
        <v>0</v>
      </c>
      <c r="K98" s="377">
        <v>0</v>
      </c>
      <c r="L98" s="376">
        <f t="shared" si="99"/>
        <v>0</v>
      </c>
      <c r="M98" s="376">
        <f t="shared" si="100"/>
        <v>0</v>
      </c>
      <c r="N98" s="146">
        <f t="shared" si="101"/>
        <v>0</v>
      </c>
      <c r="O98" s="385"/>
      <c r="P98" s="375">
        <v>0</v>
      </c>
      <c r="Q98" s="378">
        <v>0</v>
      </c>
      <c r="R98" s="30"/>
      <c r="S98" s="720" t="str">
        <f>+IF(JULIO!S98=0,"",JULIO!S98)</f>
        <v>1020302-2</v>
      </c>
      <c r="T98" s="694" t="str">
        <f>+IF(JULIO!T98=0,"",JULIO!T98)</f>
        <v>Aportes Fondos Pensionales - Con Sit. Fondos</v>
      </c>
      <c r="U98" s="27">
        <f>+ENERO!U98</f>
        <v>3635130</v>
      </c>
      <c r="V98" s="15">
        <f>JULIO!V98+AGOSTO!AL98</f>
        <v>0</v>
      </c>
      <c r="W98" s="15">
        <f>JULIO!W98+AGOSTO!AM98</f>
        <v>0</v>
      </c>
      <c r="X98" s="18">
        <f t="shared" si="103"/>
        <v>3635130</v>
      </c>
      <c r="Y98" s="19">
        <f>JULIO!AA98</f>
        <v>0</v>
      </c>
      <c r="Z98" s="377">
        <v>0</v>
      </c>
      <c r="AA98" s="18">
        <f t="shared" si="104"/>
        <v>0</v>
      </c>
      <c r="AB98" s="19">
        <f>JULIO!AD98</f>
        <v>0</v>
      </c>
      <c r="AC98" s="377">
        <v>0</v>
      </c>
      <c r="AD98" s="18">
        <f t="shared" si="105"/>
        <v>0</v>
      </c>
      <c r="AE98" s="19">
        <f>JULIO!AG98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+IF(JULIO!A99=0,"",JULIO!A99)</f>
        <v>11303-5</v>
      </c>
      <c r="B99" s="627" t="str">
        <f>+IF(JULIO!B99=0,"",JULIO!B99)</f>
        <v>APORTES PATRONALES - MUNICIPIO / DEPARTAMENTO</v>
      </c>
      <c r="C99" s="681">
        <f>+ENERO!C99</f>
        <v>0</v>
      </c>
      <c r="D99" s="376">
        <f>JULIO!D99+AGOSTO!P99</f>
        <v>0</v>
      </c>
      <c r="E99" s="376">
        <f>JULIO!E99+AGOSTO!Q99</f>
        <v>0</v>
      </c>
      <c r="F99" s="376">
        <f t="shared" si="97"/>
        <v>0</v>
      </c>
      <c r="G99" s="376">
        <f>JULIO!I99</f>
        <v>0</v>
      </c>
      <c r="H99" s="682">
        <v>0</v>
      </c>
      <c r="I99" s="376">
        <f t="shared" si="98"/>
        <v>0</v>
      </c>
      <c r="J99" s="376">
        <f>JULIO!L99</f>
        <v>0</v>
      </c>
      <c r="K99" s="682">
        <v>0</v>
      </c>
      <c r="L99" s="376">
        <f t="shared" si="99"/>
        <v>0</v>
      </c>
      <c r="M99" s="376">
        <f t="shared" si="100"/>
        <v>0</v>
      </c>
      <c r="N99" s="146">
        <f t="shared" si="101"/>
        <v>0</v>
      </c>
      <c r="O99" s="385"/>
      <c r="P99" s="683">
        <v>0</v>
      </c>
      <c r="Q99" s="684">
        <v>0</v>
      </c>
      <c r="R99" s="30"/>
      <c r="S99" s="720" t="str">
        <f>+IF(JULIO!S99=0,"",JULIO!S99)</f>
        <v>1020302-3</v>
      </c>
      <c r="T99" s="694" t="str">
        <f>+IF(JULIO!T99=0,"",JULIO!T99)</f>
        <v xml:space="preserve">Aportes a Fondos de Cesantia - Con Sit. de Fondos </v>
      </c>
      <c r="U99" s="27">
        <f>+ENERO!U99</f>
        <v>2469908</v>
      </c>
      <c r="V99" s="15">
        <f>JULIO!V99+AGOSTO!AL99</f>
        <v>0</v>
      </c>
      <c r="W99" s="15">
        <f>JULIO!W99+AGOSTO!AM99</f>
        <v>0</v>
      </c>
      <c r="X99" s="18">
        <f t="shared" si="103"/>
        <v>2469908</v>
      </c>
      <c r="Y99" s="19">
        <f>JULIO!AA99</f>
        <v>0</v>
      </c>
      <c r="Z99" s="377">
        <v>0</v>
      </c>
      <c r="AA99" s="18">
        <f t="shared" si="104"/>
        <v>0</v>
      </c>
      <c r="AB99" s="19">
        <f>JULIO!AD99</f>
        <v>0</v>
      </c>
      <c r="AC99" s="377">
        <v>0</v>
      </c>
      <c r="AD99" s="18">
        <f t="shared" si="105"/>
        <v>0</v>
      </c>
      <c r="AE99" s="19">
        <f>JULIO!AG99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+IF(JULIO!A100=0,"",JULIO!A100)</f>
        <v>11303-6</v>
      </c>
      <c r="B100" s="627" t="str">
        <f>+IF(JULIO!B100=0,"",JULIO!B100)</f>
        <v>RECURSOS PARA PROGRAMA DE SANEAMIENTO FINANCIERO</v>
      </c>
      <c r="C100" s="401">
        <f>+ENERO!C100</f>
        <v>0</v>
      </c>
      <c r="D100" s="376">
        <f>JULIO!D100+AGOSTO!P100</f>
        <v>0</v>
      </c>
      <c r="E100" s="376">
        <f>JULIO!E100+AGOSTO!Q100</f>
        <v>0</v>
      </c>
      <c r="F100" s="376">
        <f t="shared" si="97"/>
        <v>0</v>
      </c>
      <c r="G100" s="376">
        <f>JULIO!I100</f>
        <v>0</v>
      </c>
      <c r="H100" s="377">
        <v>0</v>
      </c>
      <c r="I100" s="376">
        <f t="shared" si="98"/>
        <v>0</v>
      </c>
      <c r="J100" s="376">
        <f>JULIO!L100</f>
        <v>0</v>
      </c>
      <c r="K100" s="377">
        <v>0</v>
      </c>
      <c r="L100" s="376">
        <f t="shared" si="99"/>
        <v>0</v>
      </c>
      <c r="M100" s="376">
        <f t="shared" si="100"/>
        <v>0</v>
      </c>
      <c r="N100" s="146">
        <f t="shared" si="101"/>
        <v>0</v>
      </c>
      <c r="P100" s="375">
        <v>0</v>
      </c>
      <c r="Q100" s="378">
        <v>0</v>
      </c>
      <c r="R100" s="9"/>
      <c r="S100" s="720" t="str">
        <f>+IF(JULIO!S100=0,"",JULIO!S100)</f>
        <v>1020302-4</v>
      </c>
      <c r="T100" s="694" t="str">
        <f>+IF(JULIO!T100=0,"",JULIO!T100)</f>
        <v>Aporte a ARL. - Con Sit. de Fondos</v>
      </c>
      <c r="U100" s="27">
        <f>+ENERO!U100</f>
        <v>0</v>
      </c>
      <c r="V100" s="15">
        <f>JULIO!V100+AGOSTO!AL100</f>
        <v>0</v>
      </c>
      <c r="W100" s="15">
        <f>JULIO!W100+AGOSTO!AM100</f>
        <v>0</v>
      </c>
      <c r="X100" s="18">
        <f t="shared" si="103"/>
        <v>0</v>
      </c>
      <c r="Y100" s="19">
        <f>JULIO!AA100</f>
        <v>0</v>
      </c>
      <c r="Z100" s="377">
        <v>0</v>
      </c>
      <c r="AA100" s="18">
        <f t="shared" si="104"/>
        <v>0</v>
      </c>
      <c r="AB100" s="19">
        <f>JULIO!AD100</f>
        <v>0</v>
      </c>
      <c r="AC100" s="377">
        <v>0</v>
      </c>
      <c r="AD100" s="18">
        <f t="shared" si="105"/>
        <v>0</v>
      </c>
      <c r="AE100" s="19">
        <f>JULIO!AG100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+IF(JULIO!A101=0,"",JULIO!A101)</f>
        <v>11303-7</v>
      </c>
      <c r="B101" s="627" t="str">
        <f>+IF(JULIO!B101=0,"",JULIO!B101)</f>
        <v xml:space="preserve">SANEAMIENTO APORTES PATRONALES </v>
      </c>
      <c r="C101" s="401">
        <f>+ENERO!C101</f>
        <v>0</v>
      </c>
      <c r="D101" s="376">
        <f>JULIO!D101+AGOSTO!P101</f>
        <v>0</v>
      </c>
      <c r="E101" s="376">
        <f>JULIO!E101+AGOSTO!Q101</f>
        <v>13408841</v>
      </c>
      <c r="F101" s="376">
        <f t="shared" si="97"/>
        <v>13408841</v>
      </c>
      <c r="G101" s="376">
        <f>JULIO!I101</f>
        <v>0</v>
      </c>
      <c r="H101" s="377">
        <v>0</v>
      </c>
      <c r="I101" s="376">
        <f t="shared" si="98"/>
        <v>0</v>
      </c>
      <c r="J101" s="376">
        <f>JULIO!L101</f>
        <v>0</v>
      </c>
      <c r="K101" s="377">
        <v>0</v>
      </c>
      <c r="L101" s="376">
        <f t="shared" si="99"/>
        <v>0</v>
      </c>
      <c r="M101" s="376">
        <f t="shared" si="100"/>
        <v>13408841</v>
      </c>
      <c r="N101" s="146">
        <f t="shared" si="101"/>
        <v>13408841</v>
      </c>
      <c r="P101" s="375">
        <v>0</v>
      </c>
      <c r="Q101" s="378">
        <v>0</v>
      </c>
      <c r="R101" s="9"/>
      <c r="S101" s="720" t="str">
        <f>+IF(JULIO!S101=0,"",JULIO!S101)</f>
        <v>1020302-5</v>
      </c>
      <c r="T101" s="694" t="str">
        <f>+IF(JULIO!T101=0,"",JULIO!T101)</f>
        <v>Aporte a Caja Compensación Familiar</v>
      </c>
      <c r="U101" s="27">
        <f>+ENERO!U101</f>
        <v>32495908</v>
      </c>
      <c r="V101" s="15">
        <f>JULIO!V101+AGOSTO!AL101</f>
        <v>0</v>
      </c>
      <c r="W101" s="15">
        <f>JULIO!W101+AGOSTO!AM101</f>
        <v>0</v>
      </c>
      <c r="X101" s="18">
        <f t="shared" si="103"/>
        <v>32495908</v>
      </c>
      <c r="Y101" s="19">
        <f>JULIO!AA101</f>
        <v>17707700</v>
      </c>
      <c r="Z101" s="377">
        <v>2562200</v>
      </c>
      <c r="AA101" s="18">
        <f t="shared" si="104"/>
        <v>20269900</v>
      </c>
      <c r="AB101" s="19">
        <f>JULIO!AD101</f>
        <v>17707700</v>
      </c>
      <c r="AC101" s="377">
        <v>2562200</v>
      </c>
      <c r="AD101" s="18">
        <f t="shared" si="105"/>
        <v>20269900</v>
      </c>
      <c r="AE101" s="19">
        <f>JULIO!AG101</f>
        <v>15211500</v>
      </c>
      <c r="AF101" s="377">
        <v>2496200</v>
      </c>
      <c r="AG101" s="18">
        <f t="shared" si="106"/>
        <v>17707700</v>
      </c>
      <c r="AH101" s="19">
        <f t="shared" si="107"/>
        <v>12226008</v>
      </c>
      <c r="AI101" s="15">
        <f t="shared" si="108"/>
        <v>12226008</v>
      </c>
      <c r="AJ101" s="16">
        <f t="shared" si="109"/>
        <v>14788208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+IF(JULIO!A102=0,"",JULIO!A102)</f>
        <v>11303-8</v>
      </c>
      <c r="B102" s="636" t="str">
        <f>+IF(JULIO!B102=0,"",JULIO!B102)</f>
        <v>Vigencia Anterior</v>
      </c>
      <c r="C102" s="491">
        <f>+ENERO!C102</f>
        <v>0</v>
      </c>
      <c r="D102" s="388">
        <f>JULIO!D102+AGOSTO!P102</f>
        <v>0</v>
      </c>
      <c r="E102" s="388">
        <f>JULIO!E102+AGOSTO!Q102</f>
        <v>0</v>
      </c>
      <c r="F102" s="388">
        <f t="shared" si="97"/>
        <v>0</v>
      </c>
      <c r="G102" s="388">
        <f>JULIO!I102</f>
        <v>0</v>
      </c>
      <c r="H102" s="391">
        <v>0</v>
      </c>
      <c r="I102" s="388">
        <f t="shared" si="98"/>
        <v>0</v>
      </c>
      <c r="J102" s="388">
        <f>JULIO!L102</f>
        <v>0</v>
      </c>
      <c r="K102" s="391">
        <v>0</v>
      </c>
      <c r="L102" s="388">
        <f t="shared" si="99"/>
        <v>0</v>
      </c>
      <c r="M102" s="388">
        <f t="shared" si="100"/>
        <v>0</v>
      </c>
      <c r="N102" s="389">
        <f t="shared" si="101"/>
        <v>0</v>
      </c>
      <c r="P102" s="375">
        <v>0</v>
      </c>
      <c r="Q102" s="378">
        <v>0</v>
      </c>
      <c r="R102" s="9"/>
      <c r="S102" s="719">
        <f>+IF(JULIO!S102=0,"",JULIO!S102)</f>
        <v>1020399</v>
      </c>
      <c r="T102" s="693" t="str">
        <f>+IF(JULIO!T102=0,"",JULIO!T102)</f>
        <v>Vigencias Anteriores</v>
      </c>
      <c r="U102" s="27">
        <f>+ENERO!U102</f>
        <v>0</v>
      </c>
      <c r="V102" s="15">
        <f>JULIO!V102+AGOSTO!AL102</f>
        <v>0</v>
      </c>
      <c r="W102" s="15">
        <f>JULIO!W102+AGOSTO!AM102</f>
        <v>54740941</v>
      </c>
      <c r="X102" s="18">
        <f t="shared" si="103"/>
        <v>54740941</v>
      </c>
      <c r="Y102" s="19">
        <f>JULIO!AA102</f>
        <v>54740941</v>
      </c>
      <c r="Z102" s="377">
        <v>0</v>
      </c>
      <c r="AA102" s="18">
        <f t="shared" si="104"/>
        <v>54740941</v>
      </c>
      <c r="AB102" s="19">
        <f>JULIO!AD102</f>
        <v>54740941</v>
      </c>
      <c r="AC102" s="377">
        <v>0</v>
      </c>
      <c r="AD102" s="18">
        <f t="shared" si="105"/>
        <v>54740941</v>
      </c>
      <c r="AE102" s="19">
        <f>JULIO!AG102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+IF(JULIO!A103=0,"",JULIO!A103)</f>
        <v/>
      </c>
      <c r="B103" s="661" t="str">
        <f>+IF(JULIO!B103=0,"",JULIO!B103)</f>
        <v/>
      </c>
      <c r="C103" s="483"/>
      <c r="D103" s="483"/>
      <c r="E103" s="483"/>
      <c r="F103" s="483"/>
      <c r="G103" s="483"/>
      <c r="H103" s="483"/>
      <c r="I103" s="483"/>
      <c r="J103" s="483"/>
      <c r="K103" s="483"/>
      <c r="L103" s="483"/>
      <c r="M103" s="483"/>
      <c r="N103" s="484"/>
      <c r="P103" s="485"/>
      <c r="Q103" s="484"/>
      <c r="R103" s="9"/>
      <c r="S103" s="369" t="str">
        <f>+IF(JULIO!S103=0,"",JULIO!S103)</f>
        <v/>
      </c>
      <c r="T103" s="708" t="str">
        <f>+IF(JULIO!T103=0,"",JULIO!T103)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+IF(JULIO!A104=0,"",JULIO!A104)</f>
        <v>11304</v>
      </c>
      <c r="B104" s="626" t="str">
        <f>+IF(JULIO!B104=0,"",JULIO!B104)</f>
        <v>Otros ingresos corrientes</v>
      </c>
      <c r="C104" s="625">
        <f>SUM(C105:C111)</f>
        <v>107181679</v>
      </c>
      <c r="D104" s="623">
        <f t="shared" ref="D104:N104" si="110">SUM(D105:D111)</f>
        <v>0</v>
      </c>
      <c r="E104" s="623">
        <f t="shared" si="110"/>
        <v>0</v>
      </c>
      <c r="F104" s="623">
        <f t="shared" si="110"/>
        <v>107181679</v>
      </c>
      <c r="G104" s="623">
        <f t="shared" si="110"/>
        <v>61953536</v>
      </c>
      <c r="H104" s="623">
        <f t="shared" si="110"/>
        <v>7706600</v>
      </c>
      <c r="I104" s="623">
        <f t="shared" si="110"/>
        <v>69660136</v>
      </c>
      <c r="J104" s="623">
        <f t="shared" si="110"/>
        <v>61953536</v>
      </c>
      <c r="K104" s="623">
        <f t="shared" si="110"/>
        <v>7706600</v>
      </c>
      <c r="L104" s="623">
        <f t="shared" si="110"/>
        <v>69660136</v>
      </c>
      <c r="M104" s="623">
        <f t="shared" si="110"/>
        <v>37521543</v>
      </c>
      <c r="N104" s="624">
        <f t="shared" si="110"/>
        <v>37521543</v>
      </c>
      <c r="P104" s="43">
        <f>SUM(P105:P111)</f>
        <v>0</v>
      </c>
      <c r="Q104" s="45">
        <f>SUM(Q105:Q111)</f>
        <v>0</v>
      </c>
      <c r="R104" s="9"/>
      <c r="S104" s="718">
        <f>+IF(JULIO!S104=0,"",JULIO!S104)</f>
        <v>1020400</v>
      </c>
      <c r="T104" s="692" t="str">
        <f>+IF(JULIO!T104=0,"",JULIO!T104)</f>
        <v>Contribuciones Inherentes nómina del Sector Publico</v>
      </c>
      <c r="U104" s="135">
        <f t="shared" ref="U104:AJ104" si="111">U105+U108</f>
        <v>40619885</v>
      </c>
      <c r="V104" s="124">
        <f t="shared" si="111"/>
        <v>0</v>
      </c>
      <c r="W104" s="124">
        <f t="shared" si="111"/>
        <v>3013800</v>
      </c>
      <c r="X104" s="132">
        <f t="shared" si="111"/>
        <v>43633685</v>
      </c>
      <c r="Y104" s="131">
        <f t="shared" si="111"/>
        <v>25147900</v>
      </c>
      <c r="Z104" s="124">
        <f t="shared" si="111"/>
        <v>3202900</v>
      </c>
      <c r="AA104" s="132">
        <f t="shared" si="111"/>
        <v>28350800</v>
      </c>
      <c r="AB104" s="131">
        <f t="shared" si="111"/>
        <v>25147900</v>
      </c>
      <c r="AC104" s="124">
        <f t="shared" si="111"/>
        <v>3202900</v>
      </c>
      <c r="AD104" s="132">
        <f t="shared" si="111"/>
        <v>28350800</v>
      </c>
      <c r="AE104" s="131">
        <f t="shared" si="111"/>
        <v>22027600</v>
      </c>
      <c r="AF104" s="124">
        <f t="shared" si="111"/>
        <v>3120300</v>
      </c>
      <c r="AG104" s="132">
        <f t="shared" si="111"/>
        <v>25147900</v>
      </c>
      <c r="AH104" s="131">
        <f t="shared" si="111"/>
        <v>15282885</v>
      </c>
      <c r="AI104" s="124">
        <f t="shared" si="111"/>
        <v>15282885</v>
      </c>
      <c r="AJ104" s="133">
        <f t="shared" si="111"/>
        <v>18485785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+IF(JULIO!A105=0,"",JULIO!A105)</f>
        <v>11304-1</v>
      </c>
      <c r="B105" s="627" t="str">
        <f>+IF(JULIO!B105=0,"",JULIO!B105)</f>
        <v>ARRENDAMIENTO Y ALQUILER DE BIENES MUEBLES E INMUEBLES</v>
      </c>
      <c r="C105" s="401">
        <f>+ENERO!C105</f>
        <v>916364</v>
      </c>
      <c r="D105" s="376">
        <f>JULIO!D105+AGOSTO!P105</f>
        <v>0</v>
      </c>
      <c r="E105" s="376">
        <f>JULIO!E105+AGOSTO!Q105</f>
        <v>0</v>
      </c>
      <c r="F105" s="376">
        <f t="shared" ref="F105:F111" si="112">SUM(C105:E105)</f>
        <v>916364</v>
      </c>
      <c r="G105" s="376">
        <f>JULIO!I105</f>
        <v>480000</v>
      </c>
      <c r="H105" s="377">
        <v>80000</v>
      </c>
      <c r="I105" s="376">
        <f t="shared" ref="I105:I111" si="113">SUM(G105:H105)</f>
        <v>560000</v>
      </c>
      <c r="J105" s="376">
        <f>JULIO!L105</f>
        <v>480000</v>
      </c>
      <c r="K105" s="377">
        <v>80000</v>
      </c>
      <c r="L105" s="376">
        <f t="shared" ref="L105:L111" si="114">SUM(J105:K105)</f>
        <v>560000</v>
      </c>
      <c r="M105" s="376">
        <f t="shared" ref="M105:M111" si="115">F105-I105</f>
        <v>356364</v>
      </c>
      <c r="N105" s="146">
        <f t="shared" ref="N105:N111" si="116">F105-L105</f>
        <v>356364</v>
      </c>
      <c r="P105" s="375">
        <v>0</v>
      </c>
      <c r="Q105" s="378">
        <v>0</v>
      </c>
      <c r="R105" s="9"/>
      <c r="S105" s="719">
        <f>+IF(JULIO!S105=0,"",JULIO!S105)</f>
        <v>1020402</v>
      </c>
      <c r="T105" s="693" t="str">
        <f>+IF(JULIO!T105=0,"",JULIO!T105)</f>
        <v>Contribuciones - Otros</v>
      </c>
      <c r="U105" s="27">
        <f t="shared" ref="U105:AJ105" si="117">SUM(U106:U107)</f>
        <v>40619885</v>
      </c>
      <c r="V105" s="15">
        <f t="shared" si="117"/>
        <v>0</v>
      </c>
      <c r="W105" s="15">
        <f t="shared" si="117"/>
        <v>0</v>
      </c>
      <c r="X105" s="18">
        <f t="shared" si="117"/>
        <v>40619885</v>
      </c>
      <c r="Y105" s="19">
        <f t="shared" si="117"/>
        <v>22134100</v>
      </c>
      <c r="Z105" s="145">
        <f t="shared" si="117"/>
        <v>3202900</v>
      </c>
      <c r="AA105" s="18">
        <f t="shared" si="117"/>
        <v>25337000</v>
      </c>
      <c r="AB105" s="19">
        <f t="shared" si="117"/>
        <v>22134100</v>
      </c>
      <c r="AC105" s="145">
        <f t="shared" si="117"/>
        <v>3202900</v>
      </c>
      <c r="AD105" s="18">
        <f t="shared" si="117"/>
        <v>25337000</v>
      </c>
      <c r="AE105" s="19">
        <f t="shared" si="117"/>
        <v>19013800</v>
      </c>
      <c r="AF105" s="145">
        <f t="shared" si="117"/>
        <v>3120300</v>
      </c>
      <c r="AG105" s="18">
        <f t="shared" si="117"/>
        <v>22134100</v>
      </c>
      <c r="AH105" s="19">
        <f t="shared" si="117"/>
        <v>15282885</v>
      </c>
      <c r="AI105" s="15">
        <f t="shared" si="117"/>
        <v>15282885</v>
      </c>
      <c r="AJ105" s="16">
        <f t="shared" si="117"/>
        <v>18485785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+IF(JULIO!A106=0,"",JULIO!A106)</f>
        <v>11304-2</v>
      </c>
      <c r="B106" s="628" t="str">
        <f>+IF(JULIO!B106=0,"",JULIO!B106)</f>
        <v>COMERCIALIZACIÓN DE MERCANCÍAS</v>
      </c>
      <c r="C106" s="401">
        <f>+ENERO!C106</f>
        <v>105119431</v>
      </c>
      <c r="D106" s="376">
        <f>JULIO!D106+AGOSTO!P106</f>
        <v>0</v>
      </c>
      <c r="E106" s="376">
        <f>JULIO!E106+AGOSTO!Q106</f>
        <v>0</v>
      </c>
      <c r="F106" s="376">
        <f t="shared" si="112"/>
        <v>105119431</v>
      </c>
      <c r="G106" s="376">
        <f>JULIO!I106</f>
        <v>56274897</v>
      </c>
      <c r="H106" s="377">
        <v>7608100</v>
      </c>
      <c r="I106" s="376">
        <f t="shared" si="113"/>
        <v>63882997</v>
      </c>
      <c r="J106" s="376">
        <f>JULIO!L106</f>
        <v>56274897</v>
      </c>
      <c r="K106" s="377">
        <v>7608100</v>
      </c>
      <c r="L106" s="376">
        <f t="shared" si="114"/>
        <v>63882997</v>
      </c>
      <c r="M106" s="376">
        <f t="shared" si="115"/>
        <v>41236434</v>
      </c>
      <c r="N106" s="146">
        <f t="shared" si="116"/>
        <v>41236434</v>
      </c>
      <c r="P106" s="375">
        <v>0</v>
      </c>
      <c r="Q106" s="378">
        <v>0</v>
      </c>
      <c r="R106" s="9"/>
      <c r="S106" s="720" t="str">
        <f>+IF(JULIO!S106=0,"",JULIO!S106)</f>
        <v>1020402-1</v>
      </c>
      <c r="T106" s="693" t="str">
        <f>+IF(JULIO!T106=0,"",JULIO!T106)</f>
        <v>S.E.N.A.</v>
      </c>
      <c r="U106" s="27">
        <f>+ENERO!U106</f>
        <v>16247954</v>
      </c>
      <c r="V106" s="15">
        <f>JULIO!V106+AGOSTO!AL106</f>
        <v>0</v>
      </c>
      <c r="W106" s="15">
        <f>JULIO!W106+AGOSTO!AM106</f>
        <v>0</v>
      </c>
      <c r="X106" s="18">
        <f>SUM(U106:W106)</f>
        <v>16247954</v>
      </c>
      <c r="Y106" s="19">
        <f>JULIO!AA106</f>
        <v>8854100</v>
      </c>
      <c r="Z106" s="377">
        <v>1281300</v>
      </c>
      <c r="AA106" s="18">
        <f>SUM(Y106:Z106)</f>
        <v>10135400</v>
      </c>
      <c r="AB106" s="19">
        <f>JULIO!AD106</f>
        <v>8854100</v>
      </c>
      <c r="AC106" s="377">
        <v>1281300</v>
      </c>
      <c r="AD106" s="18">
        <f>SUM(AB106:AC106)</f>
        <v>10135400</v>
      </c>
      <c r="AE106" s="19">
        <f>JULIO!AG106</f>
        <v>7605800</v>
      </c>
      <c r="AF106" s="377">
        <v>1248300</v>
      </c>
      <c r="AG106" s="18">
        <f>SUM(AE106:AF106)</f>
        <v>8854100</v>
      </c>
      <c r="AH106" s="19">
        <f>X106-AA106</f>
        <v>6112554</v>
      </c>
      <c r="AI106" s="15">
        <f>X106-AD106</f>
        <v>6112554</v>
      </c>
      <c r="AJ106" s="16">
        <f>X106-AG106</f>
        <v>7393854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+IF(JULIO!A107=0,"",JULIO!A107)</f>
        <v>11304-3</v>
      </c>
      <c r="B107" s="627" t="str">
        <f>+IF(JULIO!B107=0,"",JULIO!B107)</f>
        <v>Bienestar Social</v>
      </c>
      <c r="C107" s="401">
        <f>+ENERO!C107</f>
        <v>0</v>
      </c>
      <c r="D107" s="376">
        <f>JULIO!D107+AGOSTO!P107</f>
        <v>0</v>
      </c>
      <c r="E107" s="376">
        <f>JULIO!E107+AGOSTO!Q107</f>
        <v>0</v>
      </c>
      <c r="F107" s="376">
        <f t="shared" si="112"/>
        <v>0</v>
      </c>
      <c r="G107" s="376">
        <f>JULIO!I107</f>
        <v>0</v>
      </c>
      <c r="H107" s="377">
        <v>0</v>
      </c>
      <c r="I107" s="376">
        <f t="shared" si="113"/>
        <v>0</v>
      </c>
      <c r="J107" s="376">
        <f>JULIO!L107</f>
        <v>0</v>
      </c>
      <c r="K107" s="377">
        <v>0</v>
      </c>
      <c r="L107" s="376">
        <f t="shared" si="114"/>
        <v>0</v>
      </c>
      <c r="M107" s="376">
        <f t="shared" si="115"/>
        <v>0</v>
      </c>
      <c r="N107" s="146">
        <f t="shared" si="116"/>
        <v>0</v>
      </c>
      <c r="P107" s="375">
        <v>0</v>
      </c>
      <c r="Q107" s="378">
        <v>0</v>
      </c>
      <c r="R107" s="9"/>
      <c r="S107" s="720" t="str">
        <f>+IF(JULIO!S107=0,"",JULIO!S107)</f>
        <v>1020402-2</v>
      </c>
      <c r="T107" s="693" t="str">
        <f>+IF(JULIO!T107=0,"",JULIO!T107)</f>
        <v>I.C.B.F.</v>
      </c>
      <c r="U107" s="27">
        <f>+ENERO!U107</f>
        <v>24371931</v>
      </c>
      <c r="V107" s="15">
        <f>JULIO!V107+AGOSTO!AL107</f>
        <v>0</v>
      </c>
      <c r="W107" s="15">
        <f>JULIO!W107+AGOSTO!AM107</f>
        <v>0</v>
      </c>
      <c r="X107" s="18">
        <f>SUM(U107:W107)</f>
        <v>24371931</v>
      </c>
      <c r="Y107" s="19">
        <f>JULIO!AA107</f>
        <v>13280000</v>
      </c>
      <c r="Z107" s="377">
        <v>1921600</v>
      </c>
      <c r="AA107" s="18">
        <f>SUM(Y107:Z107)</f>
        <v>15201600</v>
      </c>
      <c r="AB107" s="19">
        <f>JULIO!AD107</f>
        <v>13280000</v>
      </c>
      <c r="AC107" s="377">
        <v>1921600</v>
      </c>
      <c r="AD107" s="18">
        <f>SUM(AB107:AC107)</f>
        <v>15201600</v>
      </c>
      <c r="AE107" s="19">
        <f>JULIO!AG107</f>
        <v>11408000</v>
      </c>
      <c r="AF107" s="377">
        <v>1872000</v>
      </c>
      <c r="AG107" s="18">
        <f>SUM(AE107:AF107)</f>
        <v>13280000</v>
      </c>
      <c r="AH107" s="19">
        <f>X107-AA107</f>
        <v>9170331</v>
      </c>
      <c r="AI107" s="15">
        <f>X107-AD107</f>
        <v>9170331</v>
      </c>
      <c r="AJ107" s="16">
        <f>X107-AG107</f>
        <v>11091931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+IF(JULIO!A108=0,"",JULIO!A108)</f>
        <v>11304-4</v>
      </c>
      <c r="B108" s="627" t="str">
        <f>+IF(JULIO!B108=0,"",JULIO!B108)</f>
        <v>Fondo de la Vivienda</v>
      </c>
      <c r="C108" s="401">
        <f>+ENERO!C108</f>
        <v>0</v>
      </c>
      <c r="D108" s="376">
        <f>JULIO!D108+AGOSTO!P108</f>
        <v>0</v>
      </c>
      <c r="E108" s="376">
        <f>JULIO!E108+AGOSTO!Q108</f>
        <v>0</v>
      </c>
      <c r="F108" s="376">
        <f t="shared" si="112"/>
        <v>0</v>
      </c>
      <c r="G108" s="376">
        <f>JULIO!I108</f>
        <v>0</v>
      </c>
      <c r="H108" s="377">
        <v>0</v>
      </c>
      <c r="I108" s="376">
        <f t="shared" si="113"/>
        <v>0</v>
      </c>
      <c r="J108" s="376">
        <f>JULIO!L108</f>
        <v>0</v>
      </c>
      <c r="K108" s="377">
        <v>0</v>
      </c>
      <c r="L108" s="376">
        <f t="shared" si="114"/>
        <v>0</v>
      </c>
      <c r="M108" s="376">
        <f t="shared" si="115"/>
        <v>0</v>
      </c>
      <c r="N108" s="146">
        <f t="shared" si="116"/>
        <v>0</v>
      </c>
      <c r="P108" s="375">
        <v>0</v>
      </c>
      <c r="Q108" s="378">
        <v>0</v>
      </c>
      <c r="R108" s="9"/>
      <c r="S108" s="719">
        <f>+IF(JULIO!S108=0,"",JULIO!S108)</f>
        <v>1020499</v>
      </c>
      <c r="T108" s="693" t="str">
        <f>+IF(JULIO!T108=0,"",JULIO!T108)</f>
        <v>Vigencias Anteriores</v>
      </c>
      <c r="U108" s="27">
        <f>+ENERO!U108</f>
        <v>0</v>
      </c>
      <c r="V108" s="15">
        <f>JULIO!V108+AGOSTO!AL108</f>
        <v>0</v>
      </c>
      <c r="W108" s="15">
        <f>JULIO!W108+AGOSTO!AM108</f>
        <v>3013800</v>
      </c>
      <c r="X108" s="18">
        <f>SUM(U108:W108)</f>
        <v>3013800</v>
      </c>
      <c r="Y108" s="19">
        <f>JULIO!AA108</f>
        <v>3013800</v>
      </c>
      <c r="Z108" s="377">
        <v>0</v>
      </c>
      <c r="AA108" s="18">
        <f>SUM(Y108:Z108)</f>
        <v>3013800</v>
      </c>
      <c r="AB108" s="19">
        <f>JULIO!AD108</f>
        <v>3013800</v>
      </c>
      <c r="AC108" s="377">
        <v>0</v>
      </c>
      <c r="AD108" s="18">
        <f>SUM(AB108:AC108)</f>
        <v>3013800</v>
      </c>
      <c r="AE108" s="19">
        <f>JULIO!AG108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+IF(JULIO!A109=0,"",JULIO!A109)</f>
        <v>11304-5</v>
      </c>
      <c r="B109" s="627" t="str">
        <f>+IF(JULIO!B109=0,"",JULIO!B109)</f>
        <v xml:space="preserve">Aprovechamientos </v>
      </c>
      <c r="C109" s="401">
        <f>+ENERO!C109</f>
        <v>1145884</v>
      </c>
      <c r="D109" s="376">
        <f>JULIO!D109+AGOSTO!P109</f>
        <v>0</v>
      </c>
      <c r="E109" s="376">
        <f>JULIO!E109+AGOSTO!Q109</f>
        <v>0</v>
      </c>
      <c r="F109" s="376">
        <f t="shared" si="112"/>
        <v>1145884</v>
      </c>
      <c r="G109" s="376">
        <f>JULIO!I109</f>
        <v>2375654</v>
      </c>
      <c r="H109" s="377">
        <v>18500</v>
      </c>
      <c r="I109" s="376">
        <f t="shared" si="113"/>
        <v>2394154</v>
      </c>
      <c r="J109" s="376">
        <f>JULIO!L109</f>
        <v>2375654</v>
      </c>
      <c r="K109" s="377">
        <v>18500</v>
      </c>
      <c r="L109" s="376">
        <f t="shared" si="114"/>
        <v>2394154</v>
      </c>
      <c r="M109" s="376">
        <f t="shared" si="115"/>
        <v>-1248270</v>
      </c>
      <c r="N109" s="146">
        <f t="shared" si="116"/>
        <v>-1248270</v>
      </c>
      <c r="P109" s="375">
        <v>0</v>
      </c>
      <c r="Q109" s="378">
        <v>0</v>
      </c>
      <c r="R109" s="9"/>
      <c r="S109" s="369" t="str">
        <f>+IF(JULIO!S109=0,"",JULIO!S109)</f>
        <v/>
      </c>
      <c r="T109" s="708" t="str">
        <f>+IF(JULIO!T109=0,"",JULIO!T109)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+IF(JULIO!A110=0,"",JULIO!A110)</f>
        <v>11304-6</v>
      </c>
      <c r="B110" s="627" t="str">
        <f>+IF(JULIO!B110=0,"",JULIO!B110)</f>
        <v>Otros</v>
      </c>
      <c r="C110" s="401">
        <f>+ENERO!C110</f>
        <v>0</v>
      </c>
      <c r="D110" s="376">
        <f>JULIO!D110+AGOSTO!P110</f>
        <v>0</v>
      </c>
      <c r="E110" s="376">
        <f>JULIO!E110+AGOSTO!Q110</f>
        <v>0</v>
      </c>
      <c r="F110" s="376">
        <f t="shared" si="112"/>
        <v>0</v>
      </c>
      <c r="G110" s="376">
        <f>JULIO!I110</f>
        <v>2742985</v>
      </c>
      <c r="H110" s="377">
        <v>0</v>
      </c>
      <c r="I110" s="376">
        <f t="shared" si="113"/>
        <v>2742985</v>
      </c>
      <c r="J110" s="376">
        <f>JULIO!L110</f>
        <v>2742985</v>
      </c>
      <c r="K110" s="377">
        <v>0</v>
      </c>
      <c r="L110" s="376">
        <f t="shared" si="114"/>
        <v>2742985</v>
      </c>
      <c r="M110" s="376">
        <f t="shared" si="115"/>
        <v>-2742985</v>
      </c>
      <c r="N110" s="146">
        <f t="shared" si="116"/>
        <v>-2742985</v>
      </c>
      <c r="P110" s="375">
        <v>0</v>
      </c>
      <c r="Q110" s="378">
        <v>0</v>
      </c>
      <c r="R110" s="9"/>
      <c r="S110" s="717">
        <f>+IF(JULIO!S110=0,"",JULIO!S110)</f>
        <v>2000000</v>
      </c>
      <c r="T110" s="697" t="str">
        <f>+IF(JULIO!T110=0,"",JULIO!T110)</f>
        <v>GASTOS GENERALES</v>
      </c>
      <c r="U110" s="473">
        <f t="shared" ref="U110:AJ110" si="118">U112+U145</f>
        <v>505626661</v>
      </c>
      <c r="V110" s="474">
        <f t="shared" si="118"/>
        <v>40600000</v>
      </c>
      <c r="W110" s="474">
        <f t="shared" si="118"/>
        <v>213332840</v>
      </c>
      <c r="X110" s="475">
        <f t="shared" si="118"/>
        <v>759559501</v>
      </c>
      <c r="Y110" s="382">
        <f t="shared" si="118"/>
        <v>498318430</v>
      </c>
      <c r="Z110" s="474">
        <f t="shared" si="118"/>
        <v>18649296</v>
      </c>
      <c r="AA110" s="475">
        <f t="shared" si="118"/>
        <v>516967726</v>
      </c>
      <c r="AB110" s="382">
        <f t="shared" si="118"/>
        <v>444054690</v>
      </c>
      <c r="AC110" s="474">
        <f t="shared" si="118"/>
        <v>32922432</v>
      </c>
      <c r="AD110" s="475">
        <f t="shared" si="118"/>
        <v>476977122</v>
      </c>
      <c r="AE110" s="382">
        <f t="shared" si="118"/>
        <v>311798616</v>
      </c>
      <c r="AF110" s="474">
        <f t="shared" si="118"/>
        <v>18163438</v>
      </c>
      <c r="AG110" s="475">
        <f t="shared" si="118"/>
        <v>329962054</v>
      </c>
      <c r="AH110" s="382">
        <f t="shared" si="118"/>
        <v>242591775</v>
      </c>
      <c r="AI110" s="474">
        <f t="shared" si="118"/>
        <v>282582379</v>
      </c>
      <c r="AJ110" s="383">
        <f t="shared" si="118"/>
        <v>429597447</v>
      </c>
      <c r="AK110" s="10"/>
      <c r="AL110" s="131">
        <f>AL112+AL145</f>
        <v>6900000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+IF(JULIO!A111=0,"",JULIO!A111)</f>
        <v>11304-7</v>
      </c>
      <c r="B111" s="662" t="str">
        <f>+IF(JULIO!B111=0,"",JULIO!B111)</f>
        <v>Vigencia Anterior</v>
      </c>
      <c r="C111" s="491">
        <f>+ENERO!C111</f>
        <v>0</v>
      </c>
      <c r="D111" s="388">
        <f>JULIO!D111+AGOSTO!P111</f>
        <v>0</v>
      </c>
      <c r="E111" s="388">
        <f>JULIO!E111+AGOSTO!Q111</f>
        <v>0</v>
      </c>
      <c r="F111" s="388">
        <f t="shared" si="112"/>
        <v>0</v>
      </c>
      <c r="G111" s="388">
        <f>JULIO!I111</f>
        <v>80000</v>
      </c>
      <c r="H111" s="391">
        <v>0</v>
      </c>
      <c r="I111" s="388">
        <f t="shared" si="113"/>
        <v>80000</v>
      </c>
      <c r="J111" s="388">
        <f>JULIO!L111</f>
        <v>80000</v>
      </c>
      <c r="K111" s="391">
        <v>0</v>
      </c>
      <c r="L111" s="388">
        <f t="shared" si="114"/>
        <v>80000</v>
      </c>
      <c r="M111" s="388">
        <f t="shared" si="115"/>
        <v>-80000</v>
      </c>
      <c r="N111" s="389">
        <f t="shared" si="116"/>
        <v>-80000</v>
      </c>
      <c r="P111" s="375">
        <v>0</v>
      </c>
      <c r="Q111" s="378">
        <v>0</v>
      </c>
      <c r="R111" s="9"/>
      <c r="S111" s="369" t="str">
        <f>+IF(JULIO!S111=0,"",JULIO!S111)</f>
        <v/>
      </c>
      <c r="T111" s="708" t="str">
        <f>+IF(JULIO!T111=0,"",JULIO!T111)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+IF(JULIO!A112=0,"",JULIO!A112)</f>
        <v/>
      </c>
      <c r="B112" s="661" t="str">
        <f>+IF(JULIO!B112=0,"",JULIO!B112)</f>
        <v/>
      </c>
      <c r="C112" s="483"/>
      <c r="D112" s="483"/>
      <c r="E112" s="483"/>
      <c r="F112" s="483"/>
      <c r="G112" s="483"/>
      <c r="H112" s="483"/>
      <c r="I112" s="483"/>
      <c r="J112" s="483"/>
      <c r="K112" s="483"/>
      <c r="L112" s="483"/>
      <c r="M112" s="483"/>
      <c r="N112" s="484"/>
      <c r="P112" s="485"/>
      <c r="Q112" s="484"/>
      <c r="R112" s="9"/>
      <c r="S112" s="717">
        <f>+IF(JULIO!S112=0,"",JULIO!S112)</f>
        <v>2010000</v>
      </c>
      <c r="T112" s="691" t="str">
        <f>+IF(JULIO!T112=0,"",JULIO!T112)</f>
        <v>Gastos de Administración</v>
      </c>
      <c r="U112" s="135">
        <f t="shared" ref="U112:AJ112" si="119">U114+U123+U141</f>
        <v>181650786</v>
      </c>
      <c r="V112" s="124">
        <f t="shared" si="119"/>
        <v>5900000</v>
      </c>
      <c r="W112" s="124">
        <f t="shared" si="119"/>
        <v>102233652</v>
      </c>
      <c r="X112" s="132">
        <f t="shared" si="119"/>
        <v>289784438</v>
      </c>
      <c r="Y112" s="131">
        <f t="shared" si="119"/>
        <v>174990967</v>
      </c>
      <c r="Z112" s="124">
        <f t="shared" si="119"/>
        <v>13312305</v>
      </c>
      <c r="AA112" s="132">
        <f t="shared" si="119"/>
        <v>188303272</v>
      </c>
      <c r="AB112" s="131">
        <f t="shared" si="119"/>
        <v>171815967</v>
      </c>
      <c r="AC112" s="124">
        <f t="shared" si="119"/>
        <v>13662305</v>
      </c>
      <c r="AD112" s="132">
        <f t="shared" si="119"/>
        <v>185478272</v>
      </c>
      <c r="AE112" s="131">
        <f t="shared" si="119"/>
        <v>128297644</v>
      </c>
      <c r="AF112" s="124">
        <f t="shared" si="119"/>
        <v>7699522</v>
      </c>
      <c r="AG112" s="132">
        <f t="shared" si="119"/>
        <v>135997166</v>
      </c>
      <c r="AH112" s="131">
        <f t="shared" si="119"/>
        <v>101481166</v>
      </c>
      <c r="AI112" s="124">
        <f t="shared" si="119"/>
        <v>104306166</v>
      </c>
      <c r="AJ112" s="133">
        <f t="shared" si="119"/>
        <v>153787272</v>
      </c>
      <c r="AK112" s="9"/>
      <c r="AL112" s="131">
        <f>AL114+AL123+AL141</f>
        <v>1200000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+IF(JULIO!A113=0,"",JULIO!A113)</f>
        <v>2000</v>
      </c>
      <c r="B113" s="648" t="str">
        <f>+IF(JULIO!B113=0,"",JULIO!B113)</f>
        <v>INGRESOS DE CAPITAL</v>
      </c>
      <c r="C113" s="631">
        <f>SUM(C115:C124)</f>
        <v>32659146</v>
      </c>
      <c r="D113" s="632">
        <f>SUM(D115:D124)</f>
        <v>0</v>
      </c>
      <c r="E113" s="632">
        <f t="shared" ref="E113:N113" si="120">SUM(E115:E124)</f>
        <v>27176600</v>
      </c>
      <c r="F113" s="632">
        <f t="shared" si="120"/>
        <v>59835746</v>
      </c>
      <c r="G113" s="632">
        <f t="shared" si="120"/>
        <v>42293761</v>
      </c>
      <c r="H113" s="632">
        <f t="shared" si="120"/>
        <v>2480703</v>
      </c>
      <c r="I113" s="632">
        <f t="shared" si="120"/>
        <v>44774464</v>
      </c>
      <c r="J113" s="632">
        <f t="shared" si="120"/>
        <v>42293761</v>
      </c>
      <c r="K113" s="632">
        <f t="shared" si="120"/>
        <v>2480703</v>
      </c>
      <c r="L113" s="632">
        <f t="shared" si="120"/>
        <v>44774464</v>
      </c>
      <c r="M113" s="632">
        <f t="shared" si="120"/>
        <v>15061282</v>
      </c>
      <c r="N113" s="633">
        <f t="shared" si="120"/>
        <v>15061282</v>
      </c>
      <c r="O113" s="464"/>
      <c r="P113" s="177">
        <f>SUM(P115:P124)</f>
        <v>0</v>
      </c>
      <c r="Q113" s="178">
        <f>SUM(Q115:Q124)</f>
        <v>0</v>
      </c>
      <c r="R113" s="9"/>
      <c r="S113" s="369" t="str">
        <f>+IF(JULIO!S113=0,"",JULIO!S113)</f>
        <v/>
      </c>
      <c r="T113" s="708" t="str">
        <f>+IF(JULIO!T113=0,"",JULIO!T113)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+IF(JULIO!A114=0,"",JULIO!A114)</f>
        <v/>
      </c>
      <c r="B114" s="661" t="str">
        <f>+IF(JULIO!B114=0,"",JULIO!B114)</f>
        <v/>
      </c>
      <c r="C114" s="483"/>
      <c r="D114" s="483"/>
      <c r="E114" s="483"/>
      <c r="F114" s="483"/>
      <c r="G114" s="483"/>
      <c r="H114" s="483"/>
      <c r="I114" s="483"/>
      <c r="J114" s="483"/>
      <c r="K114" s="483"/>
      <c r="L114" s="483"/>
      <c r="M114" s="483"/>
      <c r="N114" s="484"/>
      <c r="P114" s="485"/>
      <c r="Q114" s="484"/>
      <c r="R114" s="9"/>
      <c r="S114" s="718">
        <f>+IF(JULIO!S114=0,"",JULIO!S114)</f>
        <v>2010100</v>
      </c>
      <c r="T114" s="692" t="str">
        <f>+IF(JULIO!T114=0,"",JULIO!T114)</f>
        <v>Adquisición de bienes</v>
      </c>
      <c r="U114" s="135">
        <f t="shared" ref="U114:AJ114" si="121">SUM(U115:U121)</f>
        <v>29771433</v>
      </c>
      <c r="V114" s="124">
        <f t="shared" si="121"/>
        <v>0</v>
      </c>
      <c r="W114" s="124">
        <f t="shared" si="121"/>
        <v>69356464</v>
      </c>
      <c r="X114" s="132">
        <f t="shared" si="121"/>
        <v>99127897</v>
      </c>
      <c r="Y114" s="131">
        <f t="shared" si="121"/>
        <v>61149908</v>
      </c>
      <c r="Z114" s="124">
        <f t="shared" si="121"/>
        <v>3458815</v>
      </c>
      <c r="AA114" s="132">
        <f t="shared" si="121"/>
        <v>64608723</v>
      </c>
      <c r="AB114" s="131">
        <f t="shared" si="121"/>
        <v>61149908</v>
      </c>
      <c r="AC114" s="124">
        <f t="shared" si="121"/>
        <v>3458815</v>
      </c>
      <c r="AD114" s="132">
        <f t="shared" si="121"/>
        <v>64608723</v>
      </c>
      <c r="AE114" s="131">
        <f t="shared" si="121"/>
        <v>46842839</v>
      </c>
      <c r="AF114" s="124">
        <f t="shared" si="121"/>
        <v>1349089</v>
      </c>
      <c r="AG114" s="132">
        <f t="shared" si="121"/>
        <v>48191928</v>
      </c>
      <c r="AH114" s="131">
        <f t="shared" si="121"/>
        <v>34519174</v>
      </c>
      <c r="AI114" s="124">
        <f t="shared" si="121"/>
        <v>34519174</v>
      </c>
      <c r="AJ114" s="133">
        <f t="shared" si="121"/>
        <v>50935969</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+IF(JULIO!A115=0,"",JULIO!A115)</f>
        <v>2100</v>
      </c>
      <c r="B115" s="634" t="str">
        <f>+IF(JULIO!B115=0,"",JULIO!B115)</f>
        <v>CREDITO INTERNO</v>
      </c>
      <c r="C115" s="375">
        <f>+ENERO!C115</f>
        <v>0</v>
      </c>
      <c r="D115" s="467">
        <f>JULIO!D115+AGOSTO!P115</f>
        <v>0</v>
      </c>
      <c r="E115" s="467">
        <f>JULIO!E115+AGOSTO!Q115</f>
        <v>0</v>
      </c>
      <c r="F115" s="471">
        <f t="shared" ref="F115:F124" si="122">SUM(C115:E115)</f>
        <v>0</v>
      </c>
      <c r="G115" s="469">
        <f>JULIO!I115</f>
        <v>0</v>
      </c>
      <c r="H115" s="377">
        <v>0</v>
      </c>
      <c r="I115" s="471">
        <f t="shared" ref="I115:I124" si="123">SUM(G115:H115)</f>
        <v>0</v>
      </c>
      <c r="J115" s="469">
        <f>JULIO!L115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+IF(JULIO!S115=0,"",JULIO!S115)</f>
        <v>2010100-1</v>
      </c>
      <c r="T115" s="693" t="str">
        <f>+IF(JULIO!T115=0,"",JULIO!T115)</f>
        <v>Compra de Equipos</v>
      </c>
      <c r="U115" s="27">
        <f>+ENERO!U115</f>
        <v>0</v>
      </c>
      <c r="V115" s="15">
        <f>JULIO!V115+AGOSTO!AL115</f>
        <v>0</v>
      </c>
      <c r="W115" s="15">
        <f>JULIO!W115+AGOSTO!AM115</f>
        <v>57176600</v>
      </c>
      <c r="X115" s="18">
        <f t="shared" ref="X115:X121" si="127">SUM(U115:W115)</f>
        <v>57176600</v>
      </c>
      <c r="Y115" s="19">
        <f>JULIO!AA115</f>
        <v>26998720</v>
      </c>
      <c r="Z115" s="377">
        <v>0</v>
      </c>
      <c r="AA115" s="18">
        <f t="shared" ref="AA115:AA121" si="128">SUM(Y115:Z115)</f>
        <v>26998720</v>
      </c>
      <c r="AB115" s="19">
        <f>JULIO!AD115</f>
        <v>26998720</v>
      </c>
      <c r="AC115" s="377">
        <v>0</v>
      </c>
      <c r="AD115" s="18">
        <f t="shared" ref="AD115:AD121" si="129">SUM(AB115:AC115)</f>
        <v>26998720</v>
      </c>
      <c r="AE115" s="19">
        <f>JULIO!AG115</f>
        <v>24785720</v>
      </c>
      <c r="AF115" s="377">
        <v>0</v>
      </c>
      <c r="AG115" s="18">
        <f t="shared" ref="AG115:AG121" si="130">SUM(AE115:AF115)</f>
        <v>24785720</v>
      </c>
      <c r="AH115" s="19">
        <f t="shared" ref="AH115:AH121" si="131">X115-AA115</f>
        <v>30177880</v>
      </c>
      <c r="AI115" s="15">
        <f t="shared" ref="AI115:AI121" si="132">X115-AD115</f>
        <v>30177880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+IF(JULIO!A116=0,"",JULIO!A116)</f>
        <v>2100-1</v>
      </c>
      <c r="B116" s="635" t="str">
        <f>+IF(JULIO!B116=0,"",JULIO!B116)</f>
        <v>Vigencia Anterior</v>
      </c>
      <c r="C116" s="375">
        <f>+ENERO!C116</f>
        <v>0</v>
      </c>
      <c r="D116" s="467">
        <f>JULIO!D116+AGOSTO!P116</f>
        <v>0</v>
      </c>
      <c r="E116" s="467">
        <f>JULIO!E116+AGOSTO!Q116</f>
        <v>0</v>
      </c>
      <c r="F116" s="471">
        <f t="shared" si="122"/>
        <v>0</v>
      </c>
      <c r="G116" s="469">
        <f>JULIO!I116</f>
        <v>0</v>
      </c>
      <c r="H116" s="377">
        <v>0</v>
      </c>
      <c r="I116" s="471">
        <f t="shared" si="123"/>
        <v>0</v>
      </c>
      <c r="J116" s="469">
        <f>JULIO!L116</f>
        <v>0</v>
      </c>
      <c r="K116" s="377">
        <v>0</v>
      </c>
      <c r="L116" s="468">
        <f t="shared" si="124"/>
        <v>0</v>
      </c>
      <c r="M116" s="472">
        <f t="shared" si="125"/>
        <v>0</v>
      </c>
      <c r="N116" s="468">
        <f t="shared" si="126"/>
        <v>0</v>
      </c>
      <c r="O116" s="464"/>
      <c r="P116" s="375">
        <v>0</v>
      </c>
      <c r="Q116" s="378">
        <v>0</v>
      </c>
      <c r="R116" s="9"/>
      <c r="S116" s="719" t="str">
        <f>+IF(JULIO!S116=0,"",JULIO!S116)</f>
        <v>2010100-2</v>
      </c>
      <c r="T116" s="693" t="str">
        <f>+IF(JULIO!T116=0,"",JULIO!T116)</f>
        <v>Materiales</v>
      </c>
      <c r="U116" s="27">
        <f>+ENERO!U116</f>
        <v>29771433</v>
      </c>
      <c r="V116" s="15">
        <f>JULIO!V116+AGOSTO!AL116</f>
        <v>0</v>
      </c>
      <c r="W116" s="15">
        <f>JULIO!W116+AGOSTO!AM116</f>
        <v>0</v>
      </c>
      <c r="X116" s="18">
        <f t="shared" si="127"/>
        <v>29771433</v>
      </c>
      <c r="Y116" s="19">
        <f>JULIO!AA116</f>
        <v>21971324</v>
      </c>
      <c r="Z116" s="377">
        <v>3458815</v>
      </c>
      <c r="AA116" s="18">
        <f t="shared" si="128"/>
        <v>25430139</v>
      </c>
      <c r="AB116" s="19">
        <f>JULIO!AD116</f>
        <v>21971324</v>
      </c>
      <c r="AC116" s="377">
        <v>3458815</v>
      </c>
      <c r="AD116" s="18">
        <f t="shared" si="129"/>
        <v>25430139</v>
      </c>
      <c r="AE116" s="19">
        <f>JULIO!AG116</f>
        <v>9877255</v>
      </c>
      <c r="AF116" s="377">
        <v>1349089</v>
      </c>
      <c r="AG116" s="18">
        <f t="shared" si="130"/>
        <v>11226344</v>
      </c>
      <c r="AH116" s="19">
        <f t="shared" si="131"/>
        <v>4341294</v>
      </c>
      <c r="AI116" s="15">
        <f t="shared" si="132"/>
        <v>4341294</v>
      </c>
      <c r="AJ116" s="16">
        <f t="shared" si="133"/>
        <v>18545089</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+IF(JULIO!A117=0,"",JULIO!A117)</f>
        <v>2200</v>
      </c>
      <c r="B117" s="634" t="str">
        <f>+IF(JULIO!B117=0,"",JULIO!B117)</f>
        <v>CREDITO EXTERNO</v>
      </c>
      <c r="C117" s="375">
        <f>+ENERO!C117</f>
        <v>0</v>
      </c>
      <c r="D117" s="467">
        <f>JULIO!D117+AGOSTO!P117</f>
        <v>0</v>
      </c>
      <c r="E117" s="467">
        <f>JULIO!E117+AGOSTO!Q117</f>
        <v>0</v>
      </c>
      <c r="F117" s="471">
        <f t="shared" si="122"/>
        <v>0</v>
      </c>
      <c r="G117" s="469">
        <f>JULIO!I117</f>
        <v>0</v>
      </c>
      <c r="H117" s="377">
        <v>0</v>
      </c>
      <c r="I117" s="471">
        <f t="shared" si="123"/>
        <v>0</v>
      </c>
      <c r="J117" s="469">
        <f>JULIO!L117</f>
        <v>0</v>
      </c>
      <c r="K117" s="377">
        <v>0</v>
      </c>
      <c r="L117" s="468">
        <f t="shared" si="124"/>
        <v>0</v>
      </c>
      <c r="M117" s="472">
        <f t="shared" si="125"/>
        <v>0</v>
      </c>
      <c r="N117" s="468">
        <f t="shared" si="126"/>
        <v>0</v>
      </c>
      <c r="O117" s="464"/>
      <c r="P117" s="375">
        <v>0</v>
      </c>
      <c r="Q117" s="378">
        <v>0</v>
      </c>
      <c r="R117" s="9"/>
      <c r="S117" s="719" t="str">
        <f>+IF(JULIO!S117=0,"",JULIO!S117)</f>
        <v>2010100-3</v>
      </c>
      <c r="T117" s="693" t="str">
        <f>+IF(JULIO!T117=0,"",JULIO!T117)</f>
        <v>Salud Ocupacional</v>
      </c>
      <c r="U117" s="27">
        <f>+ENERO!U117</f>
        <v>0</v>
      </c>
      <c r="V117" s="15">
        <f>JULIO!V117+AGOSTO!AL117</f>
        <v>0</v>
      </c>
      <c r="W117" s="15">
        <f>JULIO!W117+AGOSTO!AM117</f>
        <v>0</v>
      </c>
      <c r="X117" s="18">
        <f t="shared" si="127"/>
        <v>0</v>
      </c>
      <c r="Y117" s="19">
        <f>JULIO!AA117</f>
        <v>0</v>
      </c>
      <c r="Z117" s="377">
        <v>0</v>
      </c>
      <c r="AA117" s="18">
        <f t="shared" si="128"/>
        <v>0</v>
      </c>
      <c r="AB117" s="19">
        <f>JULIO!AD117</f>
        <v>0</v>
      </c>
      <c r="AC117" s="377">
        <v>0</v>
      </c>
      <c r="AD117" s="18">
        <f t="shared" si="129"/>
        <v>0</v>
      </c>
      <c r="AE117" s="19">
        <f>JULIO!AG117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+IF(JULIO!A118=0,"",JULIO!A118)</f>
        <v>2200-1</v>
      </c>
      <c r="B118" s="635" t="str">
        <f>+IF(JULIO!B118=0,"",JULIO!B118)</f>
        <v>Vigencia Anterior</v>
      </c>
      <c r="C118" s="375">
        <f>+ENERO!C118</f>
        <v>0</v>
      </c>
      <c r="D118" s="467">
        <f>JULIO!D118+AGOSTO!P118</f>
        <v>0</v>
      </c>
      <c r="E118" s="467">
        <f>JULIO!E118+AGOSTO!Q118</f>
        <v>0</v>
      </c>
      <c r="F118" s="471">
        <f t="shared" si="122"/>
        <v>0</v>
      </c>
      <c r="G118" s="469">
        <f>JULIO!I118</f>
        <v>0</v>
      </c>
      <c r="H118" s="377">
        <v>0</v>
      </c>
      <c r="I118" s="471">
        <f t="shared" si="123"/>
        <v>0</v>
      </c>
      <c r="J118" s="469">
        <f>JULIO!L118</f>
        <v>0</v>
      </c>
      <c r="K118" s="377">
        <v>0</v>
      </c>
      <c r="L118" s="468">
        <f t="shared" si="124"/>
        <v>0</v>
      </c>
      <c r="M118" s="472">
        <f t="shared" si="125"/>
        <v>0</v>
      </c>
      <c r="N118" s="468">
        <f t="shared" si="126"/>
        <v>0</v>
      </c>
      <c r="O118" s="464"/>
      <c r="P118" s="375">
        <v>0</v>
      </c>
      <c r="Q118" s="378">
        <v>0</v>
      </c>
      <c r="R118" s="9"/>
      <c r="S118" s="719" t="str">
        <f>+IF(JULIO!S118=0,"",JULIO!S118)</f>
        <v>2010100-4</v>
      </c>
      <c r="T118" s="693" t="str">
        <f>+IF(JULIO!T118=0,"",JULIO!T118)</f>
        <v/>
      </c>
      <c r="U118" s="27">
        <f>+ENERO!U118</f>
        <v>0</v>
      </c>
      <c r="V118" s="15">
        <f>JULIO!V118+AGOSTO!AL118</f>
        <v>0</v>
      </c>
      <c r="W118" s="15">
        <f>JULIO!W118+AGOSTO!AM118</f>
        <v>0</v>
      </c>
      <c r="X118" s="18">
        <f t="shared" si="127"/>
        <v>0</v>
      </c>
      <c r="Y118" s="19">
        <f>JULIO!AA118</f>
        <v>0</v>
      </c>
      <c r="Z118" s="377">
        <v>0</v>
      </c>
      <c r="AA118" s="18">
        <f t="shared" si="128"/>
        <v>0</v>
      </c>
      <c r="AB118" s="19">
        <f>JULIO!AD118</f>
        <v>0</v>
      </c>
      <c r="AC118" s="377">
        <v>0</v>
      </c>
      <c r="AD118" s="18">
        <f t="shared" si="129"/>
        <v>0</v>
      </c>
      <c r="AE118" s="19">
        <f>JULIO!AG118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+IF(JULIO!A119=0,"",JULIO!A119)</f>
        <v>2300</v>
      </c>
      <c r="B119" s="634" t="str">
        <f>+IF(JULIO!B119=0,"",JULIO!B119)</f>
        <v>RENDIMIENTOS FINANCIEROS</v>
      </c>
      <c r="C119" s="375">
        <f>+ENERO!C119</f>
        <v>594347</v>
      </c>
      <c r="D119" s="467">
        <f>JULIO!D119+AGOSTO!P119</f>
        <v>0</v>
      </c>
      <c r="E119" s="467">
        <f>JULIO!E119+AGOSTO!Q119</f>
        <v>0</v>
      </c>
      <c r="F119" s="471">
        <f t="shared" si="122"/>
        <v>594347</v>
      </c>
      <c r="G119" s="222">
        <f>JULIO!I119</f>
        <v>85983</v>
      </c>
      <c r="H119" s="377">
        <v>76</v>
      </c>
      <c r="I119" s="476">
        <f t="shared" si="123"/>
        <v>86059</v>
      </c>
      <c r="J119" s="222">
        <f>JULIO!L119</f>
        <v>85983</v>
      </c>
      <c r="K119" s="377">
        <v>76</v>
      </c>
      <c r="L119" s="146">
        <f t="shared" si="124"/>
        <v>86059</v>
      </c>
      <c r="M119" s="441">
        <f t="shared" si="125"/>
        <v>508288</v>
      </c>
      <c r="N119" s="146">
        <f t="shared" si="126"/>
        <v>508288</v>
      </c>
      <c r="O119" s="464"/>
      <c r="P119" s="375">
        <v>0</v>
      </c>
      <c r="Q119" s="378">
        <v>0</v>
      </c>
      <c r="R119" s="9"/>
      <c r="S119" s="719" t="str">
        <f>+IF(JULIO!S119=0,"",JULIO!S119)</f>
        <v>2010100-5</v>
      </c>
      <c r="T119" s="693" t="str">
        <f>+IF(JULIO!T119=0,"",JULIO!T119)</f>
        <v/>
      </c>
      <c r="U119" s="27">
        <f>+ENERO!U119</f>
        <v>0</v>
      </c>
      <c r="V119" s="15">
        <f>JULIO!V119+AGOSTO!AL119</f>
        <v>0</v>
      </c>
      <c r="W119" s="15">
        <f>JULIO!W119+AGOSTO!AM119</f>
        <v>0</v>
      </c>
      <c r="X119" s="18">
        <f t="shared" si="127"/>
        <v>0</v>
      </c>
      <c r="Y119" s="19">
        <f>JULIO!AA119</f>
        <v>0</v>
      </c>
      <c r="Z119" s="377">
        <v>0</v>
      </c>
      <c r="AA119" s="18">
        <f t="shared" si="128"/>
        <v>0</v>
      </c>
      <c r="AB119" s="19">
        <f>JULIO!AD119</f>
        <v>0</v>
      </c>
      <c r="AC119" s="377">
        <v>0</v>
      </c>
      <c r="AD119" s="18">
        <f t="shared" si="129"/>
        <v>0</v>
      </c>
      <c r="AE119" s="19">
        <f>JULIO!AG119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+IF(JULIO!A120=0,"",JULIO!A120)</f>
        <v>2400</v>
      </c>
      <c r="B120" s="635" t="str">
        <f>+IF(JULIO!B120=0,"",JULIO!B120)</f>
        <v>VENTA DE ACTIVOS</v>
      </c>
      <c r="C120" s="375">
        <f>+ENERO!C120</f>
        <v>0</v>
      </c>
      <c r="D120" s="467">
        <f>JULIO!D120+AGOSTO!P120</f>
        <v>0</v>
      </c>
      <c r="E120" s="467">
        <f>JULIO!E120+AGOSTO!Q120</f>
        <v>0</v>
      </c>
      <c r="F120" s="471">
        <f t="shared" si="122"/>
        <v>0</v>
      </c>
      <c r="G120" s="222">
        <f>JULIO!I120</f>
        <v>0</v>
      </c>
      <c r="H120" s="377">
        <v>0</v>
      </c>
      <c r="I120" s="476">
        <f t="shared" si="123"/>
        <v>0</v>
      </c>
      <c r="J120" s="222">
        <f>JULIO!L120</f>
        <v>0</v>
      </c>
      <c r="K120" s="377">
        <v>0</v>
      </c>
      <c r="L120" s="146">
        <f t="shared" si="124"/>
        <v>0</v>
      </c>
      <c r="M120" s="441">
        <f t="shared" si="125"/>
        <v>0</v>
      </c>
      <c r="N120" s="146">
        <f t="shared" si="126"/>
        <v>0</v>
      </c>
      <c r="P120" s="375">
        <v>0</v>
      </c>
      <c r="Q120" s="378">
        <v>0</v>
      </c>
      <c r="R120" s="9"/>
      <c r="S120" s="719" t="str">
        <f>+IF(JULIO!S120=0,"",JULIO!S120)</f>
        <v>2010100-6</v>
      </c>
      <c r="T120" s="693" t="str">
        <f>+IF(JULIO!T120=0,"",JULIO!T120)</f>
        <v/>
      </c>
      <c r="U120" s="27">
        <f>+ENERO!U120</f>
        <v>0</v>
      </c>
      <c r="V120" s="15">
        <f>JULIO!V120+AGOSTO!AL120</f>
        <v>0</v>
      </c>
      <c r="W120" s="15">
        <f>JULIO!W120+AGOSTO!AM120</f>
        <v>0</v>
      </c>
      <c r="X120" s="18">
        <f t="shared" si="127"/>
        <v>0</v>
      </c>
      <c r="Y120" s="19">
        <f>JULIO!AA120</f>
        <v>0</v>
      </c>
      <c r="Z120" s="377">
        <v>0</v>
      </c>
      <c r="AA120" s="18">
        <f t="shared" si="128"/>
        <v>0</v>
      </c>
      <c r="AB120" s="19">
        <f>JULIO!AD120</f>
        <v>0</v>
      </c>
      <c r="AC120" s="377">
        <v>0</v>
      </c>
      <c r="AD120" s="18">
        <f t="shared" si="129"/>
        <v>0</v>
      </c>
      <c r="AE120" s="19">
        <f>JULIO!AG120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+IF(JULIO!A121=0,"",JULIO!A121)</f>
        <v>2500</v>
      </c>
      <c r="B121" s="635" t="str">
        <f>+IF(JULIO!B121=0,"",JULIO!B121)</f>
        <v>DONACIONES</v>
      </c>
      <c r="C121" s="375">
        <f>+ENERO!C121</f>
        <v>0</v>
      </c>
      <c r="D121" s="467">
        <f>JULIO!D121+AGOSTO!P121</f>
        <v>0</v>
      </c>
      <c r="E121" s="467">
        <f>JULIO!E121+AGOSTO!Q121</f>
        <v>0</v>
      </c>
      <c r="F121" s="471">
        <f t="shared" si="122"/>
        <v>0</v>
      </c>
      <c r="G121" s="222">
        <f>JULIO!I121</f>
        <v>0</v>
      </c>
      <c r="H121" s="377">
        <v>0</v>
      </c>
      <c r="I121" s="476">
        <f t="shared" si="123"/>
        <v>0</v>
      </c>
      <c r="J121" s="222">
        <f>JULIO!L121</f>
        <v>0</v>
      </c>
      <c r="K121" s="377">
        <v>0</v>
      </c>
      <c r="L121" s="146">
        <f t="shared" si="124"/>
        <v>0</v>
      </c>
      <c r="M121" s="441">
        <f t="shared" si="125"/>
        <v>0</v>
      </c>
      <c r="N121" s="146">
        <f t="shared" si="126"/>
        <v>0</v>
      </c>
      <c r="P121" s="375">
        <v>0</v>
      </c>
      <c r="Q121" s="378">
        <v>0</v>
      </c>
      <c r="R121" s="9"/>
      <c r="S121" s="719">
        <f>+IF(JULIO!S121=0,"",JULIO!S121)</f>
        <v>2010199</v>
      </c>
      <c r="T121" s="693" t="str">
        <f>+IF(JULIO!T121=0,"",JULIO!T121)</f>
        <v>Vigencias Anteriores</v>
      </c>
      <c r="U121" s="27">
        <f>+ENERO!U121</f>
        <v>0</v>
      </c>
      <c r="V121" s="15">
        <f>JULIO!V121+AGOSTO!AL121</f>
        <v>0</v>
      </c>
      <c r="W121" s="15">
        <f>JULIO!W121+AGOSTO!AM121</f>
        <v>12179864</v>
      </c>
      <c r="X121" s="18">
        <f t="shared" si="127"/>
        <v>12179864</v>
      </c>
      <c r="Y121" s="19">
        <f>JULIO!AA121</f>
        <v>12179864</v>
      </c>
      <c r="Z121" s="377">
        <v>0</v>
      </c>
      <c r="AA121" s="18">
        <f t="shared" si="128"/>
        <v>12179864</v>
      </c>
      <c r="AB121" s="19">
        <f>JULIO!AD121</f>
        <v>12179864</v>
      </c>
      <c r="AC121" s="377">
        <v>0</v>
      </c>
      <c r="AD121" s="18">
        <f t="shared" si="129"/>
        <v>12179864</v>
      </c>
      <c r="AE121" s="19">
        <f>JULIO!AG121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+IF(JULIO!A122=0,"",JULIO!A122)</f>
        <v>2600</v>
      </c>
      <c r="B122" s="635" t="str">
        <f>+IF(JULIO!B122=0,"",JULIO!B122)</f>
        <v>RECUPERACIÓN DE CARTERA (AÑO 2013 Y ANTERIORES)</v>
      </c>
      <c r="C122" s="375">
        <f>+ENERO!C122</f>
        <v>32064799</v>
      </c>
      <c r="D122" s="467">
        <f>JULIO!D122+AGOSTO!P122</f>
        <v>0</v>
      </c>
      <c r="E122" s="467">
        <f>JULIO!E122+AGOSTO!Q122</f>
        <v>0</v>
      </c>
      <c r="F122" s="471">
        <f t="shared" si="122"/>
        <v>32064799</v>
      </c>
      <c r="G122" s="222">
        <f>JULIO!I122</f>
        <v>1619780</v>
      </c>
      <c r="H122" s="377">
        <v>2480627</v>
      </c>
      <c r="I122" s="476">
        <f t="shared" si="123"/>
        <v>4100407</v>
      </c>
      <c r="J122" s="222">
        <f>JULIO!L122</f>
        <v>1619780</v>
      </c>
      <c r="K122" s="377">
        <v>2480627</v>
      </c>
      <c r="L122" s="146">
        <f t="shared" si="124"/>
        <v>4100407</v>
      </c>
      <c r="M122" s="441">
        <f t="shared" si="125"/>
        <v>27964392</v>
      </c>
      <c r="N122" s="146">
        <f t="shared" si="126"/>
        <v>27964392</v>
      </c>
      <c r="P122" s="375">
        <v>0</v>
      </c>
      <c r="Q122" s="378">
        <v>0</v>
      </c>
      <c r="R122" s="9"/>
      <c r="S122" s="369" t="str">
        <f>+IF(JULIO!S122=0,"",JULIO!S122)</f>
        <v/>
      </c>
      <c r="T122" s="708" t="str">
        <f>+IF(JULIO!T122=0,"",JULIO!T122)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+IF(JULIO!A123=0,"",JULIO!A123)</f>
        <v>2700</v>
      </c>
      <c r="B123" s="635" t="str">
        <f>+IF(JULIO!B123=0,"",JULIO!B123)</f>
        <v>OTROS INGRESOS DE CAPITAL</v>
      </c>
      <c r="C123" s="375">
        <f>+ENERO!C123</f>
        <v>0</v>
      </c>
      <c r="D123" s="467">
        <f>JULIO!D123+AGOSTO!P123</f>
        <v>0</v>
      </c>
      <c r="E123" s="467">
        <f>JULIO!E123+AGOSTO!Q123</f>
        <v>27176600</v>
      </c>
      <c r="F123" s="471">
        <f t="shared" si="122"/>
        <v>27176600</v>
      </c>
      <c r="G123" s="222">
        <f>JULIO!I123</f>
        <v>40587998</v>
      </c>
      <c r="H123" s="377">
        <v>0</v>
      </c>
      <c r="I123" s="476">
        <f t="shared" si="123"/>
        <v>40587998</v>
      </c>
      <c r="J123" s="222">
        <f>JULIO!L123</f>
        <v>40587998</v>
      </c>
      <c r="K123" s="377">
        <v>0</v>
      </c>
      <c r="L123" s="146">
        <f t="shared" si="124"/>
        <v>40587998</v>
      </c>
      <c r="M123" s="441">
        <f t="shared" si="125"/>
        <v>-13411398</v>
      </c>
      <c r="N123" s="146">
        <f t="shared" si="126"/>
        <v>-13411398</v>
      </c>
      <c r="P123" s="375">
        <v>0</v>
      </c>
      <c r="Q123" s="378">
        <v>0</v>
      </c>
      <c r="R123" s="9"/>
      <c r="S123" s="718">
        <f>+IF(JULIO!S123=0,"",JULIO!S123)</f>
        <v>2010200</v>
      </c>
      <c r="T123" s="692" t="str">
        <f>+IF(JULIO!T123=0,"",JULIO!T123)</f>
        <v>Adquisición de Servicios</v>
      </c>
      <c r="U123" s="135">
        <f t="shared" ref="U123:AJ123" si="134">SUM(U124:U139)</f>
        <v>141098390</v>
      </c>
      <c r="V123" s="124">
        <f t="shared" si="134"/>
        <v>5900000</v>
      </c>
      <c r="W123" s="124">
        <f t="shared" si="134"/>
        <v>31389245</v>
      </c>
      <c r="X123" s="132">
        <f t="shared" si="134"/>
        <v>178387635</v>
      </c>
      <c r="Y123" s="131">
        <f t="shared" si="134"/>
        <v>108517005</v>
      </c>
      <c r="Z123" s="124">
        <f t="shared" si="134"/>
        <v>9853490</v>
      </c>
      <c r="AA123" s="132">
        <f t="shared" si="134"/>
        <v>118370495</v>
      </c>
      <c r="AB123" s="131">
        <f t="shared" si="134"/>
        <v>105342005</v>
      </c>
      <c r="AC123" s="124">
        <f t="shared" si="134"/>
        <v>10203490</v>
      </c>
      <c r="AD123" s="132">
        <f t="shared" si="134"/>
        <v>115545495</v>
      </c>
      <c r="AE123" s="131">
        <f t="shared" si="134"/>
        <v>81454805</v>
      </c>
      <c r="AF123" s="124">
        <f t="shared" si="134"/>
        <v>6350433</v>
      </c>
      <c r="AG123" s="132">
        <f t="shared" si="134"/>
        <v>87805238</v>
      </c>
      <c r="AH123" s="131">
        <f t="shared" si="134"/>
        <v>60017140</v>
      </c>
      <c r="AI123" s="124">
        <f t="shared" si="134"/>
        <v>62842140</v>
      </c>
      <c r="AJ123" s="133">
        <f t="shared" si="134"/>
        <v>90582397</v>
      </c>
      <c r="AK123" s="9"/>
      <c r="AL123" s="131">
        <f>SUM(AL124:AL139)</f>
        <v>1200000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+IF(JULIO!A124=0,"",JULIO!A124)</f>
        <v>2800</v>
      </c>
      <c r="B124" s="663" t="str">
        <f>+IF(JULIO!B124=0,"",JULIO!B124)</f>
        <v/>
      </c>
      <c r="C124" s="387">
        <f>+ENERO!C124</f>
        <v>0</v>
      </c>
      <c r="D124" s="465">
        <f>JULIO!D124+AGOSTO!P124</f>
        <v>0</v>
      </c>
      <c r="E124" s="465">
        <f>JULIO!E124+AGOSTO!Q124</f>
        <v>0</v>
      </c>
      <c r="F124" s="477">
        <f t="shared" si="122"/>
        <v>0</v>
      </c>
      <c r="G124" s="390">
        <f>JULIO!I124</f>
        <v>0</v>
      </c>
      <c r="H124" s="391">
        <v>0</v>
      </c>
      <c r="I124" s="478">
        <f t="shared" si="123"/>
        <v>0</v>
      </c>
      <c r="J124" s="390">
        <f>JULIO!L124</f>
        <v>0</v>
      </c>
      <c r="K124" s="391">
        <v>0</v>
      </c>
      <c r="L124" s="389">
        <f t="shared" si="124"/>
        <v>0</v>
      </c>
      <c r="M124" s="479">
        <f t="shared" si="125"/>
        <v>0</v>
      </c>
      <c r="N124" s="389">
        <f t="shared" si="126"/>
        <v>0</v>
      </c>
      <c r="P124" s="387">
        <v>0</v>
      </c>
      <c r="Q124" s="392">
        <v>0</v>
      </c>
      <c r="R124" s="9"/>
      <c r="S124" s="719" t="str">
        <f>+IF(JULIO!S124=0,"",JULIO!S124)</f>
        <v>2010200-1</v>
      </c>
      <c r="T124" s="693" t="str">
        <f>+IF(JULIO!T124=0,"",JULIO!T124)</f>
        <v>Seguros</v>
      </c>
      <c r="U124" s="27">
        <f>+ENERO!U124</f>
        <v>17953987</v>
      </c>
      <c r="V124" s="15">
        <f>JULIO!V124+AGOSTO!AL124</f>
        <v>0</v>
      </c>
      <c r="W124" s="15">
        <f>JULIO!W124+AGOSTO!AM124</f>
        <v>5000000</v>
      </c>
      <c r="X124" s="18">
        <f t="shared" ref="X124:X139" si="135">SUM(U124:W124)</f>
        <v>22953987</v>
      </c>
      <c r="Y124" s="19">
        <f>JULIO!AA124</f>
        <v>18059144</v>
      </c>
      <c r="Z124" s="377">
        <v>24611</v>
      </c>
      <c r="AA124" s="18">
        <f t="shared" ref="AA124:AA139" si="136">SUM(Y124:Z124)</f>
        <v>18083755</v>
      </c>
      <c r="AB124" s="19">
        <f>JULIO!AD124</f>
        <v>18059144</v>
      </c>
      <c r="AC124" s="377">
        <v>24611</v>
      </c>
      <c r="AD124" s="18">
        <f t="shared" ref="AD124:AD139" si="137">SUM(AB124:AC124)</f>
        <v>18083755</v>
      </c>
      <c r="AE124" s="19">
        <f>JULIO!AG124</f>
        <v>16918425</v>
      </c>
      <c r="AF124" s="377">
        <v>0</v>
      </c>
      <c r="AG124" s="18">
        <f t="shared" ref="AG124:AG139" si="138">SUM(AE124:AF124)</f>
        <v>16918425</v>
      </c>
      <c r="AH124" s="19">
        <f t="shared" ref="AH124:AH139" si="139">X124-AA124</f>
        <v>4870232</v>
      </c>
      <c r="AI124" s="15">
        <f t="shared" ref="AI124:AI139" si="140">X124-AD124</f>
        <v>4870232</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+IF(JULIO!S125=0,"",JULIO!S125)</f>
        <v>2010200-2</v>
      </c>
      <c r="T125" s="693" t="str">
        <f>+IF(JULIO!T125=0,"",JULIO!T125)</f>
        <v>Impresos y Publicaciones</v>
      </c>
      <c r="U125" s="27">
        <f>+ENERO!U125</f>
        <v>3151827</v>
      </c>
      <c r="V125" s="15">
        <f>JULIO!V125+AGOSTO!AL125</f>
        <v>0</v>
      </c>
      <c r="W125" s="15">
        <f>JULIO!W125+AGOSTO!AM125</f>
        <v>0</v>
      </c>
      <c r="X125" s="18">
        <f t="shared" si="135"/>
        <v>3151827</v>
      </c>
      <c r="Y125" s="19">
        <f>JULIO!AA125</f>
        <v>75788</v>
      </c>
      <c r="Z125" s="377">
        <v>50000</v>
      </c>
      <c r="AA125" s="18">
        <f t="shared" si="136"/>
        <v>125788</v>
      </c>
      <c r="AB125" s="19">
        <f>JULIO!AD125</f>
        <v>75788</v>
      </c>
      <c r="AC125" s="377">
        <v>50000</v>
      </c>
      <c r="AD125" s="18">
        <f t="shared" si="137"/>
        <v>125788</v>
      </c>
      <c r="AE125" s="19">
        <f>JULIO!AG125</f>
        <v>75788</v>
      </c>
      <c r="AF125" s="377">
        <v>50000</v>
      </c>
      <c r="AG125" s="18">
        <f t="shared" si="138"/>
        <v>125788</v>
      </c>
      <c r="AH125" s="19">
        <f t="shared" si="139"/>
        <v>3026039</v>
      </c>
      <c r="AI125" s="15">
        <f t="shared" si="140"/>
        <v>3026039</v>
      </c>
      <c r="AJ125" s="16">
        <f t="shared" si="141"/>
        <v>3026039</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2012357655</v>
      </c>
      <c r="H126" s="480">
        <f t="shared" si="142"/>
        <v>233719081</v>
      </c>
      <c r="I126" s="480">
        <f t="shared" si="142"/>
        <v>2246076736</v>
      </c>
      <c r="J126" s="480">
        <f t="shared" si="142"/>
        <v>1229708741</v>
      </c>
      <c r="K126" s="480">
        <f t="shared" si="142"/>
        <v>161869801</v>
      </c>
      <c r="L126" s="480">
        <f t="shared" si="142"/>
        <v>1389958762</v>
      </c>
      <c r="M126" s="480">
        <f t="shared" si="142"/>
        <v>1095037176</v>
      </c>
      <c r="N126" s="621">
        <f t="shared" si="142"/>
        <v>1923190758</v>
      </c>
      <c r="P126" s="481">
        <f>P8-P128</f>
        <v>0</v>
      </c>
      <c r="Q126" s="482">
        <f>Q8-Q128</f>
        <v>0</v>
      </c>
      <c r="R126" s="9"/>
      <c r="S126" s="719" t="str">
        <f>+IF(JULIO!S126=0,"",JULIO!S126)</f>
        <v>2010200-3</v>
      </c>
      <c r="T126" s="693" t="str">
        <f>+IF(JULIO!T126=0,"",JULIO!T126)</f>
        <v xml:space="preserve">Servicios Públicos </v>
      </c>
      <c r="U126" s="27">
        <f>+ENERO!U126</f>
        <v>55492147</v>
      </c>
      <c r="V126" s="15">
        <f>JULIO!V126+AGOSTO!AL126</f>
        <v>0</v>
      </c>
      <c r="W126" s="15">
        <f>JULIO!W126+AGOSTO!AM126</f>
        <v>0</v>
      </c>
      <c r="X126" s="18">
        <f t="shared" si="135"/>
        <v>55492147</v>
      </c>
      <c r="Y126" s="19">
        <f>JULIO!AA126</f>
        <v>32854630</v>
      </c>
      <c r="Z126" s="377">
        <v>6233032</v>
      </c>
      <c r="AA126" s="18">
        <f t="shared" si="136"/>
        <v>39087662</v>
      </c>
      <c r="AB126" s="19">
        <f>JULIO!AD126</f>
        <v>32854630</v>
      </c>
      <c r="AC126" s="377">
        <v>6233032</v>
      </c>
      <c r="AD126" s="18">
        <f t="shared" si="137"/>
        <v>39087662</v>
      </c>
      <c r="AE126" s="19">
        <f>JULIO!AG126</f>
        <v>29080695</v>
      </c>
      <c r="AF126" s="377">
        <v>3516935</v>
      </c>
      <c r="AG126" s="18">
        <f t="shared" si="138"/>
        <v>32597630</v>
      </c>
      <c r="AH126" s="19">
        <f t="shared" si="139"/>
        <v>16404485</v>
      </c>
      <c r="AI126" s="15">
        <f t="shared" si="140"/>
        <v>16404485</v>
      </c>
      <c r="AJ126" s="16">
        <f t="shared" si="141"/>
        <v>22894517</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+IF(JULIO!S127=0,"",JULIO!S127)</f>
        <v>2010200-4</v>
      </c>
      <c r="T127" s="693" t="str">
        <f>+IF(JULIO!T127=0,"",JULIO!T127)</f>
        <v>Comunicaciones y Transportes</v>
      </c>
      <c r="U127" s="27">
        <f>+ENERO!U127</f>
        <v>14481572</v>
      </c>
      <c r="V127" s="15">
        <f>JULIO!V127+AGOSTO!AL127</f>
        <v>0</v>
      </c>
      <c r="W127" s="15">
        <f>JULIO!W127+AGOSTO!AM127</f>
        <v>0</v>
      </c>
      <c r="X127" s="18">
        <f t="shared" si="135"/>
        <v>14481572</v>
      </c>
      <c r="Y127" s="19">
        <f>JULIO!AA127</f>
        <v>8175549</v>
      </c>
      <c r="Z127" s="377">
        <v>231400</v>
      </c>
      <c r="AA127" s="18">
        <f t="shared" si="136"/>
        <v>8406949</v>
      </c>
      <c r="AB127" s="19">
        <f>JULIO!AD127</f>
        <v>6600549</v>
      </c>
      <c r="AC127" s="377">
        <v>581400</v>
      </c>
      <c r="AD127" s="18">
        <f t="shared" si="137"/>
        <v>7181949</v>
      </c>
      <c r="AE127" s="19">
        <f>JULIO!AG127</f>
        <v>5477895</v>
      </c>
      <c r="AF127" s="377">
        <v>231400</v>
      </c>
      <c r="AG127" s="18">
        <f t="shared" si="138"/>
        <v>5709295</v>
      </c>
      <c r="AH127" s="19">
        <f t="shared" si="139"/>
        <v>6074623</v>
      </c>
      <c r="AI127" s="15">
        <f t="shared" si="140"/>
        <v>7299623</v>
      </c>
      <c r="AJ127" s="16">
        <f t="shared" si="141"/>
        <v>8772277</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485055958</v>
      </c>
      <c r="H128" s="486">
        <f>SUMIF($B8:$B$122,$B$24,H8:H122)+H122</f>
        <v>5541272</v>
      </c>
      <c r="I128" s="486">
        <f>SUMIF($B8:$B$122,$B$24,I8:I122)+I122</f>
        <v>490597230</v>
      </c>
      <c r="J128" s="486">
        <f>SUMIF($B8:$B$122,$B$24,J8:J122)+J1212</f>
        <v>483436178</v>
      </c>
      <c r="K128" s="486">
        <f>SUMIF($B8:$B$122,$B$24,K8:K122)+K122</f>
        <v>5541272</v>
      </c>
      <c r="L128" s="486">
        <f>SUMIF($B8:$B$122,$B$24,L8:L122)+L122</f>
        <v>490597230</v>
      </c>
      <c r="M128" s="486">
        <f>SUMIF($B8:$B$122,$B$24,M8:M122)+M12</f>
        <v>58889605</v>
      </c>
      <c r="N128" s="622">
        <f>SUMIF($B8:$B$122,$B$24,N8:N122)+N122</f>
        <v>86853997</v>
      </c>
      <c r="O128" s="464"/>
      <c r="P128" s="486">
        <f>SUMIF($B8:$B$122,$B$24,P8:P122)+P122</f>
        <v>0</v>
      </c>
      <c r="Q128" s="487">
        <f>SUMIF($B8:$B$122,$B$24,Q8:Q122)+Q122</f>
        <v>0</v>
      </c>
      <c r="R128" s="9"/>
      <c r="S128" s="719" t="str">
        <f>+IF(JULIO!S128=0,"",JULIO!S128)</f>
        <v>2010200-5</v>
      </c>
      <c r="T128" s="693" t="str">
        <f>+IF(JULIO!T128=0,"",JULIO!T128)</f>
        <v>Viáticos y Gastos de Viaje</v>
      </c>
      <c r="U128" s="27">
        <f>+ENERO!U128</f>
        <v>12695514</v>
      </c>
      <c r="V128" s="15">
        <f>JULIO!V128+AGOSTO!AL128</f>
        <v>4700000</v>
      </c>
      <c r="W128" s="15">
        <f>JULIO!W128+AGOSTO!AM128</f>
        <v>0</v>
      </c>
      <c r="X128" s="18">
        <f t="shared" si="135"/>
        <v>17395514</v>
      </c>
      <c r="Y128" s="19">
        <f>JULIO!AA128</f>
        <v>11029310</v>
      </c>
      <c r="Z128" s="377">
        <v>1541297</v>
      </c>
      <c r="AA128" s="18">
        <f t="shared" si="136"/>
        <v>12570607</v>
      </c>
      <c r="AB128" s="19">
        <f>JULIO!AD128</f>
        <v>11029310</v>
      </c>
      <c r="AC128" s="377">
        <v>1541297</v>
      </c>
      <c r="AD128" s="18">
        <f t="shared" si="137"/>
        <v>12570607</v>
      </c>
      <c r="AE128" s="19">
        <f>JULIO!AG128</f>
        <v>11029309</v>
      </c>
      <c r="AF128" s="377">
        <v>1541297</v>
      </c>
      <c r="AG128" s="18">
        <f t="shared" si="138"/>
        <v>12570606</v>
      </c>
      <c r="AH128" s="19">
        <f t="shared" si="139"/>
        <v>4824907</v>
      </c>
      <c r="AI128" s="15">
        <f t="shared" si="140"/>
        <v>4824907</v>
      </c>
      <c r="AJ128" s="16">
        <f t="shared" si="141"/>
        <v>4824908</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+IF(JULIO!S129=0,"",JULIO!S129)</f>
        <v>2010200-6</v>
      </c>
      <c r="T129" s="693" t="str">
        <f>+IF(JULIO!T129=0,"",JULIO!T129)</f>
        <v>Arrendamientos</v>
      </c>
      <c r="U129" s="27">
        <f>+ENERO!U129</f>
        <v>0</v>
      </c>
      <c r="V129" s="15">
        <f>JULIO!V129+AGOSTO!AL129</f>
        <v>0</v>
      </c>
      <c r="W129" s="15">
        <f>JULIO!W129+AGOSTO!AM129</f>
        <v>0</v>
      </c>
      <c r="X129" s="18">
        <f t="shared" si="135"/>
        <v>0</v>
      </c>
      <c r="Y129" s="19">
        <f>JULIO!AA129</f>
        <v>0</v>
      </c>
      <c r="Z129" s="377">
        <v>0</v>
      </c>
      <c r="AA129" s="18">
        <f t="shared" si="136"/>
        <v>0</v>
      </c>
      <c r="AB129" s="19">
        <f>JULIO!AD129</f>
        <v>0</v>
      </c>
      <c r="AC129" s="377">
        <v>0</v>
      </c>
      <c r="AD129" s="18">
        <f t="shared" si="137"/>
        <v>0</v>
      </c>
      <c r="AE129" s="19">
        <f>JULIO!AG129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2497413613</v>
      </c>
      <c r="H130" s="489">
        <f t="shared" si="143"/>
        <v>239260353</v>
      </c>
      <c r="I130" s="490">
        <f t="shared" si="143"/>
        <v>2736673966</v>
      </c>
      <c r="J130" s="488">
        <f t="shared" si="143"/>
        <v>1713144919</v>
      </c>
      <c r="K130" s="489">
        <f t="shared" si="143"/>
        <v>167411073</v>
      </c>
      <c r="L130" s="490">
        <f t="shared" si="143"/>
        <v>1880555992</v>
      </c>
      <c r="M130" s="488">
        <f t="shared" si="143"/>
        <v>1153926781</v>
      </c>
      <c r="N130" s="490">
        <f t="shared" si="143"/>
        <v>2010044755</v>
      </c>
      <c r="P130" s="481">
        <f>P128+P126</f>
        <v>0</v>
      </c>
      <c r="Q130" s="482">
        <f>Q128+Q126</f>
        <v>0</v>
      </c>
      <c r="R130" s="9"/>
      <c r="S130" s="719" t="str">
        <f>+IF(JULIO!S130=0,"",JULIO!S130)</f>
        <v>2010200-7</v>
      </c>
      <c r="T130" s="693" t="str">
        <f>+IF(JULIO!T130=0,"",JULIO!T130)</f>
        <v>Vigilancia y Aseo</v>
      </c>
      <c r="U130" s="27">
        <f>+ENERO!U130</f>
        <v>0</v>
      </c>
      <c r="V130" s="15">
        <f>JULIO!V130+AGOSTO!AL130</f>
        <v>0</v>
      </c>
      <c r="W130" s="15">
        <f>JULIO!W130+AGOSTO!AM130</f>
        <v>0</v>
      </c>
      <c r="X130" s="18">
        <f t="shared" si="135"/>
        <v>0</v>
      </c>
      <c r="Y130" s="19">
        <f>JULIO!AA130</f>
        <v>0</v>
      </c>
      <c r="Z130" s="377">
        <v>0</v>
      </c>
      <c r="AA130" s="18">
        <f t="shared" si="136"/>
        <v>0</v>
      </c>
      <c r="AB130" s="19">
        <f>JULIO!AD130</f>
        <v>0</v>
      </c>
      <c r="AC130" s="377">
        <v>0</v>
      </c>
      <c r="AD130" s="18">
        <f t="shared" si="137"/>
        <v>0</v>
      </c>
      <c r="AE130" s="19">
        <f>JULIO!AG130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+IF(JULIO!S131=0,"",JULIO!S131)</f>
        <v>2010200-8</v>
      </c>
      <c r="T131" s="693" t="str">
        <f>+IF(JULIO!T131=0,"",JULIO!T131)</f>
        <v>Bienestar Social</v>
      </c>
      <c r="U131" s="27">
        <f>+ENERO!U131</f>
        <v>28364135</v>
      </c>
      <c r="V131" s="15">
        <f>JULIO!V131+AGOSTO!AL131</f>
        <v>0</v>
      </c>
      <c r="W131" s="15">
        <f>JULIO!W131+AGOSTO!AM131</f>
        <v>81553</v>
      </c>
      <c r="X131" s="18">
        <f t="shared" si="135"/>
        <v>28445688</v>
      </c>
      <c r="Y131" s="19">
        <f>JULIO!AA131</f>
        <v>7645800</v>
      </c>
      <c r="Z131" s="377">
        <v>1082349</v>
      </c>
      <c r="AA131" s="18">
        <f t="shared" si="136"/>
        <v>8728149</v>
      </c>
      <c r="AB131" s="19">
        <f>JULIO!AD131</f>
        <v>6045800</v>
      </c>
      <c r="AC131" s="377">
        <v>1082349</v>
      </c>
      <c r="AD131" s="18">
        <f t="shared" si="137"/>
        <v>7128149</v>
      </c>
      <c r="AE131" s="19">
        <f>JULIO!AG131</f>
        <v>4695550</v>
      </c>
      <c r="AF131" s="377">
        <v>320000</v>
      </c>
      <c r="AG131" s="18">
        <f t="shared" si="138"/>
        <v>5015550</v>
      </c>
      <c r="AH131" s="19">
        <f t="shared" si="139"/>
        <v>19717539</v>
      </c>
      <c r="AI131" s="15">
        <f t="shared" si="140"/>
        <v>21317539</v>
      </c>
      <c r="AJ131" s="16">
        <f t="shared" si="141"/>
        <v>23430138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+IF(JULIO!S132=0,"",JULIO!S132)</f>
        <v>2010200-9</v>
      </c>
      <c r="T132" s="693" t="str">
        <f>+IF(JULIO!T132=0,"",JULIO!T132)</f>
        <v>Capacitación, estimulos, incentivos, programa de calidad</v>
      </c>
      <c r="U132" s="27">
        <f>+ENERO!U132</f>
        <v>3982443</v>
      </c>
      <c r="V132" s="15">
        <f>JULIO!V132+AGOSTO!AL132</f>
        <v>0</v>
      </c>
      <c r="W132" s="15">
        <f>JULIO!W132+AGOSTO!AM132</f>
        <v>0</v>
      </c>
      <c r="X132" s="18">
        <f t="shared" si="135"/>
        <v>3982443</v>
      </c>
      <c r="Y132" s="19">
        <f>JULIO!AA132</f>
        <v>0</v>
      </c>
      <c r="Z132" s="377">
        <v>0</v>
      </c>
      <c r="AA132" s="18">
        <f t="shared" si="136"/>
        <v>0</v>
      </c>
      <c r="AB132" s="19">
        <f>JULIO!AD132</f>
        <v>0</v>
      </c>
      <c r="AC132" s="377">
        <v>0</v>
      </c>
      <c r="AD132" s="18">
        <f t="shared" si="137"/>
        <v>0</v>
      </c>
      <c r="AE132" s="19">
        <f>JULIO!AG132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+IF(JULIO!S133=0,"",JULIO!S133)</f>
        <v>2010200-10</v>
      </c>
      <c r="T133" s="693" t="str">
        <f>+IF(JULIO!T133=0,"",JULIO!T133)</f>
        <v>Pagos otras IPS</v>
      </c>
      <c r="U133" s="27">
        <f>+ENERO!U133</f>
        <v>0</v>
      </c>
      <c r="V133" s="15">
        <f>JULIO!V133+AGOSTO!AL133</f>
        <v>0</v>
      </c>
      <c r="W133" s="15">
        <f>JULIO!W133+AGOSTO!AM133</f>
        <v>0</v>
      </c>
      <c r="X133" s="18">
        <f t="shared" si="135"/>
        <v>0</v>
      </c>
      <c r="Y133" s="19">
        <f>JULIO!AA133</f>
        <v>0</v>
      </c>
      <c r="Z133" s="377">
        <v>0</v>
      </c>
      <c r="AA133" s="18">
        <f t="shared" si="136"/>
        <v>0</v>
      </c>
      <c r="AB133" s="19">
        <f>JULIO!AD133</f>
        <v>0</v>
      </c>
      <c r="AC133" s="377">
        <v>0</v>
      </c>
      <c r="AD133" s="18">
        <f t="shared" si="137"/>
        <v>0</v>
      </c>
      <c r="AE133" s="19">
        <f>JULIO!AG133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+IF(JULIO!S134=0,"",JULIO!S134)</f>
        <v>2010200-11</v>
      </c>
      <c r="T134" s="693" t="str">
        <f>+IF(JULIO!T134=0,"",JULIO!T134)</f>
        <v>Gastos financieros</v>
      </c>
      <c r="U134" s="27">
        <f>+ENERO!U134</f>
        <v>4976765</v>
      </c>
      <c r="V134" s="15">
        <f>JULIO!V134+AGOSTO!AL134</f>
        <v>1200000</v>
      </c>
      <c r="W134" s="15">
        <f>JULIO!W134+AGOSTO!AM134</f>
        <v>0</v>
      </c>
      <c r="X134" s="18">
        <f t="shared" si="135"/>
        <v>6176765</v>
      </c>
      <c r="Y134" s="19">
        <f>JULIO!AA134</f>
        <v>4369092</v>
      </c>
      <c r="Z134" s="377">
        <v>690801</v>
      </c>
      <c r="AA134" s="18">
        <f t="shared" si="136"/>
        <v>5059893</v>
      </c>
      <c r="AB134" s="19">
        <f>JULIO!AD134</f>
        <v>4369092</v>
      </c>
      <c r="AC134" s="377">
        <v>690801</v>
      </c>
      <c r="AD134" s="18">
        <f t="shared" si="137"/>
        <v>5059893</v>
      </c>
      <c r="AE134" s="19">
        <f>JULIO!AG134</f>
        <v>4369092</v>
      </c>
      <c r="AF134" s="377">
        <v>690801</v>
      </c>
      <c r="AG134" s="18">
        <f t="shared" si="138"/>
        <v>5059893</v>
      </c>
      <c r="AH134" s="19">
        <f t="shared" si="139"/>
        <v>1116872</v>
      </c>
      <c r="AI134" s="15">
        <f t="shared" si="140"/>
        <v>1116872</v>
      </c>
      <c r="AJ134" s="16">
        <f t="shared" si="141"/>
        <v>1116872</v>
      </c>
      <c r="AK134" s="9"/>
      <c r="AL134" s="375">
        <v>1200000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+IF(JULIO!S135=0,"",JULIO!S135)</f>
        <v>2010200-12</v>
      </c>
      <c r="T135" s="693" t="str">
        <f>+IF(JULIO!T135=0,"",JULIO!T135)</f>
        <v/>
      </c>
      <c r="U135" s="27">
        <f>+ENERO!U135</f>
        <v>0</v>
      </c>
      <c r="V135" s="15">
        <f>JULIO!V135+AGOSTO!AL135</f>
        <v>0</v>
      </c>
      <c r="W135" s="15">
        <f>JULIO!W135+AGOSTO!AM135</f>
        <v>0</v>
      </c>
      <c r="X135" s="18">
        <f t="shared" si="135"/>
        <v>0</v>
      </c>
      <c r="Y135" s="19">
        <f>JULIO!AA135</f>
        <v>0</v>
      </c>
      <c r="Z135" s="377">
        <v>0</v>
      </c>
      <c r="AA135" s="18">
        <f t="shared" si="136"/>
        <v>0</v>
      </c>
      <c r="AB135" s="19">
        <f>JULIO!AD135</f>
        <v>0</v>
      </c>
      <c r="AC135" s="377">
        <v>0</v>
      </c>
      <c r="AD135" s="18">
        <f t="shared" si="137"/>
        <v>0</v>
      </c>
      <c r="AE135" s="19">
        <f>JULIO!AG135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+IF(JULIO!S136=0,"",JULIO!S136)</f>
        <v>2010200-13</v>
      </c>
      <c r="T136" s="693" t="str">
        <f>+IF(JULIO!T136=0,"",JULIO!T136)</f>
        <v/>
      </c>
      <c r="U136" s="27">
        <f>+ENERO!U136</f>
        <v>0</v>
      </c>
      <c r="V136" s="15">
        <f>JULIO!V136+AGOSTO!AL136</f>
        <v>0</v>
      </c>
      <c r="W136" s="15">
        <f>JULIO!W136+AGOSTO!AM136</f>
        <v>0</v>
      </c>
      <c r="X136" s="18">
        <f t="shared" si="135"/>
        <v>0</v>
      </c>
      <c r="Y136" s="19">
        <f>JULIO!AA136</f>
        <v>0</v>
      </c>
      <c r="Z136" s="377">
        <v>0</v>
      </c>
      <c r="AA136" s="18">
        <f t="shared" si="136"/>
        <v>0</v>
      </c>
      <c r="AB136" s="19">
        <f>JULIO!AD136</f>
        <v>0</v>
      </c>
      <c r="AC136" s="377">
        <v>0</v>
      </c>
      <c r="AD136" s="18">
        <f t="shared" si="137"/>
        <v>0</v>
      </c>
      <c r="AE136" s="19">
        <f>JULIO!AG136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+IF(JULIO!S137=0,"",JULIO!S137)</f>
        <v>2010020-14</v>
      </c>
      <c r="T137" s="693" t="str">
        <f>+IF(JULIO!T137=0,"",JULIO!T137)</f>
        <v/>
      </c>
      <c r="U137" s="27">
        <f>+ENERO!U137</f>
        <v>0</v>
      </c>
      <c r="V137" s="15">
        <f>JULIO!V137+AGOSTO!AL137</f>
        <v>0</v>
      </c>
      <c r="W137" s="15">
        <f>JULIO!W137+AGOSTO!AM137</f>
        <v>0</v>
      </c>
      <c r="X137" s="18">
        <f t="shared" si="135"/>
        <v>0</v>
      </c>
      <c r="Y137" s="19">
        <f>JULIO!AA137</f>
        <v>0</v>
      </c>
      <c r="Z137" s="377">
        <v>0</v>
      </c>
      <c r="AA137" s="18">
        <f t="shared" si="136"/>
        <v>0</v>
      </c>
      <c r="AB137" s="19">
        <f>JULIO!AD137</f>
        <v>0</v>
      </c>
      <c r="AC137" s="377">
        <v>0</v>
      </c>
      <c r="AD137" s="18">
        <f t="shared" si="137"/>
        <v>0</v>
      </c>
      <c r="AE137" s="19">
        <f>JULIO!AG137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+IF(JULIO!S138=0,"",JULIO!S138)</f>
        <v>2010200-15</v>
      </c>
      <c r="T138" s="693" t="str">
        <f>+IF(JULIO!T138=0,"",JULIO!T138)</f>
        <v/>
      </c>
      <c r="U138" s="27">
        <f>+ENERO!U138</f>
        <v>0</v>
      </c>
      <c r="V138" s="15">
        <f>JULIO!V138+AGOSTO!AL138</f>
        <v>0</v>
      </c>
      <c r="W138" s="15">
        <f>JULIO!W138+AGOSTO!AM138</f>
        <v>0</v>
      </c>
      <c r="X138" s="18">
        <f t="shared" si="135"/>
        <v>0</v>
      </c>
      <c r="Y138" s="19">
        <f>JULIO!AA138</f>
        <v>0</v>
      </c>
      <c r="Z138" s="377">
        <v>0</v>
      </c>
      <c r="AA138" s="18">
        <f t="shared" si="136"/>
        <v>0</v>
      </c>
      <c r="AB138" s="19">
        <f>JULIO!AD138</f>
        <v>0</v>
      </c>
      <c r="AC138" s="377">
        <v>0</v>
      </c>
      <c r="AD138" s="18">
        <f t="shared" si="137"/>
        <v>0</v>
      </c>
      <c r="AE138" s="19">
        <f>JULIO!AG138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+IF(JULIO!S139=0,"",JULIO!S139)</f>
        <v>2010299</v>
      </c>
      <c r="T139" s="693" t="str">
        <f>+IF(JULIO!T139=0,"",JULIO!T139)</f>
        <v>Vigencias Anteriores</v>
      </c>
      <c r="U139" s="27">
        <f>+ENERO!U139</f>
        <v>0</v>
      </c>
      <c r="V139" s="15">
        <f>JULIO!V139+AGOSTO!AL139</f>
        <v>0</v>
      </c>
      <c r="W139" s="15">
        <f>JULIO!W139+AGOSTO!AM139</f>
        <v>26307692</v>
      </c>
      <c r="X139" s="18">
        <f t="shared" si="135"/>
        <v>26307692</v>
      </c>
      <c r="Y139" s="19">
        <f>JULIO!AA139</f>
        <v>26307692</v>
      </c>
      <c r="Z139" s="377">
        <v>0</v>
      </c>
      <c r="AA139" s="18">
        <f t="shared" si="136"/>
        <v>26307692</v>
      </c>
      <c r="AB139" s="19">
        <f>JULIO!AD139</f>
        <v>26307692</v>
      </c>
      <c r="AC139" s="377">
        <v>0</v>
      </c>
      <c r="AD139" s="18">
        <f t="shared" si="137"/>
        <v>26307692</v>
      </c>
      <c r="AE139" s="19">
        <f>JULIO!AG139</f>
        <v>9808051</v>
      </c>
      <c r="AF139" s="377">
        <v>0</v>
      </c>
      <c r="AG139" s="18">
        <f t="shared" si="138"/>
        <v>9808051</v>
      </c>
      <c r="AH139" s="19">
        <f t="shared" si="139"/>
        <v>0</v>
      </c>
      <c r="AI139" s="15">
        <f t="shared" si="140"/>
        <v>0</v>
      </c>
      <c r="AJ139" s="16">
        <f t="shared" si="141"/>
        <v>16499641</v>
      </c>
      <c r="AK139" s="9"/>
      <c r="AL139" s="375">
        <v>0</v>
      </c>
      <c r="AM139" s="378">
        <v>0</v>
      </c>
      <c r="AN139" s="9"/>
      <c r="AO139" s="297"/>
      <c r="AP139" s="297"/>
      <c r="AQ139" s="297"/>
    </row>
    <row r="140" spans="1:52" s="385" customFormat="1" ht="24.95" customHeight="1" x14ac:dyDescent="0.2">
      <c r="A140" s="767"/>
      <c r="B140" s="668"/>
      <c r="N140" s="9"/>
      <c r="R140" s="9"/>
      <c r="S140" s="369" t="str">
        <f>+IF(JULIO!S140=0,"",JULIO!S140)</f>
        <v/>
      </c>
      <c r="T140" s="708" t="str">
        <f>+IF(JULIO!T140=0,"",JULIO!T140)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+IF(JULIO!S141=0,"",JULIO!S141)</f>
        <v>2010300</v>
      </c>
      <c r="T141" s="692" t="str">
        <f>+IF(JULIO!T141=0,"",JULIO!T141)</f>
        <v>Impuestos y Multas</v>
      </c>
      <c r="U141" s="135">
        <f t="shared" ref="U141:AJ141" si="144">U142+U143</f>
        <v>10780963</v>
      </c>
      <c r="V141" s="124">
        <f t="shared" si="144"/>
        <v>0</v>
      </c>
      <c r="W141" s="124">
        <f t="shared" si="144"/>
        <v>1487943</v>
      </c>
      <c r="X141" s="132">
        <f t="shared" si="144"/>
        <v>12268906</v>
      </c>
      <c r="Y141" s="131">
        <f t="shared" si="144"/>
        <v>5324054</v>
      </c>
      <c r="Z141" s="124">
        <f t="shared" si="144"/>
        <v>0</v>
      </c>
      <c r="AA141" s="132">
        <f t="shared" si="144"/>
        <v>5324054</v>
      </c>
      <c r="AB141" s="131">
        <f t="shared" si="144"/>
        <v>5324054</v>
      </c>
      <c r="AC141" s="124">
        <f t="shared" si="144"/>
        <v>0</v>
      </c>
      <c r="AD141" s="132">
        <f t="shared" si="144"/>
        <v>5324054</v>
      </c>
      <c r="AE141" s="131">
        <f t="shared" si="144"/>
        <v>0</v>
      </c>
      <c r="AF141" s="124">
        <f t="shared" si="144"/>
        <v>0</v>
      </c>
      <c r="AG141" s="132">
        <f t="shared" si="144"/>
        <v>0</v>
      </c>
      <c r="AH141" s="131">
        <f t="shared" si="144"/>
        <v>6944852</v>
      </c>
      <c r="AI141" s="124">
        <f t="shared" si="144"/>
        <v>6944852</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+IF(JULIO!S142=0,"",JULIO!S142)</f>
        <v>2010300-1</v>
      </c>
      <c r="T142" s="693" t="str">
        <f>+IF(JULIO!T142=0,"",JULIO!T142)</f>
        <v>Impuestos (Predial, Vehiculos, Otros)</v>
      </c>
      <c r="U142" s="27">
        <f>+ENERO!U142</f>
        <v>10780963</v>
      </c>
      <c r="V142" s="15">
        <f>JULIO!V142+AGOSTO!AL142</f>
        <v>0</v>
      </c>
      <c r="W142" s="15">
        <f>JULIO!W142+AGOSTO!AM142</f>
        <v>0</v>
      </c>
      <c r="X142" s="18">
        <f>SUM(U142:W142)</f>
        <v>10780963</v>
      </c>
      <c r="Y142" s="19">
        <f>JULIO!AA142</f>
        <v>3836111</v>
      </c>
      <c r="Z142" s="377">
        <v>0</v>
      </c>
      <c r="AA142" s="18">
        <f>SUM(Y142:Z142)</f>
        <v>3836111</v>
      </c>
      <c r="AB142" s="19">
        <f>JULIO!AD142</f>
        <v>3836111</v>
      </c>
      <c r="AC142" s="377">
        <v>0</v>
      </c>
      <c r="AD142" s="18">
        <f>SUM(AB142:AC142)</f>
        <v>3836111</v>
      </c>
      <c r="AE142" s="19">
        <f>JULIO!AG142</f>
        <v>0</v>
      </c>
      <c r="AF142" s="377">
        <v>0</v>
      </c>
      <c r="AG142" s="18">
        <f>SUM(AE142:AF142)</f>
        <v>0</v>
      </c>
      <c r="AH142" s="19">
        <f>X142-AA142</f>
        <v>6944852</v>
      </c>
      <c r="AI142" s="15">
        <f>X142-AD142</f>
        <v>6944852</v>
      </c>
      <c r="AJ142" s="16">
        <f>X142-AG142</f>
        <v>10780963</v>
      </c>
      <c r="AK142" s="9"/>
      <c r="AL142" s="375">
        <v>0</v>
      </c>
      <c r="AM142" s="378">
        <v>0</v>
      </c>
      <c r="AN142" s="9"/>
    </row>
    <row r="143" spans="1:52" s="385" customFormat="1" ht="24.95" customHeight="1" x14ac:dyDescent="0.2">
      <c r="A143" s="767"/>
      <c r="B143" s="668"/>
      <c r="N143" s="9"/>
      <c r="R143" s="9"/>
      <c r="S143" s="719">
        <f>+IF(JULIO!S143=0,"",JULIO!S143)</f>
        <v>2010399</v>
      </c>
      <c r="T143" s="693" t="str">
        <f>+IF(JULIO!T143=0,"",JULIO!T143)</f>
        <v>Vigencias Anteriores</v>
      </c>
      <c r="U143" s="27">
        <f>+ENERO!U143</f>
        <v>0</v>
      </c>
      <c r="V143" s="15">
        <f>JULIO!V143+AGOSTO!AL143</f>
        <v>0</v>
      </c>
      <c r="W143" s="15">
        <f>JULIO!W143+AGOSTO!AM143</f>
        <v>1487943</v>
      </c>
      <c r="X143" s="18">
        <f>SUM(U143:W143)</f>
        <v>1487943</v>
      </c>
      <c r="Y143" s="19">
        <f>JULIO!AA143</f>
        <v>1487943</v>
      </c>
      <c r="Z143" s="377">
        <v>0</v>
      </c>
      <c r="AA143" s="18">
        <f>SUM(Y143:Z143)</f>
        <v>1487943</v>
      </c>
      <c r="AB143" s="19">
        <f>JULIO!AD143</f>
        <v>1487943</v>
      </c>
      <c r="AC143" s="377">
        <v>0</v>
      </c>
      <c r="AD143" s="18">
        <f>SUM(AB143:AC143)</f>
        <v>1487943</v>
      </c>
      <c r="AE143" s="19">
        <f>JULIO!AG143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+IF(JULIO!S144=0,"",JULIO!S144)</f>
        <v/>
      </c>
      <c r="T144" s="708" t="str">
        <f>+IF(JULIO!T144=0,"",JULIO!T144)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+IF(JULIO!S145=0,"",JULIO!S145)</f>
        <v>2020010</v>
      </c>
      <c r="T145" s="691" t="str">
        <f>+IF(JULIO!T145=0,"",JULIO!T145)</f>
        <v>Gastos de Operación</v>
      </c>
      <c r="U145" s="135">
        <f t="shared" ref="U145:AJ145" si="145">U147+U155</f>
        <v>323975875</v>
      </c>
      <c r="V145" s="124">
        <f t="shared" si="145"/>
        <v>34700000</v>
      </c>
      <c r="W145" s="124">
        <f t="shared" si="145"/>
        <v>111099188</v>
      </c>
      <c r="X145" s="132">
        <f t="shared" si="145"/>
        <v>469775063</v>
      </c>
      <c r="Y145" s="131">
        <f t="shared" si="145"/>
        <v>323327463</v>
      </c>
      <c r="Z145" s="124">
        <f t="shared" si="145"/>
        <v>5336991</v>
      </c>
      <c r="AA145" s="132">
        <f t="shared" si="145"/>
        <v>328664454</v>
      </c>
      <c r="AB145" s="131">
        <f t="shared" si="145"/>
        <v>272238723</v>
      </c>
      <c r="AC145" s="124">
        <f t="shared" si="145"/>
        <v>19260127</v>
      </c>
      <c r="AD145" s="132">
        <f t="shared" si="145"/>
        <v>291498850</v>
      </c>
      <c r="AE145" s="131">
        <f t="shared" si="145"/>
        <v>183500972</v>
      </c>
      <c r="AF145" s="124">
        <f t="shared" si="145"/>
        <v>10463916</v>
      </c>
      <c r="AG145" s="132">
        <f t="shared" si="145"/>
        <v>193964888</v>
      </c>
      <c r="AH145" s="131">
        <f t="shared" si="145"/>
        <v>141110609</v>
      </c>
      <c r="AI145" s="124">
        <f t="shared" si="145"/>
        <v>178276213</v>
      </c>
      <c r="AJ145" s="133">
        <f t="shared" si="145"/>
        <v>275810175</v>
      </c>
      <c r="AK145" s="10"/>
      <c r="AL145" s="131">
        <f>AL147+AL155</f>
        <v>5700000</v>
      </c>
      <c r="AM145" s="133">
        <f>AM147+AM155</f>
        <v>0</v>
      </c>
      <c r="AN145" s="9"/>
    </row>
    <row r="146" spans="1:40" s="385" customFormat="1" ht="24.95" customHeight="1" x14ac:dyDescent="0.2">
      <c r="A146" s="767"/>
      <c r="B146" s="668"/>
      <c r="N146" s="9"/>
      <c r="R146" s="9"/>
      <c r="S146" s="720" t="str">
        <f>+IF(JULIO!S146=0,"",JULIO!S146)</f>
        <v/>
      </c>
      <c r="T146" s="694" t="str">
        <f>+IF(JULIO!T146=0,"",JULIO!T146)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+IF(JULIO!S147=0,"",JULIO!S147)</f>
        <v>2020100</v>
      </c>
      <c r="T147" s="692" t="str">
        <f>+IF(JULIO!T147=0,"",JULIO!T147)</f>
        <v>Adquisición de bienes</v>
      </c>
      <c r="U147" s="135">
        <f t="shared" ref="U147:AJ147" si="146">SUM(U148:U149)+U153</f>
        <v>113248636</v>
      </c>
      <c r="V147" s="124">
        <f t="shared" si="146"/>
        <v>2000000</v>
      </c>
      <c r="W147" s="124">
        <f t="shared" si="146"/>
        <v>75561517</v>
      </c>
      <c r="X147" s="132">
        <f t="shared" si="146"/>
        <v>190810153</v>
      </c>
      <c r="Y147" s="131">
        <f t="shared" si="146"/>
        <v>101796139</v>
      </c>
      <c r="Z147" s="124">
        <f t="shared" si="146"/>
        <v>3574117</v>
      </c>
      <c r="AA147" s="132">
        <f t="shared" si="146"/>
        <v>105370256</v>
      </c>
      <c r="AB147" s="131">
        <f t="shared" si="146"/>
        <v>101796139</v>
      </c>
      <c r="AC147" s="124">
        <f t="shared" si="146"/>
        <v>3574117</v>
      </c>
      <c r="AD147" s="132">
        <f t="shared" si="146"/>
        <v>105370256</v>
      </c>
      <c r="AE147" s="131">
        <f t="shared" si="146"/>
        <v>62073604</v>
      </c>
      <c r="AF147" s="124">
        <f t="shared" si="146"/>
        <v>298400</v>
      </c>
      <c r="AG147" s="132">
        <f t="shared" si="146"/>
        <v>62372004</v>
      </c>
      <c r="AH147" s="131">
        <f t="shared" si="146"/>
        <v>85439897</v>
      </c>
      <c r="AI147" s="124">
        <f t="shared" si="146"/>
        <v>85439897</v>
      </c>
      <c r="AJ147" s="133">
        <f t="shared" si="146"/>
        <v>128438149</v>
      </c>
      <c r="AK147" s="9"/>
      <c r="AL147" s="131">
        <f>SUM(AL148:AL149)+AL153</f>
        <v>0</v>
      </c>
      <c r="AM147" s="133">
        <f>SUM(AM148:AM149)+AM153</f>
        <v>0</v>
      </c>
      <c r="AN147" s="9"/>
    </row>
    <row r="148" spans="1:40" s="385" customFormat="1" ht="24.95" customHeight="1" x14ac:dyDescent="0.2">
      <c r="A148" s="767"/>
      <c r="B148" s="668"/>
      <c r="N148" s="9"/>
      <c r="R148" s="9"/>
      <c r="S148" s="719">
        <f>+IF(JULIO!S148=0,"",JULIO!S148)</f>
        <v>2020101</v>
      </c>
      <c r="T148" s="693" t="str">
        <f>+IF(JULIO!T148=0,"",JULIO!T148)</f>
        <v>Mantenimiento Hospitalario</v>
      </c>
      <c r="U148" s="27">
        <f>+ENERO!U148</f>
        <v>74533223</v>
      </c>
      <c r="V148" s="15">
        <f>JULIO!V148+AGOSTO!AL148</f>
        <v>0</v>
      </c>
      <c r="W148" s="15">
        <f>JULIO!W148+AGOSTO!AM148</f>
        <v>0</v>
      </c>
      <c r="X148" s="18">
        <f>SUM(U148:W148)</f>
        <v>74533223</v>
      </c>
      <c r="Y148" s="19">
        <f>JULIO!AA148</f>
        <v>31409548</v>
      </c>
      <c r="Z148" s="377">
        <v>1054550</v>
      </c>
      <c r="AA148" s="18">
        <f>SUM(Y148:Z148)</f>
        <v>32464098</v>
      </c>
      <c r="AB148" s="19">
        <f>JULIO!AD148</f>
        <v>31409548</v>
      </c>
      <c r="AC148" s="377">
        <v>1054550</v>
      </c>
      <c r="AD148" s="18">
        <f>SUM(AB148:AC148)</f>
        <v>32464098</v>
      </c>
      <c r="AE148" s="19">
        <f>JULIO!AG148</f>
        <v>26293160</v>
      </c>
      <c r="AF148" s="377">
        <v>20000</v>
      </c>
      <c r="AG148" s="18">
        <f>SUM(AE148:AF148)</f>
        <v>26313160</v>
      </c>
      <c r="AH148" s="19">
        <f>X148-AA148</f>
        <v>42069125</v>
      </c>
      <c r="AI148" s="15">
        <f>X148-AD148</f>
        <v>42069125</v>
      </c>
      <c r="AJ148" s="16">
        <f>X148-AG148</f>
        <v>48220063</v>
      </c>
      <c r="AK148" s="9"/>
      <c r="AL148" s="375">
        <v>0</v>
      </c>
      <c r="AM148" s="378">
        <v>0</v>
      </c>
      <c r="AN148" s="9"/>
    </row>
    <row r="149" spans="1:40" s="385" customFormat="1" ht="24.95" customHeight="1" x14ac:dyDescent="0.2">
      <c r="A149" s="767"/>
      <c r="B149" s="668"/>
      <c r="N149" s="9"/>
      <c r="R149" s="9"/>
      <c r="S149" s="719">
        <f>+IF(JULIO!S149=0,"",JULIO!S149)</f>
        <v>2020102</v>
      </c>
      <c r="T149" s="693" t="str">
        <f>+IF(JULIO!T149=0,"",JULIO!T149)</f>
        <v>Otros</v>
      </c>
      <c r="U149" s="27">
        <f t="shared" ref="U149:AJ149" si="147">SUM(U150:U152)</f>
        <v>38715413</v>
      </c>
      <c r="V149" s="15">
        <f t="shared" si="147"/>
        <v>2000000</v>
      </c>
      <c r="W149" s="15">
        <f t="shared" si="147"/>
        <v>41780673</v>
      </c>
      <c r="X149" s="18">
        <f t="shared" si="147"/>
        <v>82496086</v>
      </c>
      <c r="Y149" s="19">
        <f t="shared" si="147"/>
        <v>36605747</v>
      </c>
      <c r="Z149" s="145">
        <f t="shared" si="147"/>
        <v>2519567</v>
      </c>
      <c r="AA149" s="18">
        <f t="shared" si="147"/>
        <v>39125314</v>
      </c>
      <c r="AB149" s="19">
        <f t="shared" si="147"/>
        <v>36605747</v>
      </c>
      <c r="AC149" s="145">
        <f t="shared" si="147"/>
        <v>2519567</v>
      </c>
      <c r="AD149" s="18">
        <f t="shared" si="147"/>
        <v>39125314</v>
      </c>
      <c r="AE149" s="19">
        <f t="shared" si="147"/>
        <v>1999600</v>
      </c>
      <c r="AF149" s="145">
        <f t="shared" si="147"/>
        <v>278400</v>
      </c>
      <c r="AG149" s="18">
        <f t="shared" si="147"/>
        <v>2278000</v>
      </c>
      <c r="AH149" s="19">
        <f t="shared" si="147"/>
        <v>43370772</v>
      </c>
      <c r="AI149" s="15">
        <f t="shared" si="147"/>
        <v>43370772</v>
      </c>
      <c r="AJ149" s="16">
        <f t="shared" si="147"/>
        <v>80218086</v>
      </c>
      <c r="AK149" s="9"/>
      <c r="AL149" s="29">
        <f>SUM(AL150:AL152)</f>
        <v>0</v>
      </c>
      <c r="AM149" s="26">
        <f>SUM(AM150:AM152)</f>
        <v>0</v>
      </c>
      <c r="AN149" s="9"/>
    </row>
    <row r="150" spans="1:40" s="385" customFormat="1" ht="24.95" customHeight="1" x14ac:dyDescent="0.2">
      <c r="A150" s="767"/>
      <c r="B150" s="668"/>
      <c r="N150" s="9"/>
      <c r="R150" s="9"/>
      <c r="S150" s="720" t="str">
        <f>+IF(JULIO!S150=0,"",JULIO!S150)</f>
        <v>2020102-1</v>
      </c>
      <c r="T150" s="693" t="str">
        <f>+IF(JULIO!T150=0,"",JULIO!T150)</f>
        <v>Compra de Equipo e Instr. Mco. y Laborat.</v>
      </c>
      <c r="U150" s="27">
        <f>+ENERO!U150</f>
        <v>0</v>
      </c>
      <c r="V150" s="15">
        <f>JULIO!V150+AGOSTO!AL150</f>
        <v>0</v>
      </c>
      <c r="W150" s="15">
        <f>JULIO!W150+AGOSTO!AM150</f>
        <v>40000000</v>
      </c>
      <c r="X150" s="18">
        <f>SUM(U150:W150)</f>
        <v>40000000</v>
      </c>
      <c r="Y150" s="19">
        <f>JULIO!AA150</f>
        <v>15833188</v>
      </c>
      <c r="Z150" s="377">
        <v>0</v>
      </c>
      <c r="AA150" s="18">
        <f>SUM(Y150:Z150)</f>
        <v>15833188</v>
      </c>
      <c r="AB150" s="19">
        <f>JULIO!AD150</f>
        <v>15833188</v>
      </c>
      <c r="AC150" s="377">
        <v>0</v>
      </c>
      <c r="AD150" s="18">
        <f>SUM(AB150:AC150)</f>
        <v>15833188</v>
      </c>
      <c r="AE150" s="19">
        <f>JULIO!AG150</f>
        <v>1809600</v>
      </c>
      <c r="AF150" s="377">
        <v>0</v>
      </c>
      <c r="AG150" s="18">
        <f>SUM(AE150:AF150)</f>
        <v>1809600</v>
      </c>
      <c r="AH150" s="19">
        <f>X150-AA150</f>
        <v>24166812</v>
      </c>
      <c r="AI150" s="15">
        <f>X150-AD150</f>
        <v>24166812</v>
      </c>
      <c r="AJ150" s="16">
        <f>X150-AG150</f>
        <v>38190400</v>
      </c>
      <c r="AK150" s="9"/>
      <c r="AL150" s="375">
        <v>0</v>
      </c>
      <c r="AM150" s="378">
        <v>0</v>
      </c>
      <c r="AN150" s="9"/>
    </row>
    <row r="151" spans="1:40" s="385" customFormat="1" ht="24.95" customHeight="1" x14ac:dyDescent="0.2">
      <c r="A151" s="767"/>
      <c r="B151" s="668"/>
      <c r="N151" s="9"/>
      <c r="R151" s="9"/>
      <c r="S151" s="720" t="str">
        <f>+IF(JULIO!S151=0,"",JULIO!S151)</f>
        <v>2020102-2</v>
      </c>
      <c r="T151" s="693" t="str">
        <f>+IF(JULIO!T151=0,"",JULIO!T151)</f>
        <v>Materiales</v>
      </c>
      <c r="U151" s="27">
        <f>+ENERO!U151</f>
        <v>15288294</v>
      </c>
      <c r="V151" s="15">
        <f>JULIO!V151+AGOSTO!AL151</f>
        <v>2000000</v>
      </c>
      <c r="W151" s="15">
        <f>JULIO!W151+AGOSTO!AM151</f>
        <v>1780673</v>
      </c>
      <c r="X151" s="18">
        <f>SUM(U151:W151)</f>
        <v>19068967</v>
      </c>
      <c r="Y151" s="19">
        <f>JULIO!AA151</f>
        <v>7093808</v>
      </c>
      <c r="Z151" s="377">
        <v>0</v>
      </c>
      <c r="AA151" s="18">
        <f>SUM(Y151:Z151)</f>
        <v>7093808</v>
      </c>
      <c r="AB151" s="19">
        <f>JULIO!AD151</f>
        <v>7093808</v>
      </c>
      <c r="AC151" s="377">
        <v>0</v>
      </c>
      <c r="AD151" s="18">
        <f>SUM(AB151:AC151)</f>
        <v>7093808</v>
      </c>
      <c r="AE151" s="19">
        <f>JULIO!AG151</f>
        <v>105000</v>
      </c>
      <c r="AF151" s="377">
        <v>278400</v>
      </c>
      <c r="AG151" s="18">
        <f>SUM(AE151:AF151)</f>
        <v>383400</v>
      </c>
      <c r="AH151" s="19">
        <f>X151-AA151</f>
        <v>11975159</v>
      </c>
      <c r="AI151" s="15">
        <f>X151-AD151</f>
        <v>11975159</v>
      </c>
      <c r="AJ151" s="16">
        <f>X151-AG151</f>
        <v>18685567</v>
      </c>
      <c r="AK151" s="9"/>
      <c r="AL151" s="375">
        <v>0</v>
      </c>
      <c r="AM151" s="378">
        <v>0</v>
      </c>
      <c r="AN151" s="9"/>
    </row>
    <row r="152" spans="1:40" s="385" customFormat="1" ht="24.95" customHeight="1" x14ac:dyDescent="0.2">
      <c r="A152" s="767"/>
      <c r="B152" s="668"/>
      <c r="N152" s="9"/>
      <c r="R152" s="9"/>
      <c r="S152" s="720" t="str">
        <f>+IF(JULIO!S152=0,"",JULIO!S152)</f>
        <v>2020102-3</v>
      </c>
      <c r="T152" s="693" t="str">
        <f>+IF(JULIO!T152=0,"",JULIO!T152)</f>
        <v>Combustible</v>
      </c>
      <c r="U152" s="27">
        <f>+ENERO!U152</f>
        <v>23427119</v>
      </c>
      <c r="V152" s="15">
        <f>JULIO!V152+AGOSTO!AL152</f>
        <v>0</v>
      </c>
      <c r="W152" s="15">
        <f>JULIO!W152+AGOSTO!AM152</f>
        <v>0</v>
      </c>
      <c r="X152" s="18">
        <f>SUM(U152:W152)</f>
        <v>23427119</v>
      </c>
      <c r="Y152" s="19">
        <f>JULIO!AA152</f>
        <v>13678751</v>
      </c>
      <c r="Z152" s="377">
        <v>2519567</v>
      </c>
      <c r="AA152" s="18">
        <f>SUM(Y152:Z152)</f>
        <v>16198318</v>
      </c>
      <c r="AB152" s="19">
        <f>JULIO!AD152</f>
        <v>13678751</v>
      </c>
      <c r="AC152" s="377">
        <v>2519567</v>
      </c>
      <c r="AD152" s="18">
        <f>SUM(AB152:AC152)</f>
        <v>16198318</v>
      </c>
      <c r="AE152" s="19">
        <f>JULIO!AG152</f>
        <v>85000</v>
      </c>
      <c r="AF152" s="377">
        <v>0</v>
      </c>
      <c r="AG152" s="18">
        <f>SUM(AE152:AF152)</f>
        <v>85000</v>
      </c>
      <c r="AH152" s="19">
        <f>X152-AA152</f>
        <v>7228801</v>
      </c>
      <c r="AI152" s="15">
        <f>X152-AD152</f>
        <v>7228801</v>
      </c>
      <c r="AJ152" s="16">
        <f>X152-AG152</f>
        <v>23342119</v>
      </c>
      <c r="AK152" s="9"/>
      <c r="AL152" s="375">
        <v>0</v>
      </c>
      <c r="AM152" s="378">
        <v>0</v>
      </c>
      <c r="AN152" s="9"/>
    </row>
    <row r="153" spans="1:40" s="385" customFormat="1" ht="24.95" customHeight="1" x14ac:dyDescent="0.2">
      <c r="A153" s="767"/>
      <c r="B153" s="668"/>
      <c r="N153" s="9"/>
      <c r="R153" s="9"/>
      <c r="S153" s="719">
        <f>+IF(JULIO!S153=0,"",JULIO!S153)</f>
        <v>2020199</v>
      </c>
      <c r="T153" s="693" t="str">
        <f>+IF(JULIO!T153=0,"",JULIO!T153)</f>
        <v>Vigencias Anteriores</v>
      </c>
      <c r="U153" s="27">
        <f>+ENERO!U153</f>
        <v>0</v>
      </c>
      <c r="V153" s="15">
        <f>JULIO!V153+AGOSTO!AL153</f>
        <v>0</v>
      </c>
      <c r="W153" s="15">
        <f>JULIO!W153+AGOSTO!AM153</f>
        <v>33780844</v>
      </c>
      <c r="X153" s="18">
        <f>SUM(U153:W153)</f>
        <v>33780844</v>
      </c>
      <c r="Y153" s="19">
        <f>JULIO!AA153</f>
        <v>33780844</v>
      </c>
      <c r="Z153" s="377">
        <v>0</v>
      </c>
      <c r="AA153" s="18">
        <f>SUM(Y153:Z153)</f>
        <v>33780844</v>
      </c>
      <c r="AB153" s="19">
        <f>JULIO!AD153</f>
        <v>33780844</v>
      </c>
      <c r="AC153" s="377">
        <v>0</v>
      </c>
      <c r="AD153" s="18">
        <f>SUM(AB153:AC153)</f>
        <v>33780844</v>
      </c>
      <c r="AE153" s="19">
        <f>JULIO!AG153</f>
        <v>33780844</v>
      </c>
      <c r="AF153" s="377">
        <v>0</v>
      </c>
      <c r="AG153" s="18">
        <f>SUM(AE153:AF153)</f>
        <v>33780844</v>
      </c>
      <c r="AH153" s="19">
        <f>X153-AA153</f>
        <v>0</v>
      </c>
      <c r="AI153" s="15">
        <f>X153-AD153</f>
        <v>0</v>
      </c>
      <c r="AJ153" s="16">
        <f>X153-AG153</f>
        <v>0</v>
      </c>
      <c r="AK153" s="9"/>
      <c r="AL153" s="375">
        <v>0</v>
      </c>
      <c r="AM153" s="378">
        <v>0</v>
      </c>
      <c r="AN153" s="9"/>
    </row>
    <row r="154" spans="1:40" s="385" customFormat="1" ht="24.95" customHeight="1" x14ac:dyDescent="0.2">
      <c r="A154" s="767"/>
      <c r="B154" s="668"/>
      <c r="N154" s="9"/>
      <c r="R154" s="9"/>
      <c r="S154" s="369" t="str">
        <f>+IF(JULIO!S154=0,"",JULIO!S154)</f>
        <v/>
      </c>
      <c r="T154" s="708" t="str">
        <f>+IF(JULIO!T154=0,"",JULIO!T154)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+IF(JULIO!S155=0,"",JULIO!S155)</f>
        <v>2020200</v>
      </c>
      <c r="T155" s="692" t="str">
        <f>+IF(JULIO!T155=0,"",JULIO!T155)</f>
        <v>Adquisición de Servicios</v>
      </c>
      <c r="U155" s="135">
        <f t="shared" ref="U155:AJ155" si="148">SUM(U156:U157)+U168</f>
        <v>210727239</v>
      </c>
      <c r="V155" s="124">
        <f t="shared" si="148"/>
        <v>32700000</v>
      </c>
      <c r="W155" s="124">
        <f t="shared" si="148"/>
        <v>35537671</v>
      </c>
      <c r="X155" s="132">
        <f t="shared" si="148"/>
        <v>278964910</v>
      </c>
      <c r="Y155" s="131">
        <f t="shared" si="148"/>
        <v>221531324</v>
      </c>
      <c r="Z155" s="124">
        <f t="shared" si="148"/>
        <v>1762874</v>
      </c>
      <c r="AA155" s="132">
        <f t="shared" si="148"/>
        <v>223294198</v>
      </c>
      <c r="AB155" s="131">
        <f t="shared" si="148"/>
        <v>170442584</v>
      </c>
      <c r="AC155" s="124">
        <f t="shared" si="148"/>
        <v>15686010</v>
      </c>
      <c r="AD155" s="132">
        <f t="shared" si="148"/>
        <v>186128594</v>
      </c>
      <c r="AE155" s="131">
        <f t="shared" si="148"/>
        <v>121427368</v>
      </c>
      <c r="AF155" s="124">
        <f t="shared" si="148"/>
        <v>10165516</v>
      </c>
      <c r="AG155" s="132">
        <f t="shared" si="148"/>
        <v>131592884</v>
      </c>
      <c r="AH155" s="131">
        <f t="shared" si="148"/>
        <v>55670712</v>
      </c>
      <c r="AI155" s="124">
        <f t="shared" si="148"/>
        <v>92836316</v>
      </c>
      <c r="AJ155" s="133">
        <f t="shared" si="148"/>
        <v>147372026</v>
      </c>
      <c r="AK155" s="9"/>
      <c r="AL155" s="131">
        <f>SUM(AL156:AL157)+AL168</f>
        <v>5700000</v>
      </c>
      <c r="AM155" s="133">
        <f>SUM(AM156:AM157)+AM168</f>
        <v>0</v>
      </c>
      <c r="AN155" s="9"/>
    </row>
    <row r="156" spans="1:40" s="385" customFormat="1" ht="24.95" customHeight="1" x14ac:dyDescent="0.2">
      <c r="A156" s="767"/>
      <c r="B156" s="668"/>
      <c r="N156" s="9"/>
      <c r="P156" s="9"/>
      <c r="Q156" s="9"/>
      <c r="R156" s="9"/>
      <c r="S156" s="719">
        <f>+IF(JULIO!S156=0,"",JULIO!S156)</f>
        <v>2020201</v>
      </c>
      <c r="T156" s="693" t="str">
        <f>+IF(JULIO!T156=0,"",JULIO!T156)</f>
        <v>Mantenimiento Hospitalario</v>
      </c>
      <c r="U156" s="27">
        <f>+ENERO!U156</f>
        <v>82251828</v>
      </c>
      <c r="V156" s="15">
        <f>JULIO!V156+AGOSTO!AL156</f>
        <v>0</v>
      </c>
      <c r="W156" s="15">
        <f>JULIO!W156+AGOSTO!AM156</f>
        <v>0</v>
      </c>
      <c r="X156" s="18">
        <f>SUM(U156:W156)</f>
        <v>82251828</v>
      </c>
      <c r="Y156" s="19">
        <f>JULIO!AA156</f>
        <v>72647797</v>
      </c>
      <c r="Z156" s="377">
        <v>409800</v>
      </c>
      <c r="AA156" s="18">
        <f>SUM(Y156:Z156)</f>
        <v>73057597</v>
      </c>
      <c r="AB156" s="19">
        <f>JULIO!AD156</f>
        <v>55576551</v>
      </c>
      <c r="AC156" s="377">
        <v>7054200</v>
      </c>
      <c r="AD156" s="18">
        <f>SUM(AB156:AC156)</f>
        <v>62630751</v>
      </c>
      <c r="AE156" s="19">
        <f>JULIO!AG156</f>
        <v>44176638</v>
      </c>
      <c r="AF156" s="377">
        <v>1570200</v>
      </c>
      <c r="AG156" s="18">
        <f>SUM(AE156:AF156)</f>
        <v>45746838</v>
      </c>
      <c r="AH156" s="19">
        <f>X156-AA156</f>
        <v>9194231</v>
      </c>
      <c r="AI156" s="15">
        <f>X156-AD156</f>
        <v>19621077</v>
      </c>
      <c r="AJ156" s="16">
        <f>X156-AG156</f>
        <v>36504990</v>
      </c>
      <c r="AK156" s="9"/>
      <c r="AL156" s="375">
        <v>0</v>
      </c>
      <c r="AM156" s="378">
        <v>0</v>
      </c>
      <c r="AN156" s="9"/>
    </row>
    <row r="157" spans="1:40" s="385" customFormat="1" ht="24.95" customHeight="1" x14ac:dyDescent="0.2">
      <c r="A157" s="767"/>
      <c r="B157" s="668"/>
      <c r="N157" s="9"/>
      <c r="P157" s="9"/>
      <c r="Q157" s="9"/>
      <c r="R157" s="9"/>
      <c r="S157" s="719">
        <f>+IF(JULIO!S157=0,"",JULIO!S157)</f>
        <v>2020202</v>
      </c>
      <c r="T157" s="693" t="str">
        <f>+IF(JULIO!T157=0,"",JULIO!T157)</f>
        <v>Otros</v>
      </c>
      <c r="U157" s="27">
        <f t="shared" ref="U157:AJ157" si="149">SUM(U158:U167)</f>
        <v>128475411</v>
      </c>
      <c r="V157" s="15">
        <f t="shared" si="149"/>
        <v>32700000</v>
      </c>
      <c r="W157" s="15">
        <f t="shared" si="149"/>
        <v>7000000</v>
      </c>
      <c r="X157" s="18">
        <f t="shared" si="149"/>
        <v>168175411</v>
      </c>
      <c r="Y157" s="19">
        <f t="shared" si="149"/>
        <v>120345856</v>
      </c>
      <c r="Z157" s="145">
        <f t="shared" si="149"/>
        <v>1353074</v>
      </c>
      <c r="AA157" s="18">
        <f t="shared" si="149"/>
        <v>121698930</v>
      </c>
      <c r="AB157" s="19">
        <f t="shared" si="149"/>
        <v>86328362</v>
      </c>
      <c r="AC157" s="145">
        <f t="shared" si="149"/>
        <v>8631810</v>
      </c>
      <c r="AD157" s="18">
        <f t="shared" si="149"/>
        <v>94960172</v>
      </c>
      <c r="AE157" s="19">
        <f t="shared" si="149"/>
        <v>55847478</v>
      </c>
      <c r="AF157" s="145">
        <f t="shared" si="149"/>
        <v>8595316</v>
      </c>
      <c r="AG157" s="18">
        <f t="shared" si="149"/>
        <v>64442794</v>
      </c>
      <c r="AH157" s="19">
        <f t="shared" si="149"/>
        <v>46476481</v>
      </c>
      <c r="AI157" s="15">
        <f t="shared" si="149"/>
        <v>73215239</v>
      </c>
      <c r="AJ157" s="16">
        <f t="shared" si="149"/>
        <v>103732617</v>
      </c>
      <c r="AK157" s="10"/>
      <c r="AL157" s="29">
        <f>SUM(AL158:AL167)</f>
        <v>5700000</v>
      </c>
      <c r="AM157" s="26">
        <f>SUM(AM158:AM167)</f>
        <v>0</v>
      </c>
      <c r="AN157" s="9"/>
    </row>
    <row r="158" spans="1:40" s="385" customFormat="1" ht="24.95" customHeight="1" x14ac:dyDescent="0.2">
      <c r="A158" s="767"/>
      <c r="B158" s="668"/>
      <c r="N158" s="9"/>
      <c r="P158" s="9"/>
      <c r="Q158" s="9"/>
      <c r="R158" s="9"/>
      <c r="S158" s="720" t="str">
        <f>+IF(JULIO!S158=0,"",JULIO!S158)</f>
        <v>2020202-1</v>
      </c>
      <c r="T158" s="694" t="str">
        <f>+IF(JULIO!T158=0,"",JULIO!T158)</f>
        <v>Seguros</v>
      </c>
      <c r="U158" s="27">
        <f>+ENERO!U158</f>
        <v>15745455</v>
      </c>
      <c r="V158" s="15">
        <f>JULIO!V158+AGOSTO!AL158</f>
        <v>0</v>
      </c>
      <c r="W158" s="15">
        <f>JULIO!W158+AGOSTO!AM158</f>
        <v>5000000</v>
      </c>
      <c r="X158" s="18">
        <f t="shared" ref="X158:X168" si="150">SUM(U158:W158)</f>
        <v>20745455</v>
      </c>
      <c r="Y158" s="19">
        <f>JULIO!AA158</f>
        <v>18105539</v>
      </c>
      <c r="Z158" s="377">
        <v>0</v>
      </c>
      <c r="AA158" s="18">
        <f t="shared" ref="AA158:AA168" si="151">SUM(Y158:Z158)</f>
        <v>18105539</v>
      </c>
      <c r="AB158" s="19">
        <f>JULIO!AD158</f>
        <v>18105539</v>
      </c>
      <c r="AC158" s="377">
        <v>0</v>
      </c>
      <c r="AD158" s="18">
        <f t="shared" ref="AD158:AD168" si="152">SUM(AB158:AC158)</f>
        <v>18105539</v>
      </c>
      <c r="AE158" s="19">
        <f>JULIO!AG158</f>
        <v>15857681</v>
      </c>
      <c r="AF158" s="377">
        <v>0</v>
      </c>
      <c r="AG158" s="18">
        <f t="shared" ref="AG158:AG168" si="153">SUM(AE158:AF158)</f>
        <v>15857681</v>
      </c>
      <c r="AH158" s="19">
        <f t="shared" ref="AH158:AH168" si="154">X158-AA158</f>
        <v>2639916</v>
      </c>
      <c r="AI158" s="15">
        <f t="shared" ref="AI158:AI168" si="155">X158-AD158</f>
        <v>2639916</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+IF(JULIO!S159=0,"",JULIO!S159)</f>
        <v>2020202-2</v>
      </c>
      <c r="T159" s="694" t="str">
        <f>+IF(JULIO!T159=0,"",JULIO!T159)</f>
        <v>Impresos y Publicaciones</v>
      </c>
      <c r="U159" s="27">
        <f>+ENERO!U159</f>
        <v>0</v>
      </c>
      <c r="V159" s="15">
        <f>JULIO!V159+AGOSTO!AL159</f>
        <v>0</v>
      </c>
      <c r="W159" s="15">
        <f>JULIO!W159+AGOSTO!AM159</f>
        <v>0</v>
      </c>
      <c r="X159" s="18">
        <f t="shared" si="150"/>
        <v>0</v>
      </c>
      <c r="Y159" s="19">
        <f>JULIO!AA159</f>
        <v>0</v>
      </c>
      <c r="Z159" s="377">
        <v>0</v>
      </c>
      <c r="AA159" s="18">
        <f t="shared" si="151"/>
        <v>0</v>
      </c>
      <c r="AB159" s="19">
        <f>JULIO!AD159</f>
        <v>0</v>
      </c>
      <c r="AC159" s="377">
        <v>0</v>
      </c>
      <c r="AD159" s="18">
        <f t="shared" si="152"/>
        <v>0</v>
      </c>
      <c r="AE159" s="19">
        <f>JULIO!AG159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+IF(JULIO!S160=0,"",JULIO!S160)</f>
        <v>2020202-3</v>
      </c>
      <c r="T160" s="694" t="str">
        <f>+IF(JULIO!T160=0,"",JULIO!T160)</f>
        <v>Pago a otras IPS</v>
      </c>
      <c r="U160" s="27">
        <f>+ENERO!U160</f>
        <v>893693</v>
      </c>
      <c r="V160" s="15">
        <f>JULIO!V160+AGOSTO!AL160</f>
        <v>23000000</v>
      </c>
      <c r="W160" s="15">
        <f>JULIO!W160+AGOSTO!AM160</f>
        <v>2000000</v>
      </c>
      <c r="X160" s="18">
        <f t="shared" si="150"/>
        <v>25893693</v>
      </c>
      <c r="Y160" s="19">
        <f>JULIO!AA160</f>
        <v>3222593</v>
      </c>
      <c r="Z160" s="377">
        <v>0</v>
      </c>
      <c r="AA160" s="18">
        <f t="shared" si="151"/>
        <v>3222593</v>
      </c>
      <c r="AB160" s="19">
        <f>JULIO!AD160</f>
        <v>3222593</v>
      </c>
      <c r="AC160" s="377">
        <v>0</v>
      </c>
      <c r="AD160" s="18">
        <f t="shared" si="152"/>
        <v>3222593</v>
      </c>
      <c r="AE160" s="19">
        <f>JULIO!AG160</f>
        <v>55000</v>
      </c>
      <c r="AF160" s="377">
        <v>0</v>
      </c>
      <c r="AG160" s="18">
        <f t="shared" si="153"/>
        <v>55000</v>
      </c>
      <c r="AH160" s="19">
        <f t="shared" si="154"/>
        <v>22671100</v>
      </c>
      <c r="AI160" s="15">
        <f t="shared" si="155"/>
        <v>22671100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+IF(JULIO!S161=0,"",JULIO!S161)</f>
        <v>2020202-4</v>
      </c>
      <c r="T161" s="694" t="str">
        <f>+IF(JULIO!T161=0,"",JULIO!T161)</f>
        <v>Comunicaciones y Transportes</v>
      </c>
      <c r="U161" s="27">
        <f>+ENERO!U161</f>
        <v>9528246</v>
      </c>
      <c r="V161" s="15">
        <f>JULIO!V161+AGOSTO!AL161</f>
        <v>0</v>
      </c>
      <c r="W161" s="15">
        <f>JULIO!W161+AGOSTO!AM161</f>
        <v>0</v>
      </c>
      <c r="X161" s="18">
        <f t="shared" si="150"/>
        <v>9528246</v>
      </c>
      <c r="Y161" s="19">
        <f>JULIO!AA161</f>
        <v>4072293</v>
      </c>
      <c r="Z161" s="377">
        <v>603770</v>
      </c>
      <c r="AA161" s="18">
        <f t="shared" si="151"/>
        <v>4676063</v>
      </c>
      <c r="AB161" s="19">
        <f>JULIO!AD161</f>
        <v>4072293</v>
      </c>
      <c r="AC161" s="377">
        <v>603770</v>
      </c>
      <c r="AD161" s="18">
        <f t="shared" si="152"/>
        <v>4676063</v>
      </c>
      <c r="AE161" s="19">
        <f>JULIO!AG161</f>
        <v>3024657</v>
      </c>
      <c r="AF161" s="377">
        <v>935799</v>
      </c>
      <c r="AG161" s="18">
        <f t="shared" si="153"/>
        <v>3960456</v>
      </c>
      <c r="AH161" s="19">
        <f t="shared" si="154"/>
        <v>4852183</v>
      </c>
      <c r="AI161" s="15">
        <f t="shared" si="155"/>
        <v>4852183</v>
      </c>
      <c r="AJ161" s="16">
        <f t="shared" si="156"/>
        <v>5567790</v>
      </c>
      <c r="AK161" s="9"/>
      <c r="AL161" s="375">
        <v>0</v>
      </c>
      <c r="AM161" s="378">
        <v>0</v>
      </c>
      <c r="AN161" s="9"/>
    </row>
    <row r="162" spans="1:40" s="385" customFormat="1" ht="24.95" customHeight="1" x14ac:dyDescent="0.2">
      <c r="A162" s="767"/>
      <c r="B162" s="668"/>
      <c r="N162" s="9"/>
      <c r="P162" s="9"/>
      <c r="Q162" s="9"/>
      <c r="R162" s="9"/>
      <c r="S162" s="720" t="str">
        <f>+IF(JULIO!S162=0,"",JULIO!S162)</f>
        <v>2020202-5</v>
      </c>
      <c r="T162" s="694" t="str">
        <f>+IF(JULIO!T162=0,"",JULIO!T162)</f>
        <v>Viáticos y Gastos de Viaje</v>
      </c>
      <c r="U162" s="27">
        <f>+ENERO!U162</f>
        <v>3326745</v>
      </c>
      <c r="V162" s="15">
        <f>JULIO!V162+AGOSTO!AL162</f>
        <v>0</v>
      </c>
      <c r="W162" s="15">
        <f>JULIO!W162+AGOSTO!AM162</f>
        <v>0</v>
      </c>
      <c r="X162" s="18">
        <f t="shared" si="150"/>
        <v>3326745</v>
      </c>
      <c r="Y162" s="19">
        <f>JULIO!AA162</f>
        <v>850261</v>
      </c>
      <c r="Z162" s="377">
        <v>253304</v>
      </c>
      <c r="AA162" s="18">
        <f t="shared" si="151"/>
        <v>1103565</v>
      </c>
      <c r="AB162" s="19">
        <f>JULIO!AD162</f>
        <v>850261</v>
      </c>
      <c r="AC162" s="377">
        <v>253304</v>
      </c>
      <c r="AD162" s="18">
        <f t="shared" si="152"/>
        <v>1103565</v>
      </c>
      <c r="AE162" s="19">
        <f>JULIO!AG162</f>
        <v>791797</v>
      </c>
      <c r="AF162" s="377">
        <v>233145</v>
      </c>
      <c r="AG162" s="18">
        <f t="shared" si="153"/>
        <v>1024942</v>
      </c>
      <c r="AH162" s="19">
        <f t="shared" si="154"/>
        <v>2223180</v>
      </c>
      <c r="AI162" s="15">
        <f t="shared" si="155"/>
        <v>2223180</v>
      </c>
      <c r="AJ162" s="16">
        <f t="shared" si="156"/>
        <v>2301803</v>
      </c>
      <c r="AK162" s="9"/>
      <c r="AL162" s="375">
        <v>0</v>
      </c>
      <c r="AM162" s="378">
        <v>0</v>
      </c>
      <c r="AN162" s="9"/>
    </row>
    <row r="163" spans="1:40" s="385" customFormat="1" ht="24.95" customHeight="1" x14ac:dyDescent="0.2">
      <c r="A163" s="767"/>
      <c r="B163" s="668"/>
      <c r="N163" s="9"/>
      <c r="P163" s="9"/>
      <c r="Q163" s="9"/>
      <c r="R163" s="9"/>
      <c r="S163" s="720" t="str">
        <f>+IF(JULIO!S163=0,"",JULIO!S163)</f>
        <v>2020202-6</v>
      </c>
      <c r="T163" s="694" t="str">
        <f>+IF(JULIO!T163=0,"",JULIO!T163)</f>
        <v>Plan Integral de Manejo de Residuos Sólidos Hospitalarios</v>
      </c>
      <c r="U163" s="27">
        <f>+ENERO!U163</f>
        <v>10511470</v>
      </c>
      <c r="V163" s="15">
        <f>JULIO!V163+AGOSTO!AL163</f>
        <v>0</v>
      </c>
      <c r="W163" s="15">
        <f>JULIO!W163+AGOSTO!AM163</f>
        <v>0</v>
      </c>
      <c r="X163" s="18">
        <f t="shared" si="150"/>
        <v>10511470</v>
      </c>
      <c r="Y163" s="19">
        <f>JULIO!AA163</f>
        <v>10511470</v>
      </c>
      <c r="Z163" s="377">
        <v>0</v>
      </c>
      <c r="AA163" s="18">
        <f t="shared" si="151"/>
        <v>10511470</v>
      </c>
      <c r="AB163" s="19">
        <f>JULIO!AD163</f>
        <v>3489268</v>
      </c>
      <c r="AC163" s="377">
        <v>667500</v>
      </c>
      <c r="AD163" s="18">
        <f t="shared" si="152"/>
        <v>4156768</v>
      </c>
      <c r="AE163" s="19">
        <f>JULIO!AG163</f>
        <v>1759305</v>
      </c>
      <c r="AF163" s="377">
        <v>0</v>
      </c>
      <c r="AG163" s="18">
        <f t="shared" si="153"/>
        <v>1759305</v>
      </c>
      <c r="AH163" s="19">
        <f t="shared" si="154"/>
        <v>0</v>
      </c>
      <c r="AI163" s="15">
        <f t="shared" si="155"/>
        <v>6354702</v>
      </c>
      <c r="AJ163" s="16">
        <f t="shared" si="156"/>
        <v>8752165</v>
      </c>
      <c r="AK163" s="9"/>
      <c r="AL163" s="375">
        <v>0</v>
      </c>
      <c r="AM163" s="378">
        <v>0</v>
      </c>
      <c r="AN163" s="9"/>
    </row>
    <row r="164" spans="1:40" s="385" customFormat="1" ht="24.95" customHeight="1" x14ac:dyDescent="0.2">
      <c r="A164" s="767"/>
      <c r="B164" s="668"/>
      <c r="N164" s="9"/>
      <c r="P164" s="9"/>
      <c r="Q164" s="9"/>
      <c r="R164" s="9"/>
      <c r="S164" s="720" t="str">
        <f>+IF(JULIO!S164=0,"",JULIO!S164)</f>
        <v>2020202-7</v>
      </c>
      <c r="T164" s="694" t="str">
        <f>+IF(JULIO!T164=0,"",JULIO!T164)</f>
        <v>Servicios de Laboratorio contratados con terceros</v>
      </c>
      <c r="U164" s="27">
        <f>+ENERO!U164</f>
        <v>21580478</v>
      </c>
      <c r="V164" s="15">
        <f>JULIO!V164+AGOSTO!AL164</f>
        <v>9700000</v>
      </c>
      <c r="W164" s="15">
        <f>JULIO!W164+AGOSTO!AM164</f>
        <v>0</v>
      </c>
      <c r="X164" s="18">
        <f t="shared" si="150"/>
        <v>31280478</v>
      </c>
      <c r="Y164" s="19">
        <f>JULIO!AA164</f>
        <v>19964000</v>
      </c>
      <c r="Z164" s="377">
        <v>496000</v>
      </c>
      <c r="AA164" s="18">
        <f t="shared" si="151"/>
        <v>20460000</v>
      </c>
      <c r="AB164" s="19">
        <f>JULIO!AD164</f>
        <v>19958000</v>
      </c>
      <c r="AC164" s="377">
        <v>496000</v>
      </c>
      <c r="AD164" s="18">
        <f t="shared" si="152"/>
        <v>20454000</v>
      </c>
      <c r="AE164" s="19">
        <f>JULIO!AG164</f>
        <v>7943800</v>
      </c>
      <c r="AF164" s="377">
        <v>2357900</v>
      </c>
      <c r="AG164" s="18">
        <f t="shared" si="153"/>
        <v>10301700</v>
      </c>
      <c r="AH164" s="19">
        <f t="shared" si="154"/>
        <v>10820478</v>
      </c>
      <c r="AI164" s="15">
        <f t="shared" si="155"/>
        <v>10826478</v>
      </c>
      <c r="AJ164" s="16">
        <f t="shared" si="156"/>
        <v>20978778</v>
      </c>
      <c r="AK164" s="9"/>
      <c r="AL164" s="375">
        <v>5700000</v>
      </c>
      <c r="AM164" s="378">
        <v>0</v>
      </c>
      <c r="AN164" s="9"/>
    </row>
    <row r="165" spans="1:40" s="385" customFormat="1" ht="24.95" customHeight="1" x14ac:dyDescent="0.2">
      <c r="A165" s="767"/>
      <c r="B165" s="668"/>
      <c r="N165" s="9"/>
      <c r="P165" s="9"/>
      <c r="Q165" s="9"/>
      <c r="R165" s="9"/>
      <c r="S165" s="720" t="str">
        <f>+IF(JULIO!S165=0,"",JULIO!S165)</f>
        <v>2020202-8</v>
      </c>
      <c r="T165" s="694" t="str">
        <f>+IF(JULIO!T165=0,"",JULIO!T165)</f>
        <v>Servicios de Rayos X e Imaginología contratado con terceros</v>
      </c>
      <c r="U165" s="27">
        <f>+ENERO!U165</f>
        <v>0</v>
      </c>
      <c r="V165" s="15">
        <f>JULIO!V165+AGOSTO!AL165</f>
        <v>0</v>
      </c>
      <c r="W165" s="15">
        <f>JULIO!W165+AGOSTO!AM165</f>
        <v>0</v>
      </c>
      <c r="X165" s="18">
        <f t="shared" si="150"/>
        <v>0</v>
      </c>
      <c r="Y165" s="19">
        <f>JULIO!AA165</f>
        <v>0</v>
      </c>
      <c r="Z165" s="377">
        <v>0</v>
      </c>
      <c r="AA165" s="18">
        <f t="shared" si="151"/>
        <v>0</v>
      </c>
      <c r="AB165" s="19">
        <f>JULIO!AD165</f>
        <v>0</v>
      </c>
      <c r="AC165" s="377">
        <v>0</v>
      </c>
      <c r="AD165" s="18">
        <f t="shared" si="152"/>
        <v>0</v>
      </c>
      <c r="AE165" s="19">
        <f>JULIO!AG165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+IF(JULIO!S166=0,"",JULIO!S166)</f>
        <v>2020202-9</v>
      </c>
      <c r="T166" s="694" t="str">
        <f>+IF(JULIO!T166=0,"",JULIO!T166)</f>
        <v>Arrendamientos</v>
      </c>
      <c r="U166" s="27">
        <f>+ENERO!U166</f>
        <v>66889324</v>
      </c>
      <c r="V166" s="15">
        <f>JULIO!V166+AGOSTO!AL166</f>
        <v>0</v>
      </c>
      <c r="W166" s="15">
        <f>JULIO!W166+AGOSTO!AM166</f>
        <v>0</v>
      </c>
      <c r="X166" s="18">
        <f t="shared" si="150"/>
        <v>66889324</v>
      </c>
      <c r="Y166" s="19">
        <f>JULIO!AA166</f>
        <v>63619700</v>
      </c>
      <c r="Z166" s="377">
        <v>0</v>
      </c>
      <c r="AA166" s="18">
        <f t="shared" si="151"/>
        <v>63619700</v>
      </c>
      <c r="AB166" s="19">
        <f>JULIO!AD166</f>
        <v>36630408</v>
      </c>
      <c r="AC166" s="377">
        <v>6611236</v>
      </c>
      <c r="AD166" s="18">
        <f t="shared" si="152"/>
        <v>43241644</v>
      </c>
      <c r="AE166" s="19">
        <f>JULIO!AG166</f>
        <v>26415238</v>
      </c>
      <c r="AF166" s="377">
        <v>5068472</v>
      </c>
      <c r="AG166" s="18">
        <f t="shared" si="153"/>
        <v>31483710</v>
      </c>
      <c r="AH166" s="19">
        <f t="shared" si="154"/>
        <v>3269624</v>
      </c>
      <c r="AI166" s="15">
        <f t="shared" si="155"/>
        <v>23647680</v>
      </c>
      <c r="AJ166" s="16">
        <f t="shared" si="156"/>
        <v>35405614</v>
      </c>
      <c r="AK166" s="9"/>
      <c r="AL166" s="375">
        <v>0</v>
      </c>
      <c r="AM166" s="378">
        <v>0</v>
      </c>
      <c r="AN166" s="9"/>
    </row>
    <row r="167" spans="1:40" s="385" customFormat="1" ht="24.95" customHeight="1" x14ac:dyDescent="0.2">
      <c r="A167" s="767"/>
      <c r="B167" s="668"/>
      <c r="N167" s="9"/>
      <c r="P167" s="9"/>
      <c r="Q167" s="9"/>
      <c r="R167" s="9"/>
      <c r="S167" s="720" t="str">
        <f>+IF(JULIO!S167=0,"",JULIO!S167)</f>
        <v>2020202-10</v>
      </c>
      <c r="T167" s="694" t="str">
        <f>+IF(JULIO!T167=0,"",JULIO!T167)</f>
        <v>Servicios Públicos</v>
      </c>
      <c r="U167" s="27">
        <f>+ENERO!U167</f>
        <v>0</v>
      </c>
      <c r="V167" s="15">
        <f>JULIO!V167+AGOSTO!AL167</f>
        <v>0</v>
      </c>
      <c r="W167" s="15">
        <f>JULIO!W167+AGOSTO!AM167</f>
        <v>0</v>
      </c>
      <c r="X167" s="18">
        <f>SUM(U167:W167)</f>
        <v>0</v>
      </c>
      <c r="Y167" s="19">
        <f>JULIO!AA167</f>
        <v>0</v>
      </c>
      <c r="Z167" s="377">
        <v>0</v>
      </c>
      <c r="AA167" s="18">
        <f>SUM(Y167:Z167)</f>
        <v>0</v>
      </c>
      <c r="AB167" s="19">
        <f>JULIO!AD167</f>
        <v>0</v>
      </c>
      <c r="AC167" s="377">
        <v>0</v>
      </c>
      <c r="AD167" s="18">
        <f>SUM(AB167:AC167)</f>
        <v>0</v>
      </c>
      <c r="AE167" s="19">
        <f>JULIO!AG167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+IF(JULIO!S168=0,"",JULIO!S168)</f>
        <v>2020299</v>
      </c>
      <c r="T168" s="693" t="str">
        <f>+IF(JULIO!T168=0,"",JULIO!T168)</f>
        <v>Vigencias Anteriores</v>
      </c>
      <c r="U168" s="27">
        <f>+ENERO!U168</f>
        <v>0</v>
      </c>
      <c r="V168" s="15">
        <f>JULIO!V168+AGOSTO!AL168</f>
        <v>0</v>
      </c>
      <c r="W168" s="15">
        <f>JULIO!W168+AGOSTO!AM168</f>
        <v>28537671</v>
      </c>
      <c r="X168" s="18">
        <f t="shared" si="150"/>
        <v>28537671</v>
      </c>
      <c r="Y168" s="19">
        <f>JULIO!AA168</f>
        <v>28537671</v>
      </c>
      <c r="Z168" s="377">
        <v>0</v>
      </c>
      <c r="AA168" s="18">
        <f t="shared" si="151"/>
        <v>28537671</v>
      </c>
      <c r="AB168" s="19">
        <f>JULIO!AD168</f>
        <v>28537671</v>
      </c>
      <c r="AC168" s="377">
        <v>0</v>
      </c>
      <c r="AD168" s="18">
        <f t="shared" si="152"/>
        <v>28537671</v>
      </c>
      <c r="AE168" s="19">
        <f>JULIO!AG168</f>
        <v>21403252</v>
      </c>
      <c r="AF168" s="377">
        <v>0</v>
      </c>
      <c r="AG168" s="18">
        <f t="shared" si="153"/>
        <v>21403252</v>
      </c>
      <c r="AH168" s="19">
        <f t="shared" si="154"/>
        <v>0</v>
      </c>
      <c r="AI168" s="15">
        <f t="shared" si="155"/>
        <v>0</v>
      </c>
      <c r="AJ168" s="16">
        <f t="shared" si="156"/>
        <v>7134419</v>
      </c>
      <c r="AK168" s="9"/>
      <c r="AL168" s="375">
        <v>0</v>
      </c>
      <c r="AM168" s="378">
        <v>0</v>
      </c>
      <c r="AN168" s="9"/>
    </row>
    <row r="169" spans="1:40" s="385" customFormat="1" ht="24.95" customHeight="1" x14ac:dyDescent="0.2">
      <c r="A169" s="767"/>
      <c r="B169" s="668"/>
      <c r="N169" s="9"/>
      <c r="P169" s="9"/>
      <c r="Q169" s="9"/>
      <c r="R169" s="9"/>
      <c r="S169" s="369" t="str">
        <f>+IF(JULIO!S169=0,"",JULIO!S169)</f>
        <v/>
      </c>
      <c r="T169" s="708" t="str">
        <f>+IF(JULIO!T169=0,"",JULIO!T169)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+IF(JULIO!S170=0,"",JULIO!S170)</f>
        <v>3000000</v>
      </c>
      <c r="T170" s="697" t="str">
        <f>+IF(JULIO!T170=0,"",JULIO!T170)</f>
        <v>TRANSFERENCIAS CORRIENTES</v>
      </c>
      <c r="U170" s="473">
        <f t="shared" ref="U170:AJ170" si="157">U172+U176+U185</f>
        <v>60072284</v>
      </c>
      <c r="V170" s="474">
        <f t="shared" si="157"/>
        <v>0</v>
      </c>
      <c r="W170" s="474">
        <f t="shared" si="157"/>
        <v>14421810</v>
      </c>
      <c r="X170" s="475">
        <f t="shared" si="157"/>
        <v>74494094</v>
      </c>
      <c r="Y170" s="382">
        <f t="shared" si="157"/>
        <v>34377380</v>
      </c>
      <c r="Z170" s="474">
        <f t="shared" si="157"/>
        <v>3086743</v>
      </c>
      <c r="AA170" s="475">
        <f t="shared" si="157"/>
        <v>37464123</v>
      </c>
      <c r="AB170" s="382">
        <f t="shared" si="157"/>
        <v>34053848</v>
      </c>
      <c r="AC170" s="474">
        <f t="shared" si="157"/>
        <v>3086743</v>
      </c>
      <c r="AD170" s="475">
        <f t="shared" si="157"/>
        <v>37140591</v>
      </c>
      <c r="AE170" s="382">
        <f t="shared" si="157"/>
        <v>28731768</v>
      </c>
      <c r="AF170" s="474">
        <f t="shared" si="157"/>
        <v>2906138</v>
      </c>
      <c r="AG170" s="475">
        <f t="shared" si="157"/>
        <v>31637906</v>
      </c>
      <c r="AH170" s="382">
        <f t="shared" si="157"/>
        <v>37029971</v>
      </c>
      <c r="AI170" s="474">
        <f t="shared" si="157"/>
        <v>37353503</v>
      </c>
      <c r="AJ170" s="383">
        <f t="shared" si="157"/>
        <v>42856188</v>
      </c>
      <c r="AK170" s="9"/>
      <c r="AL170" s="131">
        <f>AL172+AL176+AL185</f>
        <v>0</v>
      </c>
      <c r="AM170" s="133">
        <f>AM172+AM176+AM185</f>
        <v>0</v>
      </c>
      <c r="AN170" s="9"/>
    </row>
    <row r="171" spans="1:40" s="385" customFormat="1" ht="24.95" customHeight="1" x14ac:dyDescent="0.2">
      <c r="A171" s="767"/>
      <c r="B171" s="668"/>
      <c r="N171" s="9"/>
      <c r="P171" s="9"/>
      <c r="Q171" s="9"/>
      <c r="R171" s="9"/>
      <c r="S171" s="369" t="str">
        <f>+IF(JULIO!S171=0,"",JULIO!S171)</f>
        <v/>
      </c>
      <c r="T171" s="708" t="str">
        <f>+IF(JULIO!T171=0,"",JULIO!T171)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+IF(JULIO!S172=0,"",JULIO!S172)</f>
        <v>3100000</v>
      </c>
      <c r="T172" s="692" t="str">
        <f>+IF(JULIO!T172=0,"",JULIO!T172)</f>
        <v>Transferencias al Sector Público</v>
      </c>
      <c r="U172" s="135">
        <f t="shared" ref="U172:AJ172" si="158">SUM(U173:U174)</f>
        <v>5285000</v>
      </c>
      <c r="V172" s="124">
        <f t="shared" si="158"/>
        <v>0</v>
      </c>
      <c r="W172" s="124">
        <f t="shared" si="158"/>
        <v>243136</v>
      </c>
      <c r="X172" s="132">
        <f t="shared" si="158"/>
        <v>5528136</v>
      </c>
      <c r="Y172" s="131">
        <f t="shared" si="158"/>
        <v>2507860</v>
      </c>
      <c r="Z172" s="124">
        <f t="shared" si="158"/>
        <v>323532</v>
      </c>
      <c r="AA172" s="132">
        <f t="shared" si="158"/>
        <v>2831392</v>
      </c>
      <c r="AB172" s="131">
        <f t="shared" si="158"/>
        <v>2184328</v>
      </c>
      <c r="AC172" s="124">
        <f t="shared" si="158"/>
        <v>323532</v>
      </c>
      <c r="AD172" s="132">
        <f t="shared" si="158"/>
        <v>2507860</v>
      </c>
      <c r="AE172" s="131">
        <f t="shared" si="158"/>
        <v>2184328</v>
      </c>
      <c r="AF172" s="124">
        <f t="shared" si="158"/>
        <v>323532</v>
      </c>
      <c r="AG172" s="132">
        <f t="shared" si="158"/>
        <v>2507860</v>
      </c>
      <c r="AH172" s="131">
        <f t="shared" si="158"/>
        <v>2696744</v>
      </c>
      <c r="AI172" s="124">
        <f t="shared" si="158"/>
        <v>3020276</v>
      </c>
      <c r="AJ172" s="133">
        <f t="shared" si="158"/>
        <v>3020276</v>
      </c>
      <c r="AK172" s="9"/>
      <c r="AL172" s="131">
        <f>SUM(AL173:AL174)</f>
        <v>0</v>
      </c>
      <c r="AM172" s="133">
        <f>SUM(AM173:AM174)</f>
        <v>0</v>
      </c>
      <c r="AN172" s="9"/>
    </row>
    <row r="173" spans="1:40" s="385" customFormat="1" ht="24.95" customHeight="1" x14ac:dyDescent="0.2">
      <c r="A173" s="767"/>
      <c r="B173" s="668"/>
      <c r="N173" s="9"/>
      <c r="P173" s="9"/>
      <c r="Q173" s="9"/>
      <c r="R173" s="9"/>
      <c r="S173" s="719">
        <f>+IF(JULIO!S173=0,"",JULIO!S173)</f>
        <v>3100003</v>
      </c>
      <c r="T173" s="693" t="str">
        <f>+IF(JULIO!T173=0,"",JULIO!T173)</f>
        <v>Entidades Públicas (Contraloria, Supersalud,…)</v>
      </c>
      <c r="U173" s="27">
        <f>+ENERO!U173</f>
        <v>5285000</v>
      </c>
      <c r="V173" s="15">
        <f>JULIO!V173+AGOSTO!AL173</f>
        <v>0</v>
      </c>
      <c r="W173" s="15">
        <f>JULIO!W173+AGOSTO!AM173</f>
        <v>0</v>
      </c>
      <c r="X173" s="18">
        <f>SUM(U173:W173)</f>
        <v>5285000</v>
      </c>
      <c r="Y173" s="19">
        <f>JULIO!AA173</f>
        <v>2264724</v>
      </c>
      <c r="Z173" s="377">
        <v>323532</v>
      </c>
      <c r="AA173" s="18">
        <f>SUM(Y173:Z173)</f>
        <v>2588256</v>
      </c>
      <c r="AB173" s="19">
        <f>JULIO!AD173</f>
        <v>1941192</v>
      </c>
      <c r="AC173" s="377">
        <v>323532</v>
      </c>
      <c r="AD173" s="18">
        <f>SUM(AB173:AC173)</f>
        <v>2264724</v>
      </c>
      <c r="AE173" s="19">
        <f>JULIO!AG173</f>
        <v>1941192</v>
      </c>
      <c r="AF173" s="377">
        <v>323532</v>
      </c>
      <c r="AG173" s="18">
        <f>SUM(AE173:AF173)</f>
        <v>2264724</v>
      </c>
      <c r="AH173" s="19">
        <f>X173-AA173</f>
        <v>2696744</v>
      </c>
      <c r="AI173" s="15">
        <f>X173-AD173</f>
        <v>3020276</v>
      </c>
      <c r="AJ173" s="16">
        <f>X173-AG173</f>
        <v>3020276</v>
      </c>
      <c r="AK173" s="9"/>
      <c r="AL173" s="375">
        <v>0</v>
      </c>
      <c r="AM173" s="378">
        <v>0</v>
      </c>
      <c r="AN173" s="9"/>
    </row>
    <row r="174" spans="1:40" s="385" customFormat="1" ht="24.95" customHeight="1" x14ac:dyDescent="0.2">
      <c r="A174" s="767"/>
      <c r="B174" s="668"/>
      <c r="N174" s="9"/>
      <c r="P174" s="9"/>
      <c r="Q174" s="9"/>
      <c r="R174" s="9"/>
      <c r="S174" s="719">
        <f>+IF(JULIO!S174=0,"",JULIO!S174)</f>
        <v>3199999</v>
      </c>
      <c r="T174" s="693" t="str">
        <f>+IF(JULIO!T174=0,"",JULIO!T174)</f>
        <v>Vigencias Anteriores</v>
      </c>
      <c r="U174" s="27">
        <f>+ENERO!U174</f>
        <v>0</v>
      </c>
      <c r="V174" s="15">
        <f>JULIO!V174+AGOSTO!AL174</f>
        <v>0</v>
      </c>
      <c r="W174" s="15">
        <f>JULIO!W174+AGOSTO!AM174</f>
        <v>243136</v>
      </c>
      <c r="X174" s="18">
        <f>SUM(U174:W174)</f>
        <v>243136</v>
      </c>
      <c r="Y174" s="19">
        <f>JULIO!AA174</f>
        <v>243136</v>
      </c>
      <c r="Z174" s="377">
        <v>0</v>
      </c>
      <c r="AA174" s="18">
        <f>SUM(Y174:Z174)</f>
        <v>243136</v>
      </c>
      <c r="AB174" s="19">
        <f>JULIO!AD174</f>
        <v>243136</v>
      </c>
      <c r="AC174" s="377">
        <v>0</v>
      </c>
      <c r="AD174" s="18">
        <f>SUM(AB174:AC174)</f>
        <v>243136</v>
      </c>
      <c r="AE174" s="19">
        <f>JULIO!AG174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+IF(JULIO!S175=0,"",JULIO!S175)</f>
        <v/>
      </c>
      <c r="T175" s="708" t="str">
        <f>+IF(JULIO!T175=0,"",JULIO!T175)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+IF(JULIO!S176=0,"",JULIO!S176)</f>
        <v>320000</v>
      </c>
      <c r="T176" s="692" t="str">
        <f>+IF(JULIO!T176=0,"",JULIO!T176)</f>
        <v>Transf. Previsión y Seguridad Social</v>
      </c>
      <c r="U176" s="135">
        <f t="shared" ref="U176:AJ176" si="159">SUM(U177:U183)</f>
        <v>51170820</v>
      </c>
      <c r="V176" s="124">
        <f t="shared" si="159"/>
        <v>0</v>
      </c>
      <c r="W176" s="124">
        <f t="shared" si="159"/>
        <v>8290292</v>
      </c>
      <c r="X176" s="132">
        <f t="shared" si="159"/>
        <v>59461112</v>
      </c>
      <c r="Y176" s="131">
        <f t="shared" si="159"/>
        <v>26112216</v>
      </c>
      <c r="Z176" s="124">
        <f t="shared" si="159"/>
        <v>2763211</v>
      </c>
      <c r="AA176" s="132">
        <f t="shared" si="159"/>
        <v>28875427</v>
      </c>
      <c r="AB176" s="131">
        <f t="shared" si="159"/>
        <v>26112216</v>
      </c>
      <c r="AC176" s="124">
        <f t="shared" si="159"/>
        <v>2763211</v>
      </c>
      <c r="AD176" s="132">
        <f t="shared" si="159"/>
        <v>28875427</v>
      </c>
      <c r="AE176" s="131">
        <f t="shared" si="159"/>
        <v>26100115</v>
      </c>
      <c r="AF176" s="124">
        <f t="shared" si="159"/>
        <v>2582606</v>
      </c>
      <c r="AG176" s="132">
        <f t="shared" si="159"/>
        <v>28682721</v>
      </c>
      <c r="AH176" s="131">
        <f t="shared" si="159"/>
        <v>30585685</v>
      </c>
      <c r="AI176" s="124">
        <f t="shared" si="159"/>
        <v>30585685</v>
      </c>
      <c r="AJ176" s="133">
        <f t="shared" si="159"/>
        <v>30778391</v>
      </c>
      <c r="AK176" s="9"/>
      <c r="AL176" s="131">
        <f>SUM(AL177:AL183)</f>
        <v>0</v>
      </c>
      <c r="AM176" s="133">
        <f>SUM(AM177:AM183)</f>
        <v>0</v>
      </c>
      <c r="AN176" s="9"/>
    </row>
    <row r="177" spans="1:40" s="385" customFormat="1" ht="24.95" customHeight="1" x14ac:dyDescent="0.2">
      <c r="A177" s="767"/>
      <c r="B177" s="668"/>
      <c r="N177" s="9"/>
      <c r="P177" s="9"/>
      <c r="Q177" s="9"/>
      <c r="R177" s="9"/>
      <c r="S177" s="719">
        <f>+IF(JULIO!S177=0,"",JULIO!S177)</f>
        <v>3200100</v>
      </c>
      <c r="T177" s="693" t="str">
        <f>+IF(JULIO!T177=0,"",JULIO!T177)</f>
        <v>Pensiones y Jubilaciones (Pago Directo)</v>
      </c>
      <c r="U177" s="27">
        <f>+ENERO!U177</f>
        <v>39279816</v>
      </c>
      <c r="V177" s="15">
        <f>JULIO!V177+AGOSTO!AL177</f>
        <v>0</v>
      </c>
      <c r="W177" s="15">
        <f>JULIO!W177+AGOSTO!AM177</f>
        <v>0</v>
      </c>
      <c r="X177" s="18">
        <f t="shared" ref="X177:X183" si="160">SUM(U177:W177)</f>
        <v>39279816</v>
      </c>
      <c r="Y177" s="19">
        <f>JULIO!AA177</f>
        <v>17809302</v>
      </c>
      <c r="Z177" s="377">
        <v>2544030</v>
      </c>
      <c r="AA177" s="18">
        <f t="shared" ref="AA177:AA183" si="161">SUM(Y177:Z177)</f>
        <v>20353332</v>
      </c>
      <c r="AB177" s="19">
        <f>JULIO!AD177</f>
        <v>17809302</v>
      </c>
      <c r="AC177" s="377">
        <v>2544030</v>
      </c>
      <c r="AD177" s="18">
        <f t="shared" ref="AD177:AD183" si="162">SUM(AB177:AC177)</f>
        <v>20353332</v>
      </c>
      <c r="AE177" s="19">
        <f>JULIO!AG177</f>
        <v>17809302</v>
      </c>
      <c r="AF177" s="377">
        <v>2544030</v>
      </c>
      <c r="AG177" s="18">
        <f t="shared" ref="AG177:AG183" si="163">SUM(AE177:AF177)</f>
        <v>20353332</v>
      </c>
      <c r="AH177" s="19">
        <f t="shared" ref="AH177:AH183" si="164">X177-AA177</f>
        <v>18926484</v>
      </c>
      <c r="AI177" s="15">
        <f t="shared" ref="AI177:AI183" si="165">X177-AD177</f>
        <v>18926484</v>
      </c>
      <c r="AJ177" s="16">
        <f t="shared" ref="AJ177:AJ183" si="166">X177-AG177</f>
        <v>18926484</v>
      </c>
      <c r="AK177" s="9"/>
      <c r="AL177" s="375">
        <v>0</v>
      </c>
      <c r="AM177" s="378">
        <v>0</v>
      </c>
      <c r="AN177" s="9"/>
    </row>
    <row r="178" spans="1:40" s="385" customFormat="1" ht="24.95" customHeight="1" x14ac:dyDescent="0.2">
      <c r="A178" s="767"/>
      <c r="B178" s="668"/>
      <c r="N178" s="9"/>
      <c r="P178" s="9"/>
      <c r="Q178" s="9"/>
      <c r="R178" s="9"/>
      <c r="S178" s="719">
        <f>+IF(JULIO!S178=0,"",JULIO!S178)</f>
        <v>3200200</v>
      </c>
      <c r="T178" s="693" t="str">
        <f>+IF(JULIO!T178=0,"",JULIO!T178)</f>
        <v>Cesantías Pago Directo (Pago Directo)</v>
      </c>
      <c r="U178" s="27">
        <f>+ENERO!U178</f>
        <v>11891004</v>
      </c>
      <c r="V178" s="15">
        <f>JULIO!V178+AGOSTO!AL178</f>
        <v>-11891004</v>
      </c>
      <c r="W178" s="15">
        <f>JULIO!W178+AGOSTO!AM178</f>
        <v>0</v>
      </c>
      <c r="X178" s="18">
        <f t="shared" si="160"/>
        <v>0</v>
      </c>
      <c r="Y178" s="19">
        <f>JULIO!AA178</f>
        <v>0</v>
      </c>
      <c r="Z178" s="377">
        <v>0</v>
      </c>
      <c r="AA178" s="18">
        <f t="shared" si="161"/>
        <v>0</v>
      </c>
      <c r="AB178" s="19">
        <f>JULIO!AD178</f>
        <v>0</v>
      </c>
      <c r="AC178" s="377">
        <v>0</v>
      </c>
      <c r="AD178" s="18">
        <f t="shared" si="162"/>
        <v>0</v>
      </c>
      <c r="AE178" s="19">
        <f>JULIO!AG178</f>
        <v>0</v>
      </c>
      <c r="AF178" s="377">
        <v>0</v>
      </c>
      <c r="AG178" s="18">
        <f t="shared" si="163"/>
        <v>0</v>
      </c>
      <c r="AH178" s="19">
        <f t="shared" si="164"/>
        <v>0</v>
      </c>
      <c r="AI178" s="15">
        <f t="shared" si="165"/>
        <v>0</v>
      </c>
      <c r="AJ178" s="16">
        <f t="shared" si="166"/>
        <v>0</v>
      </c>
      <c r="AK178" s="9"/>
      <c r="AL178" s="375">
        <v>0</v>
      </c>
      <c r="AM178" s="378">
        <v>0</v>
      </c>
      <c r="AN178" s="9"/>
    </row>
    <row r="179" spans="1:40" s="385" customFormat="1" ht="24.95" customHeight="1" x14ac:dyDescent="0.2">
      <c r="A179" s="767"/>
      <c r="B179" s="668"/>
      <c r="N179" s="9"/>
      <c r="P179" s="9"/>
      <c r="Q179" s="9"/>
      <c r="R179" s="9"/>
      <c r="S179" s="719">
        <f>+IF(JULIO!S179=0,"",JULIO!S179)</f>
        <v>3200300</v>
      </c>
      <c r="T179" s="693" t="str">
        <f>+IF(JULIO!T179=0,"",JULIO!T179)</f>
        <v>Bonos, Cuotas de Bonos y cuotas partes jubilatorias</v>
      </c>
      <c r="U179" s="27">
        <f>+ENERO!U179</f>
        <v>0</v>
      </c>
      <c r="V179" s="15">
        <f>JULIO!V179+AGOSTO!AL179</f>
        <v>0</v>
      </c>
      <c r="W179" s="15">
        <f>JULIO!W179+AGOSTO!AM179</f>
        <v>0</v>
      </c>
      <c r="X179" s="18">
        <f t="shared" si="160"/>
        <v>0</v>
      </c>
      <c r="Y179" s="19">
        <f>JULIO!AA179</f>
        <v>0</v>
      </c>
      <c r="Z179" s="377">
        <v>0</v>
      </c>
      <c r="AA179" s="18">
        <f t="shared" si="161"/>
        <v>0</v>
      </c>
      <c r="AB179" s="19">
        <f>JULIO!AD179</f>
        <v>0</v>
      </c>
      <c r="AC179" s="377">
        <v>0</v>
      </c>
      <c r="AD179" s="18">
        <f t="shared" si="162"/>
        <v>0</v>
      </c>
      <c r="AE179" s="19">
        <f>JULIO!AG179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+IF(JULIO!S180=0,"",JULIO!S180)</f>
        <v>3200400</v>
      </c>
      <c r="T180" s="693" t="str">
        <f>+IF(JULIO!T180=0,"",JULIO!T180)</f>
        <v>Intereses a las cesantias</v>
      </c>
      <c r="U180" s="27">
        <f>+ENERO!U180</f>
        <v>0</v>
      </c>
      <c r="V180" s="15">
        <f>JULIO!V180+AGOSTO!AL180</f>
        <v>11891004</v>
      </c>
      <c r="W180" s="15">
        <f>JULIO!W180+AGOSTO!AM180</f>
        <v>0</v>
      </c>
      <c r="X180" s="18">
        <f t="shared" si="160"/>
        <v>11891004</v>
      </c>
      <c r="Y180" s="19">
        <f>JULIO!AA180</f>
        <v>12622</v>
      </c>
      <c r="Z180" s="377">
        <v>219181</v>
      </c>
      <c r="AA180" s="18">
        <f t="shared" si="161"/>
        <v>231803</v>
      </c>
      <c r="AB180" s="19">
        <f>JULIO!AD180</f>
        <v>12622</v>
      </c>
      <c r="AC180" s="377">
        <v>219181</v>
      </c>
      <c r="AD180" s="18">
        <f t="shared" si="162"/>
        <v>231803</v>
      </c>
      <c r="AE180" s="19">
        <f>JULIO!AG180</f>
        <v>12622</v>
      </c>
      <c r="AF180" s="377">
        <v>38576</v>
      </c>
      <c r="AG180" s="18">
        <f t="shared" si="163"/>
        <v>51198</v>
      </c>
      <c r="AH180" s="19">
        <f t="shared" si="164"/>
        <v>11659201</v>
      </c>
      <c r="AI180" s="15">
        <f t="shared" si="165"/>
        <v>11659201</v>
      </c>
      <c r="AJ180" s="16">
        <f t="shared" si="166"/>
        <v>11839806</v>
      </c>
      <c r="AK180" s="9"/>
      <c r="AL180" s="375">
        <v>0</v>
      </c>
      <c r="AM180" s="378">
        <v>0</v>
      </c>
      <c r="AN180" s="9"/>
    </row>
    <row r="181" spans="1:40" s="385" customFormat="1" ht="24.95" customHeight="1" x14ac:dyDescent="0.2">
      <c r="A181" s="767"/>
      <c r="B181" s="668"/>
      <c r="N181" s="9"/>
      <c r="P181" s="9"/>
      <c r="Q181" s="9"/>
      <c r="R181" s="9"/>
      <c r="S181" s="719" t="str">
        <f>+IF(JULIO!S181=0,"",JULIO!S181)</f>
        <v/>
      </c>
      <c r="T181" s="693" t="str">
        <f>+IF(JULIO!T181=0,"",JULIO!T181)</f>
        <v/>
      </c>
      <c r="U181" s="27">
        <f>+ENERO!U181</f>
        <v>0</v>
      </c>
      <c r="V181" s="15">
        <f>JULIO!V181+AGOSTO!AL181</f>
        <v>0</v>
      </c>
      <c r="W181" s="15">
        <f>JULIO!W181+AGOSTO!AM181</f>
        <v>0</v>
      </c>
      <c r="X181" s="18">
        <f t="shared" si="160"/>
        <v>0</v>
      </c>
      <c r="Y181" s="19">
        <f>JULIO!AA181</f>
        <v>0</v>
      </c>
      <c r="Z181" s="377">
        <v>0</v>
      </c>
      <c r="AA181" s="18">
        <f t="shared" si="161"/>
        <v>0</v>
      </c>
      <c r="AB181" s="19">
        <f>JULIO!AD181</f>
        <v>0</v>
      </c>
      <c r="AC181" s="377">
        <v>0</v>
      </c>
      <c r="AD181" s="18">
        <f t="shared" si="162"/>
        <v>0</v>
      </c>
      <c r="AE181" s="19">
        <f>JULIO!AG181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+IF(JULIO!S182=0,"",JULIO!S182)</f>
        <v/>
      </c>
      <c r="T182" s="693" t="str">
        <f>+IF(JULIO!T182=0,"",JULIO!T182)</f>
        <v/>
      </c>
      <c r="U182" s="27">
        <f>+ENERO!U182</f>
        <v>0</v>
      </c>
      <c r="V182" s="15">
        <f>JULIO!V182+AGOSTO!AL182</f>
        <v>0</v>
      </c>
      <c r="W182" s="15">
        <f>JULIO!W182+AGOSTO!AM182</f>
        <v>0</v>
      </c>
      <c r="X182" s="18">
        <f t="shared" si="160"/>
        <v>0</v>
      </c>
      <c r="Y182" s="19">
        <f>JULIO!AA182</f>
        <v>0</v>
      </c>
      <c r="Z182" s="377">
        <v>0</v>
      </c>
      <c r="AA182" s="18">
        <f t="shared" si="161"/>
        <v>0</v>
      </c>
      <c r="AB182" s="19">
        <f>JULIO!AD182</f>
        <v>0</v>
      </c>
      <c r="AC182" s="377">
        <v>0</v>
      </c>
      <c r="AD182" s="18">
        <f t="shared" si="162"/>
        <v>0</v>
      </c>
      <c r="AE182" s="19">
        <f>JULIO!AG182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+IF(JULIO!S183=0,"",JULIO!S183)</f>
        <v>3299999</v>
      </c>
      <c r="T183" s="693" t="str">
        <f>+IF(JULIO!T183=0,"",JULIO!T183)</f>
        <v>Vigencias Anteriores</v>
      </c>
      <c r="U183" s="27">
        <f>+ENERO!U183</f>
        <v>0</v>
      </c>
      <c r="V183" s="15">
        <f>JULIO!V183+AGOSTO!AL183</f>
        <v>0</v>
      </c>
      <c r="W183" s="15">
        <f>JULIO!W183+AGOSTO!AM183</f>
        <v>8290292</v>
      </c>
      <c r="X183" s="18">
        <f t="shared" si="160"/>
        <v>8290292</v>
      </c>
      <c r="Y183" s="19">
        <f>JULIO!AA183</f>
        <v>8290292</v>
      </c>
      <c r="Z183" s="377">
        <v>0</v>
      </c>
      <c r="AA183" s="18">
        <f t="shared" si="161"/>
        <v>8290292</v>
      </c>
      <c r="AB183" s="19">
        <f>JULIO!AD183</f>
        <v>8290292</v>
      </c>
      <c r="AC183" s="377">
        <v>0</v>
      </c>
      <c r="AD183" s="18">
        <f t="shared" si="162"/>
        <v>8290292</v>
      </c>
      <c r="AE183" s="19">
        <f>JULIO!AG183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+IF(JULIO!S184=0,"",JULIO!S184)</f>
        <v/>
      </c>
      <c r="T184" s="708" t="str">
        <f>+IF(JULIO!T184=0,"",JULIO!T184)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+IF(JULIO!S185=0,"",JULIO!S185)</f>
        <v>3300000</v>
      </c>
      <c r="T185" s="692" t="str">
        <f>+IF(JULIO!T185=0,"",JULIO!T185)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447325</v>
      </c>
      <c r="AF185" s="124">
        <f t="shared" si="167"/>
        <v>0</v>
      </c>
      <c r="AG185" s="132">
        <f t="shared" si="167"/>
        <v>447325</v>
      </c>
      <c r="AH185" s="131">
        <f t="shared" si="167"/>
        <v>3747542</v>
      </c>
      <c r="AI185" s="124">
        <f t="shared" si="167"/>
        <v>3747542</v>
      </c>
      <c r="AJ185" s="133">
        <f t="shared" si="167"/>
        <v>9057521</v>
      </c>
      <c r="AK185" s="9"/>
      <c r="AL185" s="131">
        <f>AL186+AL187+AL191</f>
        <v>0</v>
      </c>
      <c r="AM185" s="133">
        <f>AM186+AM187+AM191</f>
        <v>0</v>
      </c>
      <c r="AN185" s="9"/>
    </row>
    <row r="186" spans="1:40" s="385" customFormat="1" ht="24.95" customHeight="1" x14ac:dyDescent="0.2">
      <c r="A186" s="767"/>
      <c r="B186" s="668"/>
      <c r="N186" s="9"/>
      <c r="P186" s="9"/>
      <c r="Q186" s="9"/>
      <c r="R186" s="9"/>
      <c r="S186" s="719">
        <f>+IF(JULIO!S186=0,"",JULIO!S186)</f>
        <v>3300100</v>
      </c>
      <c r="T186" s="693" t="str">
        <f>+IF(JULIO!T186=0,"",JULIO!T186)</f>
        <v>Sentencias y Conciliaciones</v>
      </c>
      <c r="U186" s="27">
        <f>+ENERO!U186</f>
        <v>0</v>
      </c>
      <c r="V186" s="15">
        <f>JULIO!V186+AGOSTO!AL186</f>
        <v>0</v>
      </c>
      <c r="W186" s="15">
        <f>JULIO!W186+AGOSTO!AM186</f>
        <v>0</v>
      </c>
      <c r="X186" s="18">
        <f>SUM(U186:W186)</f>
        <v>0</v>
      </c>
      <c r="Y186" s="19">
        <f>JULIO!AA186</f>
        <v>0</v>
      </c>
      <c r="Z186" s="377">
        <v>0</v>
      </c>
      <c r="AA186" s="18">
        <f>SUM(Y186:Z186)</f>
        <v>0</v>
      </c>
      <c r="AB186" s="19">
        <f>JULIO!AD186</f>
        <v>0</v>
      </c>
      <c r="AC186" s="377">
        <v>0</v>
      </c>
      <c r="AD186" s="18">
        <f>SUM(AB186:AC186)</f>
        <v>0</v>
      </c>
      <c r="AE186" s="19">
        <f>JULIO!AG186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+IF(JULIO!S187=0,"",JULIO!S187)</f>
        <v>3300200</v>
      </c>
      <c r="T187" s="693" t="str">
        <f>+IF(JULIO!T187=0,"",JULIO!T187)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58943</v>
      </c>
      <c r="AF187" s="145">
        <f t="shared" si="168"/>
        <v>0</v>
      </c>
      <c r="AG187" s="18">
        <f t="shared" si="168"/>
        <v>58943</v>
      </c>
      <c r="AH187" s="19">
        <f t="shared" si="168"/>
        <v>3747542</v>
      </c>
      <c r="AI187" s="15">
        <f t="shared" si="168"/>
        <v>3747542</v>
      </c>
      <c r="AJ187" s="16">
        <f t="shared" si="168"/>
        <v>9057521</v>
      </c>
      <c r="AK187" s="9"/>
      <c r="AL187" s="29">
        <f t="shared" si="168"/>
        <v>0</v>
      </c>
      <c r="AM187" s="26">
        <f t="shared" si="168"/>
        <v>0</v>
      </c>
      <c r="AN187" s="9"/>
    </row>
    <row r="188" spans="1:40" s="385" customFormat="1" ht="24.95" customHeight="1" x14ac:dyDescent="0.2">
      <c r="A188" s="767"/>
      <c r="B188" s="669"/>
      <c r="N188" s="9"/>
      <c r="P188" s="9"/>
      <c r="Q188" s="9"/>
      <c r="R188" s="9"/>
      <c r="S188" s="720" t="str">
        <f>+IF(JULIO!S188=0,"",JULIO!S188)</f>
        <v>3300200-1</v>
      </c>
      <c r="T188" s="693" t="str">
        <f>+IF(JULIO!T188=0,"",JULIO!T188)</f>
        <v>COHAN</v>
      </c>
      <c r="U188" s="27">
        <f>+ENERO!U188</f>
        <v>793940</v>
      </c>
      <c r="V188" s="15">
        <f>JULIO!V188+AGOSTO!AL188</f>
        <v>0</v>
      </c>
      <c r="W188" s="15">
        <f>JULIO!W188+AGOSTO!AM188</f>
        <v>5500000</v>
      </c>
      <c r="X188" s="18">
        <f>SUM(U188:W188)</f>
        <v>6293940</v>
      </c>
      <c r="Y188" s="19">
        <f>JULIO!AA188</f>
        <v>2791522</v>
      </c>
      <c r="Z188" s="377">
        <v>0</v>
      </c>
      <c r="AA188" s="18">
        <f>SUM(Y188:Z188)</f>
        <v>2791522</v>
      </c>
      <c r="AB188" s="19">
        <f>JULIO!AD188</f>
        <v>2791522</v>
      </c>
      <c r="AC188" s="377">
        <v>0</v>
      </c>
      <c r="AD188" s="18">
        <f>SUM(AB188:AC188)</f>
        <v>2791522</v>
      </c>
      <c r="AE188" s="19">
        <f>JULIO!AG188</f>
        <v>58943</v>
      </c>
      <c r="AF188" s="377">
        <v>0</v>
      </c>
      <c r="AG188" s="18">
        <f>SUM(AE188:AF188)</f>
        <v>58943</v>
      </c>
      <c r="AH188" s="19">
        <f>X188-AA188</f>
        <v>3502418</v>
      </c>
      <c r="AI188" s="15">
        <f>X188-AD188</f>
        <v>3502418</v>
      </c>
      <c r="AJ188" s="16">
        <f>X188-AG188</f>
        <v>6234997</v>
      </c>
      <c r="AK188" s="9"/>
      <c r="AL188" s="375">
        <v>0</v>
      </c>
      <c r="AM188" s="378">
        <v>0</v>
      </c>
      <c r="AN188" s="9"/>
    </row>
    <row r="189" spans="1:40" s="385" customFormat="1" ht="24.95" customHeight="1" x14ac:dyDescent="0.2">
      <c r="A189" s="767"/>
      <c r="B189" s="669"/>
      <c r="N189" s="9"/>
      <c r="P189" s="9"/>
      <c r="Q189" s="9"/>
      <c r="R189" s="9"/>
      <c r="S189" s="720" t="str">
        <f>+IF(JULIO!S189=0,"",JULIO!S189)</f>
        <v>3300200-2</v>
      </c>
      <c r="T189" s="693" t="str">
        <f>+IF(JULIO!T189=0,"",JULIO!T189)</f>
        <v>AESA</v>
      </c>
      <c r="U189" s="27">
        <f>+ENERO!U189</f>
        <v>2822524</v>
      </c>
      <c r="V189" s="15">
        <f>JULIO!V189+AGOSTO!AL189</f>
        <v>0</v>
      </c>
      <c r="W189" s="15">
        <f>JULIO!W189+AGOSTO!AM189</f>
        <v>0</v>
      </c>
      <c r="X189" s="18">
        <f>SUM(U189:W189)</f>
        <v>2822524</v>
      </c>
      <c r="Y189" s="19">
        <f>JULIO!AA189</f>
        <v>2577400</v>
      </c>
      <c r="Z189" s="377">
        <v>0</v>
      </c>
      <c r="AA189" s="18">
        <f>SUM(Y189:Z189)</f>
        <v>2577400</v>
      </c>
      <c r="AB189" s="19">
        <f>JULIO!AD189</f>
        <v>2577400</v>
      </c>
      <c r="AC189" s="377">
        <v>0</v>
      </c>
      <c r="AD189" s="18">
        <f>SUM(AB189:AC189)</f>
        <v>2577400</v>
      </c>
      <c r="AE189" s="19">
        <f>JULIO!AG189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+IF(JULIO!S190=0,"",JULIO!S190)</f>
        <v>3300200-3</v>
      </c>
      <c r="T190" s="693" t="str">
        <f>+IF(JULIO!T190=0,"",JULIO!T190)</f>
        <v xml:space="preserve">OTRAS </v>
      </c>
      <c r="U190" s="27">
        <f>+ENERO!U190</f>
        <v>0</v>
      </c>
      <c r="V190" s="15">
        <f>JULIO!V190+AGOSTO!AL190</f>
        <v>0</v>
      </c>
      <c r="W190" s="15">
        <f>JULIO!W190+AGOSTO!AM190</f>
        <v>0</v>
      </c>
      <c r="X190" s="18">
        <f>SUM(U190:W190)</f>
        <v>0</v>
      </c>
      <c r="Y190" s="19">
        <f>JULIO!AA190</f>
        <v>0</v>
      </c>
      <c r="Z190" s="377">
        <v>0</v>
      </c>
      <c r="AA190" s="18">
        <f>SUM(Y190:Z190)</f>
        <v>0</v>
      </c>
      <c r="AB190" s="19">
        <f>JULIO!AD190</f>
        <v>0</v>
      </c>
      <c r="AC190" s="377">
        <v>0</v>
      </c>
      <c r="AD190" s="18">
        <f>SUM(AB190:AC190)</f>
        <v>0</v>
      </c>
      <c r="AE190" s="19">
        <f>JULIO!AG190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+IF(JULIO!S191=0,"",JULIO!S191)</f>
        <v>3399999</v>
      </c>
      <c r="T191" s="693" t="str">
        <f>+IF(JULIO!T191=0,"",JULIO!T191)</f>
        <v>Vigencias Anteriores</v>
      </c>
      <c r="U191" s="27">
        <f>+ENERO!U191</f>
        <v>0</v>
      </c>
      <c r="V191" s="15">
        <f>JULIO!V191+AGOSTO!AL191</f>
        <v>0</v>
      </c>
      <c r="W191" s="15">
        <f>JULIO!W191+AGOSTO!AM191</f>
        <v>388382</v>
      </c>
      <c r="X191" s="18">
        <f>SUM(U191:W191)</f>
        <v>388382</v>
      </c>
      <c r="Y191" s="19">
        <f>JULIO!AA191</f>
        <v>388382</v>
      </c>
      <c r="Z191" s="377">
        <v>0</v>
      </c>
      <c r="AA191" s="18">
        <f>SUM(Y191:Z191)</f>
        <v>388382</v>
      </c>
      <c r="AB191" s="19">
        <f>JULIO!AD191</f>
        <v>388382</v>
      </c>
      <c r="AC191" s="377">
        <v>0</v>
      </c>
      <c r="AD191" s="18">
        <f>SUM(AB191:AC191)</f>
        <v>388382</v>
      </c>
      <c r="AE191" s="19">
        <f>JULIO!AG191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+IF(JULIO!S192=0,"",JULIO!S192)</f>
        <v/>
      </c>
      <c r="T192" s="708" t="str">
        <f>+IF(JULIO!T192=0,"",JULIO!T192)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+IF(JULIO!S193=0,"",JULIO!S193)</f>
        <v>4000000</v>
      </c>
      <c r="T193" s="697" t="str">
        <f>+IF(JULIO!T193=0,"",JULIO!T193)</f>
        <v>GASTOS  DE PRESTACION DE SERVICIOS</v>
      </c>
      <c r="U193" s="473">
        <f t="shared" ref="U193:AJ193" si="169">U194</f>
        <v>272529328</v>
      </c>
      <c r="V193" s="474">
        <f t="shared" si="169"/>
        <v>-27900000</v>
      </c>
      <c r="W193" s="474">
        <f t="shared" si="169"/>
        <v>196423942</v>
      </c>
      <c r="X193" s="475">
        <f t="shared" si="169"/>
        <v>441053270</v>
      </c>
      <c r="Y193" s="382">
        <f t="shared" si="169"/>
        <v>298157181</v>
      </c>
      <c r="Z193" s="474">
        <f t="shared" si="169"/>
        <v>22966693</v>
      </c>
      <c r="AA193" s="475">
        <f t="shared" si="169"/>
        <v>321123874</v>
      </c>
      <c r="AB193" s="382">
        <f t="shared" si="169"/>
        <v>280554802</v>
      </c>
      <c r="AC193" s="474">
        <f t="shared" si="169"/>
        <v>26211975</v>
      </c>
      <c r="AD193" s="475">
        <f t="shared" si="169"/>
        <v>306766777</v>
      </c>
      <c r="AE193" s="382">
        <f t="shared" si="169"/>
        <v>149272523</v>
      </c>
      <c r="AF193" s="474">
        <f t="shared" si="169"/>
        <v>7171469</v>
      </c>
      <c r="AG193" s="475">
        <f t="shared" si="169"/>
        <v>156443992</v>
      </c>
      <c r="AH193" s="382">
        <f t="shared" si="169"/>
        <v>119929396</v>
      </c>
      <c r="AI193" s="474">
        <f t="shared" si="169"/>
        <v>134286493</v>
      </c>
      <c r="AJ193" s="383">
        <f t="shared" si="169"/>
        <v>284609278</v>
      </c>
      <c r="AK193" s="9"/>
      <c r="AL193" s="131">
        <f>AL194</f>
        <v>-27900000</v>
      </c>
      <c r="AM193" s="133">
        <f>AM194</f>
        <v>0</v>
      </c>
      <c r="AN193" s="9"/>
    </row>
    <row r="194" spans="1:40" s="385" customFormat="1" ht="24.95" customHeight="1" x14ac:dyDescent="0.2">
      <c r="A194" s="767"/>
      <c r="B194" s="669"/>
      <c r="N194" s="9"/>
      <c r="P194" s="9"/>
      <c r="Q194" s="9"/>
      <c r="R194" s="9"/>
      <c r="S194" s="718">
        <f>+IF(JULIO!S194=0,"",JULIO!S194)</f>
        <v>4100000</v>
      </c>
      <c r="T194" s="692" t="str">
        <f>+IF(JULIO!T194=0,"",JULIO!T194)</f>
        <v>Insumos y Suministros Hospitalarios</v>
      </c>
      <c r="U194" s="135">
        <f t="shared" ref="U194:AJ194" si="170">U195+U203+U205</f>
        <v>272529328</v>
      </c>
      <c r="V194" s="124">
        <f t="shared" si="170"/>
        <v>-27900000</v>
      </c>
      <c r="W194" s="124">
        <f t="shared" si="170"/>
        <v>196423942</v>
      </c>
      <c r="X194" s="132">
        <f t="shared" si="170"/>
        <v>441053270</v>
      </c>
      <c r="Y194" s="131">
        <f t="shared" si="170"/>
        <v>298157181</v>
      </c>
      <c r="Z194" s="124">
        <f t="shared" si="170"/>
        <v>22966693</v>
      </c>
      <c r="AA194" s="132">
        <f t="shared" si="170"/>
        <v>321123874</v>
      </c>
      <c r="AB194" s="131">
        <f t="shared" si="170"/>
        <v>280554802</v>
      </c>
      <c r="AC194" s="124">
        <f t="shared" si="170"/>
        <v>26211975</v>
      </c>
      <c r="AD194" s="132">
        <f t="shared" si="170"/>
        <v>306766777</v>
      </c>
      <c r="AE194" s="131">
        <f t="shared" si="170"/>
        <v>149272523</v>
      </c>
      <c r="AF194" s="124">
        <f t="shared" si="170"/>
        <v>7171469</v>
      </c>
      <c r="AG194" s="132">
        <f t="shared" si="170"/>
        <v>156443992</v>
      </c>
      <c r="AH194" s="131">
        <f t="shared" si="170"/>
        <v>119929396</v>
      </c>
      <c r="AI194" s="124">
        <f t="shared" si="170"/>
        <v>134286493</v>
      </c>
      <c r="AJ194" s="133">
        <f t="shared" si="170"/>
        <v>284609278</v>
      </c>
      <c r="AK194" s="10"/>
      <c r="AL194" s="131">
        <f>AL195+AL203+AL205</f>
        <v>-27900000</v>
      </c>
      <c r="AM194" s="133">
        <f>AM195+AM203+AM205</f>
        <v>0</v>
      </c>
      <c r="AN194" s="9"/>
    </row>
    <row r="195" spans="1:40" s="385" customFormat="1" ht="24.95" customHeight="1" x14ac:dyDescent="0.2">
      <c r="A195" s="767"/>
      <c r="B195" s="669"/>
      <c r="N195" s="9"/>
      <c r="P195" s="9"/>
      <c r="Q195" s="9"/>
      <c r="R195" s="9"/>
      <c r="S195" s="719">
        <f>+IF(JULIO!S195=0,"",JULIO!S195)</f>
        <v>4100100</v>
      </c>
      <c r="T195" s="693" t="str">
        <f>+IF(JULIO!T195=0,"",JULIO!T195)</f>
        <v>Compra de Bienes para la Prestacion de servicios</v>
      </c>
      <c r="U195" s="27">
        <f t="shared" ref="U195:AJ195" si="171">SUM(U196:U202)</f>
        <v>240561284</v>
      </c>
      <c r="V195" s="15">
        <f t="shared" si="171"/>
        <v>-30900000</v>
      </c>
      <c r="W195" s="15">
        <f t="shared" si="171"/>
        <v>104588010</v>
      </c>
      <c r="X195" s="18">
        <f t="shared" si="171"/>
        <v>314249294</v>
      </c>
      <c r="Y195" s="19">
        <f t="shared" si="171"/>
        <v>185069383</v>
      </c>
      <c r="Z195" s="145">
        <f t="shared" si="171"/>
        <v>18493033</v>
      </c>
      <c r="AA195" s="18">
        <f t="shared" si="171"/>
        <v>203562416</v>
      </c>
      <c r="AB195" s="19">
        <f t="shared" si="171"/>
        <v>167467004</v>
      </c>
      <c r="AC195" s="145">
        <f t="shared" si="171"/>
        <v>21738315</v>
      </c>
      <c r="AD195" s="18">
        <f t="shared" si="171"/>
        <v>189205319</v>
      </c>
      <c r="AE195" s="19">
        <f t="shared" si="171"/>
        <v>41285787</v>
      </c>
      <c r="AF195" s="145">
        <f t="shared" si="171"/>
        <v>3162059</v>
      </c>
      <c r="AG195" s="18">
        <f t="shared" si="171"/>
        <v>44447846</v>
      </c>
      <c r="AH195" s="19">
        <f t="shared" si="171"/>
        <v>110686878</v>
      </c>
      <c r="AI195" s="15">
        <f t="shared" si="171"/>
        <v>125043975</v>
      </c>
      <c r="AJ195" s="16">
        <f t="shared" si="171"/>
        <v>269801448</v>
      </c>
      <c r="AK195" s="9"/>
      <c r="AL195" s="29">
        <f>SUM(AL196:AL202)</f>
        <v>-30900000</v>
      </c>
      <c r="AM195" s="26">
        <f>SUM(AM196:AM202)</f>
        <v>0</v>
      </c>
      <c r="AN195" s="9"/>
    </row>
    <row r="196" spans="1:40" s="385" customFormat="1" ht="24.95" customHeight="1" x14ac:dyDescent="0.2">
      <c r="A196" s="767"/>
      <c r="B196" s="669"/>
      <c r="N196" s="9"/>
      <c r="P196" s="9"/>
      <c r="Q196" s="9"/>
      <c r="R196" s="9"/>
      <c r="S196" s="720" t="str">
        <f>+IF(JULIO!S196=0,"",JULIO!S196)</f>
        <v>4100100-1</v>
      </c>
      <c r="T196" s="694" t="str">
        <f>+IF(JULIO!T196=0,"",JULIO!T196)</f>
        <v>Productos Farmaceuticos</v>
      </c>
      <c r="U196" s="27">
        <f>+ENERO!U196</f>
        <v>145961721</v>
      </c>
      <c r="V196" s="15">
        <f>JULIO!V196+AGOSTO!AL196</f>
        <v>-36874000</v>
      </c>
      <c r="W196" s="15">
        <f>JULIO!W196+AGOSTO!AM196</f>
        <v>102588010</v>
      </c>
      <c r="X196" s="18">
        <f t="shared" ref="X196:X202" si="172">SUM(U196:W196)</f>
        <v>211675731</v>
      </c>
      <c r="Y196" s="19">
        <f>JULIO!AA196</f>
        <v>122602293</v>
      </c>
      <c r="Z196" s="377">
        <v>15342673</v>
      </c>
      <c r="AA196" s="18">
        <f t="shared" ref="AA196:AA202" si="173">SUM(Y196:Z196)</f>
        <v>137944966</v>
      </c>
      <c r="AB196" s="19">
        <f>JULIO!AD196</f>
        <v>104999914</v>
      </c>
      <c r="AC196" s="377">
        <v>18587955</v>
      </c>
      <c r="AD196" s="18">
        <f t="shared" ref="AD196:AD202" si="174">SUM(AB196:AC196)</f>
        <v>123587869</v>
      </c>
      <c r="AE196" s="19">
        <f>JULIO!AG196</f>
        <v>21593660</v>
      </c>
      <c r="AF196" s="377">
        <v>3106568</v>
      </c>
      <c r="AG196" s="18">
        <f t="shared" ref="AG196:AG202" si="175">SUM(AE196:AF196)</f>
        <v>24700228</v>
      </c>
      <c r="AH196" s="19">
        <f t="shared" ref="AH196:AH202" si="176">X196-AA196</f>
        <v>73730765</v>
      </c>
      <c r="AI196" s="15">
        <f t="shared" ref="AI196:AI202" si="177">X196-AD196</f>
        <v>88087862</v>
      </c>
      <c r="AJ196" s="16">
        <f t="shared" ref="AJ196:AJ202" si="178">X196-AG196</f>
        <v>186975503</v>
      </c>
      <c r="AK196" s="9"/>
      <c r="AL196" s="375">
        <v>-36874000</v>
      </c>
      <c r="AM196" s="378">
        <v>0</v>
      </c>
      <c r="AN196" s="9"/>
    </row>
    <row r="197" spans="1:40" s="385" customFormat="1" ht="24.95" customHeight="1" x14ac:dyDescent="0.2">
      <c r="A197" s="767"/>
      <c r="B197" s="669"/>
      <c r="N197" s="9"/>
      <c r="P197" s="9"/>
      <c r="Q197" s="9"/>
      <c r="R197" s="9"/>
      <c r="S197" s="720" t="str">
        <f>+IF(JULIO!S197=0,"",JULIO!S197)</f>
        <v>4100100-2</v>
      </c>
      <c r="T197" s="694" t="str">
        <f>+IF(JULIO!T197=0,"",JULIO!T197)</f>
        <v>Material Médico Quirúrgico</v>
      </c>
      <c r="U197" s="27">
        <f>+ENERO!U197</f>
        <v>49263202</v>
      </c>
      <c r="V197" s="15">
        <f>JULIO!V197+AGOSTO!AL197</f>
        <v>0</v>
      </c>
      <c r="W197" s="15">
        <f>JULIO!W197+AGOSTO!AM197</f>
        <v>0</v>
      </c>
      <c r="X197" s="18">
        <f t="shared" si="172"/>
        <v>49263202</v>
      </c>
      <c r="Y197" s="19">
        <f>JULIO!AA197</f>
        <v>34021323</v>
      </c>
      <c r="Z197" s="377">
        <v>2053996</v>
      </c>
      <c r="AA197" s="18">
        <f t="shared" si="173"/>
        <v>36075319</v>
      </c>
      <c r="AB197" s="19">
        <f>JULIO!AD197</f>
        <v>34021323</v>
      </c>
      <c r="AC197" s="377">
        <v>2053996</v>
      </c>
      <c r="AD197" s="18">
        <f t="shared" si="174"/>
        <v>36075319</v>
      </c>
      <c r="AE197" s="19">
        <f>JULIO!AG197</f>
        <v>10630859</v>
      </c>
      <c r="AF197" s="377">
        <v>55491</v>
      </c>
      <c r="AG197" s="18">
        <f t="shared" si="175"/>
        <v>10686350</v>
      </c>
      <c r="AH197" s="19">
        <f t="shared" si="176"/>
        <v>13187883</v>
      </c>
      <c r="AI197" s="15">
        <f t="shared" si="177"/>
        <v>13187883</v>
      </c>
      <c r="AJ197" s="16">
        <f t="shared" si="178"/>
        <v>38576852</v>
      </c>
      <c r="AK197" s="9"/>
      <c r="AL197" s="375">
        <v>0</v>
      </c>
      <c r="AM197" s="378">
        <v>0</v>
      </c>
      <c r="AN197" s="9"/>
    </row>
    <row r="198" spans="1:40" s="385" customFormat="1" ht="24.95" customHeight="1" x14ac:dyDescent="0.2">
      <c r="A198" s="767"/>
      <c r="B198" s="669"/>
      <c r="N198" s="9"/>
      <c r="P198" s="9"/>
      <c r="Q198" s="9"/>
      <c r="R198" s="9"/>
      <c r="S198" s="720" t="str">
        <f>+IF(JULIO!S198=0,"",JULIO!S198)</f>
        <v>4100100-3</v>
      </c>
      <c r="T198" s="694" t="str">
        <f>+IF(JULIO!T198=0,"",JULIO!T198)</f>
        <v>Material de Laboratorio</v>
      </c>
      <c r="U198" s="27">
        <f>+ENERO!U198</f>
        <v>20729510</v>
      </c>
      <c r="V198" s="15">
        <f>JULIO!V198+AGOSTO!AL198</f>
        <v>8974000</v>
      </c>
      <c r="W198" s="15">
        <f>JULIO!W198+AGOSTO!AM198</f>
        <v>0</v>
      </c>
      <c r="X198" s="18">
        <f t="shared" si="172"/>
        <v>29703510</v>
      </c>
      <c r="Y198" s="19">
        <f>JULIO!AA198</f>
        <v>18369426</v>
      </c>
      <c r="Z198" s="377">
        <v>1096364</v>
      </c>
      <c r="AA198" s="18">
        <f t="shared" si="173"/>
        <v>19465790</v>
      </c>
      <c r="AB198" s="19">
        <f>JULIO!AD198</f>
        <v>18369426</v>
      </c>
      <c r="AC198" s="377">
        <v>1096364</v>
      </c>
      <c r="AD198" s="18">
        <f t="shared" si="174"/>
        <v>19465790</v>
      </c>
      <c r="AE198" s="19">
        <f>JULIO!AG198</f>
        <v>3945820</v>
      </c>
      <c r="AF198" s="377">
        <v>0</v>
      </c>
      <c r="AG198" s="18">
        <f t="shared" si="175"/>
        <v>3945820</v>
      </c>
      <c r="AH198" s="19">
        <f t="shared" si="176"/>
        <v>10237720</v>
      </c>
      <c r="AI198" s="15">
        <f t="shared" si="177"/>
        <v>10237720</v>
      </c>
      <c r="AJ198" s="16">
        <f t="shared" si="178"/>
        <v>25757690</v>
      </c>
      <c r="AK198" s="9"/>
      <c r="AL198" s="375">
        <v>8974000</v>
      </c>
      <c r="AM198" s="378">
        <v>0</v>
      </c>
      <c r="AN198" s="9"/>
    </row>
    <row r="199" spans="1:40" s="385" customFormat="1" ht="24.95" customHeight="1" x14ac:dyDescent="0.2">
      <c r="A199" s="767"/>
      <c r="B199" s="669"/>
      <c r="N199" s="9"/>
      <c r="P199" s="9"/>
      <c r="Q199" s="9"/>
      <c r="R199" s="9"/>
      <c r="S199" s="720" t="str">
        <f>+IF(JULIO!S199=0,"",JULIO!S199)</f>
        <v>4100100-4</v>
      </c>
      <c r="T199" s="694" t="str">
        <f>+IF(JULIO!T199=0,"",JULIO!T199)</f>
        <v>Material para Odontologia</v>
      </c>
      <c r="U199" s="27">
        <f>+ENERO!U199</f>
        <v>22568185</v>
      </c>
      <c r="V199" s="15">
        <f>JULIO!V199+AGOSTO!AL199</f>
        <v>0</v>
      </c>
      <c r="W199" s="15">
        <f>JULIO!W199+AGOSTO!AM199</f>
        <v>0</v>
      </c>
      <c r="X199" s="18">
        <f t="shared" si="172"/>
        <v>22568185</v>
      </c>
      <c r="Y199" s="19">
        <f>JULIO!AA199</f>
        <v>10076341</v>
      </c>
      <c r="Z199" s="377">
        <v>0</v>
      </c>
      <c r="AA199" s="18">
        <f t="shared" si="173"/>
        <v>10076341</v>
      </c>
      <c r="AB199" s="19">
        <f>JULIO!AD199</f>
        <v>10076341</v>
      </c>
      <c r="AC199" s="377">
        <v>0</v>
      </c>
      <c r="AD199" s="18">
        <f t="shared" si="174"/>
        <v>10076341</v>
      </c>
      <c r="AE199" s="19">
        <f>JULIO!AG199</f>
        <v>5115448</v>
      </c>
      <c r="AF199" s="377">
        <v>0</v>
      </c>
      <c r="AG199" s="18">
        <f t="shared" si="175"/>
        <v>5115448</v>
      </c>
      <c r="AH199" s="19">
        <f t="shared" si="176"/>
        <v>12491844</v>
      </c>
      <c r="AI199" s="15">
        <f t="shared" si="177"/>
        <v>12491844</v>
      </c>
      <c r="AJ199" s="16">
        <f t="shared" si="178"/>
        <v>17452737</v>
      </c>
      <c r="AK199" s="9"/>
      <c r="AL199" s="375">
        <v>0</v>
      </c>
      <c r="AM199" s="378">
        <v>0</v>
      </c>
      <c r="AN199" s="9"/>
    </row>
    <row r="200" spans="1:40" s="385" customFormat="1" ht="24.95" customHeight="1" x14ac:dyDescent="0.2">
      <c r="A200" s="767"/>
      <c r="B200" s="669"/>
      <c r="N200" s="9"/>
      <c r="P200" s="9"/>
      <c r="Q200" s="9"/>
      <c r="R200" s="9"/>
      <c r="S200" s="720" t="str">
        <f>+IF(JULIO!S200=0,"",JULIO!S200)</f>
        <v>4100100-5</v>
      </c>
      <c r="T200" s="694" t="str">
        <f>+IF(JULIO!T200=0,"",JULIO!T200)</f>
        <v>Material para Rayos X</v>
      </c>
      <c r="U200" s="27">
        <f>+ENERO!U200</f>
        <v>2038666</v>
      </c>
      <c r="V200" s="15">
        <f>JULIO!V200+AGOSTO!AL200</f>
        <v>-3000000</v>
      </c>
      <c r="W200" s="15">
        <f>JULIO!W200+AGOSTO!AM200</f>
        <v>2000000</v>
      </c>
      <c r="X200" s="18">
        <f t="shared" si="172"/>
        <v>1038666</v>
      </c>
      <c r="Y200" s="19">
        <f>JULIO!AA200</f>
        <v>0</v>
      </c>
      <c r="Z200" s="377">
        <v>0</v>
      </c>
      <c r="AA200" s="18">
        <f t="shared" si="173"/>
        <v>0</v>
      </c>
      <c r="AB200" s="19">
        <f>JULIO!AD200</f>
        <v>0</v>
      </c>
      <c r="AC200" s="377">
        <v>0</v>
      </c>
      <c r="AD200" s="18">
        <f t="shared" si="174"/>
        <v>0</v>
      </c>
      <c r="AE200" s="19">
        <f>JULIO!AG200</f>
        <v>0</v>
      </c>
      <c r="AF200" s="377">
        <v>0</v>
      </c>
      <c r="AG200" s="18">
        <f t="shared" si="175"/>
        <v>0</v>
      </c>
      <c r="AH200" s="19">
        <f t="shared" si="176"/>
        <v>1038666</v>
      </c>
      <c r="AI200" s="15">
        <f t="shared" si="177"/>
        <v>1038666</v>
      </c>
      <c r="AJ200" s="16">
        <f t="shared" si="178"/>
        <v>1038666</v>
      </c>
      <c r="AK200" s="9"/>
      <c r="AL200" s="375">
        <v>-3000000</v>
      </c>
      <c r="AM200" s="378">
        <v>0</v>
      </c>
      <c r="AN200" s="9"/>
    </row>
    <row r="201" spans="1:40" s="385" customFormat="1" ht="24.95" customHeight="1" x14ac:dyDescent="0.2">
      <c r="A201" s="767"/>
      <c r="B201" s="669"/>
      <c r="N201" s="9"/>
      <c r="P201" s="9"/>
      <c r="Q201" s="9"/>
      <c r="R201" s="9"/>
      <c r="S201" s="720" t="str">
        <f>+IF(JULIO!S201=0,"",JULIO!S201)</f>
        <v/>
      </c>
      <c r="T201" s="694" t="str">
        <f>+IF(JULIO!T201=0,"",JULIO!T201)</f>
        <v/>
      </c>
      <c r="U201" s="27">
        <f>+ENERO!U201</f>
        <v>0</v>
      </c>
      <c r="V201" s="15">
        <f>JULIO!V201+AGOSTO!AL201</f>
        <v>0</v>
      </c>
      <c r="W201" s="15">
        <f>JULIO!W201+AGOSTO!AM201</f>
        <v>0</v>
      </c>
      <c r="X201" s="18">
        <f t="shared" si="172"/>
        <v>0</v>
      </c>
      <c r="Y201" s="19">
        <f>JULIO!AA201</f>
        <v>0</v>
      </c>
      <c r="Z201" s="377">
        <v>0</v>
      </c>
      <c r="AA201" s="18">
        <f t="shared" si="173"/>
        <v>0</v>
      </c>
      <c r="AB201" s="19">
        <f>JULIO!AD201</f>
        <v>0</v>
      </c>
      <c r="AC201" s="377">
        <v>0</v>
      </c>
      <c r="AD201" s="18">
        <f t="shared" si="174"/>
        <v>0</v>
      </c>
      <c r="AE201" s="19">
        <f>JULIO!AG201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+IF(JULIO!S202=0,"",JULIO!S202)</f>
        <v/>
      </c>
      <c r="T202" s="694" t="str">
        <f>+IF(JULIO!T202=0,"",JULIO!T202)</f>
        <v/>
      </c>
      <c r="U202" s="27">
        <f>+ENERO!U202</f>
        <v>0</v>
      </c>
      <c r="V202" s="15">
        <f>JULIO!V202+AGOSTO!AL202</f>
        <v>0</v>
      </c>
      <c r="W202" s="15">
        <f>JULIO!W202+AGOSTO!AM202</f>
        <v>0</v>
      </c>
      <c r="X202" s="18">
        <f t="shared" si="172"/>
        <v>0</v>
      </c>
      <c r="Y202" s="19">
        <f>JULIO!AA202</f>
        <v>0</v>
      </c>
      <c r="Z202" s="377">
        <v>0</v>
      </c>
      <c r="AA202" s="18">
        <f t="shared" si="173"/>
        <v>0</v>
      </c>
      <c r="AB202" s="19">
        <f>JULIO!AD202</f>
        <v>0</v>
      </c>
      <c r="AC202" s="377">
        <v>0</v>
      </c>
      <c r="AD202" s="18">
        <f t="shared" si="174"/>
        <v>0</v>
      </c>
      <c r="AE202" s="19">
        <f>JULIO!AG202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+IF(JULIO!S203=0,"",JULIO!S203)</f>
        <v>4100200</v>
      </c>
      <c r="T203" s="693" t="str">
        <f>+IF(JULIO!T203=0,"",JULIO!T203)</f>
        <v>Gastos Complementarios e Intermedios</v>
      </c>
      <c r="U203" s="27">
        <f t="shared" ref="U203:AJ203" si="179">U204</f>
        <v>31968044</v>
      </c>
      <c r="V203" s="15">
        <f t="shared" si="179"/>
        <v>3000000</v>
      </c>
      <c r="W203" s="15">
        <f t="shared" si="179"/>
        <v>0</v>
      </c>
      <c r="X203" s="18">
        <f t="shared" si="179"/>
        <v>34968044</v>
      </c>
      <c r="Y203" s="19">
        <f t="shared" si="179"/>
        <v>21251866</v>
      </c>
      <c r="Z203" s="145">
        <f t="shared" si="179"/>
        <v>4473660</v>
      </c>
      <c r="AA203" s="18">
        <f t="shared" si="179"/>
        <v>25725526</v>
      </c>
      <c r="AB203" s="19">
        <f t="shared" si="179"/>
        <v>21251866</v>
      </c>
      <c r="AC203" s="145">
        <f t="shared" si="179"/>
        <v>4473660</v>
      </c>
      <c r="AD203" s="18">
        <f t="shared" si="179"/>
        <v>25725526</v>
      </c>
      <c r="AE203" s="19">
        <f t="shared" si="179"/>
        <v>16377166</v>
      </c>
      <c r="AF203" s="145">
        <f t="shared" si="179"/>
        <v>4009410</v>
      </c>
      <c r="AG203" s="18">
        <f t="shared" si="179"/>
        <v>20386576</v>
      </c>
      <c r="AH203" s="19">
        <f t="shared" si="179"/>
        <v>9242518</v>
      </c>
      <c r="AI203" s="15">
        <f t="shared" si="179"/>
        <v>9242518</v>
      </c>
      <c r="AJ203" s="16">
        <f t="shared" si="179"/>
        <v>14581468</v>
      </c>
      <c r="AK203" s="9"/>
      <c r="AL203" s="29">
        <f>AL204</f>
        <v>3000000</v>
      </c>
      <c r="AM203" s="26">
        <f>AM204</f>
        <v>0</v>
      </c>
      <c r="AN203" s="9"/>
    </row>
    <row r="204" spans="1:40" s="385" customFormat="1" ht="24.95" customHeight="1" x14ac:dyDescent="0.2">
      <c r="A204" s="767"/>
      <c r="B204" s="669"/>
      <c r="N204" s="9"/>
      <c r="P204" s="9"/>
      <c r="Q204" s="9"/>
      <c r="R204" s="9"/>
      <c r="S204" s="720" t="str">
        <f>+IF(JULIO!S204=0,"",JULIO!S204)</f>
        <v>4100200-1</v>
      </c>
      <c r="T204" s="694" t="str">
        <f>+IF(JULIO!T204=0,"",JULIO!T204)</f>
        <v>Alimentación</v>
      </c>
      <c r="U204" s="27">
        <f>+ENERO!U204</f>
        <v>31968044</v>
      </c>
      <c r="V204" s="15">
        <f>JULIO!V204+AGOSTO!AL204</f>
        <v>3000000</v>
      </c>
      <c r="W204" s="15">
        <f>JULIO!W204+AGOSTO!AM204</f>
        <v>0</v>
      </c>
      <c r="X204" s="18">
        <f>SUM(U204:W204)</f>
        <v>34968044</v>
      </c>
      <c r="Y204" s="19">
        <f>JULIO!AA204</f>
        <v>21251866</v>
      </c>
      <c r="Z204" s="377">
        <v>4473660</v>
      </c>
      <c r="AA204" s="18">
        <f>SUM(Y204:Z204)</f>
        <v>25725526</v>
      </c>
      <c r="AB204" s="19">
        <f>JULIO!AD204</f>
        <v>21251866</v>
      </c>
      <c r="AC204" s="377">
        <v>4473660</v>
      </c>
      <c r="AD204" s="18">
        <f>SUM(AB204:AC204)</f>
        <v>25725526</v>
      </c>
      <c r="AE204" s="19">
        <f>JULIO!AG204</f>
        <v>16377166</v>
      </c>
      <c r="AF204" s="377">
        <v>4009410</v>
      </c>
      <c r="AG204" s="18">
        <f>SUM(AE204:AF204)</f>
        <v>20386576</v>
      </c>
      <c r="AH204" s="19">
        <f>X204-AA204</f>
        <v>9242518</v>
      </c>
      <c r="AI204" s="15">
        <f>X204-AD204</f>
        <v>9242518</v>
      </c>
      <c r="AJ204" s="16">
        <f>X204-AG204</f>
        <v>14581468</v>
      </c>
      <c r="AK204" s="9"/>
      <c r="AL204" s="375">
        <v>3000000</v>
      </c>
      <c r="AM204" s="378">
        <v>0</v>
      </c>
      <c r="AN204" s="9"/>
    </row>
    <row r="205" spans="1:40" s="385" customFormat="1" ht="24.95" customHeight="1" thickBot="1" x14ac:dyDescent="0.25">
      <c r="A205" s="767"/>
      <c r="B205" s="669"/>
      <c r="N205" s="9"/>
      <c r="P205" s="9"/>
      <c r="Q205" s="9"/>
      <c r="R205" s="9"/>
      <c r="S205" s="724">
        <f>+IF(JULIO!S205=0,"",JULIO!S205)</f>
        <v>4199999</v>
      </c>
      <c r="T205" s="699" t="str">
        <f>+IF(JULIO!T205=0,"",JULIO!T205)</f>
        <v>Vigencias Anteriores</v>
      </c>
      <c r="U205" s="136">
        <f>+ENERO!U205</f>
        <v>0</v>
      </c>
      <c r="V205" s="123">
        <f>JULIO!V205+AGOSTO!AL205</f>
        <v>0</v>
      </c>
      <c r="W205" s="123">
        <f>JULIO!W205+AGOSTO!AM205</f>
        <v>91835932</v>
      </c>
      <c r="X205" s="129">
        <f>SUM(U205:W205)</f>
        <v>91835932</v>
      </c>
      <c r="Y205" s="127">
        <f>JULIO!AA205</f>
        <v>91835932</v>
      </c>
      <c r="Z205" s="391">
        <v>0</v>
      </c>
      <c r="AA205" s="129">
        <f>SUM(Y205:Z205)</f>
        <v>91835932</v>
      </c>
      <c r="AB205" s="127">
        <f>JULIO!AD205</f>
        <v>91835932</v>
      </c>
      <c r="AC205" s="391">
        <v>0</v>
      </c>
      <c r="AD205" s="129">
        <f>SUM(AB205:AC205)</f>
        <v>91835932</v>
      </c>
      <c r="AE205" s="127">
        <f>JULIO!AG205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+IF(JULIO!S206=0,"",JULIO!S206)</f>
        <v/>
      </c>
      <c r="T206" s="700" t="str">
        <f>+IF(JULIO!T206=0,"",JULIO!T206)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+IF(JULIO!S207=0,"",JULIO!S207)</f>
        <v>B</v>
      </c>
      <c r="T207" s="709" t="str">
        <f>+IF(JULIO!T207=0,"",JULIO!T207)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+IF(JULIO!S209=0,"",JULIO!S209)</f>
        <v>5000000</v>
      </c>
      <c r="T209" s="741" t="str">
        <f>+IF(JULIO!T209=0,"",JULIO!T209)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+IF(JULIO!S210=0,"",JULIO!S210)</f>
        <v>5100000</v>
      </c>
      <c r="T210" s="692" t="str">
        <f>+IF(JULIO!T210=0,"",JULIO!T210)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+IF(JULIO!S211=0,"",JULIO!S211)</f>
        <v>5100100</v>
      </c>
      <c r="T211" s="693" t="str">
        <f>+IF(JULIO!T211=0,"",JULIO!T211)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+IF(JULIO!S212=0,"",JULIO!S212)</f>
        <v>5100100-1</v>
      </c>
      <c r="T212" s="694" t="str">
        <f>+IF(JULIO!T212=0,"",JULIO!T212)</f>
        <v>Productos Farmaceuticos</v>
      </c>
      <c r="U212" s="27">
        <f>+ENERO!U212</f>
        <v>0</v>
      </c>
      <c r="V212" s="15">
        <f>JULIO!V212+AGOSTO!AL212</f>
        <v>0</v>
      </c>
      <c r="W212" s="15">
        <f>JULIO!W212+AGOSTO!AM212</f>
        <v>0</v>
      </c>
      <c r="X212" s="18">
        <f t="shared" ref="X212:X218" si="184">SUM(U212:W212)</f>
        <v>0</v>
      </c>
      <c r="Y212" s="19">
        <f>JULIO!AA212</f>
        <v>0</v>
      </c>
      <c r="Z212" s="377">
        <v>0</v>
      </c>
      <c r="AA212" s="18">
        <f t="shared" ref="AA212:AA218" si="185">SUM(Y212:Z212)</f>
        <v>0</v>
      </c>
      <c r="AB212" s="19">
        <f>JULIO!AD212</f>
        <v>0</v>
      </c>
      <c r="AC212" s="377">
        <v>0</v>
      </c>
      <c r="AD212" s="18">
        <f t="shared" ref="AD212:AD218" si="186">SUM(AB212:AC212)</f>
        <v>0</v>
      </c>
      <c r="AE212" s="19">
        <f>JULIO!AG212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+IF(JULIO!S213=0,"",JULIO!S213)</f>
        <v>5100100-2</v>
      </c>
      <c r="T213" s="694" t="str">
        <f>+IF(JULIO!T213=0,"",JULIO!T213)</f>
        <v>Material Médico Quirúrgico</v>
      </c>
      <c r="U213" s="27">
        <f>+ENERO!U213</f>
        <v>0</v>
      </c>
      <c r="V213" s="15">
        <f>JULIO!V213+AGOSTO!AL213</f>
        <v>0</v>
      </c>
      <c r="W213" s="15">
        <f>JULIO!W213+AGOSTO!AM213</f>
        <v>0</v>
      </c>
      <c r="X213" s="18">
        <f t="shared" si="184"/>
        <v>0</v>
      </c>
      <c r="Y213" s="19">
        <f>JULIO!AA213</f>
        <v>0</v>
      </c>
      <c r="Z213" s="377">
        <v>0</v>
      </c>
      <c r="AA213" s="18">
        <f t="shared" si="185"/>
        <v>0</v>
      </c>
      <c r="AB213" s="19">
        <f>JULIO!AD213</f>
        <v>0</v>
      </c>
      <c r="AC213" s="377">
        <v>0</v>
      </c>
      <c r="AD213" s="18">
        <f t="shared" si="186"/>
        <v>0</v>
      </c>
      <c r="AE213" s="19">
        <f>JULIO!AG213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+IF(JULIO!S214=0,"",JULIO!S214)</f>
        <v>5100100-3</v>
      </c>
      <c r="T214" s="694" t="str">
        <f>+IF(JULIO!T214=0,"",JULIO!T214)</f>
        <v>Material de Laboratorio</v>
      </c>
      <c r="U214" s="27">
        <f>+ENERO!U214</f>
        <v>0</v>
      </c>
      <c r="V214" s="15">
        <f>JULIO!V214+AGOSTO!AL214</f>
        <v>0</v>
      </c>
      <c r="W214" s="15">
        <f>JULIO!W214+AGOSTO!AM214</f>
        <v>0</v>
      </c>
      <c r="X214" s="18">
        <f t="shared" si="184"/>
        <v>0</v>
      </c>
      <c r="Y214" s="19">
        <f>JULIO!AA214</f>
        <v>0</v>
      </c>
      <c r="Z214" s="377">
        <v>0</v>
      </c>
      <c r="AA214" s="18">
        <f t="shared" si="185"/>
        <v>0</v>
      </c>
      <c r="AB214" s="19">
        <f>JULIO!AD214</f>
        <v>0</v>
      </c>
      <c r="AC214" s="377">
        <v>0</v>
      </c>
      <c r="AD214" s="18">
        <f t="shared" si="186"/>
        <v>0</v>
      </c>
      <c r="AE214" s="19">
        <f>JULIO!AG214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+IF(JULIO!S215=0,"",JULIO!S215)</f>
        <v>5100100-4</v>
      </c>
      <c r="T215" s="694" t="str">
        <f>+IF(JULIO!T215=0,"",JULIO!T215)</f>
        <v>Material para Odontologia</v>
      </c>
      <c r="U215" s="27">
        <f>+ENERO!U215</f>
        <v>0</v>
      </c>
      <c r="V215" s="15">
        <f>JULIO!V215+AGOSTO!AL215</f>
        <v>0</v>
      </c>
      <c r="W215" s="15">
        <f>JULIO!W215+AGOSTO!AM215</f>
        <v>0</v>
      </c>
      <c r="X215" s="18">
        <f t="shared" si="184"/>
        <v>0</v>
      </c>
      <c r="Y215" s="19">
        <f>JULIO!AA215</f>
        <v>0</v>
      </c>
      <c r="Z215" s="377">
        <v>0</v>
      </c>
      <c r="AA215" s="18">
        <f t="shared" si="185"/>
        <v>0</v>
      </c>
      <c r="AB215" s="19">
        <f>JULIO!AD215</f>
        <v>0</v>
      </c>
      <c r="AC215" s="377">
        <v>0</v>
      </c>
      <c r="AD215" s="18">
        <f t="shared" si="186"/>
        <v>0</v>
      </c>
      <c r="AE215" s="19">
        <f>JULIO!AG215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+IF(JULIO!S216=0,"",JULIO!S216)</f>
        <v>5100100-5</v>
      </c>
      <c r="T216" s="694" t="str">
        <f>+IF(JULIO!T216=0,"",JULIO!T216)</f>
        <v>Material para Rayos X</v>
      </c>
      <c r="U216" s="27">
        <f>+ENERO!U216</f>
        <v>0</v>
      </c>
      <c r="V216" s="15">
        <f>JULIO!V216+AGOSTO!AL216</f>
        <v>0</v>
      </c>
      <c r="W216" s="15">
        <f>JULIO!W216+AGOSTO!AM216</f>
        <v>0</v>
      </c>
      <c r="X216" s="18">
        <f t="shared" si="184"/>
        <v>0</v>
      </c>
      <c r="Y216" s="19">
        <f>JULIO!AA216</f>
        <v>0</v>
      </c>
      <c r="Z216" s="377">
        <v>0</v>
      </c>
      <c r="AA216" s="18">
        <f t="shared" si="185"/>
        <v>0</v>
      </c>
      <c r="AB216" s="19">
        <f>JULIO!AD216</f>
        <v>0</v>
      </c>
      <c r="AC216" s="377">
        <v>0</v>
      </c>
      <c r="AD216" s="18">
        <f t="shared" si="186"/>
        <v>0</v>
      </c>
      <c r="AE216" s="19">
        <f>JULIO!AG216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+IF(JULIO!S217=0,"",JULIO!S217)</f>
        <v>5100100-6</v>
      </c>
      <c r="T217" s="694" t="str">
        <f>+IF(JULIO!T217=0,"",JULIO!T217)</f>
        <v>Material aseo personal, etc.</v>
      </c>
      <c r="U217" s="27">
        <f>+ENERO!U217</f>
        <v>0</v>
      </c>
      <c r="V217" s="15">
        <f>JULIO!V217+AGOSTO!AL217</f>
        <v>0</v>
      </c>
      <c r="W217" s="15">
        <f>JULIO!W217+AGOSTO!AM217</f>
        <v>0</v>
      </c>
      <c r="X217" s="18">
        <f t="shared" si="184"/>
        <v>0</v>
      </c>
      <c r="Y217" s="19">
        <f>JULIO!AA217</f>
        <v>0</v>
      </c>
      <c r="Z217" s="377">
        <v>0</v>
      </c>
      <c r="AA217" s="18">
        <f t="shared" si="185"/>
        <v>0</v>
      </c>
      <c r="AB217" s="19">
        <f>JULIO!AD217</f>
        <v>0</v>
      </c>
      <c r="AC217" s="377">
        <v>0</v>
      </c>
      <c r="AD217" s="18">
        <f t="shared" si="186"/>
        <v>0</v>
      </c>
      <c r="AE217" s="19">
        <f>JULIO!AG217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+IF(JULIO!S218=0,"",JULIO!S218)</f>
        <v>5199999</v>
      </c>
      <c r="T218" s="710" t="str">
        <f>+IF(JULIO!T218=0,"",JULIO!T218)</f>
        <v>Vigencias Anteriores</v>
      </c>
      <c r="U218" s="136">
        <f>+ENERO!U218</f>
        <v>0</v>
      </c>
      <c r="V218" s="123">
        <f>JULIO!V218+AGOSTO!AL218</f>
        <v>0</v>
      </c>
      <c r="W218" s="123">
        <f>JULIO!W218+AGOSTO!AM218</f>
        <v>0</v>
      </c>
      <c r="X218" s="129">
        <f t="shared" si="184"/>
        <v>0</v>
      </c>
      <c r="Y218" s="127">
        <f>JULIO!AA218</f>
        <v>0</v>
      </c>
      <c r="Z218" s="391">
        <v>0</v>
      </c>
      <c r="AA218" s="129">
        <f t="shared" si="185"/>
        <v>0</v>
      </c>
      <c r="AB218" s="127">
        <f>JULIO!AD218</f>
        <v>0</v>
      </c>
      <c r="AC218" s="391">
        <v>0</v>
      </c>
      <c r="AD218" s="129">
        <f t="shared" si="186"/>
        <v>0</v>
      </c>
      <c r="AE218" s="127">
        <f>JULIO!AG218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+IF(JULIO!S219=0,"",JULIO!S219)</f>
        <v/>
      </c>
      <c r="T219" s="707" t="str">
        <f>+IF(JULIO!T219=0,"",JULIO!T219)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+IF(JULIO!S220=0,"",JULIO!S220)</f>
        <v>C</v>
      </c>
      <c r="T220" s="688" t="str">
        <f>+IF(JULIO!T220=0,"",JULIO!T220)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+IF(JULIO!S221=0,"",JULIO!S221)</f>
        <v/>
      </c>
      <c r="T221" s="708" t="str">
        <f>+IF(JULIO!T221=0,"",JULIO!T221)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+IF(JULIO!S222=0,"",JULIO!S222)</f>
        <v>7001000</v>
      </c>
      <c r="T222" s="692" t="str">
        <f>+IF(JULIO!T222=0,"",JULIO!T222)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+IF(JULIO!S223=0,"",JULIO!S223)</f>
        <v>7001100</v>
      </c>
      <c r="T223" s="693" t="str">
        <f>+IF(JULIO!T223=0,"",JULIO!T223)</f>
        <v>Amortización deuda Pública Interna</v>
      </c>
      <c r="U223" s="27">
        <f>+ENERO!U223</f>
        <v>0</v>
      </c>
      <c r="V223" s="15">
        <f>JULIO!V223+AGOSTO!AL223</f>
        <v>0</v>
      </c>
      <c r="W223" s="15">
        <f>JULIO!W223+AGOSTO!AM223</f>
        <v>0</v>
      </c>
      <c r="X223" s="18">
        <f>SUM(U223:W223)</f>
        <v>0</v>
      </c>
      <c r="Y223" s="19">
        <f>JULIO!AA223</f>
        <v>0</v>
      </c>
      <c r="Z223" s="377">
        <v>0</v>
      </c>
      <c r="AA223" s="18">
        <f>SUM(Y223:Z223)</f>
        <v>0</v>
      </c>
      <c r="AB223" s="19">
        <f>JULIO!AD223</f>
        <v>0</v>
      </c>
      <c r="AC223" s="377">
        <v>0</v>
      </c>
      <c r="AD223" s="18">
        <f>SUM(AB223:AC223)</f>
        <v>0</v>
      </c>
      <c r="AE223" s="19">
        <f>JULIO!AG223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+IF(JULIO!S224=0,"",JULIO!S224)</f>
        <v>7001200</v>
      </c>
      <c r="T224" s="693" t="str">
        <f>+IF(JULIO!T224=0,"",JULIO!T224)</f>
        <v>Intereses Comisiones y gastos de la Deuda Pública</v>
      </c>
      <c r="U224" s="27">
        <f>+ENERO!U224</f>
        <v>0</v>
      </c>
      <c r="V224" s="15">
        <f>JULIO!V224+AGOSTO!AL224</f>
        <v>0</v>
      </c>
      <c r="W224" s="15">
        <f>JULIO!W224+AGOSTO!AM224</f>
        <v>0</v>
      </c>
      <c r="X224" s="18">
        <f>SUM(U224:W224)</f>
        <v>0</v>
      </c>
      <c r="Y224" s="19">
        <f>JULIO!AA224</f>
        <v>0</v>
      </c>
      <c r="Z224" s="377">
        <v>0</v>
      </c>
      <c r="AA224" s="18">
        <f>SUM(Y224:Z224)</f>
        <v>0</v>
      </c>
      <c r="AB224" s="19">
        <f>JULIO!AD224</f>
        <v>0</v>
      </c>
      <c r="AC224" s="377">
        <v>0</v>
      </c>
      <c r="AD224" s="18">
        <f>SUM(AB224:AC224)</f>
        <v>0</v>
      </c>
      <c r="AE224" s="19">
        <f>JULIO!AG224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+IF(JULIO!S225=0,"",JULIO!S225)</f>
        <v>7001999</v>
      </c>
      <c r="T225" s="693" t="str">
        <f>+IF(JULIO!T225=0,"",JULIO!T225)</f>
        <v>Vigencias Anteriores</v>
      </c>
      <c r="U225" s="27">
        <f>+ENERO!U225</f>
        <v>0</v>
      </c>
      <c r="V225" s="15">
        <f>JULIO!V225+AGOSTO!AL225</f>
        <v>0</v>
      </c>
      <c r="W225" s="15">
        <f>JULIO!W225+AGOSTO!AM225</f>
        <v>0</v>
      </c>
      <c r="X225" s="18">
        <f>SUM(U225:W225)</f>
        <v>0</v>
      </c>
      <c r="Y225" s="19">
        <f>JULIO!AA225</f>
        <v>0</v>
      </c>
      <c r="Z225" s="377">
        <v>0</v>
      </c>
      <c r="AA225" s="18">
        <f>SUM(Y225:Z225)</f>
        <v>0</v>
      </c>
      <c r="AB225" s="19">
        <f>JULIO!AD225</f>
        <v>0</v>
      </c>
      <c r="AC225" s="377">
        <v>0</v>
      </c>
      <c r="AD225" s="18">
        <f>SUM(AB225:AC225)</f>
        <v>0</v>
      </c>
      <c r="AE225" s="19">
        <f>JULIO!AG225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+IF(JULIO!S226=0,"",JULIO!S226)</f>
        <v/>
      </c>
      <c r="T226" s="708" t="str">
        <f>+IF(JULIO!T226=0,"",JULIO!T226)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+IF(JULIO!S227=0,"",JULIO!S227)</f>
        <v>7002001</v>
      </c>
      <c r="T227" s="692" t="str">
        <f>+IF(JULIO!T227=0,"",JULIO!T227)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+IF(JULIO!S228=0,"",JULIO!S228)</f>
        <v>7002100</v>
      </c>
      <c r="T228" s="693" t="str">
        <f>+IF(JULIO!T228=0,"",JULIO!T228)</f>
        <v>Amortización deuda Pública Externa</v>
      </c>
      <c r="U228" s="27">
        <f>+ENERO!U228</f>
        <v>0</v>
      </c>
      <c r="V228" s="15">
        <f>JULIO!V228+AGOSTO!AL228</f>
        <v>0</v>
      </c>
      <c r="W228" s="15">
        <f>JULIO!W228+AGOSTO!AM228</f>
        <v>0</v>
      </c>
      <c r="X228" s="18">
        <f>SUM(U228:W228)</f>
        <v>0</v>
      </c>
      <c r="Y228" s="19">
        <f>JULIO!AA228</f>
        <v>0</v>
      </c>
      <c r="Z228" s="377">
        <v>0</v>
      </c>
      <c r="AA228" s="18">
        <f>SUM(Y228:Z228)</f>
        <v>0</v>
      </c>
      <c r="AB228" s="19">
        <f>JULIO!AD228</f>
        <v>0</v>
      </c>
      <c r="AC228" s="377">
        <v>0</v>
      </c>
      <c r="AD228" s="18">
        <f>SUM(AB228:AC228)</f>
        <v>0</v>
      </c>
      <c r="AE228" s="19">
        <f>JULIO!AG228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+IF(JULIO!S229=0,"",JULIO!S229)</f>
        <v>7002200</v>
      </c>
      <c r="T229" s="693" t="str">
        <f>+IF(JULIO!T229=0,"",JULIO!T229)</f>
        <v>Intereses Comisiones y gastos de la Deuda Pública</v>
      </c>
      <c r="U229" s="27">
        <f>+ENERO!U229</f>
        <v>0</v>
      </c>
      <c r="V229" s="15">
        <f>JULIO!V229+AGOSTO!AL229</f>
        <v>0</v>
      </c>
      <c r="W229" s="15">
        <f>JULIO!W229+AGOSTO!AM229</f>
        <v>0</v>
      </c>
      <c r="X229" s="18">
        <f>SUM(U229:W229)</f>
        <v>0</v>
      </c>
      <c r="Y229" s="19">
        <f>JULIO!AA229</f>
        <v>0</v>
      </c>
      <c r="Z229" s="377">
        <v>0</v>
      </c>
      <c r="AA229" s="18">
        <f>SUM(Y229:Z229)</f>
        <v>0</v>
      </c>
      <c r="AB229" s="19">
        <f>JULIO!AD229</f>
        <v>0</v>
      </c>
      <c r="AC229" s="377">
        <v>0</v>
      </c>
      <c r="AD229" s="18">
        <f>SUM(AB229:AC229)</f>
        <v>0</v>
      </c>
      <c r="AE229" s="19">
        <f>JULIO!AG229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+IF(JULIO!S230=0,"",JULIO!S230)</f>
        <v>7002999</v>
      </c>
      <c r="T230" s="699" t="str">
        <f>+IF(JULIO!T230=0,"",JULIO!T230)</f>
        <v>Vigencias Anteriores</v>
      </c>
      <c r="U230" s="136">
        <f>+ENERO!U230</f>
        <v>0</v>
      </c>
      <c r="V230" s="123">
        <f>JULIO!V230+AGOSTO!AL230</f>
        <v>0</v>
      </c>
      <c r="W230" s="123">
        <f>JULIO!W230+AGOSTO!AM230</f>
        <v>0</v>
      </c>
      <c r="X230" s="129">
        <f>SUM(U230:W230)</f>
        <v>0</v>
      </c>
      <c r="Y230" s="127">
        <f>JULIO!AA230</f>
        <v>0</v>
      </c>
      <c r="Z230" s="391">
        <v>0</v>
      </c>
      <c r="AA230" s="129">
        <f>SUM(Y230:Z230)</f>
        <v>0</v>
      </c>
      <c r="AB230" s="127">
        <f>JULIO!AD230</f>
        <v>0</v>
      </c>
      <c r="AC230" s="391">
        <v>0</v>
      </c>
      <c r="AD230" s="129">
        <f>SUM(AB230:AC230)</f>
        <v>0</v>
      </c>
      <c r="AE230" s="127">
        <f>JULIO!AG230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+IF(JULIO!S231=0,"",JULIO!S231)</f>
        <v/>
      </c>
      <c r="T231" s="700" t="str">
        <f>+IF(JULIO!T231=0,"",JULIO!T231)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+IF(JULIO!S232=0,"",JULIO!S232)</f>
        <v>D</v>
      </c>
      <c r="T232" s="709" t="str">
        <f>+IF(JULIO!T232=0,"",JULIO!T232)</f>
        <v>INVERSION</v>
      </c>
      <c r="U232" s="473">
        <f t="shared" ref="U232:AJ232" si="194">U234</f>
        <v>303000000</v>
      </c>
      <c r="V232" s="474">
        <f t="shared" si="194"/>
        <v>-103000000</v>
      </c>
      <c r="W232" s="474">
        <f t="shared" si="194"/>
        <v>178000000</v>
      </c>
      <c r="X232" s="475">
        <f t="shared" si="194"/>
        <v>378000000</v>
      </c>
      <c r="Y232" s="382">
        <f t="shared" si="194"/>
        <v>120161334</v>
      </c>
      <c r="Z232" s="474">
        <f t="shared" si="194"/>
        <v>0</v>
      </c>
      <c r="AA232" s="475">
        <f t="shared" si="194"/>
        <v>120161334</v>
      </c>
      <c r="AB232" s="382">
        <f t="shared" si="194"/>
        <v>43798000</v>
      </c>
      <c r="AC232" s="474">
        <f t="shared" si="194"/>
        <v>15150000</v>
      </c>
      <c r="AD232" s="475">
        <f t="shared" si="194"/>
        <v>58948000</v>
      </c>
      <c r="AE232" s="382">
        <f t="shared" si="194"/>
        <v>36545000</v>
      </c>
      <c r="AF232" s="474">
        <f t="shared" si="194"/>
        <v>11775000</v>
      </c>
      <c r="AG232" s="475">
        <f t="shared" si="194"/>
        <v>48320000</v>
      </c>
      <c r="AH232" s="382">
        <f t="shared" si="194"/>
        <v>257838666</v>
      </c>
      <c r="AI232" s="474">
        <f t="shared" si="194"/>
        <v>319052000</v>
      </c>
      <c r="AJ232" s="383">
        <f t="shared" si="194"/>
        <v>329680000</v>
      </c>
      <c r="AK232" s="506"/>
      <c r="AL232" s="382">
        <f>AL234</f>
        <v>0</v>
      </c>
      <c r="AM232" s="383">
        <f>AM234</f>
        <v>0</v>
      </c>
      <c r="AN232" s="9"/>
    </row>
    <row r="233" spans="1:64" s="385" customFormat="1" ht="24.95" customHeight="1" x14ac:dyDescent="0.2">
      <c r="A233" s="767"/>
      <c r="B233" s="669"/>
      <c r="N233" s="9"/>
      <c r="P233" s="9"/>
      <c r="Q233" s="9"/>
      <c r="R233" s="9"/>
      <c r="S233" s="369" t="str">
        <f>+IF(JULIO!S233=0,"",JULIO!S233)</f>
        <v/>
      </c>
      <c r="T233" s="708" t="str">
        <f>+IF(JULIO!T233=0,"",JULIO!T233)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+IF(JULIO!S234=0,"",JULIO!S234)</f>
        <v>8000000</v>
      </c>
      <c r="T234" s="692" t="str">
        <f>+IF(JULIO!T234=0,"",JULIO!T234)</f>
        <v>Programas de Inversión</v>
      </c>
      <c r="U234" s="135">
        <f t="shared" ref="U234:AJ234" si="195">U235+U243</f>
        <v>303000000</v>
      </c>
      <c r="V234" s="124">
        <f t="shared" si="195"/>
        <v>-103000000</v>
      </c>
      <c r="W234" s="124">
        <f t="shared" si="195"/>
        <v>178000000</v>
      </c>
      <c r="X234" s="132">
        <f t="shared" si="195"/>
        <v>378000000</v>
      </c>
      <c r="Y234" s="131">
        <f t="shared" si="195"/>
        <v>120161334</v>
      </c>
      <c r="Z234" s="124">
        <f t="shared" si="195"/>
        <v>0</v>
      </c>
      <c r="AA234" s="132">
        <f t="shared" si="195"/>
        <v>120161334</v>
      </c>
      <c r="AB234" s="131">
        <f t="shared" si="195"/>
        <v>43798000</v>
      </c>
      <c r="AC234" s="124">
        <f t="shared" si="195"/>
        <v>15150000</v>
      </c>
      <c r="AD234" s="132">
        <f t="shared" si="195"/>
        <v>58948000</v>
      </c>
      <c r="AE234" s="131">
        <f t="shared" si="195"/>
        <v>36545000</v>
      </c>
      <c r="AF234" s="124">
        <f t="shared" si="195"/>
        <v>11775000</v>
      </c>
      <c r="AG234" s="132">
        <f t="shared" si="195"/>
        <v>48320000</v>
      </c>
      <c r="AH234" s="131">
        <f t="shared" si="195"/>
        <v>257838666</v>
      </c>
      <c r="AI234" s="124">
        <f t="shared" si="195"/>
        <v>319052000</v>
      </c>
      <c r="AJ234" s="133">
        <f t="shared" si="195"/>
        <v>329680000</v>
      </c>
      <c r="AK234" s="9"/>
      <c r="AL234" s="131">
        <f>AL235+AL243</f>
        <v>0</v>
      </c>
      <c r="AM234" s="133">
        <f>AM235+AM243</f>
        <v>0</v>
      </c>
      <c r="AN234" s="9"/>
    </row>
    <row r="235" spans="1:64" s="385" customFormat="1" ht="24.95" customHeight="1" x14ac:dyDescent="0.2">
      <c r="A235" s="767"/>
      <c r="B235" s="669"/>
      <c r="N235" s="9"/>
      <c r="P235" s="9"/>
      <c r="Q235" s="9"/>
      <c r="R235" s="9"/>
      <c r="S235" s="719">
        <f>+IF(JULIO!S235=0,"",JULIO!S235)</f>
        <v>8001000</v>
      </c>
      <c r="T235" s="693" t="str">
        <f>+IF(JULIO!T235=0,"",JULIO!T235)</f>
        <v>Formación Bruta del Capital</v>
      </c>
      <c r="U235" s="27">
        <f t="shared" ref="U235:AJ235" si="196">SUM(U236:U241)</f>
        <v>185000000</v>
      </c>
      <c r="V235" s="15">
        <f t="shared" si="196"/>
        <v>0</v>
      </c>
      <c r="W235" s="15">
        <f t="shared" si="196"/>
        <v>0</v>
      </c>
      <c r="X235" s="18">
        <f t="shared" si="196"/>
        <v>185000000</v>
      </c>
      <c r="Y235" s="19">
        <f t="shared" si="196"/>
        <v>0</v>
      </c>
      <c r="Z235" s="145">
        <f t="shared" si="196"/>
        <v>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185000000</v>
      </c>
      <c r="AI235" s="15">
        <f t="shared" si="196"/>
        <v>185000000</v>
      </c>
      <c r="AJ235" s="16">
        <f t="shared" si="196"/>
        <v>185000000</v>
      </c>
      <c r="AK235" s="9"/>
      <c r="AL235" s="29">
        <f>SUM(AL236:AL241)</f>
        <v>0</v>
      </c>
      <c r="AM235" s="26">
        <f>SUM(AM236:AM241)</f>
        <v>0</v>
      </c>
      <c r="AN235" s="9"/>
    </row>
    <row r="236" spans="1:64" s="385" customFormat="1" ht="24.95" customHeight="1" x14ac:dyDescent="0.2">
      <c r="A236" s="767"/>
      <c r="B236" s="669"/>
      <c r="N236" s="9"/>
      <c r="P236" s="9"/>
      <c r="Q236" s="9"/>
      <c r="R236" s="9"/>
      <c r="S236" s="720" t="str">
        <f>+IF(JULIO!S236=0,"",JULIO!S236)</f>
        <v>8001000-1</v>
      </c>
      <c r="T236" s="694" t="str">
        <f>+IF(JULIO!T236=0,"",JULIO!T236)</f>
        <v>Subprogr.Diseño Proyecto plan maestro, remodelacion y adec.primer piso</v>
      </c>
      <c r="U236" s="27">
        <f>+ENERO!U236</f>
        <v>60000000</v>
      </c>
      <c r="V236" s="15">
        <f>JULIO!V236+AGOSTO!AL236</f>
        <v>0</v>
      </c>
      <c r="W236" s="15">
        <f>JULIO!W236+AGOSTO!AM236</f>
        <v>0</v>
      </c>
      <c r="X236" s="18">
        <f t="shared" ref="X236:X241" si="197">SUM(U236:W236)</f>
        <v>60000000</v>
      </c>
      <c r="Y236" s="19">
        <f>JULIO!AA236</f>
        <v>0</v>
      </c>
      <c r="Z236" s="377">
        <v>0</v>
      </c>
      <c r="AA236" s="18">
        <f t="shared" ref="AA236:AA241" si="198">SUM(Y236:Z236)</f>
        <v>0</v>
      </c>
      <c r="AB236" s="19">
        <f>JULIO!AD236</f>
        <v>0</v>
      </c>
      <c r="AC236" s="377">
        <v>0</v>
      </c>
      <c r="AD236" s="18">
        <f t="shared" ref="AD236:AD241" si="199">SUM(AB236:AC236)</f>
        <v>0</v>
      </c>
      <c r="AE236" s="19">
        <f>JULIO!AG236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+IF(JULIO!S237=0,"",JULIO!S237)</f>
        <v>8001000-2</v>
      </c>
      <c r="T237" s="694" t="str">
        <f>+IF(JULIO!T237=0,"",JULIO!T237)</f>
        <v>Subprogr.Adquisicion de ambulancia</v>
      </c>
      <c r="U237" s="27">
        <f>+ENERO!U237</f>
        <v>50000000</v>
      </c>
      <c r="V237" s="15">
        <f>JULIO!V237+AGOSTO!AL237</f>
        <v>0</v>
      </c>
      <c r="W237" s="15">
        <f>JULIO!W237+AGOSTO!AM237</f>
        <v>0</v>
      </c>
      <c r="X237" s="18">
        <f t="shared" si="197"/>
        <v>50000000</v>
      </c>
      <c r="Y237" s="19">
        <f>JULIO!AA237</f>
        <v>0</v>
      </c>
      <c r="Z237" s="377">
        <v>0</v>
      </c>
      <c r="AA237" s="18">
        <f t="shared" si="198"/>
        <v>0</v>
      </c>
      <c r="AB237" s="19">
        <f>JULIO!AD237</f>
        <v>0</v>
      </c>
      <c r="AC237" s="377">
        <v>0</v>
      </c>
      <c r="AD237" s="18">
        <f t="shared" si="199"/>
        <v>0</v>
      </c>
      <c r="AE237" s="19">
        <f>JULIO!AG237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+IF(JULIO!S238=0,"",JULIO!S238)</f>
        <v>8001000-3</v>
      </c>
      <c r="T238" s="694" t="str">
        <f>+IF(JULIO!T238=0,"",JULIO!T238)</f>
        <v>Subprogr.Actualizacion software hacia NICSP y Adquisicion de Historias clinicas</v>
      </c>
      <c r="U238" s="27">
        <f>+ENERO!U238</f>
        <v>75000000</v>
      </c>
      <c r="V238" s="15">
        <f>JULIO!V238+AGOSTO!AL238</f>
        <v>0</v>
      </c>
      <c r="W238" s="15">
        <f>JULIO!W238+AGOSTO!AM238</f>
        <v>0</v>
      </c>
      <c r="X238" s="18">
        <f t="shared" si="197"/>
        <v>75000000</v>
      </c>
      <c r="Y238" s="19">
        <f>JULIO!AA238</f>
        <v>0</v>
      </c>
      <c r="Z238" s="377">
        <v>0</v>
      </c>
      <c r="AA238" s="18">
        <f t="shared" si="198"/>
        <v>0</v>
      </c>
      <c r="AB238" s="19">
        <f>JULIO!AD238</f>
        <v>0</v>
      </c>
      <c r="AC238" s="377">
        <v>0</v>
      </c>
      <c r="AD238" s="18">
        <f t="shared" si="199"/>
        <v>0</v>
      </c>
      <c r="AE238" s="19">
        <f>JULIO!AG238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+IF(JULIO!S239=0,"",JULIO!S239)</f>
        <v>8001000-4</v>
      </c>
      <c r="T239" s="694" t="str">
        <f>+IF(JULIO!T239=0,"",JULIO!T239)</f>
        <v>Subprogr.Construc. Remodelac. Adecuación y Apliac.4</v>
      </c>
      <c r="U239" s="27">
        <f>+ENERO!U239</f>
        <v>0</v>
      </c>
      <c r="V239" s="15">
        <f>JULIO!V239+AGOSTO!AL239</f>
        <v>0</v>
      </c>
      <c r="W239" s="15">
        <f>JULIO!W239+AGOSTO!AM239</f>
        <v>0</v>
      </c>
      <c r="X239" s="18">
        <f t="shared" si="197"/>
        <v>0</v>
      </c>
      <c r="Y239" s="19">
        <f>JULIO!AA239</f>
        <v>0</v>
      </c>
      <c r="Z239" s="377">
        <v>0</v>
      </c>
      <c r="AA239" s="18">
        <f t="shared" si="198"/>
        <v>0</v>
      </c>
      <c r="AB239" s="19">
        <f>JULIO!AD239</f>
        <v>0</v>
      </c>
      <c r="AC239" s="377">
        <v>0</v>
      </c>
      <c r="AD239" s="18">
        <f t="shared" si="199"/>
        <v>0</v>
      </c>
      <c r="AE239" s="19">
        <f>JULIO!AG239</f>
        <v>0</v>
      </c>
      <c r="AF239" s="377">
        <v>0</v>
      </c>
      <c r="AG239" s="18">
        <f t="shared" si="200"/>
        <v>0</v>
      </c>
      <c r="AH239" s="19">
        <f t="shared" si="201"/>
        <v>0</v>
      </c>
      <c r="AI239" s="15">
        <f t="shared" si="202"/>
        <v>0</v>
      </c>
      <c r="AJ239" s="16">
        <f t="shared" si="203"/>
        <v>0</v>
      </c>
      <c r="AK239" s="9"/>
      <c r="AL239" s="375">
        <v>0</v>
      </c>
      <c r="AM239" s="378">
        <v>0</v>
      </c>
      <c r="AN239" s="9"/>
    </row>
    <row r="240" spans="1:64" s="385" customFormat="1" ht="24.95" customHeight="1" x14ac:dyDescent="0.2">
      <c r="A240" s="767"/>
      <c r="B240" s="669"/>
      <c r="N240" s="9"/>
      <c r="P240" s="9"/>
      <c r="Q240" s="9"/>
      <c r="S240" s="720" t="str">
        <f>+IF(JULIO!S240=0,"",JULIO!S240)</f>
        <v>8001000-7</v>
      </c>
      <c r="T240" s="694" t="str">
        <f>+IF(JULIO!T240=0,"",JULIO!T240)</f>
        <v>Subprogr.Construc. Remodelac. Adecuación y Apliac.5</v>
      </c>
      <c r="U240" s="27">
        <f>+ENERO!U240</f>
        <v>0</v>
      </c>
      <c r="V240" s="15">
        <f>JULIO!V240+AGOSTO!AL240</f>
        <v>0</v>
      </c>
      <c r="W240" s="15">
        <f>JULIO!W240+AGOSTO!AM240</f>
        <v>0</v>
      </c>
      <c r="X240" s="18">
        <f t="shared" si="197"/>
        <v>0</v>
      </c>
      <c r="Y240" s="19">
        <f>JULIO!AA240</f>
        <v>0</v>
      </c>
      <c r="Z240" s="377">
        <v>0</v>
      </c>
      <c r="AA240" s="18">
        <f t="shared" si="198"/>
        <v>0</v>
      </c>
      <c r="AB240" s="19">
        <f>JULIO!AD240</f>
        <v>0</v>
      </c>
      <c r="AC240" s="377">
        <v>0</v>
      </c>
      <c r="AD240" s="18">
        <f t="shared" si="199"/>
        <v>0</v>
      </c>
      <c r="AE240" s="19">
        <f>JULIO!AG240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+IF(JULIO!S241=0,"",JULIO!S241)</f>
        <v>8001999</v>
      </c>
      <c r="T241" s="694" t="str">
        <f>+IF(JULIO!T241=0,"",JULIO!T241)</f>
        <v>Vigencias Anteriores</v>
      </c>
      <c r="U241" s="27">
        <f>+ENERO!U241</f>
        <v>0</v>
      </c>
      <c r="V241" s="15">
        <f>JULIO!V241+AGOSTO!AL241</f>
        <v>0</v>
      </c>
      <c r="W241" s="15">
        <f>JULIO!W241+AGOSTO!AM241</f>
        <v>0</v>
      </c>
      <c r="X241" s="18">
        <f t="shared" si="197"/>
        <v>0</v>
      </c>
      <c r="Y241" s="19">
        <f>JULIO!AA241</f>
        <v>0</v>
      </c>
      <c r="Z241" s="377">
        <v>0</v>
      </c>
      <c r="AA241" s="18">
        <f t="shared" si="198"/>
        <v>0</v>
      </c>
      <c r="AB241" s="19">
        <f>JULIO!AD241</f>
        <v>0</v>
      </c>
      <c r="AC241" s="377">
        <v>0</v>
      </c>
      <c r="AD241" s="18">
        <f t="shared" si="199"/>
        <v>0</v>
      </c>
      <c r="AE241" s="19">
        <f>JULIO!AG241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+IF(JULIO!S242=0,"",JULIO!S242)</f>
        <v/>
      </c>
      <c r="T242" s="708" t="str">
        <f>+IF(JULIO!T242=0,"",JULIO!T242)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+IF(JULIO!S243=0,"",JULIO!S243)</f>
        <v>8002001</v>
      </c>
      <c r="T243" s="693" t="str">
        <f>+IF(JULIO!T243=0,"",JULIO!T243)</f>
        <v>Gastos Operativos de Inversion   (Programas Especiales)</v>
      </c>
      <c r="U243" s="27">
        <f t="shared" ref="U243:AJ243" si="204">SUM(U244:U256)</f>
        <v>118000000</v>
      </c>
      <c r="V243" s="15">
        <f t="shared" si="204"/>
        <v>-103000000</v>
      </c>
      <c r="W243" s="15">
        <f t="shared" si="204"/>
        <v>178000000</v>
      </c>
      <c r="X243" s="18">
        <f t="shared" si="204"/>
        <v>193000000</v>
      </c>
      <c r="Y243" s="19">
        <f t="shared" si="204"/>
        <v>120161334</v>
      </c>
      <c r="Z243" s="145">
        <f t="shared" si="204"/>
        <v>0</v>
      </c>
      <c r="AA243" s="18">
        <f t="shared" si="204"/>
        <v>120161334</v>
      </c>
      <c r="AB243" s="19">
        <f t="shared" si="204"/>
        <v>43798000</v>
      </c>
      <c r="AC243" s="145">
        <f t="shared" si="204"/>
        <v>15150000</v>
      </c>
      <c r="AD243" s="18">
        <f t="shared" si="204"/>
        <v>58948000</v>
      </c>
      <c r="AE243" s="19">
        <f t="shared" si="204"/>
        <v>36545000</v>
      </c>
      <c r="AF243" s="145">
        <f t="shared" si="204"/>
        <v>11775000</v>
      </c>
      <c r="AG243" s="18">
        <f t="shared" si="204"/>
        <v>48320000</v>
      </c>
      <c r="AH243" s="19">
        <f t="shared" si="204"/>
        <v>72838666</v>
      </c>
      <c r="AI243" s="15">
        <f t="shared" si="204"/>
        <v>134052000</v>
      </c>
      <c r="AJ243" s="16">
        <f t="shared" si="204"/>
        <v>144680000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+IF(JULIO!S244=0,"",JULIO!S244)</f>
        <v>8002100-1</v>
      </c>
      <c r="T244" s="694" t="str">
        <f>+IF(JULIO!T244=0,"",JULIO!T244)</f>
        <v>Fondo de la Vivienda</v>
      </c>
      <c r="U244" s="27">
        <f>+ENERO!U244</f>
        <v>0</v>
      </c>
      <c r="V244" s="15">
        <f>JULIO!V244+AGOSTO!AL244</f>
        <v>0</v>
      </c>
      <c r="W244" s="15">
        <f>JULIO!W244+AGOSTO!AM244</f>
        <v>0</v>
      </c>
      <c r="X244" s="18">
        <f t="shared" ref="X244:X256" si="205">SUM(U244:W244)</f>
        <v>0</v>
      </c>
      <c r="Y244" s="19">
        <f>JULIO!AA244</f>
        <v>0</v>
      </c>
      <c r="Z244" s="377">
        <v>0</v>
      </c>
      <c r="AA244" s="18">
        <f t="shared" ref="AA244:AA256" si="206">SUM(Y244:Z244)</f>
        <v>0</v>
      </c>
      <c r="AB244" s="19">
        <f>JULIO!AD244</f>
        <v>0</v>
      </c>
      <c r="AC244" s="377">
        <v>0</v>
      </c>
      <c r="AD244" s="18">
        <f t="shared" ref="AD244:AD256" si="207">SUM(AB244:AC244)</f>
        <v>0</v>
      </c>
      <c r="AE244" s="19">
        <f>JULIO!AG244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+IF(JULIO!S245=0,"",JULIO!S245)</f>
        <v>8002100-2</v>
      </c>
      <c r="T245" s="694" t="str">
        <f>+IF(JULIO!T245=0,"",JULIO!T245)</f>
        <v>Programas Especial 01 Convenio APS Municipio</v>
      </c>
      <c r="U245" s="27">
        <f>+ENERO!U245</f>
        <v>94000000</v>
      </c>
      <c r="V245" s="15">
        <f>JULIO!V245+AGOSTO!AL245</f>
        <v>-68000000</v>
      </c>
      <c r="W245" s="15">
        <f>JULIO!W245+AGOSTO!AM245</f>
        <v>94000000</v>
      </c>
      <c r="X245" s="18">
        <f t="shared" si="205"/>
        <v>120000000</v>
      </c>
      <c r="Y245" s="19">
        <f>JULIO!AA245</f>
        <v>74373334</v>
      </c>
      <c r="Z245" s="377">
        <v>0</v>
      </c>
      <c r="AA245" s="18">
        <f t="shared" si="206"/>
        <v>74373334</v>
      </c>
      <c r="AB245" s="19">
        <f>JULIO!AD245</f>
        <v>30500000</v>
      </c>
      <c r="AC245" s="377">
        <v>10700000</v>
      </c>
      <c r="AD245" s="18">
        <f t="shared" si="207"/>
        <v>41200000</v>
      </c>
      <c r="AE245" s="19">
        <f>JULIO!AG245</f>
        <v>29300000</v>
      </c>
      <c r="AF245" s="377">
        <v>9550000</v>
      </c>
      <c r="AG245" s="18">
        <f t="shared" si="208"/>
        <v>38850000</v>
      </c>
      <c r="AH245" s="19">
        <f t="shared" si="209"/>
        <v>45626666</v>
      </c>
      <c r="AI245" s="15">
        <f t="shared" si="210"/>
        <v>78800000</v>
      </c>
      <c r="AJ245" s="16">
        <f t="shared" si="211"/>
        <v>81150000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+IF(JULIO!S246=0,"",JULIO!S246)</f>
        <v>8002100-3</v>
      </c>
      <c r="T246" s="694" t="str">
        <f>+IF(JULIO!T246=0,"",JULIO!T246)</f>
        <v>Programas Especial 02 Convenios APS  Departamento</v>
      </c>
      <c r="U246" s="27">
        <f>+ENERO!U246</f>
        <v>0</v>
      </c>
      <c r="V246" s="15">
        <f>JULIO!V246+AGOSTO!AL246</f>
        <v>0</v>
      </c>
      <c r="W246" s="15">
        <f>JULIO!W246+AGOSTO!AM246</f>
        <v>50000000</v>
      </c>
      <c r="X246" s="18">
        <f t="shared" si="205"/>
        <v>50000000</v>
      </c>
      <c r="Y246" s="19">
        <f>JULIO!AA246</f>
        <v>22820000</v>
      </c>
      <c r="Z246" s="377">
        <v>0</v>
      </c>
      <c r="AA246" s="18">
        <f t="shared" si="206"/>
        <v>22820000</v>
      </c>
      <c r="AB246" s="19">
        <f>JULIO!AD246</f>
        <v>9470000</v>
      </c>
      <c r="AC246" s="377">
        <v>4450000</v>
      </c>
      <c r="AD246" s="18">
        <f t="shared" si="207"/>
        <v>13920000</v>
      </c>
      <c r="AE246" s="19">
        <f>JULIO!AG246</f>
        <v>7245000</v>
      </c>
      <c r="AF246" s="377">
        <v>2225000</v>
      </c>
      <c r="AG246" s="18">
        <f t="shared" si="208"/>
        <v>9470000</v>
      </c>
      <c r="AH246" s="19">
        <f t="shared" si="209"/>
        <v>27180000</v>
      </c>
      <c r="AI246" s="15">
        <f t="shared" si="210"/>
        <v>36080000</v>
      </c>
      <c r="AJ246" s="16">
        <f t="shared" si="211"/>
        <v>40530000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+IF(JULIO!S247=0,"",JULIO!S247)</f>
        <v>8002100-4</v>
      </c>
      <c r="T247" s="694" t="str">
        <f>+IF(JULIO!T247=0,"",JULIO!T247)</f>
        <v>Subprogr. Implementacion Normas Internacionales de Contabilidad Publica</v>
      </c>
      <c r="U247" s="27">
        <f>+ENERO!U247</f>
        <v>0</v>
      </c>
      <c r="V247" s="15">
        <f>JULIO!V247+AGOSTO!AL247</f>
        <v>23000000</v>
      </c>
      <c r="W247" s="15">
        <f>JULIO!W247+AGOSTO!AM247</f>
        <v>0</v>
      </c>
      <c r="X247" s="18">
        <f t="shared" si="205"/>
        <v>23000000</v>
      </c>
      <c r="Y247" s="19">
        <f>JULIO!AA247</f>
        <v>22968000</v>
      </c>
      <c r="Z247" s="377">
        <v>0</v>
      </c>
      <c r="AA247" s="18">
        <f t="shared" si="206"/>
        <v>22968000</v>
      </c>
      <c r="AB247" s="19">
        <f>JULIO!AD247</f>
        <v>3828000</v>
      </c>
      <c r="AC247" s="377">
        <v>0</v>
      </c>
      <c r="AD247" s="18">
        <f t="shared" si="207"/>
        <v>3828000</v>
      </c>
      <c r="AE247" s="19">
        <f>JULIO!AG247</f>
        <v>0</v>
      </c>
      <c r="AF247" s="377">
        <v>0</v>
      </c>
      <c r="AG247" s="18">
        <f t="shared" si="208"/>
        <v>0</v>
      </c>
      <c r="AH247" s="19">
        <f t="shared" si="209"/>
        <v>32000</v>
      </c>
      <c r="AI247" s="15">
        <f t="shared" si="210"/>
        <v>19172000</v>
      </c>
      <c r="AJ247" s="16">
        <f t="shared" si="211"/>
        <v>23000000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+IF(JULIO!S248=0,"",JULIO!S248)</f>
        <v>8002100-5</v>
      </c>
      <c r="T248" s="694" t="str">
        <f>+IF(JULIO!T248=0,"",JULIO!T248)</f>
        <v>Programas Especial 04 Convenio Puestos de Salud</v>
      </c>
      <c r="U248" s="27">
        <f>+ENERO!U248</f>
        <v>24000000</v>
      </c>
      <c r="V248" s="15">
        <f>JULIO!V248+AGOSTO!AL248</f>
        <v>-58000000</v>
      </c>
      <c r="W248" s="15">
        <f>JULIO!W248+AGOSTO!AM248</f>
        <v>34000000</v>
      </c>
      <c r="X248" s="18">
        <f t="shared" si="205"/>
        <v>0</v>
      </c>
      <c r="Y248" s="19">
        <f>JULIO!AA248</f>
        <v>0</v>
      </c>
      <c r="Z248" s="377">
        <v>0</v>
      </c>
      <c r="AA248" s="18">
        <f t="shared" si="206"/>
        <v>0</v>
      </c>
      <c r="AB248" s="19">
        <f>JULIO!AD248</f>
        <v>0</v>
      </c>
      <c r="AC248" s="377">
        <v>0</v>
      </c>
      <c r="AD248" s="18">
        <f t="shared" si="207"/>
        <v>0</v>
      </c>
      <c r="AE248" s="19">
        <f>JULIO!AG248</f>
        <v>0</v>
      </c>
      <c r="AF248" s="377">
        <v>0</v>
      </c>
      <c r="AG248" s="18">
        <f t="shared" si="208"/>
        <v>0</v>
      </c>
      <c r="AH248" s="19">
        <f t="shared" si="209"/>
        <v>0</v>
      </c>
      <c r="AI248" s="15">
        <f t="shared" si="210"/>
        <v>0</v>
      </c>
      <c r="AJ248" s="16">
        <f t="shared" si="211"/>
        <v>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+IF(JULIO!S249=0,"",JULIO!S249)</f>
        <v>8002100-6</v>
      </c>
      <c r="T249" s="694" t="str">
        <f>+IF(JULIO!T249=0,"",JULIO!T249)</f>
        <v>Programas Especial 05</v>
      </c>
      <c r="U249" s="27">
        <f>+ENERO!U249</f>
        <v>0</v>
      </c>
      <c r="V249" s="15">
        <f>JULIO!V249+AGOSTO!AL249</f>
        <v>0</v>
      </c>
      <c r="W249" s="15">
        <f>JULIO!W249+AGOSTO!AM249</f>
        <v>0</v>
      </c>
      <c r="X249" s="18">
        <f t="shared" si="205"/>
        <v>0</v>
      </c>
      <c r="Y249" s="19">
        <f>JULIO!AA249</f>
        <v>0</v>
      </c>
      <c r="Z249" s="377">
        <v>0</v>
      </c>
      <c r="AA249" s="18">
        <f t="shared" si="206"/>
        <v>0</v>
      </c>
      <c r="AB249" s="19">
        <f>JULIO!AD249</f>
        <v>0</v>
      </c>
      <c r="AC249" s="377">
        <v>0</v>
      </c>
      <c r="AD249" s="18">
        <f t="shared" si="207"/>
        <v>0</v>
      </c>
      <c r="AE249" s="19">
        <f>JULIO!AG249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+IF(JULIO!S250=0,"",JULIO!S250)</f>
        <v>8002100-7</v>
      </c>
      <c r="T250" s="694" t="str">
        <f>+IF(JULIO!T250=0,"",JULIO!T250)</f>
        <v>Programas Especial 06</v>
      </c>
      <c r="U250" s="27">
        <f>+ENERO!U250</f>
        <v>0</v>
      </c>
      <c r="V250" s="15">
        <f>JULIO!V250+AGOSTO!AL250</f>
        <v>0</v>
      </c>
      <c r="W250" s="15">
        <f>JULIO!W250+AGOSTO!AM250</f>
        <v>0</v>
      </c>
      <c r="X250" s="18">
        <f>SUM(U250:W250)</f>
        <v>0</v>
      </c>
      <c r="Y250" s="19">
        <f>JULIO!AA250</f>
        <v>0</v>
      </c>
      <c r="Z250" s="377">
        <v>0</v>
      </c>
      <c r="AA250" s="18">
        <f>SUM(Y250:Z250)</f>
        <v>0</v>
      </c>
      <c r="AB250" s="19">
        <f>JULIO!AD250</f>
        <v>0</v>
      </c>
      <c r="AC250" s="377">
        <v>0</v>
      </c>
      <c r="AD250" s="18">
        <f>SUM(AB250:AC250)</f>
        <v>0</v>
      </c>
      <c r="AE250" s="19">
        <f>JULIO!AG250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+IF(JULIO!S251=0,"",JULIO!S251)</f>
        <v>8002100-8</v>
      </c>
      <c r="T251" s="694" t="str">
        <f>+IF(JULIO!T251=0,"",JULIO!T251)</f>
        <v>Programas Especial 07</v>
      </c>
      <c r="U251" s="27">
        <f>+ENERO!U251</f>
        <v>0</v>
      </c>
      <c r="V251" s="15">
        <f>JULIO!V251+AGOSTO!AL251</f>
        <v>0</v>
      </c>
      <c r="W251" s="15">
        <f>JULIO!W251+AGOSTO!AM251</f>
        <v>0</v>
      </c>
      <c r="X251" s="18">
        <f>SUM(U251:W251)</f>
        <v>0</v>
      </c>
      <c r="Y251" s="19">
        <f>JULIO!AA251</f>
        <v>0</v>
      </c>
      <c r="Z251" s="377">
        <v>0</v>
      </c>
      <c r="AA251" s="18">
        <f>SUM(Y251:Z251)</f>
        <v>0</v>
      </c>
      <c r="AB251" s="19">
        <f>JULIO!AD251</f>
        <v>0</v>
      </c>
      <c r="AC251" s="377">
        <v>0</v>
      </c>
      <c r="AD251" s="18">
        <f>SUM(AB251:AC251)</f>
        <v>0</v>
      </c>
      <c r="AE251" s="19">
        <f>JULIO!AG251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+IF(JULIO!S252=0,"",JULIO!S252)</f>
        <v>8002100-9</v>
      </c>
      <c r="T252" s="694" t="str">
        <f>+IF(JULIO!T252=0,"",JULIO!T252)</f>
        <v>Programas Especial 08</v>
      </c>
      <c r="U252" s="27">
        <f>+ENERO!U252</f>
        <v>0</v>
      </c>
      <c r="V252" s="15">
        <f>JULIO!V252+AGOSTO!AL252</f>
        <v>0</v>
      </c>
      <c r="W252" s="15">
        <f>JULIO!W252+AGOSTO!AM252</f>
        <v>0</v>
      </c>
      <c r="X252" s="18">
        <f>SUM(U252:W252)</f>
        <v>0</v>
      </c>
      <c r="Y252" s="19">
        <f>JULIO!AA252</f>
        <v>0</v>
      </c>
      <c r="Z252" s="377">
        <v>0</v>
      </c>
      <c r="AA252" s="18">
        <f>SUM(Y252:Z252)</f>
        <v>0</v>
      </c>
      <c r="AB252" s="19">
        <f>JULIO!AD252</f>
        <v>0</v>
      </c>
      <c r="AC252" s="377">
        <v>0</v>
      </c>
      <c r="AD252" s="18">
        <f>SUM(AB252:AC252)</f>
        <v>0</v>
      </c>
      <c r="AE252" s="19">
        <f>JULIO!AG252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+IF(JULIO!S253=0,"",JULIO!S253)</f>
        <v>8002100-10</v>
      </c>
      <c r="T253" s="694" t="str">
        <f>+IF(JULIO!T253=0,"",JULIO!T253)</f>
        <v>Programas Especial 09</v>
      </c>
      <c r="U253" s="27">
        <f>+ENERO!U253</f>
        <v>0</v>
      </c>
      <c r="V253" s="15">
        <f>JULIO!V253+AGOSTO!AL253</f>
        <v>0</v>
      </c>
      <c r="W253" s="15">
        <f>JULIO!W253+AGOSTO!AM253</f>
        <v>0</v>
      </c>
      <c r="X253" s="18">
        <f>SUM(U253:W253)</f>
        <v>0</v>
      </c>
      <c r="Y253" s="19">
        <f>JULIO!AA253</f>
        <v>0</v>
      </c>
      <c r="Z253" s="377">
        <v>0</v>
      </c>
      <c r="AA253" s="18">
        <f>SUM(Y253:Z253)</f>
        <v>0</v>
      </c>
      <c r="AB253" s="19">
        <f>JULIO!AD253</f>
        <v>0</v>
      </c>
      <c r="AC253" s="377">
        <v>0</v>
      </c>
      <c r="AD253" s="18">
        <f>SUM(AB253:AC253)</f>
        <v>0</v>
      </c>
      <c r="AE253" s="19">
        <f>JULIO!AG253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+IF(JULIO!S254=0,"",JULIO!S254)</f>
        <v>8002100-11</v>
      </c>
      <c r="T254" s="694" t="str">
        <f>+IF(JULIO!T254=0,"",JULIO!T254)</f>
        <v>Programas Especial 10</v>
      </c>
      <c r="U254" s="27">
        <f>+ENERO!U254</f>
        <v>0</v>
      </c>
      <c r="V254" s="15">
        <f>JULIO!V254+AGOSTO!AL254</f>
        <v>0</v>
      </c>
      <c r="W254" s="15">
        <f>JULIO!W254+AGOSTO!AM254</f>
        <v>0</v>
      </c>
      <c r="X254" s="18">
        <f>SUM(U254:W254)</f>
        <v>0</v>
      </c>
      <c r="Y254" s="19">
        <f>JULIO!AA254</f>
        <v>0</v>
      </c>
      <c r="Z254" s="377">
        <v>0</v>
      </c>
      <c r="AA254" s="18">
        <f>SUM(Y254:Z254)</f>
        <v>0</v>
      </c>
      <c r="AB254" s="19">
        <f>JULIO!AD254</f>
        <v>0</v>
      </c>
      <c r="AC254" s="377">
        <v>0</v>
      </c>
      <c r="AD254" s="18">
        <f>SUM(AB254:AC254)</f>
        <v>0</v>
      </c>
      <c r="AE254" s="19">
        <f>JULIO!AG254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+IF(JULIO!S255=0,"",JULIO!S255)</f>
        <v>8002100-12</v>
      </c>
      <c r="T255" s="694" t="str">
        <f>+IF(JULIO!T255=0,"",JULIO!T255)</f>
        <v>Programas Especial 11</v>
      </c>
      <c r="U255" s="27">
        <f>+ENERO!U255</f>
        <v>0</v>
      </c>
      <c r="V255" s="15">
        <f>JULIO!V255+AGOSTO!AL255</f>
        <v>0</v>
      </c>
      <c r="W255" s="15">
        <f>JULIO!W255+AGOSTO!AM255</f>
        <v>0</v>
      </c>
      <c r="X255" s="18">
        <f t="shared" si="205"/>
        <v>0</v>
      </c>
      <c r="Y255" s="19">
        <f>JULIO!AA255</f>
        <v>0</v>
      </c>
      <c r="Z255" s="377">
        <v>0</v>
      </c>
      <c r="AA255" s="18">
        <f t="shared" si="206"/>
        <v>0</v>
      </c>
      <c r="AB255" s="19">
        <f>JULIO!AD255</f>
        <v>0</v>
      </c>
      <c r="AC255" s="377">
        <v>0</v>
      </c>
      <c r="AD255" s="18">
        <f t="shared" si="207"/>
        <v>0</v>
      </c>
      <c r="AE255" s="19">
        <f>JULIO!AG255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+IF(JULIO!S256=0,"",JULIO!S256)</f>
        <v>8002999</v>
      </c>
      <c r="T256" s="710" t="str">
        <f>+IF(JULIO!T256=0,"",JULIO!T256)</f>
        <v>Vigencias Anteriores</v>
      </c>
      <c r="U256" s="136">
        <f>+ENERO!U256</f>
        <v>0</v>
      </c>
      <c r="V256" s="123">
        <f>JULIO!V256+AGOSTO!AL256</f>
        <v>0</v>
      </c>
      <c r="W256" s="123">
        <f>JULIO!W256+AGOSTO!AM256</f>
        <v>0</v>
      </c>
      <c r="X256" s="129">
        <f t="shared" si="205"/>
        <v>0</v>
      </c>
      <c r="Y256" s="127">
        <f>JULIO!AA256</f>
        <v>0</v>
      </c>
      <c r="Z256" s="391">
        <v>0</v>
      </c>
      <c r="AA256" s="129">
        <f t="shared" si="206"/>
        <v>0</v>
      </c>
      <c r="AB256" s="127">
        <f>JULIO!AD256</f>
        <v>0</v>
      </c>
      <c r="AC256" s="391">
        <v>0</v>
      </c>
      <c r="AD256" s="129">
        <f t="shared" si="207"/>
        <v>0</v>
      </c>
      <c r="AE256" s="127">
        <f>JULIO!AG256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+IF(JULIO!S257=0,"",JULIO!S257)</f>
        <v/>
      </c>
      <c r="T257" s="707" t="str">
        <f>+IF(JULIO!T257=0,"",JULIO!T257)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+IF(JULIO!S258=0,"",JULIO!S258)</f>
        <v>E</v>
      </c>
      <c r="T258" s="711" t="str">
        <f>+IF(JULIO!T258=0,"",JULIO!T258)</f>
        <v>DISPONIBILIDAD FINAL</v>
      </c>
      <c r="U258" s="341">
        <f t="shared" ref="U258:AJ258" si="212">+(C10+C17+C113)-(U10+U207+U220+U232)</f>
        <v>0</v>
      </c>
      <c r="V258" s="341">
        <f t="shared" si="212"/>
        <v>0</v>
      </c>
      <c r="W258" s="341">
        <f t="shared" si="212"/>
        <v>0</v>
      </c>
      <c r="X258" s="341">
        <f t="shared" si="212"/>
        <v>0</v>
      </c>
      <c r="Y258" s="341">
        <f t="shared" si="212"/>
        <v>175559929</v>
      </c>
      <c r="Z258" s="341">
        <f t="shared" si="212"/>
        <v>57243348</v>
      </c>
      <c r="AA258" s="341">
        <f t="shared" si="212"/>
        <v>232803277</v>
      </c>
      <c r="AB258" s="341">
        <f t="shared" si="212"/>
        <v>-299588060</v>
      </c>
      <c r="AC258" s="341">
        <f t="shared" si="212"/>
        <v>-74597090</v>
      </c>
      <c r="AD258" s="341">
        <f t="shared" si="212"/>
        <v>-374185150</v>
      </c>
      <c r="AE258" s="341">
        <f t="shared" si="212"/>
        <v>-455268807</v>
      </c>
      <c r="AF258" s="341">
        <f t="shared" si="212"/>
        <v>1827282501</v>
      </c>
      <c r="AG258" s="341">
        <f t="shared" si="212"/>
        <v>-1791957842</v>
      </c>
      <c r="AH258" s="341">
        <f t="shared" si="212"/>
        <v>-1386730058</v>
      </c>
      <c r="AI258" s="341">
        <f t="shared" si="212"/>
        <v>-1635859605</v>
      </c>
      <c r="AJ258" s="341">
        <f t="shared" si="212"/>
        <v>-2098642905</v>
      </c>
      <c r="AK258" s="9"/>
      <c r="AL258" s="341">
        <v>0</v>
      </c>
      <c r="AM258" s="342">
        <v>0</v>
      </c>
    </row>
    <row r="259" spans="1:39" ht="24.95" customHeight="1" thickBot="1" x14ac:dyDescent="0.25">
      <c r="S259" s="912" t="str">
        <f>+IF(JULIO!S259=0,"",JULIO!S259)</f>
        <v>TOTAL VIGENCIAS ANTERIORES</v>
      </c>
      <c r="T259" s="913"/>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300813287</v>
      </c>
      <c r="AF259" s="115">
        <f t="shared" si="213"/>
        <v>0</v>
      </c>
      <c r="AG259" s="126">
        <f t="shared" si="213"/>
        <v>300813287</v>
      </c>
      <c r="AH259" s="125">
        <f t="shared" si="213"/>
        <v>0</v>
      </c>
      <c r="AI259" s="115">
        <f t="shared" si="213"/>
        <v>0</v>
      </c>
      <c r="AJ259" s="116">
        <f t="shared" si="213"/>
        <v>41550769</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6F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4"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116</vt:i4>
      </vt:variant>
    </vt:vector>
  </HeadingPairs>
  <TitlesOfParts>
    <vt:vector size="132" baseType="lpstr">
      <vt:lpstr>INSTRUCCIONES</vt:lpstr>
      <vt:lpstr>ENERO</vt:lpstr>
      <vt:lpstr>FEBRERO</vt:lpstr>
      <vt:lpstr>MARZO</vt:lpstr>
      <vt:lpstr>ABRIL</vt:lpstr>
      <vt:lpstr>MAYO</vt:lpstr>
      <vt:lpstr>JUNIO</vt:lpstr>
      <vt:lpstr>JULIO</vt:lpstr>
      <vt:lpstr>AGOSTO</vt:lpstr>
      <vt:lpstr>SEPTIEMBRE</vt:lpstr>
      <vt:lpstr>OCTUBRE</vt:lpstr>
      <vt:lpstr>NOVIEMBRE</vt:lpstr>
      <vt:lpstr>DICIEMBRE</vt:lpstr>
      <vt:lpstr>Datos para el 2193</vt:lpstr>
      <vt:lpstr>SEGUIMIENTO EQUILIBRIOS</vt:lpstr>
      <vt:lpstr>VERIFICACION MANTENIMIENTO</vt:lpstr>
      <vt:lpstr>Adiciones_y_modificaciones_gastos_abr</vt:lpstr>
      <vt:lpstr>Adiciones_y_modificaciones_gastos_ago</vt:lpstr>
      <vt:lpstr>Adiciones_y_modificaciones_gastos_dic</vt:lpstr>
      <vt:lpstr>Adiciones_y_modificaciones_gastos_ene</vt:lpstr>
      <vt:lpstr>Adiciones_y_modificaciones_gastos_feb</vt:lpstr>
      <vt:lpstr>Adiciones_y_modificaciones_gastos_jul</vt:lpstr>
      <vt:lpstr>Adiciones_y_modificaciones_gastos_jun</vt:lpstr>
      <vt:lpstr>Adiciones_y_modificaciones_gastos_mar</vt:lpstr>
      <vt:lpstr>Adiciones_y_modificaciones_gastos_may</vt:lpstr>
      <vt:lpstr>Adiciones_y_modificaciones_gastos_nov</vt:lpstr>
      <vt:lpstr>Adiciones_y_modificaciones_gastos_oct</vt:lpstr>
      <vt:lpstr>Adiciones_y_modificaciones_gastos_sep</vt:lpstr>
      <vt:lpstr>Adiciones_y_modificaciones_ingresos_abr</vt:lpstr>
      <vt:lpstr>Adiciones_y_modificaciones_ingresos_ago</vt:lpstr>
      <vt:lpstr>Adiciones_y_modificaciones_ingresos_dic</vt:lpstr>
      <vt:lpstr>Adiciones_y_modificaciones_ingresos_ene</vt:lpstr>
      <vt:lpstr>Adiciones_y_modificaciones_ingresos_feb</vt:lpstr>
      <vt:lpstr>Adiciones_y_modificaciones_ingresos_jul</vt:lpstr>
      <vt:lpstr>Adiciones_y_modificaciones_ingresos_jun</vt:lpstr>
      <vt:lpstr>Adiciones_y_modificaciones_ingresos_mar</vt:lpstr>
      <vt:lpstr>Adiciones_y_modificaciones_ingresos_may</vt:lpstr>
      <vt:lpstr>Adiciones_y_modificaciones_ingresos_nov</vt:lpstr>
      <vt:lpstr>Adiciones_y_modificaciones_ingresos_oct</vt:lpstr>
      <vt:lpstr>Adiciones_y_modificaciones_ingresos_sep</vt:lpstr>
      <vt:lpstr>ABRIL!Área_de_impresión</vt:lpstr>
      <vt:lpstr>AGOSTO!Área_de_impresión</vt:lpstr>
      <vt:lpstr>'Datos para el 2193'!Área_de_impresión</vt:lpstr>
      <vt:lpstr>DICIEMBRE!Área_de_impresión</vt:lpstr>
      <vt:lpstr>ENERO!Área_de_impresión</vt:lpstr>
      <vt:lpstr>FEBRERO!Área_de_impresión</vt:lpstr>
      <vt:lpstr>JULIO!Área_de_impresión</vt:lpstr>
      <vt:lpstr>JUNIO!Área_de_impresión</vt:lpstr>
      <vt:lpstr>MARZO!Área_de_impresión</vt:lpstr>
      <vt:lpstr>MAYO!Área_de_impresión</vt:lpstr>
      <vt:lpstr>NOVIEMBRE!Área_de_impresión</vt:lpstr>
      <vt:lpstr>OCTUBRE!Área_de_impresión</vt:lpstr>
      <vt:lpstr>'SEGUIMIENTO EQUILIBRIOS'!Área_de_impresión</vt:lpstr>
      <vt:lpstr>SEPTIEMBRE!Área_de_impresión</vt:lpstr>
      <vt:lpstr>'VERIFICACION MANTENIMIENTO'!Área_de_impresión</vt:lpstr>
      <vt:lpstr>Compromisos_abr</vt:lpstr>
      <vt:lpstr>Compromisos_ago</vt:lpstr>
      <vt:lpstr>Compromisos_dic</vt:lpstr>
      <vt:lpstr>Compromisos_ene</vt:lpstr>
      <vt:lpstr>Compromisos_feb</vt:lpstr>
      <vt:lpstr>Compromisos_jul</vt:lpstr>
      <vt:lpstr>Compromisos_jun</vt:lpstr>
      <vt:lpstr>Compromisos_mar</vt:lpstr>
      <vt:lpstr>Compromisos_may</vt:lpstr>
      <vt:lpstr>Compromisos_nov</vt:lpstr>
      <vt:lpstr>Compromisos_oct</vt:lpstr>
      <vt:lpstr>Compromisos_sep</vt:lpstr>
      <vt:lpstr>Obligaciones_abr</vt:lpstr>
      <vt:lpstr>Obligaciones_ago</vt:lpstr>
      <vt:lpstr>Obligaciones_dic</vt:lpstr>
      <vt:lpstr>Obligaciones_ene</vt:lpstr>
      <vt:lpstr>Obligaciones_feb</vt:lpstr>
      <vt:lpstr>Obligaciones_jul</vt:lpstr>
      <vt:lpstr>Obligaciones_jun</vt:lpstr>
      <vt:lpstr>Obligaciones_mar</vt:lpstr>
      <vt:lpstr>Obligaciones_may</vt:lpstr>
      <vt:lpstr>Obligaciones_nov</vt:lpstr>
      <vt:lpstr>Obligaciones_oct</vt:lpstr>
      <vt:lpstr>Obligaciones_sep</vt:lpstr>
      <vt:lpstr>Pagos_abr</vt:lpstr>
      <vt:lpstr>Pagos_ago</vt:lpstr>
      <vt:lpstr>Pagos_dic</vt:lpstr>
      <vt:lpstr>Pagos_ene</vt:lpstr>
      <vt:lpstr>Pagos_feb</vt:lpstr>
      <vt:lpstr>Pagos_jul</vt:lpstr>
      <vt:lpstr>Pagos_jun</vt:lpstr>
      <vt:lpstr>Pagos_mar</vt:lpstr>
      <vt:lpstr>Pagos_may</vt:lpstr>
      <vt:lpstr>Pagos_nov</vt:lpstr>
      <vt:lpstr>Pagos_oct</vt:lpstr>
      <vt:lpstr>Pagos_sep</vt:lpstr>
      <vt:lpstr>Presupuesto_inicial_gastos</vt:lpstr>
      <vt:lpstr>Presupuesto_inicial_ingresos</vt:lpstr>
      <vt:lpstr>Recaudos_abr</vt:lpstr>
      <vt:lpstr>Recaudos_ago</vt:lpstr>
      <vt:lpstr>Recaudos_dic</vt:lpstr>
      <vt:lpstr>Recaudos_ene</vt:lpstr>
      <vt:lpstr>Recaudos_feb</vt:lpstr>
      <vt:lpstr>Recaudos_jul</vt:lpstr>
      <vt:lpstr>Recaudos_jun</vt:lpstr>
      <vt:lpstr>Recaudos_mar</vt:lpstr>
      <vt:lpstr>Recaudos_may</vt:lpstr>
      <vt:lpstr>Recaudos_nov</vt:lpstr>
      <vt:lpstr>Recaudos_oct</vt:lpstr>
      <vt:lpstr>Recaudos_sep</vt:lpstr>
      <vt:lpstr>Reconocimiento_dispon_inicial_ene</vt:lpstr>
      <vt:lpstr>Reconocimiento_dispon_inicial_feb</vt:lpstr>
      <vt:lpstr>Reconocimiento_dispon_inicial_mar</vt:lpstr>
      <vt:lpstr>Reconocimientos_abr</vt:lpstr>
      <vt:lpstr>Reconocimientos_ago</vt:lpstr>
      <vt:lpstr>Reconocimientos_dic</vt:lpstr>
      <vt:lpstr>Reconocimientos_ene</vt:lpstr>
      <vt:lpstr>Reconocimientos_feb</vt:lpstr>
      <vt:lpstr>Reconocimientos_jul</vt:lpstr>
      <vt:lpstr>Reconocimientos_jun</vt:lpstr>
      <vt:lpstr>Reconocimientos_mar</vt:lpstr>
      <vt:lpstr>Reconocimientos_may</vt:lpstr>
      <vt:lpstr>Reconocimientos_nov</vt:lpstr>
      <vt:lpstr>Reconocimientos_oct</vt:lpstr>
      <vt:lpstr>Reconocimientos_sep</vt:lpstr>
      <vt:lpstr>ABRIL!Títulos_a_imprimir</vt:lpstr>
      <vt:lpstr>AGOSTO!Títulos_a_imprimir</vt:lpstr>
      <vt:lpstr>DICIEMBRE!Títulos_a_imprimir</vt:lpstr>
      <vt:lpstr>ENERO!Títulos_a_imprimir</vt:lpstr>
      <vt:lpstr>FEBRERO!Títulos_a_imprimir</vt:lpstr>
      <vt:lpstr>JULIO!Títulos_a_imprimir</vt:lpstr>
      <vt:lpstr>JUNIO!Títulos_a_imprimir</vt:lpstr>
      <vt:lpstr>MARZO!Títulos_a_imprimir</vt:lpstr>
      <vt:lpstr>MAYO!Títulos_a_imprimir</vt:lpstr>
      <vt:lpstr>NOVIEMBRE!Títulos_a_imprimir</vt:lpstr>
      <vt:lpstr>OCTUBRE!Títulos_a_imprimir</vt:lpstr>
      <vt:lpstr>SEPTIEMBRE!Títulos_a_imprimir</vt:lpstr>
    </vt:vector>
  </TitlesOfParts>
  <Company>DSSA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SX2000;MARIA EUGENIA ZAPATA MARIN</dc:creator>
  <cp:lastModifiedBy>TESOR2</cp:lastModifiedBy>
  <cp:lastPrinted>2015-02-21T20:45:56Z</cp:lastPrinted>
  <dcterms:created xsi:type="dcterms:W3CDTF">2009-01-29T18:34:20Z</dcterms:created>
  <dcterms:modified xsi:type="dcterms:W3CDTF">2015-11-11T15:17:42Z</dcterms:modified>
</cp:coreProperties>
</file>